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3.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4.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5.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ink/ink1.xml" ContentType="application/inkml+xml"/>
  <Override PartName="/xl/drawings/drawing39.xml" ContentType="application/vnd.openxmlformats-officedocument.drawing+xml"/>
  <Override PartName="/xl/drawings/drawing40.xml" ContentType="application/vnd.openxmlformats-officedocument.drawing+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tables/table1.xml" ContentType="application/vnd.openxmlformats-officedocument.spreadsheetml.table+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DieseArbeitsmappe"/>
  <mc:AlternateContent xmlns:mc="http://schemas.openxmlformats.org/markup-compatibility/2006">
    <mc:Choice Requires="x15">
      <x15ac:absPath xmlns:x15ac="http://schemas.microsoft.com/office/spreadsheetml/2010/11/ac" url="https://d.docs.live.net/a7fa01d38a6bdd72/Kaffeerunde/Versorgungsausgleich in Europa/"/>
    </mc:Choice>
  </mc:AlternateContent>
  <xr:revisionPtr revIDLastSave="1" documentId="14_{41358857-F19E-4752-A93E-4D2B7F0B8A4D}" xr6:coauthVersionLast="47" xr6:coauthVersionMax="47" xr10:uidLastSave="{F7F4DED5-0900-4C9A-9633-B2555103958F}"/>
  <bookViews>
    <workbookView xWindow="-28920" yWindow="-120" windowWidth="29040" windowHeight="15720" tabRatio="885" firstSheet="7" activeTab="7" xr2:uid="{00000000-000D-0000-FFFF-FFFF00000000}"/>
  </bookViews>
  <sheets>
    <sheet name="Worksheet" sheetId="1" state="hidden" r:id="rId1"/>
    <sheet name="Lebenserwartung_N" sheetId="44" state="hidden" r:id="rId2"/>
    <sheet name="Lebenserwartung_F" sheetId="43" state="hidden" r:id="rId3"/>
    <sheet name="Lebenserwartung_M" sheetId="42" state="hidden" r:id="rId4"/>
    <sheet name="Kohorte_W" sheetId="46" state="hidden" r:id="rId5"/>
    <sheet name="Kohorte_D" sheetId="47" state="hidden" r:id="rId6"/>
    <sheet name="Kohorte_M" sheetId="45" state="hidden" r:id="rId7"/>
    <sheet name="Start" sheetId="58" r:id="rId8"/>
    <sheet name="Verschiedenes" sheetId="66" state="hidden" r:id="rId9"/>
    <sheet name="Abfindungsberechnung" sheetId="41" r:id="rId10"/>
    <sheet name="Abfindung Methode 1" sheetId="65" r:id="rId11"/>
    <sheet name="Abfindung Methode 2" sheetId="62" r:id="rId12"/>
    <sheet name="HRIR60" sheetId="48" state="hidden" r:id="rId13"/>
    <sheet name="HRIR61" sheetId="49" state="hidden" r:id="rId14"/>
    <sheet name="HRIR62" sheetId="50" state="hidden" r:id="rId15"/>
    <sheet name="HRIR63" sheetId="51" state="hidden" r:id="rId16"/>
    <sheet name="HRIR64" sheetId="52" state="hidden" r:id="rId17"/>
    <sheet name="HRIR65" sheetId="53" state="hidden" r:id="rId18"/>
    <sheet name="HRIR66" sheetId="54" state="hidden" r:id="rId19"/>
    <sheet name="HRIR67" sheetId="55" state="hidden" r:id="rId20"/>
    <sheet name="Abfindung Methode 3" sheetId="63" r:id="rId21"/>
    <sheet name="Kurzübersicht" sheetId="67" r:id="rId22"/>
    <sheet name="Belgien" sheetId="7" r:id="rId23"/>
    <sheet name="Bulgarien" sheetId="8" r:id="rId24"/>
    <sheet name="Dänemark" sheetId="9" r:id="rId25"/>
    <sheet name="Deutschland" sheetId="10" r:id="rId26"/>
    <sheet name="Estland" sheetId="11" r:id="rId27"/>
    <sheet name="Finnland" sheetId="12" r:id="rId28"/>
    <sheet name="Frankreich" sheetId="13" r:id="rId29"/>
    <sheet name="Griechenland" sheetId="14" r:id="rId30"/>
    <sheet name="Irland" sheetId="15" r:id="rId31"/>
    <sheet name="Island" sheetId="16" r:id="rId32"/>
    <sheet name="Italien" sheetId="17" r:id="rId33"/>
    <sheet name="Kroatien" sheetId="18" r:id="rId34"/>
    <sheet name="Lettland" sheetId="19" r:id="rId35"/>
    <sheet name="Liechtenstein" sheetId="20" r:id="rId36"/>
    <sheet name="Litauen" sheetId="21" r:id="rId37"/>
    <sheet name="Luxemburg" sheetId="22" r:id="rId38"/>
    <sheet name="Malta" sheetId="23" r:id="rId39"/>
    <sheet name="Niederlande" sheetId="24" r:id="rId40"/>
    <sheet name="Norwegen" sheetId="25" r:id="rId41"/>
    <sheet name="Österreich" sheetId="26" r:id="rId42"/>
    <sheet name="Polen" sheetId="27" r:id="rId43"/>
    <sheet name="Portugal" sheetId="28" r:id="rId44"/>
    <sheet name="Rumänien" sheetId="29" r:id="rId45"/>
    <sheet name="Schweden" sheetId="30" r:id="rId46"/>
    <sheet name="Schweiz" sheetId="31" r:id="rId47"/>
    <sheet name="Slowakei" sheetId="35" r:id="rId48"/>
    <sheet name="Slowenien" sheetId="36" r:id="rId49"/>
    <sheet name="Spanien" sheetId="57" r:id="rId50"/>
    <sheet name="Tschechische Republik" sheetId="38" r:id="rId51"/>
    <sheet name="Ungarn" sheetId="39" r:id="rId52"/>
    <sheet name="Zypern" sheetId="40" r:id="rId53"/>
    <sheet name="Dynamik EU-Renten" sheetId="56" r:id="rId54"/>
    <sheet name="Tabelle3" sheetId="75" state="hidden" r:id="rId55"/>
    <sheet name="Links zu EU-Länderbroschüren" sheetId="60" r:id="rId56"/>
    <sheet name="Wer erteilt Auskunft" sheetId="59" r:id="rId57"/>
    <sheet name="Inflation" sheetId="61" r:id="rId58"/>
    <sheet name="Entscheidungen" sheetId="68" r:id="rId59"/>
    <sheet name="Geschiedenen-HR-Rente" sheetId="77" r:id="rId60"/>
    <sheet name="Rentenrechner-Links" sheetId="78" r:id="rId61"/>
    <sheet name="Lebenshaltungskostenvergleich" sheetId="76" r:id="rId62"/>
    <sheet name="Lebenserwartung EU&amp;EFTA" sheetId="79" r:id="rId63"/>
    <sheet name="Parameter DRV" sheetId="69" state="hidden" r:id="rId64"/>
    <sheet name="Renteneintritt DRV" sheetId="70" state="hidden" r:id="rId65"/>
    <sheet name="AOW_Niederlande" sheetId="73" state="hidden" r:id="rId66"/>
    <sheet name="NAV Norwegen" sheetId="74" state="hidden" r:id="rId67"/>
  </sheets>
  <definedNames>
    <definedName name="_xlnm._FilterDatabase" localSheetId="22" hidden="1">Belgien!$A$2:$XFC$105</definedName>
    <definedName name="_xlnm._FilterDatabase" localSheetId="23" hidden="1">Bulgarien!$2:$2</definedName>
    <definedName name="_xlnm._FilterDatabase" localSheetId="24" hidden="1">Dänemark!$A$2:$F$105</definedName>
    <definedName name="_xlnm._FilterDatabase" localSheetId="25" hidden="1">Deutschland!$A$2:$F$105</definedName>
    <definedName name="_xlnm._FilterDatabase" localSheetId="53" hidden="1">'Dynamik EU-Renten'!$C$1:$C$33</definedName>
    <definedName name="_xlnm._FilterDatabase" localSheetId="58" hidden="1">Entscheidungen!$A$1:$C$58</definedName>
    <definedName name="_xlnm._FilterDatabase" localSheetId="26" hidden="1">Estland!$A$2:$F$105</definedName>
    <definedName name="_xlnm._FilterDatabase" localSheetId="27" hidden="1">Finnland!$A$2:$F$105</definedName>
    <definedName name="_xlnm._FilterDatabase" localSheetId="28" hidden="1">Frankreich!$A$2:$F$105</definedName>
    <definedName name="_xlnm._FilterDatabase" localSheetId="59" hidden="1">'Geschiedenen-HR-Rente'!$B$6:$E$37</definedName>
    <definedName name="_xlnm._FilterDatabase" localSheetId="29" hidden="1">Griechenland!$A$2:$F$105</definedName>
    <definedName name="_xlnm._FilterDatabase" localSheetId="57" hidden="1">Inflation!$C$3:$P$33</definedName>
    <definedName name="_xlnm._FilterDatabase" localSheetId="30" hidden="1">Irland!$A$2:$F$2</definedName>
    <definedName name="_xlnm._FilterDatabase" localSheetId="31" hidden="1">Island!$A$2:$F$2</definedName>
    <definedName name="_xlnm._FilterDatabase" localSheetId="32" hidden="1">Italien!$A$2:$F$105</definedName>
    <definedName name="_xlnm._FilterDatabase" localSheetId="33" hidden="1">Kroatien!$A$2:$F$2</definedName>
    <definedName name="_xlnm._FilterDatabase" localSheetId="61" hidden="1">Lebenshaltungskostenvergleich!$B$9:$G$48</definedName>
    <definedName name="_xlnm._FilterDatabase" localSheetId="34" hidden="1">Lettland!$A$2:$F$2</definedName>
    <definedName name="_xlnm._FilterDatabase" localSheetId="35" hidden="1">Liechtenstein!$A$2:$F$2</definedName>
    <definedName name="_xlnm._FilterDatabase" localSheetId="55" hidden="1">'Links zu EU-Länderbroschüren'!$A$1:$E$28</definedName>
    <definedName name="_xlnm._FilterDatabase" localSheetId="36" hidden="1">Litauen!$A$2:$F$2</definedName>
    <definedName name="_xlnm._FilterDatabase" localSheetId="37" hidden="1">Luxemburg!$A$2:$F$105</definedName>
    <definedName name="_xlnm._FilterDatabase" localSheetId="38" hidden="1">Malta!$A$2:$F$2</definedName>
    <definedName name="_xlnm._FilterDatabase" localSheetId="39" hidden="1">Niederlande!$A$2:$F$2</definedName>
    <definedName name="_xlnm._FilterDatabase" localSheetId="40" hidden="1">Norwegen!$A$2:$F$2</definedName>
    <definedName name="_xlnm._FilterDatabase" localSheetId="41" hidden="1">Österreich!$A$2:$F$2</definedName>
    <definedName name="_xlnm._FilterDatabase" localSheetId="42" hidden="1">Polen!$A$2:$F$2</definedName>
    <definedName name="_xlnm._FilterDatabase" localSheetId="43" hidden="1">Portugal!$A$2:$F$2</definedName>
    <definedName name="_xlnm._FilterDatabase" localSheetId="60" hidden="1">'Rentenrechner-Links'!$A$42:$E$73</definedName>
    <definedName name="_xlnm._FilterDatabase" localSheetId="44" hidden="1">Rumänien!$A$2:$F$2</definedName>
    <definedName name="_xlnm._FilterDatabase" localSheetId="45" hidden="1">Schweden!$A$2:$F$2</definedName>
    <definedName name="_xlnm._FilterDatabase" localSheetId="46" hidden="1">Schweiz!$A$2:$F$2</definedName>
    <definedName name="_xlnm._FilterDatabase" localSheetId="47" hidden="1">Slowakei!$A$2:$F$105</definedName>
    <definedName name="_xlnm._FilterDatabase" localSheetId="48" hidden="1">Slowenien!$A$2:$F$2</definedName>
    <definedName name="_xlnm._FilterDatabase" localSheetId="49" hidden="1">Spanien!$A$2:$F$2</definedName>
    <definedName name="_xlnm._FilterDatabase" localSheetId="50" hidden="1">'Tschechische Republik'!$A$2:$F$105</definedName>
    <definedName name="_xlnm._FilterDatabase" localSheetId="51" hidden="1">Ungarn!$A$2:$F$2</definedName>
    <definedName name="_xlnm._FilterDatabase" localSheetId="56" hidden="1">'Wer erteilt Auskunft'!$A$1:$E$58</definedName>
    <definedName name="_xlnm._FilterDatabase" localSheetId="0" hidden="1">Worksheet!$A$3:$D$113</definedName>
    <definedName name="_xlnm._FilterDatabase" localSheetId="52" hidden="1">Zypern!$A$2:$F$2</definedName>
    <definedName name="A">Österreich!$F$2</definedName>
    <definedName name="AbfindungMethode1">'Abfindung Methode 1'!$H$21</definedName>
    <definedName name="AbfindungMethode2">'Abfindung Methode 2'!$J$32</definedName>
    <definedName name="AbfindungMethode3">'Abfindung Methode 3'!$J$29</definedName>
    <definedName name="aktRW_BerDat">'Abfindung Methode 1'!$Q$17</definedName>
    <definedName name="Alter_Ber">Abfindungsberechnung!$F$7</definedName>
    <definedName name="Alter_Ber_sVA_Beginn">Abfindungsberechnung!$AN$3</definedName>
    <definedName name="Alter_BerDat_Ber">Abfindungsberechnung!$AM$3</definedName>
    <definedName name="Alter_Pfl">Abfindungsberechnung!$F$6</definedName>
    <definedName name="Alter_Pfl_sVA_Beginn">Abfindungsberechnung!$AM$5</definedName>
    <definedName name="Alter_Pfl_sVABeginn">Abfindungsberechnung!$AN$5</definedName>
    <definedName name="Alter_sVA_Ber">Abfindungsberechnung!$AE$8</definedName>
    <definedName name="Alter_sVA_Pfl">Abfindungsberechnung!$AE$7</definedName>
    <definedName name="AlterBer_sVA_Beginn">Abfindungsberechnung!$AO$3</definedName>
    <definedName name="AlterEzE_Pfl">Abfindungsberechnung!$AA$30</definedName>
    <definedName name="AlterEzEBerZtpkt_Plf">Abfindungsberechnung!$AA$31</definedName>
    <definedName name="Anwartschaftsphase">Abfindungsberechnung!$AA$34</definedName>
    <definedName name="Anwartschaftsphase_Pfl">Abfindungsberechnung!$AA$34</definedName>
    <definedName name="Anwartschaftszeit_Pfl">'Abfindung Methode 1'!$G$10</definedName>
    <definedName name="AnwZeit_Ber_BerDatbusDRVRente">Abfindungsberechnung!$AY$3</definedName>
    <definedName name="AnwZeitbisBer_Ztpkt">Abfindungsberechnung!$AA$33</definedName>
    <definedName name="AnwZeitPflbisFälligkeitsVA">'Abfindung Methode 1'!$M$14</definedName>
    <definedName name="AterPfl_sVA_Beginn">Abfindungsberechnung!$AO$5</definedName>
    <definedName name="Auskunftgeber">'Wer erteilt Auskunft'!$A$2:$E$58</definedName>
    <definedName name="Auskunftsländer">'Wer erteilt Auskunft'!$B$1</definedName>
    <definedName name="B">Belgien!$F$1</definedName>
    <definedName name="Barwert1">'Abfindung Methode 1'!$H$21</definedName>
    <definedName name="BarwertMethode1">'Abfindung Methode 1'!$H$15</definedName>
    <definedName name="Belgien">Belgien!$A$3:$F$105</definedName>
    <definedName name="BG">Bulgarien!$F$1</definedName>
    <definedName name="BW_Methode1">'Abfindung Methode 1'!$H$18</definedName>
    <definedName name="BW_Pfl_Berechnungsdatum">'Abfindung Methode 1'!$H$13</definedName>
    <definedName name="BW_Pfl_Leistngsbeginn">'Abfindung Methode 1'!$H$12</definedName>
    <definedName name="CH">Schweiz!$F$2</definedName>
    <definedName name="CY">Zypern!$F$2</definedName>
    <definedName name="CZ">'Tschechische Republik'!$F$2</definedName>
    <definedName name="D">Deutschland!$F$1</definedName>
    <definedName name="Dat_BebDat_Ber">Abfindungsberechnung!$D$7</definedName>
    <definedName name="Dat_Ber">Abfindungsberechnung!$F$4</definedName>
    <definedName name="Dat_GebDat_Ber">Abfindungsberechnung!$D$7</definedName>
    <definedName name="Dat_GebDat_Pfl">Abfindungsberechnung!$D$6</definedName>
    <definedName name="DBA">Verschiedenes!$C$4</definedName>
    <definedName name="Deutschland">Deutschland!$A$3:$F$106</definedName>
    <definedName name="DK">Dänemark!$F$2</definedName>
    <definedName name="Doppelbesteuerung">Verschiedenes!$A$4:$B$48</definedName>
    <definedName name="_xlnm.Print_Area" localSheetId="10">'Abfindung Methode 1'!$A$9:$K$27</definedName>
    <definedName name="_xlnm.Print_Area" localSheetId="11">'Abfindung Methode 2'!$B$9:$H$34</definedName>
    <definedName name="_xlnm.Print_Area" localSheetId="9">Abfindungsberechnung!$K$1:$V$44</definedName>
    <definedName name="_xlnm.Print_Area" localSheetId="56">'Wer erteilt Auskunft'!$B$1:$E$58</definedName>
    <definedName name="_xlnm.Print_Titles" localSheetId="56">'Wer erteilt Auskunft'!$1:$1</definedName>
    <definedName name="DRV_Renteneintritt">'Renteneintritt DRV'!$B$3:$F$21</definedName>
    <definedName name="DRV_Rentensumme">'Abfindung Methode 2'!$O$40</definedName>
    <definedName name="DRVDynamik">'Abfindung Methode 1'!$G$24</definedName>
    <definedName name="Dynamisierung">'Dynamik EU-Renten'!$A$2:$AZ$35</definedName>
    <definedName name="Dynamisierungslinks">'Dynamik EU-Renten'!$C$2:$AD$32</definedName>
    <definedName name="E">Spanien!$F$2</definedName>
    <definedName name="E_Aktenzeichen">Entscheidungen!$B$2:$B$200</definedName>
    <definedName name="E_Beschlüsse">Entscheidungen!$C$2:$C$200</definedName>
    <definedName name="E_BeschlussThema">Entscheidungen!$C$2:$C$200</definedName>
    <definedName name="E_Land">Entscheidungen!$A$2:$A$200</definedName>
    <definedName name="Endscheidungsländer">Entscheidungen!$A$1</definedName>
    <definedName name="Entscheidungen">Entscheidungen!$A$2:$C$200</definedName>
    <definedName name="EP_BerDat">'Abfindung Methode 1'!$Q$16</definedName>
    <definedName name="EST">Estland!$F$2</definedName>
    <definedName name="EU_Laender">'Links zu EU-Länderbroschüren'!$A$2:$E$28</definedName>
    <definedName name="EUEFTA_Rentenrechner">'Rentenrechner-Links'!$B$6:$F$36</definedName>
    <definedName name="EzE">Abfindungsberechnung!$D$5</definedName>
    <definedName name="F">Frankreich!$F$2</definedName>
    <definedName name="Fälligkeit_sVA">'Abfindung Methode 1'!$M$13</definedName>
    <definedName name="FIN">Finnland!$F$2</definedName>
    <definedName name="FL">Liechtenstein!$F$2</definedName>
    <definedName name="Geschiedenen_HR_Rente">'Geschiedenen-HR-Rente'!$B$7:$E$37</definedName>
    <definedName name="Geschlecht_Ber">Abfindungsberechnung!$E$7</definedName>
    <definedName name="Geschlecht_Pfl">Abfindungsberechnung!#REF!</definedName>
    <definedName name="GeschlechtsNr_Ber">Abfindungsberechnung!$AA$7</definedName>
    <definedName name="GeschlechtsNr_Pfl">Abfindungsberechnung!$AA$6</definedName>
    <definedName name="GHR_Ziel">'Geschiedenen-HR-Rente'!$B$1</definedName>
    <definedName name="GR">Griechenland!$F$2</definedName>
    <definedName name="GrundInfo">Abfindungsberechnung!$AK$32</definedName>
    <definedName name="H">Ungarn!$F$2</definedName>
    <definedName name="HEIR66">HRIR66!$B$4:$AB$84</definedName>
    <definedName name="Hinterbliebenen">Abfindungsberechnung!$F$20</definedName>
    <definedName name="Hinterbliebenenzuschlag">'Abfindung Methode 1'!$I$17</definedName>
    <definedName name="HR">Kroatien!$F$2</definedName>
    <definedName name="HR_Quote">'Abfindung Methode 1'!$L$19</definedName>
    <definedName name="HRIR60">HRIR60!$B$4:$AB$84</definedName>
    <definedName name="HRIR61">HRIR61!$B$4:$AB$84</definedName>
    <definedName name="HRIR62">HRIR62!$B$4:$AB$84</definedName>
    <definedName name="HRIR63">HRIR63!$B$4:$AB$84</definedName>
    <definedName name="HRIR64">HRIR64!$B$4:$AB$84</definedName>
    <definedName name="HRIR65">HRIR65!$B$4:$AB$84</definedName>
    <definedName name="HRIR67">HRIR67!$B$4:$AB$84</definedName>
    <definedName name="I">Italien!$F$2</definedName>
    <definedName name="Inflation">Inflation!$C$4:$P$34</definedName>
    <definedName name="Info">Abfindungsberechnung!$B$3</definedName>
    <definedName name="info_HRZuschlag">Abfindungsberechnung!$AA$25</definedName>
    <definedName name="Info_HRZuschlag_M1">'Abfindung Methode 1'!$N$19</definedName>
    <definedName name="info_IRZuschlag">Abfindungsberechnung!$AA$24</definedName>
    <definedName name="Info_IRZuschlag_M1">'Abfindung Methode 1'!$N$18</definedName>
    <definedName name="info_SozAbgaben">'Abfindung Methode 3'!$L$27</definedName>
    <definedName name="Info_Steuern">'Abfindung Methode 3'!$L$28</definedName>
    <definedName name="Info_Thema">Abfindungsberechnung!$AB$1</definedName>
    <definedName name="InfoBereich">Abfindungsberechnung!$AJ$34</definedName>
    <definedName name="Invalidität">Abfindungsberechnung!$F$19</definedName>
    <definedName name="Invaliditätszuschlag">'Abfindung Methode 1'!$I$16</definedName>
    <definedName name="IR_Quote">'Abfindung Methode 1'!$L$18</definedName>
    <definedName name="IR_Quote_m1">'Abfindung Methode 1'!#REF!</definedName>
    <definedName name="IS">Island!$F$2</definedName>
    <definedName name="Jahresrente_Pfl">'Abfindung Methode 1'!$J$11</definedName>
    <definedName name="JahresrentePflimBerZtpkt">'Abfindung Methode 1'!#REF!</definedName>
    <definedName name="K_A">Kurzübersicht!$W$20</definedName>
    <definedName name="K_B">Kurzübersicht!$D$20</definedName>
    <definedName name="K_BG">Kurzübersicht!$E$20</definedName>
    <definedName name="K_Bu">Kurzübersicht!$E$20</definedName>
    <definedName name="K_CH">Kurzübersicht!$AB$20</definedName>
    <definedName name="K_CY">Kurzübersicht!$AH$20</definedName>
    <definedName name="K_CZ">Kurzübersicht!$AF$20</definedName>
    <definedName name="K_D">Kurzübersicht!$G$20</definedName>
    <definedName name="K_DK">Kurzübersicht!$F$20</definedName>
    <definedName name="K_E">Kurzübersicht!$AE$20</definedName>
    <definedName name="K_EST">Kurzübersicht!$H$20</definedName>
    <definedName name="K_F">Kurzübersicht!$J$20</definedName>
    <definedName name="K_FI">Kurzübersicht!$I$20</definedName>
    <definedName name="K_FL">Kurzübersicht!$Q$20</definedName>
    <definedName name="K_GR">Kurzübersicht!$K$20</definedName>
    <definedName name="K_H">Kurzübersicht!$AG$20</definedName>
    <definedName name="K_I">Kurzübersicht!$N$20</definedName>
    <definedName name="K_IRL">Kurzübersicht!$L$20</definedName>
    <definedName name="K_IS">Kurzübersicht!$M$20</definedName>
    <definedName name="K_KR">Kurzübersicht!$O$20</definedName>
    <definedName name="K_L">Kurzübersicht!$S$20</definedName>
    <definedName name="K_LI">Kurzübersicht!$R$20</definedName>
    <definedName name="K_LV">Kurzübersicht!$P$20</definedName>
    <definedName name="K_M">Kurzübersicht!$T$20</definedName>
    <definedName name="K_N">Kurzübersicht!$V$20</definedName>
    <definedName name="K_NL">Kurzübersicht!$U$20</definedName>
    <definedName name="K_Pl">Kurzübersicht!$X$20</definedName>
    <definedName name="K_PO">Kurzübersicht!$Y$20</definedName>
    <definedName name="K_RO">Kurzübersicht!$Z$20</definedName>
    <definedName name="K_S">Kurzübersicht!$AA$20</definedName>
    <definedName name="K_SK">Kurzübersicht!$AC$20</definedName>
    <definedName name="K_SLO">Kurzübersicht!$AD$20</definedName>
    <definedName name="K2_Text1">Abfindungsberechnung!$AK$25</definedName>
    <definedName name="K2_Text2">Abfindungsberechnung!$AK$26</definedName>
    <definedName name="K2_Text3">Abfindungsberechnung!$AK$27</definedName>
    <definedName name="Kohorte_BerDat_Ber">Abfindungsberechnung!$AQ$3</definedName>
    <definedName name="Kohorte_BerDat_pfl">Abfindungsberechnung!$AQ$5</definedName>
    <definedName name="Kohorte_D">Kohorte_D!$A$2:$DO$102</definedName>
    <definedName name="Kohorte_LDat_Ber">Abfindungsberechnung!$AR$3</definedName>
    <definedName name="Kohorte_LDat_Pfl">Abfindungsberechnung!$AR$5</definedName>
    <definedName name="Kohorte_M">Kohorte_M!$A$2:$DO$102</definedName>
    <definedName name="Kohorte_W">Kohorte_W!$A$2:$DO$102</definedName>
    <definedName name="KText">Abfindungsberechnung!$AK$22</definedName>
    <definedName name="KText1">Abfindungsberechnung!$AK$11</definedName>
    <definedName name="KText10">Abfindungsberechnung!$AK$20</definedName>
    <definedName name="KText11">Abfindungsberechnung!$AK$21</definedName>
    <definedName name="KText2">Abfindungsberechnung!$AK$12</definedName>
    <definedName name="KText3">Abfindungsberechnung!$AK$13</definedName>
    <definedName name="KText4">Abfindungsberechnung!$AK$14</definedName>
    <definedName name="KText5">Abfindungsberechnung!$AK$15</definedName>
    <definedName name="KText6">Abfindungsberechnung!$AK$16</definedName>
    <definedName name="KText7">Abfindungsberechnung!$AK$17</definedName>
    <definedName name="KText8">Abfindungsberechnung!$AK$18</definedName>
    <definedName name="KText9">Abfindungsberechnung!$AK$19</definedName>
    <definedName name="KTextZus1">Abfindungsberechnung!$AK$10</definedName>
    <definedName name="KTextZus2">Abfindungsberechnung!$AK$22</definedName>
    <definedName name="KTextZus3">Abfindungsberechnung!$AK$28</definedName>
    <definedName name="Kurzinfo">Abfindungsberechnung!$X$23</definedName>
    <definedName name="KurzSprungziel">Abfindungsberechnung!$AG$10</definedName>
    <definedName name="Kurzübersicht">Kurzübersicht!$A$21:$AH$31</definedName>
    <definedName name="L">Luxemburg!$F$2</definedName>
    <definedName name="L_Ber_absVA">Abfindungsberechnung!$AP$3</definedName>
    <definedName name="L_Ber_sVABeginn">Abfindungsberechnung!$AP$3</definedName>
    <definedName name="L_DzuAuswahlland">'Lebenserwartung EU&amp;EFTA'!$M$14</definedName>
    <definedName name="L_Pfl_sVA_Beginn">Abfindungsberechnung!$AP$5</definedName>
    <definedName name="L_sVABeginn_Ber">Abfindungsberechnung!$AG$8</definedName>
    <definedName name="L_sVABeginn_Pfl">Abfindungsberechnung!$AG$7</definedName>
    <definedName name="Länder1">Abfindungsberechnung!$A$4:$B$34</definedName>
    <definedName name="Länderkennzeichen">Abfindungsberechnung!$AF$11:$AH$41</definedName>
    <definedName name="Ländernr">Abfindungsberechnung!$AB$2</definedName>
    <definedName name="Länderwahl">Abfindungsberechnung!$AC$2</definedName>
    <definedName name="Lebenserwartung">'Lebenserwartung EU&amp;EFTA'!$B$4</definedName>
    <definedName name="Lebenshaltungskostenindex">Lebenshaltungskostenvergleich!$B$1</definedName>
    <definedName name="Lebenshaltungskostenvergleich">Lebenshaltungskostenvergleich!$B$10:$G$40</definedName>
    <definedName name="Leistungsbeginn_auszuglVersorgung">Abfindungsberechnung!$AK$5</definedName>
    <definedName name="Leistungsbeginn_Pfl">Abfindungsberechnung!$H$6</definedName>
    <definedName name="LeistungsphaseBerztpkt_Pfl">Abfindungsberechnung!$AA$35</definedName>
    <definedName name="Leistungszeit_Pfl">'Abfindung Methode 1'!$J$10</definedName>
    <definedName name="Lf">Lebenserwartung_F!$1:$1048576</definedName>
    <definedName name="Links">Abfindungsberechnung!$A$1</definedName>
    <definedName name="LinkzuEU_Broschüren">'Links zu EU-Länderbroschüren'!$A$1</definedName>
    <definedName name="Lm">Lebenserwartung_M!$A$1:$DR$102</definedName>
    <definedName name="Ln">Lebenserwartung_N!$A$2:$DR$102</definedName>
    <definedName name="LT">Litauen!$F$2</definedName>
    <definedName name="LV">Lettland!$F$2</definedName>
    <definedName name="Lx">Lebenserwartung_M!$A$2:$DR$102</definedName>
    <definedName name="LXYD_EU">'Lebenserwartung EU&amp;EFTA'!$B$7:$H$44</definedName>
    <definedName name="Ly">Lebenserwartung_F!$A$2:$DR$102</definedName>
    <definedName name="LZeitBis_sVA">Abfindungsberechnung!$AT$5</definedName>
    <definedName name="LZeitbisBer_Ztpkt">Abfindungsberechnung!$AA$28</definedName>
    <definedName name="M">Malta!$F$2</definedName>
    <definedName name="Monatsrente_Pfl">'Abfindung Methode 1'!$H$11</definedName>
    <definedName name="Musterprompt">Kurzübersicht!$F$3</definedName>
    <definedName name="N">Norwegen!$F$2</definedName>
    <definedName name="NL">Niederlande!$F$2</definedName>
    <definedName name="O_Box_K_L">Abfindungsberechnung!$AJ$23</definedName>
    <definedName name="P">Portugal!$F$2</definedName>
    <definedName name="PL">Polen!$F$2</definedName>
    <definedName name="ReAlter_Ber">Abfindungsberechnung!$G$7</definedName>
    <definedName name="ReAlter_Pfl">Abfindungsberechnung!$G$6</definedName>
    <definedName name="ReAnzahlproJahr">Abfindungsberechnung!$I$9</definedName>
    <definedName name="Rechnungszins">Abfindungsberechnung!$I$17</definedName>
    <definedName name="Rechts">Abfindungsberechnung!$U$1</definedName>
    <definedName name="ReDyn_Anwartschaft">Abfindungsberechnung!$G$15</definedName>
    <definedName name="ReDynamik_Leistung">Abfindungsberechnung!$I$15</definedName>
    <definedName name="ReHöhe_Berdat">Abfindungsberechnung!$G$16</definedName>
    <definedName name="ReHöhe_EZE_Pfl">Abfindungsberechnung!$F$9</definedName>
    <definedName name="RentenalterBer">Abfindungsberechnung!$G$7</definedName>
    <definedName name="RentenBeginn_Ber">Abfindungsberechnung!$AK$3</definedName>
    <definedName name="Rentenhöhe_Fälligkeit">Abfindungsberechnung!$I$16</definedName>
    <definedName name="Rentenrechner">'Rentenrechner-Links'!$B$2</definedName>
    <definedName name="RO">Rumänien!$F$2</definedName>
    <definedName name="Rspr">Abfindungsberechnung!$AK$30</definedName>
    <definedName name="Schwe">Schweden!$F$2</definedName>
    <definedName name="SK">Slowakei!$F$3</definedName>
    <definedName name="SLO">Slowenien!$F$2</definedName>
    <definedName name="Sozialversicherungsabschlag">Abfindungsberechnung!$F$21</definedName>
    <definedName name="Start">Start!$B$2</definedName>
    <definedName name="StartLinks">Start!$A$1</definedName>
    <definedName name="Startrente2zumBerDat">'Abfindung Methode 2'!$O$35</definedName>
    <definedName name="Steuer_Abschlag">'Abfindung Methode 1'!$I$20</definedName>
    <definedName name="Steuerabschlag">Abfindungsberechnung!$F$22</definedName>
    <definedName name="_xlnm.Criteria" localSheetId="59">'Geschiedenen-HR-Rente'!$B$6:$B$37</definedName>
    <definedName name="SV_Abschlag">'Abfindung Methode 1'!$I$19</definedName>
    <definedName name="sVA_AnwartZeit_Pfl">Abfindungsberechnung!$AW$5</definedName>
    <definedName name="sVA_Beginn">Abfindungsberechnung!$AL$4</definedName>
    <definedName name="sVA_Leistungsbeginn">Abfindungsberechnung!$AK$5</definedName>
    <definedName name="sVA_Rente_Fälligkeit">Abfindungsberechnung!$I$6</definedName>
    <definedName name="sVA_Starrente">Abfindungsberechnung!$AU$5</definedName>
    <definedName name="sVA_Startrente">Abfindungsberechnung!$AU$5</definedName>
    <definedName name="Text1">Abfindungsberechnung!$AK$6</definedName>
    <definedName name="Text2">Abfindungsberechnung!$AK$7</definedName>
    <definedName name="Text3">Abfindungsberechnung!$AK$8</definedName>
    <definedName name="Text4">Abfindungsberechnung!$AK$9</definedName>
    <definedName name="Text5">Abfindungsberechnung!$AK$36</definedName>
    <definedName name="Thema">Kurzübersicht!$B$20</definedName>
    <definedName name="Thema1">Abfindungsberechnung!$AC$1</definedName>
    <definedName name="Thema2">Abfindungsberechnung!$AD$1</definedName>
    <definedName name="Thema3">Abfindungsberechnung!$AE$1</definedName>
    <definedName name="Thema4">Abfindungsberechnung!$AF$1</definedName>
    <definedName name="Ü_Ber_BerZtpkt">'Abfindung Methode 2'!$M$21</definedName>
    <definedName name="Ü_Ber_sVAStart">'Abfindung Methode 2'!$N$21</definedName>
    <definedName name="Ü_Pfl_BerZtpkt">'Abfindung Methode 2'!$M$20</definedName>
    <definedName name="Ü_Pfl_sVAStart">'Abfindung Methode 2'!$N$20</definedName>
    <definedName name="Vergleichsland">'Lebenserwartung EU&amp;EFTA'!$I$14</definedName>
    <definedName name="VVR_Pfl">'Abfindung Methode 1'!$H$14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41" l="1"/>
  <c r="D6" i="63" s="1"/>
  <c r="E6" i="41"/>
  <c r="D5" i="62" s="1"/>
  <c r="I7" i="63"/>
  <c r="F7" i="63"/>
  <c r="G6" i="63"/>
  <c r="E6" i="63"/>
  <c r="C6" i="63"/>
  <c r="G5" i="63"/>
  <c r="E5" i="63"/>
  <c r="C5" i="63"/>
  <c r="C4" i="63"/>
  <c r="B25" i="63" s="1"/>
  <c r="F3" i="63"/>
  <c r="B9" i="62"/>
  <c r="I7" i="62"/>
  <c r="F7" i="62"/>
  <c r="G6" i="62"/>
  <c r="E6" i="62"/>
  <c r="C6" i="62"/>
  <c r="G5" i="62"/>
  <c r="E5" i="62"/>
  <c r="C5" i="62"/>
  <c r="C4" i="62"/>
  <c r="F3" i="62"/>
  <c r="B17" i="63" l="1"/>
  <c r="D6" i="62"/>
  <c r="D5" i="63"/>
  <c r="H8" i="63" s="1"/>
  <c r="H8" i="62"/>
  <c r="C4" i="65" l="1"/>
  <c r="E6" i="65"/>
  <c r="E5" i="65"/>
  <c r="I7" i="65"/>
  <c r="F7" i="65"/>
  <c r="G6" i="65"/>
  <c r="G5" i="65"/>
  <c r="C6" i="65"/>
  <c r="C5" i="65"/>
  <c r="F3" i="65"/>
  <c r="H7" i="41"/>
  <c r="H6" i="41"/>
  <c r="D6" i="65"/>
  <c r="D5" i="65"/>
  <c r="C24" i="41"/>
  <c r="K2" i="41"/>
  <c r="L15" i="79"/>
  <c r="F7" i="41"/>
  <c r="F6" i="41"/>
  <c r="H19" i="65"/>
  <c r="G11" i="76"/>
  <c r="G12" i="76"/>
  <c r="G13" i="76"/>
  <c r="G14" i="76"/>
  <c r="G15" i="76"/>
  <c r="G16" i="76"/>
  <c r="G17" i="76"/>
  <c r="G18" i="76"/>
  <c r="G19" i="76"/>
  <c r="G20" i="76"/>
  <c r="AA4" i="41" s="1"/>
  <c r="G21" i="76"/>
  <c r="G22" i="76"/>
  <c r="G24" i="76"/>
  <c r="G25" i="76"/>
  <c r="G26" i="76"/>
  <c r="G27" i="76"/>
  <c r="G28" i="76"/>
  <c r="G29" i="76"/>
  <c r="G30" i="76"/>
  <c r="G31" i="76"/>
  <c r="G32" i="76"/>
  <c r="G33" i="76"/>
  <c r="G34" i="76"/>
  <c r="G35" i="76"/>
  <c r="G36" i="76"/>
  <c r="G37" i="76"/>
  <c r="G38" i="76"/>
  <c r="G39" i="76"/>
  <c r="G40" i="76"/>
  <c r="G10" i="76"/>
  <c r="J24" i="63"/>
  <c r="J11" i="63"/>
  <c r="J10" i="63"/>
  <c r="J25" i="63" s="1"/>
  <c r="J13" i="62" l="1"/>
  <c r="B14" i="62" s="1"/>
  <c r="H5" i="63"/>
  <c r="B14" i="63" s="1"/>
  <c r="B16" i="63"/>
  <c r="H5" i="62"/>
  <c r="H6" i="65"/>
  <c r="H6" i="62"/>
  <c r="J11" i="62" s="1"/>
  <c r="H6" i="63"/>
  <c r="F6" i="65"/>
  <c r="F6" i="63"/>
  <c r="F6" i="62"/>
  <c r="F5" i="65"/>
  <c r="F5" i="62"/>
  <c r="F5" i="63"/>
  <c r="H8" i="65"/>
  <c r="H5" i="65"/>
  <c r="I5" i="41"/>
  <c r="B9" i="65"/>
  <c r="J15" i="79"/>
  <c r="H20" i="41"/>
  <c r="J13" i="63"/>
  <c r="I28" i="63"/>
  <c r="I27" i="63"/>
  <c r="J12" i="63"/>
  <c r="O38" i="62"/>
  <c r="O39" i="62" s="1"/>
  <c r="Q10" i="62"/>
  <c r="P10" i="62"/>
  <c r="I4" i="63" l="1"/>
  <c r="I4" i="62"/>
  <c r="J15" i="62" s="1"/>
  <c r="B20" i="62" s="1"/>
  <c r="I4" i="65"/>
  <c r="B14" i="65" s="1"/>
  <c r="AE8" i="41"/>
  <c r="AG8" i="41" s="1"/>
  <c r="AE7" i="41"/>
  <c r="AG7" i="41" s="1"/>
  <c r="J14" i="63"/>
  <c r="J16" i="63"/>
  <c r="J17" i="63" s="1"/>
  <c r="H19" i="41"/>
  <c r="G10" i="65"/>
  <c r="L19" i="63"/>
  <c r="M19" i="63"/>
  <c r="O15" i="65"/>
  <c r="N12" i="65"/>
  <c r="AF1" i="41"/>
  <c r="AE1" i="41"/>
  <c r="AD1" i="41"/>
  <c r="AC1" i="41"/>
  <c r="B10" i="65" l="1"/>
  <c r="B16" i="65"/>
  <c r="J10" i="65"/>
  <c r="I7" i="41"/>
  <c r="I6" i="41"/>
  <c r="B18" i="63"/>
  <c r="H14" i="65"/>
  <c r="J18" i="63"/>
  <c r="J15" i="63"/>
  <c r="B15" i="63"/>
  <c r="L20" i="63"/>
  <c r="B19" i="63" s="1"/>
  <c r="J9" i="62"/>
  <c r="M21" i="62"/>
  <c r="S4" i="41"/>
  <c r="AK13" i="41"/>
  <c r="AK21" i="41"/>
  <c r="AK20" i="41"/>
  <c r="AK19" i="41"/>
  <c r="AK18" i="41"/>
  <c r="AK17" i="41"/>
  <c r="AK16" i="41"/>
  <c r="AK15" i="41"/>
  <c r="AK14" i="41"/>
  <c r="AK12" i="41"/>
  <c r="AK11" i="41"/>
  <c r="AD2" i="41"/>
  <c r="J5" i="65" l="1"/>
  <c r="J8" i="65" s="1"/>
  <c r="J5" i="63"/>
  <c r="J8" i="63" s="1"/>
  <c r="J5" i="62"/>
  <c r="AA35" i="41"/>
  <c r="C16" i="41" s="1"/>
  <c r="J6" i="65"/>
  <c r="J6" i="62"/>
  <c r="J6" i="63"/>
  <c r="J19" i="63"/>
  <c r="M20" i="62"/>
  <c r="M19" i="62"/>
  <c r="AK22" i="41"/>
  <c r="O28" i="61"/>
  <c r="P27" i="61"/>
  <c r="AG23" i="56"/>
  <c r="AF23" i="56"/>
  <c r="P11" i="65"/>
  <c r="O38" i="63"/>
  <c r="O47" i="63"/>
  <c r="O42" i="63"/>
  <c r="O40" i="63"/>
  <c r="Q15" i="62"/>
  <c r="AX3" i="41"/>
  <c r="I18" i="65"/>
  <c r="AK3" i="41"/>
  <c r="O13" i="65"/>
  <c r="E1" i="56"/>
  <c r="F1" i="56" s="1"/>
  <c r="G1" i="56" s="1"/>
  <c r="AD2" i="56" a="1"/>
  <c r="AD2" i="56" s="1"/>
  <c r="Q3" i="56" a="1"/>
  <c r="Q3" i="56" s="1"/>
  <c r="Q4" i="56" a="1"/>
  <c r="Q4" i="56" s="1"/>
  <c r="Q5" i="56" a="1"/>
  <c r="Q5" i="56" s="1"/>
  <c r="Q6" i="56" a="1"/>
  <c r="Q6" i="56" s="1"/>
  <c r="Q7" i="56" a="1"/>
  <c r="Q7" i="56" s="1"/>
  <c r="Q8" i="56" a="1"/>
  <c r="Q8" i="56" s="1"/>
  <c r="Q9" i="56" a="1"/>
  <c r="Q9" i="56" s="1"/>
  <c r="Q10" i="56" a="1"/>
  <c r="Q10" i="56" s="1"/>
  <c r="Q11" i="56" a="1"/>
  <c r="Q11" i="56" s="1"/>
  <c r="Q12" i="56" a="1"/>
  <c r="Q12" i="56" s="1"/>
  <c r="Q13" i="56" a="1"/>
  <c r="Q13" i="56" s="1"/>
  <c r="Q14" i="56" a="1"/>
  <c r="Q14" i="56" s="1"/>
  <c r="Q15" i="56" a="1"/>
  <c r="Q15" i="56" s="1"/>
  <c r="Q16" i="56" a="1"/>
  <c r="Q16" i="56" s="1"/>
  <c r="Q17" i="56" a="1"/>
  <c r="Q17" i="56" s="1"/>
  <c r="Q18" i="56" a="1"/>
  <c r="Q18" i="56" s="1"/>
  <c r="Q19" i="56" a="1"/>
  <c r="Q19" i="56" s="1"/>
  <c r="Q20" i="56" a="1"/>
  <c r="Q20" i="56" s="1"/>
  <c r="Q21" i="56" a="1"/>
  <c r="Q21" i="56" s="1"/>
  <c r="Q22" i="56" a="1"/>
  <c r="Q22" i="56" s="1"/>
  <c r="Q23" i="56" a="1"/>
  <c r="Q23" i="56" s="1"/>
  <c r="Q24" i="56" a="1"/>
  <c r="Q24" i="56" s="1"/>
  <c r="Q25" i="56" a="1"/>
  <c r="Q25" i="56" s="1"/>
  <c r="Q26" i="56" a="1"/>
  <c r="Q26" i="56" s="1"/>
  <c r="Q27" i="56" a="1"/>
  <c r="Q27" i="56" s="1"/>
  <c r="Q28" i="56" a="1"/>
  <c r="Q28" i="56" s="1"/>
  <c r="Q29" i="56" a="1"/>
  <c r="Q29" i="56" s="1"/>
  <c r="Q30" i="56" a="1"/>
  <c r="Q30" i="56" s="1"/>
  <c r="Q31" i="56" a="1"/>
  <c r="Q31" i="56" s="1"/>
  <c r="Q32" i="56" a="1"/>
  <c r="Q32" i="56" s="1"/>
  <c r="R3" i="56" a="1"/>
  <c r="R3" i="56" s="1"/>
  <c r="R4" i="56" a="1"/>
  <c r="R4" i="56" s="1"/>
  <c r="R5" i="56" a="1"/>
  <c r="R5" i="56" s="1"/>
  <c r="R6" i="56" a="1"/>
  <c r="R6" i="56" s="1"/>
  <c r="R7" i="56" a="1"/>
  <c r="R7" i="56" s="1"/>
  <c r="R8" i="56" a="1"/>
  <c r="R8" i="56" s="1"/>
  <c r="R9" i="56" a="1"/>
  <c r="R9" i="56" s="1"/>
  <c r="R10" i="56" a="1"/>
  <c r="R10" i="56" s="1"/>
  <c r="R11" i="56" a="1"/>
  <c r="R11" i="56" s="1"/>
  <c r="R12" i="56" a="1"/>
  <c r="R12" i="56" s="1"/>
  <c r="R13" i="56" a="1"/>
  <c r="R13" i="56" s="1"/>
  <c r="R14" i="56" a="1"/>
  <c r="R14" i="56" s="1"/>
  <c r="R15" i="56" a="1"/>
  <c r="R15" i="56" s="1"/>
  <c r="R16" i="56" a="1"/>
  <c r="R16" i="56" s="1"/>
  <c r="R17" i="56" a="1"/>
  <c r="R17" i="56" s="1"/>
  <c r="R18" i="56" a="1"/>
  <c r="R18" i="56" s="1"/>
  <c r="R19" i="56" a="1"/>
  <c r="R19" i="56" s="1"/>
  <c r="R20" i="56" a="1"/>
  <c r="R20" i="56" s="1"/>
  <c r="R21" i="56" a="1"/>
  <c r="R21" i="56" s="1"/>
  <c r="R22" i="56" a="1"/>
  <c r="R22" i="56" s="1"/>
  <c r="R23" i="56" a="1"/>
  <c r="R23" i="56" s="1"/>
  <c r="R24" i="56" a="1"/>
  <c r="R24" i="56" s="1"/>
  <c r="R25" i="56" a="1"/>
  <c r="R25" i="56" s="1"/>
  <c r="R26" i="56" a="1"/>
  <c r="R26" i="56" s="1"/>
  <c r="R27" i="56" a="1"/>
  <c r="R27" i="56" s="1"/>
  <c r="R28" i="56" a="1"/>
  <c r="R28" i="56" s="1"/>
  <c r="R29" i="56" a="1"/>
  <c r="R29" i="56" s="1"/>
  <c r="R30" i="56" a="1"/>
  <c r="R30" i="56" s="1"/>
  <c r="R31" i="56" a="1"/>
  <c r="R31" i="56" s="1"/>
  <c r="R32" i="56" a="1"/>
  <c r="R32" i="56" s="1"/>
  <c r="R2" i="56" a="1"/>
  <c r="R2" i="56" s="1"/>
  <c r="X2" i="56" a="1"/>
  <c r="X2" i="56" s="1"/>
  <c r="Q2" i="56" a="1"/>
  <c r="Q2" i="56" s="1"/>
  <c r="S3" i="56"/>
  <c r="T3" i="56"/>
  <c r="U3" i="56"/>
  <c r="S4" i="56"/>
  <c r="T4" i="56"/>
  <c r="U4" i="56"/>
  <c r="S5" i="56"/>
  <c r="T5" i="56"/>
  <c r="U5" i="56"/>
  <c r="S6" i="56"/>
  <c r="T6" i="56"/>
  <c r="U6" i="56"/>
  <c r="S7" i="56"/>
  <c r="T7" i="56"/>
  <c r="U7" i="56"/>
  <c r="S8" i="56"/>
  <c r="T8" i="56"/>
  <c r="U8" i="56"/>
  <c r="S9" i="56"/>
  <c r="T9" i="56"/>
  <c r="U9" i="56"/>
  <c r="S10" i="56"/>
  <c r="T10" i="56"/>
  <c r="U10" i="56"/>
  <c r="S11" i="56"/>
  <c r="T11" i="56"/>
  <c r="U11" i="56"/>
  <c r="S12" i="56"/>
  <c r="T12" i="56"/>
  <c r="U12" i="56"/>
  <c r="S13" i="56"/>
  <c r="T13" i="56"/>
  <c r="U13" i="56"/>
  <c r="S14" i="56"/>
  <c r="T14" i="56"/>
  <c r="U14" i="56"/>
  <c r="S15" i="56"/>
  <c r="T15" i="56"/>
  <c r="U15" i="56"/>
  <c r="S16" i="56"/>
  <c r="T16" i="56"/>
  <c r="U16" i="56"/>
  <c r="S17" i="56"/>
  <c r="T17" i="56"/>
  <c r="U17" i="56"/>
  <c r="S18" i="56"/>
  <c r="T18" i="56"/>
  <c r="U18" i="56"/>
  <c r="S19" i="56"/>
  <c r="T19" i="56"/>
  <c r="U19" i="56"/>
  <c r="S20" i="56"/>
  <c r="T20" i="56"/>
  <c r="U20" i="56"/>
  <c r="S21" i="56"/>
  <c r="T21" i="56"/>
  <c r="U21" i="56"/>
  <c r="S22" i="56"/>
  <c r="T22" i="56"/>
  <c r="U22" i="56"/>
  <c r="S23" i="56"/>
  <c r="T23" i="56"/>
  <c r="U23" i="56"/>
  <c r="S24" i="56"/>
  <c r="T24" i="56"/>
  <c r="U24" i="56"/>
  <c r="S25" i="56"/>
  <c r="T25" i="56"/>
  <c r="U25" i="56"/>
  <c r="S26" i="56"/>
  <c r="T26" i="56"/>
  <c r="U26" i="56"/>
  <c r="S27" i="56"/>
  <c r="T27" i="56"/>
  <c r="U27" i="56"/>
  <c r="S28" i="56"/>
  <c r="T28" i="56"/>
  <c r="U28" i="56"/>
  <c r="S29" i="56"/>
  <c r="T29" i="56"/>
  <c r="U29" i="56"/>
  <c r="S30" i="56"/>
  <c r="T30" i="56"/>
  <c r="U30" i="56"/>
  <c r="S31" i="56"/>
  <c r="T31" i="56"/>
  <c r="U31" i="56"/>
  <c r="S32" i="56"/>
  <c r="T32" i="56"/>
  <c r="U32" i="56"/>
  <c r="U2" i="56"/>
  <c r="T2" i="56"/>
  <c r="S2" i="56"/>
  <c r="C18" i="73"/>
  <c r="E6" i="73"/>
  <c r="E7" i="73"/>
  <c r="E8" i="73"/>
  <c r="E9" i="73"/>
  <c r="E10" i="73"/>
  <c r="E11" i="73"/>
  <c r="E12" i="73"/>
  <c r="E13" i="73"/>
  <c r="E14" i="73"/>
  <c r="E15" i="73"/>
  <c r="E16" i="73"/>
  <c r="D6" i="73"/>
  <c r="D7" i="73"/>
  <c r="D8" i="73"/>
  <c r="D9" i="73"/>
  <c r="D10" i="73"/>
  <c r="D11" i="73"/>
  <c r="D12" i="73"/>
  <c r="D13" i="73"/>
  <c r="D14" i="73"/>
  <c r="D15" i="73"/>
  <c r="D16" i="73"/>
  <c r="AA32" i="56"/>
  <c r="AA31" i="56"/>
  <c r="AA30" i="56"/>
  <c r="AA29" i="56"/>
  <c r="AA28" i="56"/>
  <c r="AA27" i="56"/>
  <c r="AA26" i="56"/>
  <c r="AA25" i="56"/>
  <c r="AA24" i="56"/>
  <c r="AA23" i="56"/>
  <c r="AA22" i="56"/>
  <c r="AA21" i="56"/>
  <c r="AA20" i="56"/>
  <c r="AA19" i="56"/>
  <c r="AA18" i="56"/>
  <c r="AA17" i="56"/>
  <c r="AA16" i="56"/>
  <c r="AA15" i="56"/>
  <c r="AA14" i="56"/>
  <c r="AA13" i="56"/>
  <c r="AA12" i="56"/>
  <c r="AA11" i="56"/>
  <c r="AA10" i="56"/>
  <c r="AA9" i="56"/>
  <c r="AA8" i="56"/>
  <c r="AA7" i="56"/>
  <c r="AA6" i="56"/>
  <c r="AA5" i="56"/>
  <c r="AA4" i="56"/>
  <c r="AA3" i="56"/>
  <c r="AA2" i="56"/>
  <c r="D21" i="70"/>
  <c r="D20" i="70"/>
  <c r="D19" i="70"/>
  <c r="D18" i="70"/>
  <c r="D17" i="70"/>
  <c r="D16" i="70"/>
  <c r="D15" i="70"/>
  <c r="D14" i="70"/>
  <c r="D13" i="70"/>
  <c r="D12" i="70"/>
  <c r="D11" i="70"/>
  <c r="D10" i="70"/>
  <c r="D9" i="70"/>
  <c r="D8" i="70"/>
  <c r="D7" i="70"/>
  <c r="D6" i="70"/>
  <c r="D5" i="70"/>
  <c r="D4" i="70"/>
  <c r="J20" i="63" l="1"/>
  <c r="B20" i="63"/>
  <c r="B8" i="62"/>
  <c r="B8" i="63"/>
  <c r="J12" i="62"/>
  <c r="J8" i="62"/>
  <c r="Q16" i="62"/>
  <c r="AY3" i="41"/>
  <c r="Q20" i="62" s="1"/>
  <c r="Q13" i="62"/>
  <c r="O41" i="63"/>
  <c r="Q17" i="62"/>
  <c r="Q18" i="62" s="1"/>
  <c r="Q22" i="62" s="1"/>
  <c r="O43" i="63"/>
  <c r="O46" i="63" s="1"/>
  <c r="P21" i="65"/>
  <c r="Q21" i="65" s="1"/>
  <c r="T21" i="65"/>
  <c r="H1" i="56"/>
  <c r="I1" i="56" s="1"/>
  <c r="J1" i="56" s="1"/>
  <c r="K1" i="56" s="1"/>
  <c r="L1" i="56" s="1"/>
  <c r="M1" i="56" s="1"/>
  <c r="N1" i="56" s="1"/>
  <c r="O1" i="56" s="1"/>
  <c r="Q1" i="56" s="1"/>
  <c r="G14" i="41"/>
  <c r="C19" i="73"/>
  <c r="R1" i="56" l="1"/>
  <c r="O44" i="63"/>
  <c r="V21" i="65"/>
  <c r="R21" i="65"/>
  <c r="S21" i="65"/>
  <c r="AS12" i="41"/>
  <c r="AA32" i="41"/>
  <c r="AA30" i="41"/>
  <c r="I31" i="62"/>
  <c r="I30" i="62"/>
  <c r="J10" i="62"/>
  <c r="B18" i="62" s="1"/>
  <c r="B15" i="62" l="1"/>
  <c r="J20" i="62"/>
  <c r="J18" i="62"/>
  <c r="J14" i="62"/>
  <c r="M12" i="65"/>
  <c r="M13" i="65" s="1"/>
  <c r="M14" i="65" s="1"/>
  <c r="AA33" i="41"/>
  <c r="G16" i="41" s="1"/>
  <c r="F8" i="63" s="1"/>
  <c r="AM5" i="41"/>
  <c r="AQ5" i="41"/>
  <c r="AM3" i="41"/>
  <c r="AQ3" i="41"/>
  <c r="AK5" i="41"/>
  <c r="P13" i="65"/>
  <c r="Q13" i="65"/>
  <c r="AA31" i="41"/>
  <c r="U21" i="65"/>
  <c r="H24" i="65" s="1"/>
  <c r="AA34" i="41"/>
  <c r="AA36" i="41"/>
  <c r="C15" i="67"/>
  <c r="D19" i="67"/>
  <c r="E19" i="67" s="1"/>
  <c r="F19" i="67" s="1"/>
  <c r="G19" i="67" s="1"/>
  <c r="H19" i="67" s="1"/>
  <c r="I19" i="67" s="1"/>
  <c r="J19" i="67" s="1"/>
  <c r="K19" i="67" s="1"/>
  <c r="L19" i="67" s="1"/>
  <c r="M19" i="67" s="1"/>
  <c r="N19" i="67" s="1"/>
  <c r="O19" i="67" s="1"/>
  <c r="P19" i="67" s="1"/>
  <c r="Q19" i="67" s="1"/>
  <c r="R19" i="67" s="1"/>
  <c r="S19" i="67" s="1"/>
  <c r="T19" i="67" s="1"/>
  <c r="U19" i="67" s="1"/>
  <c r="V19" i="67" s="1"/>
  <c r="W19" i="67" s="1"/>
  <c r="X19" i="67" s="1"/>
  <c r="Y19" i="67" s="1"/>
  <c r="Z19" i="67" s="1"/>
  <c r="AA19" i="67" s="1"/>
  <c r="AB19" i="67" s="1"/>
  <c r="AC19" i="67" s="1"/>
  <c r="AD19" i="67" s="1"/>
  <c r="AE19" i="67" s="1"/>
  <c r="AF19" i="67" s="1"/>
  <c r="AG19" i="67" s="1"/>
  <c r="AH19" i="67" s="1"/>
  <c r="L19" i="65"/>
  <c r="I17" i="65" s="1"/>
  <c r="L18" i="65"/>
  <c r="I19" i="65"/>
  <c r="I20" i="65"/>
  <c r="I61" i="69"/>
  <c r="F61" i="69"/>
  <c r="E61" i="69"/>
  <c r="D61" i="69"/>
  <c r="K60" i="69"/>
  <c r="F60" i="69"/>
  <c r="E60" i="69"/>
  <c r="M59" i="69"/>
  <c r="N59" i="69" s="1"/>
  <c r="I59" i="69"/>
  <c r="F59" i="69"/>
  <c r="E59" i="69"/>
  <c r="W58" i="69"/>
  <c r="Y58" i="69" s="1"/>
  <c r="V58" i="69"/>
  <c r="S58" i="69"/>
  <c r="X58" i="69" s="1"/>
  <c r="Z58" i="69" s="1"/>
  <c r="N58" i="69"/>
  <c r="M58" i="69"/>
  <c r="F58" i="69"/>
  <c r="E58" i="69"/>
  <c r="W57" i="69"/>
  <c r="Y57" i="69" s="1"/>
  <c r="U57" i="69"/>
  <c r="S57" i="69"/>
  <c r="N57" i="69"/>
  <c r="M57" i="69"/>
  <c r="F57" i="69"/>
  <c r="E57" i="69"/>
  <c r="S56" i="69"/>
  <c r="X56" i="69" s="1"/>
  <c r="Z56" i="69" s="1"/>
  <c r="R56" i="69"/>
  <c r="F56" i="69"/>
  <c r="E56" i="69"/>
  <c r="S55" i="69"/>
  <c r="X55" i="69" s="1"/>
  <c r="Z55" i="69" s="1"/>
  <c r="R55" i="69"/>
  <c r="W55" i="69" s="1"/>
  <c r="Y55" i="69" s="1"/>
  <c r="L55" i="69"/>
  <c r="F55" i="69"/>
  <c r="E55" i="69"/>
  <c r="S54" i="69"/>
  <c r="R54" i="69"/>
  <c r="W54" i="69" s="1"/>
  <c r="Y54" i="69" s="1"/>
  <c r="L54" i="69"/>
  <c r="F54" i="69"/>
  <c r="E54" i="69"/>
  <c r="X53" i="69"/>
  <c r="Z53" i="69" s="1"/>
  <c r="W53" i="69"/>
  <c r="Y53" i="69" s="1"/>
  <c r="F53" i="69"/>
  <c r="E53" i="69"/>
  <c r="X52" i="69"/>
  <c r="Z52" i="69" s="1"/>
  <c r="W52" i="69"/>
  <c r="Y52" i="69" s="1"/>
  <c r="F52" i="69"/>
  <c r="E52" i="69"/>
  <c r="X51" i="69"/>
  <c r="Z51" i="69" s="1"/>
  <c r="W51" i="69"/>
  <c r="Y51" i="69" s="1"/>
  <c r="U51" i="69"/>
  <c r="F51" i="69"/>
  <c r="E51" i="69"/>
  <c r="X50" i="69"/>
  <c r="Z50" i="69" s="1"/>
  <c r="W50" i="69"/>
  <c r="Y50" i="69" s="1"/>
  <c r="F50" i="69"/>
  <c r="E50" i="69"/>
  <c r="X49" i="69"/>
  <c r="Z49" i="69" s="1"/>
  <c r="W49" i="69"/>
  <c r="Y49" i="69" s="1"/>
  <c r="F49" i="69"/>
  <c r="E49" i="69"/>
  <c r="X48" i="69"/>
  <c r="Z48" i="69" s="1"/>
  <c r="W48" i="69"/>
  <c r="Y48" i="69" s="1"/>
  <c r="F48" i="69"/>
  <c r="E48" i="69"/>
  <c r="X47" i="69"/>
  <c r="Z47" i="69" s="1"/>
  <c r="W47" i="69"/>
  <c r="Y47" i="69" s="1"/>
  <c r="F47" i="69"/>
  <c r="E47" i="69"/>
  <c r="X46" i="69"/>
  <c r="Z46" i="69" s="1"/>
  <c r="W46" i="69"/>
  <c r="Y46" i="69" s="1"/>
  <c r="F46" i="69"/>
  <c r="E46" i="69"/>
  <c r="X45" i="69"/>
  <c r="Z45" i="69" s="1"/>
  <c r="W45" i="69"/>
  <c r="Y45" i="69" s="1"/>
  <c r="F45" i="69"/>
  <c r="E45" i="69"/>
  <c r="X44" i="69"/>
  <c r="Z44" i="69" s="1"/>
  <c r="W44" i="69"/>
  <c r="Y44" i="69" s="1"/>
  <c r="F44" i="69"/>
  <c r="E44" i="69"/>
  <c r="X43" i="69"/>
  <c r="Z43" i="69" s="1"/>
  <c r="W43" i="69"/>
  <c r="Y43" i="69" s="1"/>
  <c r="F43" i="69"/>
  <c r="E43" i="69"/>
  <c r="X42" i="69"/>
  <c r="Z42" i="69" s="1"/>
  <c r="W42" i="69"/>
  <c r="Y42" i="69" s="1"/>
  <c r="F42" i="69"/>
  <c r="E42" i="69"/>
  <c r="X41" i="69"/>
  <c r="Z41" i="69" s="1"/>
  <c r="W41" i="69"/>
  <c r="Y41" i="69" s="1"/>
  <c r="F41" i="69"/>
  <c r="E41" i="69"/>
  <c r="X40" i="69"/>
  <c r="Z40" i="69" s="1"/>
  <c r="W40" i="69"/>
  <c r="Y40" i="69" s="1"/>
  <c r="F40" i="69"/>
  <c r="E40" i="69"/>
  <c r="X39" i="69"/>
  <c r="Z39" i="69" s="1"/>
  <c r="W39" i="69"/>
  <c r="Y39" i="69" s="1"/>
  <c r="F39" i="69"/>
  <c r="E39" i="69"/>
  <c r="X38" i="69"/>
  <c r="Z38" i="69" s="1"/>
  <c r="W38" i="69"/>
  <c r="Y38" i="69" s="1"/>
  <c r="F38" i="69"/>
  <c r="E38" i="69"/>
  <c r="X37" i="69"/>
  <c r="Z37" i="69" s="1"/>
  <c r="W37" i="69"/>
  <c r="Y37" i="69" s="1"/>
  <c r="F37" i="69"/>
  <c r="E37" i="69"/>
  <c r="X36" i="69"/>
  <c r="Z36" i="69" s="1"/>
  <c r="W36" i="69"/>
  <c r="Y36" i="69" s="1"/>
  <c r="F36" i="69"/>
  <c r="E36" i="69"/>
  <c r="X35" i="69"/>
  <c r="Z35" i="69" s="1"/>
  <c r="W35" i="69"/>
  <c r="Y35" i="69" s="1"/>
  <c r="F35" i="69"/>
  <c r="E35" i="69"/>
  <c r="X34" i="69"/>
  <c r="Z34" i="69" s="1"/>
  <c r="W34" i="69"/>
  <c r="Y34" i="69" s="1"/>
  <c r="F34" i="69"/>
  <c r="E34" i="69"/>
  <c r="X33" i="69"/>
  <c r="Z33" i="69" s="1"/>
  <c r="W33" i="69"/>
  <c r="Y33" i="69" s="1"/>
  <c r="U33" i="69"/>
  <c r="F33" i="69"/>
  <c r="E33" i="69"/>
  <c r="X32" i="69"/>
  <c r="Z32" i="69" s="1"/>
  <c r="W32" i="69"/>
  <c r="Y32" i="69" s="1"/>
  <c r="U32" i="69"/>
  <c r="F32" i="69"/>
  <c r="E32" i="69"/>
  <c r="X31" i="69"/>
  <c r="Z31" i="69" s="1"/>
  <c r="W31" i="69"/>
  <c r="Y31" i="69" s="1"/>
  <c r="F31" i="69"/>
  <c r="E31" i="69"/>
  <c r="X30" i="69"/>
  <c r="Z30" i="69" s="1"/>
  <c r="W30" i="69"/>
  <c r="Y30" i="69" s="1"/>
  <c r="F30" i="69"/>
  <c r="E30" i="69"/>
  <c r="X29" i="69"/>
  <c r="Z29" i="69" s="1"/>
  <c r="W29" i="69"/>
  <c r="Y29" i="69" s="1"/>
  <c r="F29" i="69"/>
  <c r="E29" i="69"/>
  <c r="X28" i="69"/>
  <c r="Z28" i="69" s="1"/>
  <c r="W28" i="69"/>
  <c r="Y28" i="69" s="1"/>
  <c r="F28" i="69"/>
  <c r="E28" i="69"/>
  <c r="X27" i="69"/>
  <c r="Z27" i="69" s="1"/>
  <c r="W27" i="69"/>
  <c r="Y27" i="69" s="1"/>
  <c r="F27" i="69"/>
  <c r="E27" i="69"/>
  <c r="X26" i="69"/>
  <c r="Z26" i="69" s="1"/>
  <c r="W26" i="69"/>
  <c r="Y26" i="69" s="1"/>
  <c r="F26" i="69"/>
  <c r="E26" i="69"/>
  <c r="X25" i="69"/>
  <c r="Z25" i="69" s="1"/>
  <c r="W25" i="69"/>
  <c r="Y25" i="69" s="1"/>
  <c r="F25" i="69"/>
  <c r="E25" i="69"/>
  <c r="X24" i="69"/>
  <c r="Z24" i="69" s="1"/>
  <c r="W24" i="69"/>
  <c r="Y24" i="69" s="1"/>
  <c r="F24" i="69"/>
  <c r="E24" i="69"/>
  <c r="X23" i="69"/>
  <c r="Z23" i="69" s="1"/>
  <c r="W23" i="69"/>
  <c r="Y23" i="69" s="1"/>
  <c r="F23" i="69"/>
  <c r="E23" i="69"/>
  <c r="X22" i="69"/>
  <c r="W22" i="69"/>
  <c r="Y22" i="69" s="1"/>
  <c r="F22" i="69"/>
  <c r="E22" i="69"/>
  <c r="X21" i="69"/>
  <c r="W21" i="69"/>
  <c r="Y21" i="69" s="1"/>
  <c r="F21" i="69"/>
  <c r="E21" i="69"/>
  <c r="X20" i="69"/>
  <c r="W20" i="69"/>
  <c r="Y20" i="69" s="1"/>
  <c r="F20" i="69"/>
  <c r="E20" i="69"/>
  <c r="X19" i="69"/>
  <c r="W19" i="69"/>
  <c r="Y19" i="69" s="1"/>
  <c r="F19" i="69"/>
  <c r="E19" i="69"/>
  <c r="X18" i="69"/>
  <c r="W18" i="69"/>
  <c r="Y18" i="69" s="1"/>
  <c r="F18" i="69"/>
  <c r="E18" i="69"/>
  <c r="X17" i="69"/>
  <c r="W17" i="69"/>
  <c r="Y17" i="69" s="1"/>
  <c r="F17" i="69"/>
  <c r="E17" i="69"/>
  <c r="X16" i="69"/>
  <c r="W16" i="69"/>
  <c r="Y16" i="69" s="1"/>
  <c r="F16" i="69"/>
  <c r="E16" i="69"/>
  <c r="X15" i="69"/>
  <c r="W15" i="69"/>
  <c r="Y15" i="69" s="1"/>
  <c r="F15" i="69"/>
  <c r="E15" i="69"/>
  <c r="X14" i="69"/>
  <c r="W14" i="69"/>
  <c r="Y14" i="69" s="1"/>
  <c r="F14" i="69"/>
  <c r="E14" i="69"/>
  <c r="X13" i="69"/>
  <c r="W13" i="69"/>
  <c r="Y13" i="69" s="1"/>
  <c r="F13" i="69"/>
  <c r="E13" i="69"/>
  <c r="X12" i="69"/>
  <c r="W12" i="69"/>
  <c r="Y12" i="69" s="1"/>
  <c r="X11" i="69"/>
  <c r="W11" i="69"/>
  <c r="Y11" i="69" s="1"/>
  <c r="X10" i="69"/>
  <c r="W10" i="69"/>
  <c r="Y10" i="69" s="1"/>
  <c r="X9" i="69"/>
  <c r="W9" i="69"/>
  <c r="Y9" i="69" s="1"/>
  <c r="X8" i="69"/>
  <c r="W8" i="69"/>
  <c r="Y8" i="69" s="1"/>
  <c r="X7" i="69"/>
  <c r="W7" i="69"/>
  <c r="Y7" i="69" s="1"/>
  <c r="X6" i="69"/>
  <c r="W6" i="69"/>
  <c r="Y6" i="69" s="1"/>
  <c r="X5" i="69"/>
  <c r="W5" i="69"/>
  <c r="Y5" i="69" s="1"/>
  <c r="F2" i="40" a="1"/>
  <c r="F2" i="40" s="1"/>
  <c r="F2" i="39" a="1"/>
  <c r="F2" i="39" s="1"/>
  <c r="F2" i="38" a="1"/>
  <c r="F2" i="38" s="1"/>
  <c r="F2" i="57" a="1"/>
  <c r="F2" i="57" s="1"/>
  <c r="F2" i="36" a="1"/>
  <c r="F2" i="36" s="1"/>
  <c r="F2" i="30" a="1"/>
  <c r="F2" i="30" s="1"/>
  <c r="F2" i="29" a="1"/>
  <c r="F2" i="29" s="1"/>
  <c r="F2" i="28" a="1"/>
  <c r="F2" i="28" s="1"/>
  <c r="F2" i="27" a="1"/>
  <c r="F2" i="27" s="1"/>
  <c r="F2" i="21" a="1"/>
  <c r="F2" i="21" s="1"/>
  <c r="F2" i="20" a="1"/>
  <c r="F2" i="20" s="1"/>
  <c r="F2" i="19" a="1"/>
  <c r="F2" i="19" s="1"/>
  <c r="F2" i="18" a="1"/>
  <c r="F2" i="18" s="1"/>
  <c r="F2" i="17" a="1"/>
  <c r="F2" i="17" s="1"/>
  <c r="F2" i="16" a="1"/>
  <c r="F2" i="16" s="1"/>
  <c r="F2" i="15" a="1"/>
  <c r="F2" i="15" s="1"/>
  <c r="F2" i="14" a="1"/>
  <c r="F2" i="14" s="1"/>
  <c r="F2" i="13" a="1"/>
  <c r="F2" i="13" s="1"/>
  <c r="F2" i="12" a="1"/>
  <c r="F2" i="12" s="1"/>
  <c r="F2" i="11" a="1"/>
  <c r="F2" i="11" s="1"/>
  <c r="F2" i="10" a="1"/>
  <c r="F2" i="10" s="1"/>
  <c r="F2" i="9" a="1"/>
  <c r="F2" i="9" s="1"/>
  <c r="F2" i="8" a="1"/>
  <c r="F2" i="8" s="1"/>
  <c r="F2" i="7" a="1"/>
  <c r="F2" i="7" s="1"/>
  <c r="F2" i="22" a="1"/>
  <c r="F2" i="22" s="1"/>
  <c r="F2" i="23" a="1"/>
  <c r="F2" i="23" s="1"/>
  <c r="F2" i="24" a="1"/>
  <c r="F2" i="24" s="1"/>
  <c r="F2" i="25" a="1"/>
  <c r="F2" i="25" s="1"/>
  <c r="F2" i="26" a="1"/>
  <c r="F2" i="26" s="1"/>
  <c r="F2" i="35" a="1"/>
  <c r="F2" i="35" s="1"/>
  <c r="F2" i="31" a="1"/>
  <c r="F2" i="31" s="1"/>
  <c r="P33" i="61"/>
  <c r="O34" i="61"/>
  <c r="P32" i="61"/>
  <c r="O33" i="61"/>
  <c r="P31" i="61"/>
  <c r="O32" i="61"/>
  <c r="P30" i="61"/>
  <c r="O31" i="61"/>
  <c r="P29" i="61"/>
  <c r="O30" i="61"/>
  <c r="P28" i="61"/>
  <c r="O29" i="61"/>
  <c r="P26" i="61"/>
  <c r="O27" i="61"/>
  <c r="P25" i="61"/>
  <c r="O26" i="61"/>
  <c r="P24" i="61"/>
  <c r="O25" i="61"/>
  <c r="P23" i="61"/>
  <c r="O24" i="61"/>
  <c r="P21" i="61"/>
  <c r="O23" i="61"/>
  <c r="P20" i="61"/>
  <c r="O21" i="61"/>
  <c r="P19" i="61"/>
  <c r="O20" i="61"/>
  <c r="P18" i="61"/>
  <c r="O19" i="61"/>
  <c r="P17" i="61"/>
  <c r="O18" i="61"/>
  <c r="P16" i="61"/>
  <c r="O16" i="61"/>
  <c r="P15" i="61"/>
  <c r="O15" i="61"/>
  <c r="P14" i="61"/>
  <c r="O14" i="61"/>
  <c r="P12" i="61"/>
  <c r="O12" i="61"/>
  <c r="P11" i="61"/>
  <c r="O11" i="61"/>
  <c r="P10" i="61"/>
  <c r="O10" i="61"/>
  <c r="P9" i="61"/>
  <c r="O9" i="61"/>
  <c r="P8" i="61"/>
  <c r="O8" i="61"/>
  <c r="P7" i="61"/>
  <c r="O7" i="61"/>
  <c r="P6" i="61"/>
  <c r="O6" i="61"/>
  <c r="P5" i="61"/>
  <c r="O5" i="61"/>
  <c r="P4" i="61"/>
  <c r="O4" i="61"/>
  <c r="X32" i="56" a="1"/>
  <c r="X32" i="56" s="1"/>
  <c r="Y32" i="56" s="1"/>
  <c r="X31" i="56" a="1"/>
  <c r="X31" i="56" s="1"/>
  <c r="Y31" i="56" s="1"/>
  <c r="X30" i="56" a="1"/>
  <c r="X30" i="56" s="1"/>
  <c r="Y30" i="56" s="1"/>
  <c r="X29" i="56" a="1"/>
  <c r="X29" i="56" s="1"/>
  <c r="Y29" i="56" s="1"/>
  <c r="X28" i="56" a="1"/>
  <c r="X28" i="56" s="1"/>
  <c r="Y28" i="56" s="1"/>
  <c r="X27" i="56" a="1"/>
  <c r="X27" i="56" s="1"/>
  <c r="Y27" i="56" s="1"/>
  <c r="X26" i="56" a="1"/>
  <c r="X26" i="56" s="1"/>
  <c r="Y26" i="56" s="1"/>
  <c r="X25" i="56" a="1"/>
  <c r="X25" i="56" s="1"/>
  <c r="Y25" i="56" s="1"/>
  <c r="X24" i="56" a="1"/>
  <c r="X24" i="56" s="1"/>
  <c r="Y24" i="56" s="1"/>
  <c r="X23" i="56" a="1"/>
  <c r="X23" i="56" s="1"/>
  <c r="Y23" i="56" s="1"/>
  <c r="X22" i="56" a="1"/>
  <c r="X22" i="56" s="1"/>
  <c r="Y22" i="56" s="1"/>
  <c r="X21" i="56" a="1"/>
  <c r="X21" i="56" s="1"/>
  <c r="Y21" i="56" s="1"/>
  <c r="X20" i="56" a="1"/>
  <c r="X20" i="56" s="1"/>
  <c r="Y20" i="56" s="1"/>
  <c r="X19" i="56" a="1"/>
  <c r="X19" i="56" s="1"/>
  <c r="Y19" i="56" s="1"/>
  <c r="X18" i="56" a="1"/>
  <c r="X18" i="56" s="1"/>
  <c r="Y18" i="56" s="1"/>
  <c r="X17" i="56" a="1"/>
  <c r="X17" i="56" s="1"/>
  <c r="Y17" i="56" s="1"/>
  <c r="X16" i="56" a="1"/>
  <c r="X16" i="56" s="1"/>
  <c r="Y16" i="56" s="1"/>
  <c r="X15" i="56" a="1"/>
  <c r="X15" i="56" s="1"/>
  <c r="Y15" i="56" s="1"/>
  <c r="X14" i="56" a="1"/>
  <c r="X14" i="56" s="1"/>
  <c r="Y14" i="56" s="1"/>
  <c r="X13" i="56" a="1"/>
  <c r="X13" i="56" s="1"/>
  <c r="Y13" i="56" s="1"/>
  <c r="X12" i="56" a="1"/>
  <c r="X12" i="56" s="1"/>
  <c r="Y12" i="56" s="1"/>
  <c r="X11" i="56" a="1"/>
  <c r="X11" i="56" s="1"/>
  <c r="Y11" i="56" s="1"/>
  <c r="X10" i="56" a="1"/>
  <c r="X10" i="56" s="1"/>
  <c r="Y10" i="56" s="1"/>
  <c r="X9" i="56" a="1"/>
  <c r="X9" i="56" s="1"/>
  <c r="Y9" i="56" s="1"/>
  <c r="X8" i="56" a="1"/>
  <c r="X8" i="56" s="1"/>
  <c r="Y8" i="56" s="1"/>
  <c r="X7" i="56" a="1"/>
  <c r="X7" i="56" s="1"/>
  <c r="Y7" i="56" s="1"/>
  <c r="X6" i="56" a="1"/>
  <c r="X6" i="56" s="1"/>
  <c r="Y6" i="56" s="1"/>
  <c r="X5" i="56" a="1"/>
  <c r="X5" i="56" s="1"/>
  <c r="Y5" i="56" s="1"/>
  <c r="X4" i="56" a="1"/>
  <c r="X4" i="56" s="1"/>
  <c r="Y4" i="56" s="1"/>
  <c r="X3" i="56" a="1"/>
  <c r="X3" i="56" s="1"/>
  <c r="Y3" i="56" s="1"/>
  <c r="Y2" i="56"/>
  <c r="D105" i="40"/>
  <c r="A105" i="40"/>
  <c r="D104" i="40"/>
  <c r="A104" i="40"/>
  <c r="D103" i="40"/>
  <c r="A103" i="40"/>
  <c r="D102" i="40"/>
  <c r="A102" i="40"/>
  <c r="D101" i="40"/>
  <c r="A101" i="40"/>
  <c r="D100" i="40"/>
  <c r="A100" i="40"/>
  <c r="D99" i="40"/>
  <c r="A99" i="40"/>
  <c r="D98" i="40"/>
  <c r="A98" i="40"/>
  <c r="D97" i="40"/>
  <c r="A97" i="40"/>
  <c r="D96" i="40"/>
  <c r="A96" i="40"/>
  <c r="D95" i="40"/>
  <c r="A95" i="40"/>
  <c r="D94" i="40"/>
  <c r="A94" i="40"/>
  <c r="D93" i="40"/>
  <c r="A93" i="40"/>
  <c r="D92" i="40"/>
  <c r="A92" i="40"/>
  <c r="D91" i="40"/>
  <c r="A91" i="40"/>
  <c r="D90" i="40"/>
  <c r="A90" i="40"/>
  <c r="D89" i="40"/>
  <c r="A89" i="40"/>
  <c r="D88" i="40"/>
  <c r="A88" i="40"/>
  <c r="D87" i="40"/>
  <c r="A87" i="40"/>
  <c r="D86" i="40"/>
  <c r="A86" i="40"/>
  <c r="D85" i="40"/>
  <c r="A85" i="40"/>
  <c r="D84" i="40"/>
  <c r="A84" i="40"/>
  <c r="D83" i="40"/>
  <c r="A83" i="40"/>
  <c r="D82" i="40"/>
  <c r="A82" i="40"/>
  <c r="D81" i="40"/>
  <c r="A81" i="40"/>
  <c r="D80" i="40"/>
  <c r="A80" i="40"/>
  <c r="D79" i="40"/>
  <c r="A79" i="40"/>
  <c r="D78" i="40"/>
  <c r="A78" i="40"/>
  <c r="D77" i="40"/>
  <c r="A77" i="40"/>
  <c r="A76" i="40"/>
  <c r="D75" i="40"/>
  <c r="C75" i="40" s="1"/>
  <c r="A75" i="40"/>
  <c r="D74" i="40"/>
  <c r="C74" i="40" s="1"/>
  <c r="A74" i="40"/>
  <c r="D73" i="40"/>
  <c r="C73" i="40" s="1"/>
  <c r="A73" i="40"/>
  <c r="D72" i="40"/>
  <c r="C72" i="40" s="1"/>
  <c r="A72" i="40"/>
  <c r="D71" i="40"/>
  <c r="C71" i="40" s="1"/>
  <c r="A71" i="40"/>
  <c r="D70" i="40"/>
  <c r="A70" i="40"/>
  <c r="D69" i="40"/>
  <c r="A69" i="40"/>
  <c r="D68" i="40"/>
  <c r="A68" i="40"/>
  <c r="D67" i="40"/>
  <c r="A67" i="40"/>
  <c r="D66" i="40"/>
  <c r="A66" i="40"/>
  <c r="D65" i="40"/>
  <c r="A65" i="40"/>
  <c r="D64" i="40"/>
  <c r="A64" i="40"/>
  <c r="D63" i="40"/>
  <c r="C63" i="40"/>
  <c r="A63" i="40"/>
  <c r="D62" i="40"/>
  <c r="A62" i="40"/>
  <c r="D61" i="40"/>
  <c r="A61" i="40"/>
  <c r="D60" i="40"/>
  <c r="A60" i="40"/>
  <c r="A59" i="40"/>
  <c r="D58" i="40"/>
  <c r="A58" i="40"/>
  <c r="A57" i="40"/>
  <c r="D56" i="40"/>
  <c r="A56" i="40"/>
  <c r="D55" i="40"/>
  <c r="A55" i="40"/>
  <c r="D54" i="40"/>
  <c r="A54" i="40"/>
  <c r="D53" i="40"/>
  <c r="A53" i="40"/>
  <c r="D52" i="40"/>
  <c r="A52" i="40"/>
  <c r="D51" i="40"/>
  <c r="A51" i="40"/>
  <c r="D50" i="40"/>
  <c r="A50" i="40"/>
  <c r="D49" i="40"/>
  <c r="A49" i="40"/>
  <c r="D48" i="40"/>
  <c r="A48" i="40"/>
  <c r="D47" i="40"/>
  <c r="A47" i="40"/>
  <c r="D46" i="40"/>
  <c r="A46" i="40"/>
  <c r="D45" i="40"/>
  <c r="A45" i="40"/>
  <c r="D44" i="40"/>
  <c r="A44" i="40"/>
  <c r="D43" i="40"/>
  <c r="A43" i="40"/>
  <c r="D42" i="40"/>
  <c r="A42" i="40"/>
  <c r="D41" i="40"/>
  <c r="A41" i="40"/>
  <c r="D40" i="40"/>
  <c r="A40" i="40"/>
  <c r="D39" i="40"/>
  <c r="A39" i="40"/>
  <c r="D38" i="40"/>
  <c r="A38" i="40"/>
  <c r="D37" i="40"/>
  <c r="A37" i="40"/>
  <c r="D36" i="40"/>
  <c r="C36" i="40" s="1"/>
  <c r="A36" i="40"/>
  <c r="D35" i="40"/>
  <c r="C35" i="40" s="1"/>
  <c r="A35" i="40"/>
  <c r="D34" i="40"/>
  <c r="A34" i="40"/>
  <c r="D33" i="40"/>
  <c r="A33" i="40"/>
  <c r="D32" i="40"/>
  <c r="A32" i="40"/>
  <c r="D31" i="40"/>
  <c r="A31" i="40"/>
  <c r="D30" i="40"/>
  <c r="A30" i="40"/>
  <c r="D29" i="40"/>
  <c r="A29" i="40"/>
  <c r="D28" i="40"/>
  <c r="A28" i="40"/>
  <c r="D27" i="40"/>
  <c r="A27" i="40"/>
  <c r="D26" i="40"/>
  <c r="A26" i="40"/>
  <c r="D25" i="40"/>
  <c r="A25" i="40"/>
  <c r="D24" i="40"/>
  <c r="A24" i="40"/>
  <c r="D23" i="40"/>
  <c r="A23" i="40"/>
  <c r="D22" i="40"/>
  <c r="A22" i="40"/>
  <c r="D21" i="40"/>
  <c r="A21" i="40"/>
  <c r="D20" i="40"/>
  <c r="A20" i="40"/>
  <c r="D19" i="40"/>
  <c r="A19" i="40"/>
  <c r="D18" i="40"/>
  <c r="C18" i="40"/>
  <c r="A18" i="40"/>
  <c r="D17" i="40"/>
  <c r="A17" i="40"/>
  <c r="D16" i="40"/>
  <c r="A16" i="40"/>
  <c r="D15" i="40"/>
  <c r="A15" i="40"/>
  <c r="D14" i="40"/>
  <c r="A14" i="40"/>
  <c r="D13" i="40"/>
  <c r="A13" i="40"/>
  <c r="D12" i="40"/>
  <c r="A12" i="40"/>
  <c r="D11" i="40"/>
  <c r="A11" i="40"/>
  <c r="D10" i="40"/>
  <c r="A10" i="40"/>
  <c r="D9" i="40"/>
  <c r="A9" i="40"/>
  <c r="D8" i="40"/>
  <c r="A8" i="40"/>
  <c r="D7" i="40"/>
  <c r="C7" i="40"/>
  <c r="A7" i="40"/>
  <c r="D6" i="40"/>
  <c r="A6" i="40"/>
  <c r="D5" i="40"/>
  <c r="A5" i="40"/>
  <c r="D4" i="40"/>
  <c r="A4" i="40"/>
  <c r="D3" i="40"/>
  <c r="A3" i="40"/>
  <c r="D105" i="39"/>
  <c r="A105" i="39"/>
  <c r="D104" i="39"/>
  <c r="A104" i="39"/>
  <c r="D103" i="39"/>
  <c r="A103" i="39"/>
  <c r="D102" i="39"/>
  <c r="A102" i="39"/>
  <c r="D101" i="39"/>
  <c r="A101" i="39"/>
  <c r="D100" i="39"/>
  <c r="A100" i="39"/>
  <c r="D99" i="39"/>
  <c r="A99" i="39"/>
  <c r="D98" i="39"/>
  <c r="A98" i="39"/>
  <c r="D97" i="39"/>
  <c r="A97" i="39"/>
  <c r="D96" i="39"/>
  <c r="A96" i="39"/>
  <c r="D95" i="39"/>
  <c r="A95" i="39"/>
  <c r="D94" i="39"/>
  <c r="A94" i="39"/>
  <c r="D93" i="39"/>
  <c r="A93" i="39"/>
  <c r="D92" i="39"/>
  <c r="A92" i="39"/>
  <c r="D91" i="39"/>
  <c r="A91" i="39"/>
  <c r="D90" i="39"/>
  <c r="A90" i="39"/>
  <c r="D89" i="39"/>
  <c r="A89" i="39"/>
  <c r="D88" i="39"/>
  <c r="A88" i="39"/>
  <c r="D87" i="39"/>
  <c r="A87" i="39"/>
  <c r="D86" i="39"/>
  <c r="A86" i="39"/>
  <c r="D85" i="39"/>
  <c r="A85" i="39"/>
  <c r="D84" i="39"/>
  <c r="A84" i="39"/>
  <c r="D83" i="39"/>
  <c r="A83" i="39"/>
  <c r="D82" i="39"/>
  <c r="A82" i="39"/>
  <c r="D81" i="39"/>
  <c r="A81" i="39"/>
  <c r="D80" i="39"/>
  <c r="A80" i="39"/>
  <c r="D79" i="39"/>
  <c r="A79" i="39"/>
  <c r="D78" i="39"/>
  <c r="A78" i="39"/>
  <c r="D77" i="39"/>
  <c r="A77" i="39"/>
  <c r="A76" i="39"/>
  <c r="D75" i="39"/>
  <c r="C75" i="39" s="1"/>
  <c r="A75" i="39"/>
  <c r="D74" i="39"/>
  <c r="C74" i="39" s="1"/>
  <c r="A74" i="39"/>
  <c r="D73" i="39"/>
  <c r="C73" i="39" s="1"/>
  <c r="A73" i="39"/>
  <c r="D72" i="39"/>
  <c r="C72" i="39" s="1"/>
  <c r="A72" i="39"/>
  <c r="D71" i="39"/>
  <c r="C71" i="39" s="1"/>
  <c r="A71" i="39"/>
  <c r="D70" i="39"/>
  <c r="A70" i="39"/>
  <c r="D69" i="39"/>
  <c r="A69" i="39"/>
  <c r="D68" i="39"/>
  <c r="A68" i="39"/>
  <c r="D67" i="39"/>
  <c r="A67" i="39"/>
  <c r="D66" i="39"/>
  <c r="A66" i="39"/>
  <c r="D65" i="39"/>
  <c r="A65" i="39"/>
  <c r="D64" i="39"/>
  <c r="A64" i="39"/>
  <c r="D63" i="39"/>
  <c r="C63" i="39"/>
  <c r="A63" i="39"/>
  <c r="D62" i="39"/>
  <c r="A62" i="39"/>
  <c r="D61" i="39"/>
  <c r="A61" i="39"/>
  <c r="D60" i="39"/>
  <c r="A60" i="39"/>
  <c r="A59" i="39"/>
  <c r="D58" i="39"/>
  <c r="A58" i="39"/>
  <c r="A57" i="39"/>
  <c r="D56" i="39"/>
  <c r="A56" i="39"/>
  <c r="D55" i="39"/>
  <c r="A55" i="39"/>
  <c r="D54" i="39"/>
  <c r="A54" i="39"/>
  <c r="D53" i="39"/>
  <c r="A53" i="39"/>
  <c r="D52" i="39"/>
  <c r="A52" i="39"/>
  <c r="D51" i="39"/>
  <c r="A51" i="39"/>
  <c r="D50" i="39"/>
  <c r="A50" i="39"/>
  <c r="D49" i="39"/>
  <c r="A49" i="39"/>
  <c r="D48" i="39"/>
  <c r="A48" i="39"/>
  <c r="D47" i="39"/>
  <c r="A47" i="39"/>
  <c r="D46" i="39"/>
  <c r="A46" i="39"/>
  <c r="D45" i="39"/>
  <c r="A45" i="39"/>
  <c r="D44" i="39"/>
  <c r="A44" i="39"/>
  <c r="D43" i="39"/>
  <c r="A43" i="39"/>
  <c r="D42" i="39"/>
  <c r="A42" i="39"/>
  <c r="D41" i="39"/>
  <c r="A41" i="39"/>
  <c r="D40" i="39"/>
  <c r="A40" i="39"/>
  <c r="D39" i="39"/>
  <c r="A39" i="39"/>
  <c r="D38" i="39"/>
  <c r="A38" i="39"/>
  <c r="D37" i="39"/>
  <c r="A37" i="39"/>
  <c r="D36" i="39"/>
  <c r="C36" i="39" s="1"/>
  <c r="A36" i="39"/>
  <c r="D35" i="39"/>
  <c r="C35" i="39" s="1"/>
  <c r="A35" i="39"/>
  <c r="D34" i="39"/>
  <c r="A34" i="39"/>
  <c r="D33" i="39"/>
  <c r="A33" i="39"/>
  <c r="D32" i="39"/>
  <c r="A32" i="39"/>
  <c r="D31" i="39"/>
  <c r="A31" i="39"/>
  <c r="D30" i="39"/>
  <c r="A30" i="39"/>
  <c r="D29" i="39"/>
  <c r="A29" i="39"/>
  <c r="D28" i="39"/>
  <c r="A28" i="39"/>
  <c r="D27" i="39"/>
  <c r="A27" i="39"/>
  <c r="D26" i="39"/>
  <c r="A26" i="39"/>
  <c r="D25" i="39"/>
  <c r="A25" i="39"/>
  <c r="D24" i="39"/>
  <c r="A24" i="39"/>
  <c r="D23" i="39"/>
  <c r="A23" i="39"/>
  <c r="D22" i="39"/>
  <c r="A22" i="39"/>
  <c r="D21" i="39"/>
  <c r="A21" i="39"/>
  <c r="D20" i="39"/>
  <c r="A20" i="39"/>
  <c r="D19" i="39"/>
  <c r="A19" i="39"/>
  <c r="D18" i="39"/>
  <c r="C18" i="39"/>
  <c r="A18" i="39"/>
  <c r="D17" i="39"/>
  <c r="A17" i="39"/>
  <c r="D16" i="39"/>
  <c r="A16" i="39"/>
  <c r="D15" i="39"/>
  <c r="A15" i="39"/>
  <c r="D14" i="39"/>
  <c r="A14" i="39"/>
  <c r="D13" i="39"/>
  <c r="A13" i="39"/>
  <c r="D12" i="39"/>
  <c r="A12" i="39"/>
  <c r="D11" i="39"/>
  <c r="A11" i="39"/>
  <c r="D10" i="39"/>
  <c r="A10" i="39"/>
  <c r="D9" i="39"/>
  <c r="A9" i="39"/>
  <c r="D8" i="39"/>
  <c r="A8" i="39"/>
  <c r="D7" i="39"/>
  <c r="C7" i="39"/>
  <c r="A7" i="39"/>
  <c r="D6" i="39"/>
  <c r="A6" i="39"/>
  <c r="D5" i="39"/>
  <c r="A5" i="39"/>
  <c r="D4" i="39"/>
  <c r="A4" i="39"/>
  <c r="D3" i="39"/>
  <c r="A3" i="39"/>
  <c r="D105" i="38"/>
  <c r="A105" i="38"/>
  <c r="D104" i="38"/>
  <c r="A104" i="38"/>
  <c r="D103" i="38"/>
  <c r="A103" i="38"/>
  <c r="D102" i="38"/>
  <c r="A102" i="38"/>
  <c r="D101" i="38"/>
  <c r="A101" i="38"/>
  <c r="D100" i="38"/>
  <c r="A100" i="38"/>
  <c r="D99" i="38"/>
  <c r="A99" i="38"/>
  <c r="D98" i="38"/>
  <c r="A98" i="38"/>
  <c r="D97" i="38"/>
  <c r="A97" i="38"/>
  <c r="D96" i="38"/>
  <c r="A96" i="38"/>
  <c r="D95" i="38"/>
  <c r="A95" i="38"/>
  <c r="D94" i="38"/>
  <c r="A94" i="38"/>
  <c r="D93" i="38"/>
  <c r="A93" i="38"/>
  <c r="D92" i="38"/>
  <c r="A92" i="38"/>
  <c r="D91" i="38"/>
  <c r="A91" i="38"/>
  <c r="D90" i="38"/>
  <c r="A90" i="38"/>
  <c r="D89" i="38"/>
  <c r="A89" i="38"/>
  <c r="D88" i="38"/>
  <c r="A88" i="38"/>
  <c r="D87" i="38"/>
  <c r="A87" i="38"/>
  <c r="D86" i="38"/>
  <c r="A86" i="38"/>
  <c r="D85" i="38"/>
  <c r="A85" i="38"/>
  <c r="D84" i="38"/>
  <c r="A84" i="38"/>
  <c r="D83" i="38"/>
  <c r="A83" i="38"/>
  <c r="D82" i="38"/>
  <c r="A82" i="38"/>
  <c r="D81" i="38"/>
  <c r="A81" i="38"/>
  <c r="D80" i="38"/>
  <c r="A80" i="38"/>
  <c r="D79" i="38"/>
  <c r="A79" i="38"/>
  <c r="D78" i="38"/>
  <c r="A78" i="38"/>
  <c r="D77" i="38"/>
  <c r="A77" i="38"/>
  <c r="A76" i="38"/>
  <c r="D75" i="38"/>
  <c r="C75" i="38" s="1"/>
  <c r="A75" i="38"/>
  <c r="D74" i="38"/>
  <c r="C74" i="38" s="1"/>
  <c r="A74" i="38"/>
  <c r="D73" i="38"/>
  <c r="C73" i="38" s="1"/>
  <c r="A73" i="38"/>
  <c r="D72" i="38"/>
  <c r="C72" i="38" s="1"/>
  <c r="A72" i="38"/>
  <c r="D71" i="38"/>
  <c r="C71" i="38" s="1"/>
  <c r="A71" i="38"/>
  <c r="D70" i="38"/>
  <c r="A70" i="38"/>
  <c r="D69" i="38"/>
  <c r="A69" i="38"/>
  <c r="D68" i="38"/>
  <c r="A68" i="38"/>
  <c r="D67" i="38"/>
  <c r="A67" i="38"/>
  <c r="D66" i="38"/>
  <c r="A66" i="38"/>
  <c r="D65" i="38"/>
  <c r="A65" i="38"/>
  <c r="D64" i="38"/>
  <c r="A64" i="38"/>
  <c r="D63" i="38"/>
  <c r="C63" i="38"/>
  <c r="A63" i="38"/>
  <c r="D62" i="38"/>
  <c r="A62" i="38"/>
  <c r="D61" i="38"/>
  <c r="A61" i="38"/>
  <c r="D60" i="38"/>
  <c r="A60" i="38"/>
  <c r="A59" i="38"/>
  <c r="D58" i="38"/>
  <c r="A58" i="38"/>
  <c r="A57" i="38"/>
  <c r="D56" i="38"/>
  <c r="A56" i="38"/>
  <c r="D55" i="38"/>
  <c r="A55" i="38"/>
  <c r="D54" i="38"/>
  <c r="A54" i="38"/>
  <c r="D53" i="38"/>
  <c r="A53" i="38"/>
  <c r="D52" i="38"/>
  <c r="A52" i="38"/>
  <c r="D51" i="38"/>
  <c r="A51" i="38"/>
  <c r="D50" i="38"/>
  <c r="A50" i="38"/>
  <c r="D49" i="38"/>
  <c r="A49" i="38"/>
  <c r="D48" i="38"/>
  <c r="A48" i="38"/>
  <c r="D47" i="38"/>
  <c r="A47" i="38"/>
  <c r="D46" i="38"/>
  <c r="A46" i="38"/>
  <c r="D45" i="38"/>
  <c r="A45" i="38"/>
  <c r="D44" i="38"/>
  <c r="A44" i="38"/>
  <c r="D43" i="38"/>
  <c r="A43" i="38"/>
  <c r="D42" i="38"/>
  <c r="A42" i="38"/>
  <c r="D41" i="38"/>
  <c r="A41" i="38"/>
  <c r="D40" i="38"/>
  <c r="A40" i="38"/>
  <c r="D39" i="38"/>
  <c r="A39" i="38"/>
  <c r="D38" i="38"/>
  <c r="A38" i="38"/>
  <c r="D37" i="38"/>
  <c r="A37" i="38"/>
  <c r="D36" i="38"/>
  <c r="C36" i="38" s="1"/>
  <c r="A36" i="38"/>
  <c r="D35" i="38"/>
  <c r="C35" i="38" s="1"/>
  <c r="A35" i="38"/>
  <c r="D34" i="38"/>
  <c r="A34" i="38"/>
  <c r="D33" i="38"/>
  <c r="A33" i="38"/>
  <c r="D32" i="38"/>
  <c r="A32" i="38"/>
  <c r="D31" i="38"/>
  <c r="A31" i="38"/>
  <c r="D30" i="38"/>
  <c r="A30" i="38"/>
  <c r="D29" i="38"/>
  <c r="A29" i="38"/>
  <c r="D28" i="38"/>
  <c r="A28" i="38"/>
  <c r="D27" i="38"/>
  <c r="A27" i="38"/>
  <c r="D26" i="38"/>
  <c r="A26" i="38"/>
  <c r="D25" i="38"/>
  <c r="A25" i="38"/>
  <c r="D24" i="38"/>
  <c r="A24" i="38"/>
  <c r="D23" i="38"/>
  <c r="A23" i="38"/>
  <c r="D22" i="38"/>
  <c r="A22" i="38"/>
  <c r="D21" i="38"/>
  <c r="A21" i="38"/>
  <c r="D20" i="38"/>
  <c r="A20" i="38"/>
  <c r="D19" i="38"/>
  <c r="A19" i="38"/>
  <c r="D18" i="38"/>
  <c r="C18" i="38"/>
  <c r="A18" i="38"/>
  <c r="D17" i="38"/>
  <c r="A17" i="38"/>
  <c r="D16" i="38"/>
  <c r="A16" i="38"/>
  <c r="D15" i="38"/>
  <c r="A15" i="38"/>
  <c r="D14" i="38"/>
  <c r="A14" i="38"/>
  <c r="D13" i="38"/>
  <c r="A13" i="38"/>
  <c r="D12" i="38"/>
  <c r="A12" i="38"/>
  <c r="D11" i="38"/>
  <c r="A11" i="38"/>
  <c r="D10" i="38"/>
  <c r="A10" i="38"/>
  <c r="D9" i="38"/>
  <c r="A9" i="38"/>
  <c r="D8" i="38"/>
  <c r="A8" i="38"/>
  <c r="D7" i="38"/>
  <c r="C7" i="38"/>
  <c r="A7" i="38"/>
  <c r="D6" i="38"/>
  <c r="A6" i="38"/>
  <c r="D5" i="38"/>
  <c r="A5" i="38"/>
  <c r="D4" i="38"/>
  <c r="A4" i="38"/>
  <c r="D3" i="38"/>
  <c r="A3" i="38"/>
  <c r="D105" i="57"/>
  <c r="A105" i="57"/>
  <c r="D104" i="57"/>
  <c r="A104" i="57"/>
  <c r="D103" i="57"/>
  <c r="A103" i="57"/>
  <c r="D102" i="57"/>
  <c r="A102" i="57"/>
  <c r="D101" i="57"/>
  <c r="A101" i="57"/>
  <c r="D100" i="57"/>
  <c r="A100" i="57"/>
  <c r="D99" i="57"/>
  <c r="A99" i="57"/>
  <c r="D98" i="57"/>
  <c r="A98" i="57"/>
  <c r="D97" i="57"/>
  <c r="A97" i="57"/>
  <c r="D96" i="57"/>
  <c r="A96" i="57"/>
  <c r="D95" i="57"/>
  <c r="A95" i="57"/>
  <c r="D94" i="57"/>
  <c r="A94" i="57"/>
  <c r="D93" i="57"/>
  <c r="A93" i="57"/>
  <c r="D92" i="57"/>
  <c r="A92" i="57"/>
  <c r="D91" i="57"/>
  <c r="A91" i="57"/>
  <c r="D90" i="57"/>
  <c r="A90" i="57"/>
  <c r="D89" i="57"/>
  <c r="A89" i="57"/>
  <c r="D88" i="57"/>
  <c r="A88" i="57"/>
  <c r="D87" i="57"/>
  <c r="A87" i="57"/>
  <c r="D86" i="57"/>
  <c r="A86" i="57"/>
  <c r="D85" i="57"/>
  <c r="A85" i="57"/>
  <c r="D84" i="57"/>
  <c r="A84" i="57"/>
  <c r="D83" i="57"/>
  <c r="A83" i="57"/>
  <c r="D82" i="57"/>
  <c r="A82" i="57"/>
  <c r="D81" i="57"/>
  <c r="A81" i="57"/>
  <c r="D80" i="57"/>
  <c r="A80" i="57"/>
  <c r="D79" i="57"/>
  <c r="A79" i="57"/>
  <c r="D78" i="57"/>
  <c r="A78" i="57"/>
  <c r="D77" i="57"/>
  <c r="A77" i="57"/>
  <c r="A76" i="57"/>
  <c r="D75" i="57"/>
  <c r="C75" i="57" s="1"/>
  <c r="A75" i="57"/>
  <c r="D74" i="57"/>
  <c r="C74" i="57" s="1"/>
  <c r="A74" i="57"/>
  <c r="D73" i="57"/>
  <c r="C73" i="57" s="1"/>
  <c r="A73" i="57"/>
  <c r="D72" i="57"/>
  <c r="C72" i="57" s="1"/>
  <c r="A72" i="57"/>
  <c r="D71" i="57"/>
  <c r="C71" i="57" s="1"/>
  <c r="A71" i="57"/>
  <c r="D70" i="57"/>
  <c r="A70" i="57"/>
  <c r="D69" i="57"/>
  <c r="A69" i="57"/>
  <c r="D68" i="57"/>
  <c r="A68" i="57"/>
  <c r="D67" i="57"/>
  <c r="A67" i="57"/>
  <c r="D66" i="57"/>
  <c r="A66" i="57"/>
  <c r="D65" i="57"/>
  <c r="A65" i="57"/>
  <c r="D64" i="57"/>
  <c r="A64" i="57"/>
  <c r="D63" i="57"/>
  <c r="C63" i="57"/>
  <c r="A63" i="57"/>
  <c r="D62" i="57"/>
  <c r="A62" i="57"/>
  <c r="D61" i="57"/>
  <c r="A61" i="57"/>
  <c r="D60" i="57"/>
  <c r="A60" i="57"/>
  <c r="A59" i="57"/>
  <c r="D58" i="57"/>
  <c r="A58" i="57"/>
  <c r="A57" i="57"/>
  <c r="D56" i="57"/>
  <c r="A56" i="57"/>
  <c r="D55" i="57"/>
  <c r="A55" i="57"/>
  <c r="D54" i="57"/>
  <c r="A54" i="57"/>
  <c r="D53" i="57"/>
  <c r="A53" i="57"/>
  <c r="D52" i="57"/>
  <c r="A52" i="57"/>
  <c r="D51" i="57"/>
  <c r="A51" i="57"/>
  <c r="D50" i="57"/>
  <c r="A50" i="57"/>
  <c r="D49" i="57"/>
  <c r="A49" i="57"/>
  <c r="D48" i="57"/>
  <c r="A48" i="57"/>
  <c r="D47" i="57"/>
  <c r="A47" i="57"/>
  <c r="D46" i="57"/>
  <c r="A46" i="57"/>
  <c r="D45" i="57"/>
  <c r="A45" i="57"/>
  <c r="D44" i="57"/>
  <c r="A44" i="57"/>
  <c r="D43" i="57"/>
  <c r="A43" i="57"/>
  <c r="D42" i="57"/>
  <c r="A42" i="57"/>
  <c r="D41" i="57"/>
  <c r="A41" i="57"/>
  <c r="D40" i="57"/>
  <c r="A40" i="57"/>
  <c r="D39" i="57"/>
  <c r="A39" i="57"/>
  <c r="D38" i="57"/>
  <c r="A38" i="57"/>
  <c r="D37" i="57"/>
  <c r="A37" i="57"/>
  <c r="D36" i="57"/>
  <c r="C36" i="57" s="1"/>
  <c r="A36" i="57"/>
  <c r="D35" i="57"/>
  <c r="C35" i="57" s="1"/>
  <c r="A35" i="57"/>
  <c r="D34" i="57"/>
  <c r="A34" i="57"/>
  <c r="D33" i="57"/>
  <c r="A33" i="57"/>
  <c r="D32" i="57"/>
  <c r="A32" i="57"/>
  <c r="D31" i="57"/>
  <c r="A31" i="57"/>
  <c r="D30" i="57"/>
  <c r="A30" i="57"/>
  <c r="D29" i="57"/>
  <c r="A29" i="57"/>
  <c r="D28" i="57"/>
  <c r="A28" i="57"/>
  <c r="D27" i="57"/>
  <c r="A27" i="57"/>
  <c r="D26" i="57"/>
  <c r="A26" i="57"/>
  <c r="D25" i="57"/>
  <c r="A25" i="57"/>
  <c r="D24" i="57"/>
  <c r="A24" i="57"/>
  <c r="D23" i="57"/>
  <c r="A23" i="57"/>
  <c r="D22" i="57"/>
  <c r="A22" i="57"/>
  <c r="D21" i="57"/>
  <c r="A21" i="57"/>
  <c r="D20" i="57"/>
  <c r="A20" i="57"/>
  <c r="D19" i="57"/>
  <c r="A19" i="57"/>
  <c r="D18" i="57"/>
  <c r="C18" i="57"/>
  <c r="A18" i="57"/>
  <c r="D17" i="57"/>
  <c r="A17" i="57"/>
  <c r="D16" i="57"/>
  <c r="A16" i="57"/>
  <c r="D15" i="57"/>
  <c r="A15" i="57"/>
  <c r="D14" i="57"/>
  <c r="A14" i="57"/>
  <c r="D13" i="57"/>
  <c r="A13" i="57"/>
  <c r="D12" i="57"/>
  <c r="A12" i="57"/>
  <c r="D11" i="57"/>
  <c r="A11" i="57"/>
  <c r="D10" i="57"/>
  <c r="A10" i="57"/>
  <c r="D9" i="57"/>
  <c r="A9" i="57"/>
  <c r="D8" i="57"/>
  <c r="A8" i="57"/>
  <c r="D7" i="57"/>
  <c r="C7" i="57"/>
  <c r="A7" i="57"/>
  <c r="D6" i="57"/>
  <c r="A6" i="57"/>
  <c r="D5" i="57"/>
  <c r="A5" i="57"/>
  <c r="D4" i="57"/>
  <c r="A4" i="57"/>
  <c r="D3" i="57"/>
  <c r="A3" i="57"/>
  <c r="D105" i="36"/>
  <c r="A105" i="36"/>
  <c r="D104" i="36"/>
  <c r="A104" i="36"/>
  <c r="D103" i="36"/>
  <c r="A103" i="36"/>
  <c r="D102" i="36"/>
  <c r="A102" i="36"/>
  <c r="D101" i="36"/>
  <c r="A101" i="36"/>
  <c r="D100" i="36"/>
  <c r="A100" i="36"/>
  <c r="D99" i="36"/>
  <c r="A99" i="36"/>
  <c r="D98" i="36"/>
  <c r="A98" i="36"/>
  <c r="D97" i="36"/>
  <c r="A97" i="36"/>
  <c r="D96" i="36"/>
  <c r="A96" i="36"/>
  <c r="D95" i="36"/>
  <c r="A95" i="36"/>
  <c r="D94" i="36"/>
  <c r="A94" i="36"/>
  <c r="D93" i="36"/>
  <c r="A93" i="36"/>
  <c r="D92" i="36"/>
  <c r="A92" i="36"/>
  <c r="D91" i="36"/>
  <c r="A91" i="36"/>
  <c r="D90" i="36"/>
  <c r="A90" i="36"/>
  <c r="D89" i="36"/>
  <c r="A89" i="36"/>
  <c r="D88" i="36"/>
  <c r="A88" i="36"/>
  <c r="D87" i="36"/>
  <c r="A87" i="36"/>
  <c r="D86" i="36"/>
  <c r="A86" i="36"/>
  <c r="D85" i="36"/>
  <c r="A85" i="36"/>
  <c r="D84" i="36"/>
  <c r="A84" i="36"/>
  <c r="D83" i="36"/>
  <c r="A83" i="36"/>
  <c r="D82" i="36"/>
  <c r="A82" i="36"/>
  <c r="D81" i="36"/>
  <c r="A81" i="36"/>
  <c r="D80" i="36"/>
  <c r="A80" i="36"/>
  <c r="D79" i="36"/>
  <c r="A79" i="36"/>
  <c r="D78" i="36"/>
  <c r="A78" i="36"/>
  <c r="D77" i="36"/>
  <c r="A77" i="36"/>
  <c r="A76" i="36"/>
  <c r="D75" i="36"/>
  <c r="C75" i="36" s="1"/>
  <c r="A75" i="36"/>
  <c r="D74" i="36"/>
  <c r="C74" i="36" s="1"/>
  <c r="A74" i="36"/>
  <c r="D73" i="36"/>
  <c r="C73" i="36" s="1"/>
  <c r="A73" i="36"/>
  <c r="D72" i="36"/>
  <c r="C72" i="36" s="1"/>
  <c r="A72" i="36"/>
  <c r="D71" i="36"/>
  <c r="C71" i="36" s="1"/>
  <c r="A71" i="36"/>
  <c r="D70" i="36"/>
  <c r="A70" i="36"/>
  <c r="D69" i="36"/>
  <c r="A69" i="36"/>
  <c r="D68" i="36"/>
  <c r="A68" i="36"/>
  <c r="D67" i="36"/>
  <c r="A67" i="36"/>
  <c r="D66" i="36"/>
  <c r="A66" i="36"/>
  <c r="D65" i="36"/>
  <c r="A65" i="36"/>
  <c r="D64" i="36"/>
  <c r="A64" i="36"/>
  <c r="D63" i="36"/>
  <c r="C63" i="36"/>
  <c r="A63" i="36"/>
  <c r="D62" i="36"/>
  <c r="A62" i="36"/>
  <c r="D61" i="36"/>
  <c r="A61" i="36"/>
  <c r="D60" i="36"/>
  <c r="A60" i="36"/>
  <c r="A59" i="36"/>
  <c r="D58" i="36"/>
  <c r="A58" i="36"/>
  <c r="A57" i="36"/>
  <c r="D56" i="36"/>
  <c r="A56" i="36"/>
  <c r="D55" i="36"/>
  <c r="A55" i="36"/>
  <c r="D54" i="36"/>
  <c r="A54" i="36"/>
  <c r="D53" i="36"/>
  <c r="A53" i="36"/>
  <c r="D52" i="36"/>
  <c r="A52" i="36"/>
  <c r="D51" i="36"/>
  <c r="A51" i="36"/>
  <c r="D50" i="36"/>
  <c r="A50" i="36"/>
  <c r="D49" i="36"/>
  <c r="A49" i="36"/>
  <c r="D48" i="36"/>
  <c r="A48" i="36"/>
  <c r="D47" i="36"/>
  <c r="A47" i="36"/>
  <c r="D46" i="36"/>
  <c r="A46" i="36"/>
  <c r="D45" i="36"/>
  <c r="A45" i="36"/>
  <c r="D44" i="36"/>
  <c r="A44" i="36"/>
  <c r="D43" i="36"/>
  <c r="A43" i="36"/>
  <c r="D42" i="36"/>
  <c r="A42" i="36"/>
  <c r="D41" i="36"/>
  <c r="A41" i="36"/>
  <c r="D40" i="36"/>
  <c r="A40" i="36"/>
  <c r="D39" i="36"/>
  <c r="A39" i="36"/>
  <c r="D38" i="36"/>
  <c r="A38" i="36"/>
  <c r="D37" i="36"/>
  <c r="A37" i="36"/>
  <c r="D36" i="36"/>
  <c r="C36" i="36" s="1"/>
  <c r="A36" i="36"/>
  <c r="D35" i="36"/>
  <c r="C35" i="36" s="1"/>
  <c r="A35" i="36"/>
  <c r="D34" i="36"/>
  <c r="A34" i="36"/>
  <c r="D33" i="36"/>
  <c r="A33" i="36"/>
  <c r="D32" i="36"/>
  <c r="A32" i="36"/>
  <c r="D31" i="36"/>
  <c r="A31" i="36"/>
  <c r="D30" i="36"/>
  <c r="A30" i="36"/>
  <c r="D29" i="36"/>
  <c r="A29" i="36"/>
  <c r="D28" i="36"/>
  <c r="A28" i="36"/>
  <c r="D27" i="36"/>
  <c r="A27" i="36"/>
  <c r="D26" i="36"/>
  <c r="A26" i="36"/>
  <c r="D25" i="36"/>
  <c r="A25" i="36"/>
  <c r="D24" i="36"/>
  <c r="A24" i="36"/>
  <c r="D23" i="36"/>
  <c r="A23" i="36"/>
  <c r="D22" i="36"/>
  <c r="A22" i="36"/>
  <c r="D21" i="36"/>
  <c r="A21" i="36"/>
  <c r="D20" i="36"/>
  <c r="A20" i="36"/>
  <c r="D19" i="36"/>
  <c r="A19" i="36"/>
  <c r="D18" i="36"/>
  <c r="C18" i="36"/>
  <c r="A18" i="36"/>
  <c r="D17" i="36"/>
  <c r="A17" i="36"/>
  <c r="D16" i="36"/>
  <c r="A16" i="36"/>
  <c r="D15" i="36"/>
  <c r="A15" i="36"/>
  <c r="D14" i="36"/>
  <c r="A14" i="36"/>
  <c r="D13" i="36"/>
  <c r="A13" i="36"/>
  <c r="D12" i="36"/>
  <c r="A12" i="36"/>
  <c r="D11" i="36"/>
  <c r="A11" i="36"/>
  <c r="D10" i="36"/>
  <c r="A10" i="36"/>
  <c r="D9" i="36"/>
  <c r="A9" i="36"/>
  <c r="D8" i="36"/>
  <c r="A8" i="36"/>
  <c r="D7" i="36"/>
  <c r="C7" i="36"/>
  <c r="A7" i="36"/>
  <c r="D6" i="36"/>
  <c r="A6" i="36"/>
  <c r="D5" i="36"/>
  <c r="A5" i="36"/>
  <c r="D4" i="36"/>
  <c r="A4" i="36"/>
  <c r="D3" i="36"/>
  <c r="A3" i="36"/>
  <c r="D105" i="35"/>
  <c r="A105" i="35"/>
  <c r="D104" i="35"/>
  <c r="A104" i="35"/>
  <c r="D103" i="35"/>
  <c r="A103" i="35"/>
  <c r="D102" i="35"/>
  <c r="A102" i="35"/>
  <c r="D101" i="35"/>
  <c r="A101" i="35"/>
  <c r="D100" i="35"/>
  <c r="A100" i="35"/>
  <c r="D99" i="35"/>
  <c r="A99" i="35"/>
  <c r="D98" i="35"/>
  <c r="A98" i="35"/>
  <c r="D97" i="35"/>
  <c r="A97" i="35"/>
  <c r="D96" i="35"/>
  <c r="A96" i="35"/>
  <c r="D95" i="35"/>
  <c r="A95" i="35"/>
  <c r="D94" i="35"/>
  <c r="A94" i="35"/>
  <c r="D93" i="35"/>
  <c r="A93" i="35"/>
  <c r="D92" i="35"/>
  <c r="A92" i="35"/>
  <c r="D91" i="35"/>
  <c r="A91" i="35"/>
  <c r="D90" i="35"/>
  <c r="A90" i="35"/>
  <c r="D89" i="35"/>
  <c r="A89" i="35"/>
  <c r="D88" i="35"/>
  <c r="A88" i="35"/>
  <c r="D87" i="35"/>
  <c r="A87" i="35"/>
  <c r="D86" i="35"/>
  <c r="A86" i="35"/>
  <c r="D85" i="35"/>
  <c r="A85" i="35"/>
  <c r="D84" i="35"/>
  <c r="A84" i="35"/>
  <c r="D83" i="35"/>
  <c r="A83" i="35"/>
  <c r="D82" i="35"/>
  <c r="A82" i="35"/>
  <c r="D81" i="35"/>
  <c r="A81" i="35"/>
  <c r="D80" i="35"/>
  <c r="A80" i="35"/>
  <c r="D79" i="35"/>
  <c r="A79" i="35"/>
  <c r="D78" i="35"/>
  <c r="A78" i="35"/>
  <c r="D77" i="35"/>
  <c r="A77" i="35"/>
  <c r="A76" i="35"/>
  <c r="D75" i="35"/>
  <c r="C75" i="35" s="1"/>
  <c r="A75" i="35"/>
  <c r="D74" i="35"/>
  <c r="C74" i="35" s="1"/>
  <c r="A74" i="35"/>
  <c r="D73" i="35"/>
  <c r="C73" i="35" s="1"/>
  <c r="A73" i="35"/>
  <c r="D72" i="35"/>
  <c r="C72" i="35" s="1"/>
  <c r="A72" i="35"/>
  <c r="D71" i="35"/>
  <c r="C71" i="35" s="1"/>
  <c r="A71" i="35"/>
  <c r="D70" i="35"/>
  <c r="A70" i="35"/>
  <c r="D69" i="35"/>
  <c r="A69" i="35"/>
  <c r="D68" i="35"/>
  <c r="A68" i="35"/>
  <c r="D67" i="35"/>
  <c r="A67" i="35"/>
  <c r="D66" i="35"/>
  <c r="A66" i="35"/>
  <c r="D65" i="35"/>
  <c r="A65" i="35"/>
  <c r="D64" i="35"/>
  <c r="A64" i="35"/>
  <c r="D63" i="35"/>
  <c r="C63" i="35"/>
  <c r="A63" i="35"/>
  <c r="D62" i="35"/>
  <c r="A62" i="35"/>
  <c r="D61" i="35"/>
  <c r="A61" i="35"/>
  <c r="D60" i="35"/>
  <c r="A60" i="35"/>
  <c r="A59" i="35"/>
  <c r="D58" i="35"/>
  <c r="A58" i="35"/>
  <c r="A57" i="35"/>
  <c r="D56" i="35"/>
  <c r="A56" i="35"/>
  <c r="D55" i="35"/>
  <c r="A55" i="35"/>
  <c r="D54" i="35"/>
  <c r="A54" i="35"/>
  <c r="D53" i="35"/>
  <c r="A53" i="35"/>
  <c r="D52" i="35"/>
  <c r="A52" i="35"/>
  <c r="D51" i="35"/>
  <c r="A51" i="35"/>
  <c r="D50" i="35"/>
  <c r="A50" i="35"/>
  <c r="D49" i="35"/>
  <c r="A49" i="35"/>
  <c r="D48" i="35"/>
  <c r="A48" i="35"/>
  <c r="D47" i="35"/>
  <c r="A47" i="35"/>
  <c r="D46" i="35"/>
  <c r="A46" i="35"/>
  <c r="D45" i="35"/>
  <c r="A45" i="35"/>
  <c r="D44" i="35"/>
  <c r="A44" i="35"/>
  <c r="D43" i="35"/>
  <c r="A43" i="35"/>
  <c r="D42" i="35"/>
  <c r="A42" i="35"/>
  <c r="D41" i="35"/>
  <c r="A41" i="35"/>
  <c r="D40" i="35"/>
  <c r="A40" i="35"/>
  <c r="D39" i="35"/>
  <c r="A39" i="35"/>
  <c r="D38" i="35"/>
  <c r="A38" i="35"/>
  <c r="D37" i="35"/>
  <c r="A37" i="35"/>
  <c r="D36" i="35"/>
  <c r="C36" i="35" s="1"/>
  <c r="A36" i="35"/>
  <c r="D35" i="35"/>
  <c r="C35" i="35" s="1"/>
  <c r="A35" i="35"/>
  <c r="D34" i="35"/>
  <c r="A34" i="35"/>
  <c r="D33" i="35"/>
  <c r="A33" i="35"/>
  <c r="D32" i="35"/>
  <c r="A32" i="35"/>
  <c r="D31" i="35"/>
  <c r="A31" i="35"/>
  <c r="D30" i="35"/>
  <c r="A30" i="35"/>
  <c r="D29" i="35"/>
  <c r="A29" i="35"/>
  <c r="D28" i="35"/>
  <c r="A28" i="35"/>
  <c r="D27" i="35"/>
  <c r="A27" i="35"/>
  <c r="D26" i="35"/>
  <c r="A26" i="35"/>
  <c r="D25" i="35"/>
  <c r="A25" i="35"/>
  <c r="D24" i="35"/>
  <c r="A24" i="35"/>
  <c r="D23" i="35"/>
  <c r="A23" i="35"/>
  <c r="D22" i="35"/>
  <c r="A22" i="35"/>
  <c r="D21" i="35"/>
  <c r="A21" i="35"/>
  <c r="D20" i="35"/>
  <c r="A20" i="35"/>
  <c r="D19" i="35"/>
  <c r="A19" i="35"/>
  <c r="D18" i="35"/>
  <c r="C18" i="35"/>
  <c r="A18" i="35"/>
  <c r="D17" i="35"/>
  <c r="A17" i="35"/>
  <c r="D16" i="35"/>
  <c r="A16" i="35"/>
  <c r="D15" i="35"/>
  <c r="A15" i="35"/>
  <c r="D14" i="35"/>
  <c r="A14" i="35"/>
  <c r="D13" i="35"/>
  <c r="A13" i="35"/>
  <c r="D12" i="35"/>
  <c r="A12" i="35"/>
  <c r="D11" i="35"/>
  <c r="A11" i="35"/>
  <c r="D10" i="35"/>
  <c r="A10" i="35"/>
  <c r="D9" i="35"/>
  <c r="A9" i="35"/>
  <c r="D8" i="35"/>
  <c r="A8" i="35"/>
  <c r="D7" i="35"/>
  <c r="C7" i="35"/>
  <c r="A7" i="35"/>
  <c r="D6" i="35"/>
  <c r="A6" i="35"/>
  <c r="D5" i="35"/>
  <c r="A5" i="35"/>
  <c r="D4" i="35"/>
  <c r="A4" i="35"/>
  <c r="D3" i="35"/>
  <c r="A3" i="35"/>
  <c r="D105" i="31"/>
  <c r="A105" i="31"/>
  <c r="D104" i="31"/>
  <c r="A104" i="31"/>
  <c r="D103" i="31"/>
  <c r="A103" i="31"/>
  <c r="D102" i="31"/>
  <c r="A102" i="31"/>
  <c r="D101" i="31"/>
  <c r="A101" i="31"/>
  <c r="D100" i="31"/>
  <c r="A100" i="31"/>
  <c r="D99" i="31"/>
  <c r="A99" i="31"/>
  <c r="D98" i="31"/>
  <c r="A98" i="31"/>
  <c r="D97" i="31"/>
  <c r="A97" i="31"/>
  <c r="D96" i="31"/>
  <c r="A96" i="31"/>
  <c r="D95" i="31"/>
  <c r="A95" i="31"/>
  <c r="D94" i="31"/>
  <c r="A94" i="31"/>
  <c r="D93" i="31"/>
  <c r="A93" i="31"/>
  <c r="D92" i="31"/>
  <c r="A92" i="31"/>
  <c r="D91" i="31"/>
  <c r="A91" i="31"/>
  <c r="D90" i="31"/>
  <c r="A90" i="31"/>
  <c r="D89" i="31"/>
  <c r="A89" i="31"/>
  <c r="D88" i="31"/>
  <c r="A88" i="31"/>
  <c r="D87" i="31"/>
  <c r="A87" i="31"/>
  <c r="D86" i="31"/>
  <c r="A86" i="31"/>
  <c r="D85" i="31"/>
  <c r="A85" i="31"/>
  <c r="D84" i="31"/>
  <c r="A84" i="31"/>
  <c r="D83" i="31"/>
  <c r="A83" i="31"/>
  <c r="D82" i="31"/>
  <c r="A82" i="31"/>
  <c r="D81" i="31"/>
  <c r="A81" i="31"/>
  <c r="D80" i="31"/>
  <c r="A80" i="31"/>
  <c r="D79" i="31"/>
  <c r="A79" i="31"/>
  <c r="D78" i="31"/>
  <c r="A78" i="31"/>
  <c r="D77" i="31"/>
  <c r="A77" i="31"/>
  <c r="A76" i="31"/>
  <c r="D75" i="31"/>
  <c r="C75" i="31" s="1"/>
  <c r="A75" i="31"/>
  <c r="D74" i="31"/>
  <c r="C74" i="31" s="1"/>
  <c r="A74" i="31"/>
  <c r="D73" i="31"/>
  <c r="C73" i="31" s="1"/>
  <c r="A73" i="31"/>
  <c r="D72" i="31"/>
  <c r="C72" i="31" s="1"/>
  <c r="A72" i="31"/>
  <c r="D71" i="31"/>
  <c r="C71" i="31" s="1"/>
  <c r="A71" i="31"/>
  <c r="D70" i="31"/>
  <c r="A70" i="31"/>
  <c r="D69" i="31"/>
  <c r="A69" i="31"/>
  <c r="D68" i="31"/>
  <c r="A68" i="31"/>
  <c r="D67" i="31"/>
  <c r="A67" i="31"/>
  <c r="D66" i="31"/>
  <c r="A66" i="31"/>
  <c r="D65" i="31"/>
  <c r="A65" i="31"/>
  <c r="D64" i="31"/>
  <c r="A64" i="31"/>
  <c r="D63" i="31"/>
  <c r="C63" i="31"/>
  <c r="A63" i="31"/>
  <c r="D62" i="31"/>
  <c r="A62" i="31"/>
  <c r="D61" i="31"/>
  <c r="A61" i="31"/>
  <c r="D60" i="31"/>
  <c r="A60" i="31"/>
  <c r="A59" i="31"/>
  <c r="D58" i="31"/>
  <c r="A58" i="31"/>
  <c r="A57" i="31"/>
  <c r="D56" i="31"/>
  <c r="A56" i="31"/>
  <c r="D55" i="31"/>
  <c r="A55" i="31"/>
  <c r="D54" i="31"/>
  <c r="A54" i="31"/>
  <c r="D53" i="31"/>
  <c r="A53" i="31"/>
  <c r="D52" i="31"/>
  <c r="A52" i="31"/>
  <c r="D51" i="31"/>
  <c r="A51" i="31"/>
  <c r="D50" i="31"/>
  <c r="A50" i="31"/>
  <c r="D49" i="31"/>
  <c r="A49" i="31"/>
  <c r="D48" i="31"/>
  <c r="A48" i="31"/>
  <c r="D47" i="31"/>
  <c r="A47" i="31"/>
  <c r="D46" i="31"/>
  <c r="A46" i="31"/>
  <c r="D45" i="31"/>
  <c r="A45" i="31"/>
  <c r="D44" i="31"/>
  <c r="A44" i="31"/>
  <c r="D43" i="31"/>
  <c r="A43" i="31"/>
  <c r="D42" i="31"/>
  <c r="A42" i="31"/>
  <c r="D41" i="31"/>
  <c r="A41" i="31"/>
  <c r="D40" i="31"/>
  <c r="A40" i="31"/>
  <c r="D39" i="31"/>
  <c r="A39" i="31"/>
  <c r="D38" i="31"/>
  <c r="A38" i="31"/>
  <c r="D37" i="31"/>
  <c r="A37" i="31"/>
  <c r="D36" i="31"/>
  <c r="C36" i="31" s="1"/>
  <c r="A36" i="31"/>
  <c r="D35" i="31"/>
  <c r="C35" i="31" s="1"/>
  <c r="A35" i="31"/>
  <c r="D34" i="31"/>
  <c r="A34" i="31"/>
  <c r="D33" i="31"/>
  <c r="A33" i="31"/>
  <c r="D32" i="31"/>
  <c r="A32" i="31"/>
  <c r="D31" i="31"/>
  <c r="A31" i="31"/>
  <c r="D30" i="31"/>
  <c r="A30" i="31"/>
  <c r="D29" i="31"/>
  <c r="A29" i="31"/>
  <c r="D28" i="31"/>
  <c r="A28" i="31"/>
  <c r="D27" i="31"/>
  <c r="A27" i="31"/>
  <c r="D26" i="31"/>
  <c r="A26" i="31"/>
  <c r="D25" i="31"/>
  <c r="A25" i="31"/>
  <c r="D24" i="31"/>
  <c r="A24" i="31"/>
  <c r="D23" i="31"/>
  <c r="A23" i="31"/>
  <c r="D22" i="31"/>
  <c r="A22" i="31"/>
  <c r="D21" i="31"/>
  <c r="A21" i="31"/>
  <c r="D20" i="31"/>
  <c r="A20" i="31"/>
  <c r="D19" i="31"/>
  <c r="A19" i="31"/>
  <c r="D18" i="31"/>
  <c r="C18" i="31"/>
  <c r="A18" i="31"/>
  <c r="D17" i="31"/>
  <c r="A17" i="31"/>
  <c r="D16" i="31"/>
  <c r="A16" i="31"/>
  <c r="D15" i="31"/>
  <c r="A15" i="31"/>
  <c r="D14" i="31"/>
  <c r="A14" i="31"/>
  <c r="D13" i="31"/>
  <c r="A13" i="31"/>
  <c r="D12" i="31"/>
  <c r="A12" i="31"/>
  <c r="D11" i="31"/>
  <c r="A11" i="31"/>
  <c r="D10" i="31"/>
  <c r="A10" i="31"/>
  <c r="D9" i="31"/>
  <c r="A9" i="31"/>
  <c r="D8" i="31"/>
  <c r="A8" i="31"/>
  <c r="D7" i="31"/>
  <c r="C7" i="31"/>
  <c r="A7" i="31"/>
  <c r="D6" i="31"/>
  <c r="A6" i="31"/>
  <c r="D5" i="31"/>
  <c r="A5" i="31"/>
  <c r="D4" i="31"/>
  <c r="A4" i="31"/>
  <c r="D3" i="31"/>
  <c r="A3" i="31"/>
  <c r="D105" i="30"/>
  <c r="A105" i="30"/>
  <c r="D104" i="30"/>
  <c r="A104" i="30"/>
  <c r="D103" i="30"/>
  <c r="A103" i="30"/>
  <c r="D102" i="30"/>
  <c r="A102" i="30"/>
  <c r="D101" i="30"/>
  <c r="A101" i="30"/>
  <c r="D100" i="30"/>
  <c r="A100" i="30"/>
  <c r="D99" i="30"/>
  <c r="A99" i="30"/>
  <c r="D98" i="30"/>
  <c r="A98" i="30"/>
  <c r="D97" i="30"/>
  <c r="A97" i="30"/>
  <c r="D96" i="30"/>
  <c r="A96" i="30"/>
  <c r="D95" i="30"/>
  <c r="A95" i="30"/>
  <c r="D94" i="30"/>
  <c r="A94" i="30"/>
  <c r="D93" i="30"/>
  <c r="A93" i="30"/>
  <c r="D92" i="30"/>
  <c r="A92" i="30"/>
  <c r="D91" i="30"/>
  <c r="A91" i="30"/>
  <c r="D90" i="30"/>
  <c r="A90" i="30"/>
  <c r="D89" i="30"/>
  <c r="A89" i="30"/>
  <c r="D88" i="30"/>
  <c r="A88" i="30"/>
  <c r="D87" i="30"/>
  <c r="A87" i="30"/>
  <c r="D86" i="30"/>
  <c r="A86" i="30"/>
  <c r="D85" i="30"/>
  <c r="A85" i="30"/>
  <c r="D84" i="30"/>
  <c r="A84" i="30"/>
  <c r="D83" i="30"/>
  <c r="A83" i="30"/>
  <c r="D82" i="30"/>
  <c r="A82" i="30"/>
  <c r="D81" i="30"/>
  <c r="A81" i="30"/>
  <c r="D80" i="30"/>
  <c r="A80" i="30"/>
  <c r="D79" i="30"/>
  <c r="A79" i="30"/>
  <c r="D78" i="30"/>
  <c r="A78" i="30"/>
  <c r="D77" i="30"/>
  <c r="A77" i="30"/>
  <c r="A76" i="30"/>
  <c r="D75" i="30"/>
  <c r="C75" i="30" s="1"/>
  <c r="A75" i="30"/>
  <c r="D74" i="30"/>
  <c r="C74" i="30" s="1"/>
  <c r="A74" i="30"/>
  <c r="D73" i="30"/>
  <c r="C73" i="30" s="1"/>
  <c r="A73" i="30"/>
  <c r="D72" i="30"/>
  <c r="C72" i="30" s="1"/>
  <c r="A72" i="30"/>
  <c r="D71" i="30"/>
  <c r="C71" i="30" s="1"/>
  <c r="A71" i="30"/>
  <c r="D70" i="30"/>
  <c r="A70" i="30"/>
  <c r="D69" i="30"/>
  <c r="A69" i="30"/>
  <c r="D68" i="30"/>
  <c r="A68" i="30"/>
  <c r="D67" i="30"/>
  <c r="A67" i="30"/>
  <c r="D66" i="30"/>
  <c r="A66" i="30"/>
  <c r="D65" i="30"/>
  <c r="A65" i="30"/>
  <c r="D64" i="30"/>
  <c r="A64" i="30"/>
  <c r="D63" i="30"/>
  <c r="C63" i="30"/>
  <c r="A63" i="30"/>
  <c r="D62" i="30"/>
  <c r="A62" i="30"/>
  <c r="D61" i="30"/>
  <c r="A61" i="30"/>
  <c r="D60" i="30"/>
  <c r="A60" i="30"/>
  <c r="A59" i="30"/>
  <c r="D58" i="30"/>
  <c r="A58" i="30"/>
  <c r="A57" i="30"/>
  <c r="D56" i="30"/>
  <c r="A56" i="30"/>
  <c r="D55" i="30"/>
  <c r="A55" i="30"/>
  <c r="D54" i="30"/>
  <c r="A54" i="30"/>
  <c r="D53" i="30"/>
  <c r="A53" i="30"/>
  <c r="D52" i="30"/>
  <c r="A52" i="30"/>
  <c r="D51" i="30"/>
  <c r="A51" i="30"/>
  <c r="D50" i="30"/>
  <c r="A50" i="30"/>
  <c r="D49" i="30"/>
  <c r="A49" i="30"/>
  <c r="D48" i="30"/>
  <c r="A48" i="30"/>
  <c r="D47" i="30"/>
  <c r="A47" i="30"/>
  <c r="D46" i="30"/>
  <c r="A46" i="30"/>
  <c r="D45" i="30"/>
  <c r="A45" i="30"/>
  <c r="D44" i="30"/>
  <c r="A44" i="30"/>
  <c r="D43" i="30"/>
  <c r="A43" i="30"/>
  <c r="D42" i="30"/>
  <c r="A42" i="30"/>
  <c r="D41" i="30"/>
  <c r="A41" i="30"/>
  <c r="D40" i="30"/>
  <c r="A40" i="30"/>
  <c r="D39" i="30"/>
  <c r="A39" i="30"/>
  <c r="D38" i="30"/>
  <c r="A38" i="30"/>
  <c r="D37" i="30"/>
  <c r="A37" i="30"/>
  <c r="D36" i="30"/>
  <c r="C36" i="30" s="1"/>
  <c r="A36" i="30"/>
  <c r="D35" i="30"/>
  <c r="C35" i="30" s="1"/>
  <c r="A35" i="30"/>
  <c r="D34" i="30"/>
  <c r="A34" i="30"/>
  <c r="D33" i="30"/>
  <c r="A33" i="30"/>
  <c r="D32" i="30"/>
  <c r="A32" i="30"/>
  <c r="D31" i="30"/>
  <c r="A31" i="30"/>
  <c r="D30" i="30"/>
  <c r="A30" i="30"/>
  <c r="D29" i="30"/>
  <c r="A29" i="30"/>
  <c r="D28" i="30"/>
  <c r="A28" i="30"/>
  <c r="D27" i="30"/>
  <c r="A27" i="30"/>
  <c r="D26" i="30"/>
  <c r="A26" i="30"/>
  <c r="D25" i="30"/>
  <c r="A25" i="30"/>
  <c r="D24" i="30"/>
  <c r="A24" i="30"/>
  <c r="D23" i="30"/>
  <c r="A23" i="30"/>
  <c r="D22" i="30"/>
  <c r="A22" i="30"/>
  <c r="D21" i="30"/>
  <c r="A21" i="30"/>
  <c r="D20" i="30"/>
  <c r="A20" i="30"/>
  <c r="D19" i="30"/>
  <c r="A19" i="30"/>
  <c r="D18" i="30"/>
  <c r="C18" i="30"/>
  <c r="A18" i="30"/>
  <c r="D17" i="30"/>
  <c r="A17" i="30"/>
  <c r="D16" i="30"/>
  <c r="A16" i="30"/>
  <c r="D15" i="30"/>
  <c r="A15" i="30"/>
  <c r="D14" i="30"/>
  <c r="A14" i="30"/>
  <c r="D13" i="30"/>
  <c r="A13" i="30"/>
  <c r="D12" i="30"/>
  <c r="A12" i="30"/>
  <c r="D11" i="30"/>
  <c r="A11" i="30"/>
  <c r="D10" i="30"/>
  <c r="A10" i="30"/>
  <c r="D9" i="30"/>
  <c r="A9" i="30"/>
  <c r="D8" i="30"/>
  <c r="A8" i="30"/>
  <c r="D7" i="30"/>
  <c r="C7" i="30"/>
  <c r="A7" i="30"/>
  <c r="D6" i="30"/>
  <c r="A6" i="30"/>
  <c r="D5" i="30"/>
  <c r="A5" i="30"/>
  <c r="D4" i="30"/>
  <c r="A4" i="30"/>
  <c r="D3" i="30"/>
  <c r="A3" i="30"/>
  <c r="D105" i="29"/>
  <c r="A105" i="29"/>
  <c r="D104" i="29"/>
  <c r="A104" i="29"/>
  <c r="D103" i="29"/>
  <c r="A103" i="29"/>
  <c r="D102" i="29"/>
  <c r="A102" i="29"/>
  <c r="D101" i="29"/>
  <c r="A101" i="29"/>
  <c r="D100" i="29"/>
  <c r="A100" i="29"/>
  <c r="D99" i="29"/>
  <c r="A99" i="29"/>
  <c r="D98" i="29"/>
  <c r="A98" i="29"/>
  <c r="D97" i="29"/>
  <c r="A97" i="29"/>
  <c r="D96" i="29"/>
  <c r="A96" i="29"/>
  <c r="D95" i="29"/>
  <c r="A95" i="29"/>
  <c r="D94" i="29"/>
  <c r="A94" i="29"/>
  <c r="D93" i="29"/>
  <c r="A93" i="29"/>
  <c r="D92" i="29"/>
  <c r="A92" i="29"/>
  <c r="D91" i="29"/>
  <c r="A91" i="29"/>
  <c r="D90" i="29"/>
  <c r="A90" i="29"/>
  <c r="D89" i="29"/>
  <c r="A89" i="29"/>
  <c r="D88" i="29"/>
  <c r="A88" i="29"/>
  <c r="D87" i="29"/>
  <c r="A87" i="29"/>
  <c r="D86" i="29"/>
  <c r="A86" i="29"/>
  <c r="D85" i="29"/>
  <c r="A85" i="29"/>
  <c r="D84" i="29"/>
  <c r="A84" i="29"/>
  <c r="D83" i="29"/>
  <c r="A83" i="29"/>
  <c r="D82" i="29"/>
  <c r="A82" i="29"/>
  <c r="D81" i="29"/>
  <c r="A81" i="29"/>
  <c r="D80" i="29"/>
  <c r="A80" i="29"/>
  <c r="D79" i="29"/>
  <c r="A79" i="29"/>
  <c r="D78" i="29"/>
  <c r="A78" i="29"/>
  <c r="D77" i="29"/>
  <c r="A77" i="29"/>
  <c r="A76" i="29"/>
  <c r="D75" i="29"/>
  <c r="C75" i="29" s="1"/>
  <c r="A75" i="29"/>
  <c r="D74" i="29"/>
  <c r="C74" i="29" s="1"/>
  <c r="A74" i="29"/>
  <c r="D73" i="29"/>
  <c r="C73" i="29" s="1"/>
  <c r="A73" i="29"/>
  <c r="D72" i="29"/>
  <c r="C72" i="29" s="1"/>
  <c r="A72" i="29"/>
  <c r="D71" i="29"/>
  <c r="C71" i="29" s="1"/>
  <c r="A71" i="29"/>
  <c r="D70" i="29"/>
  <c r="A70" i="29"/>
  <c r="D69" i="29"/>
  <c r="A69" i="29"/>
  <c r="D68" i="29"/>
  <c r="A68" i="29"/>
  <c r="D67" i="29"/>
  <c r="A67" i="29"/>
  <c r="D66" i="29"/>
  <c r="A66" i="29"/>
  <c r="D65" i="29"/>
  <c r="A65" i="29"/>
  <c r="D64" i="29"/>
  <c r="A64" i="29"/>
  <c r="D63" i="29"/>
  <c r="C63" i="29"/>
  <c r="A63" i="29"/>
  <c r="D62" i="29"/>
  <c r="A62" i="29"/>
  <c r="D61" i="29"/>
  <c r="A61" i="29"/>
  <c r="D60" i="29"/>
  <c r="A60" i="29"/>
  <c r="A59" i="29"/>
  <c r="D58" i="29"/>
  <c r="A58" i="29"/>
  <c r="A57" i="29"/>
  <c r="D56" i="29"/>
  <c r="A56" i="29"/>
  <c r="D55" i="29"/>
  <c r="A55" i="29"/>
  <c r="D54" i="29"/>
  <c r="A54" i="29"/>
  <c r="D53" i="29"/>
  <c r="A53" i="29"/>
  <c r="D52" i="29"/>
  <c r="A52" i="29"/>
  <c r="D51" i="29"/>
  <c r="A51" i="29"/>
  <c r="D50" i="29"/>
  <c r="A50" i="29"/>
  <c r="D49" i="29"/>
  <c r="A49" i="29"/>
  <c r="D48" i="29"/>
  <c r="A48" i="29"/>
  <c r="D47" i="29"/>
  <c r="A47" i="29"/>
  <c r="D46" i="29"/>
  <c r="A46" i="29"/>
  <c r="D45" i="29"/>
  <c r="A45" i="29"/>
  <c r="D44" i="29"/>
  <c r="A44" i="29"/>
  <c r="D43" i="29"/>
  <c r="A43" i="29"/>
  <c r="D42" i="29"/>
  <c r="A42" i="29"/>
  <c r="D41" i="29"/>
  <c r="A41" i="29"/>
  <c r="D40" i="29"/>
  <c r="A40" i="29"/>
  <c r="D39" i="29"/>
  <c r="A39" i="29"/>
  <c r="D38" i="29"/>
  <c r="A38" i="29"/>
  <c r="D37" i="29"/>
  <c r="A37" i="29"/>
  <c r="D36" i="29"/>
  <c r="C36" i="29" s="1"/>
  <c r="A36" i="29"/>
  <c r="D35" i="29"/>
  <c r="C35" i="29" s="1"/>
  <c r="A35" i="29"/>
  <c r="D34" i="29"/>
  <c r="A34" i="29"/>
  <c r="D33" i="29"/>
  <c r="A33" i="29"/>
  <c r="D32" i="29"/>
  <c r="A32" i="29"/>
  <c r="D31" i="29"/>
  <c r="A31" i="29"/>
  <c r="D30" i="29"/>
  <c r="A30" i="29"/>
  <c r="D29" i="29"/>
  <c r="A29" i="29"/>
  <c r="D28" i="29"/>
  <c r="A28" i="29"/>
  <c r="D27" i="29"/>
  <c r="A27" i="29"/>
  <c r="D26" i="29"/>
  <c r="A26" i="29"/>
  <c r="D25" i="29"/>
  <c r="A25" i="29"/>
  <c r="D24" i="29"/>
  <c r="A24" i="29"/>
  <c r="D23" i="29"/>
  <c r="A23" i="29"/>
  <c r="D22" i="29"/>
  <c r="A22" i="29"/>
  <c r="D21" i="29"/>
  <c r="A21" i="29"/>
  <c r="D20" i="29"/>
  <c r="A20" i="29"/>
  <c r="D19" i="29"/>
  <c r="A19" i="29"/>
  <c r="D18" i="29"/>
  <c r="C18" i="29"/>
  <c r="A18" i="29"/>
  <c r="D17" i="29"/>
  <c r="A17" i="29"/>
  <c r="D16" i="29"/>
  <c r="A16" i="29"/>
  <c r="D15" i="29"/>
  <c r="A15" i="29"/>
  <c r="D14" i="29"/>
  <c r="A14" i="29"/>
  <c r="D13" i="29"/>
  <c r="A13" i="29"/>
  <c r="D12" i="29"/>
  <c r="A12" i="29"/>
  <c r="D11" i="29"/>
  <c r="A11" i="29"/>
  <c r="D10" i="29"/>
  <c r="A10" i="29"/>
  <c r="D9" i="29"/>
  <c r="A9" i="29"/>
  <c r="D8" i="29"/>
  <c r="A8" i="29"/>
  <c r="D7" i="29"/>
  <c r="C7" i="29"/>
  <c r="A7" i="29"/>
  <c r="D6" i="29"/>
  <c r="A6" i="29"/>
  <c r="D5" i="29"/>
  <c r="A5" i="29"/>
  <c r="D4" i="29"/>
  <c r="A4" i="29"/>
  <c r="D3" i="29"/>
  <c r="A3" i="29"/>
  <c r="D105" i="28"/>
  <c r="A105" i="28"/>
  <c r="D104" i="28"/>
  <c r="A104" i="28"/>
  <c r="D103" i="28"/>
  <c r="A103" i="28"/>
  <c r="D102" i="28"/>
  <c r="A102" i="28"/>
  <c r="D101" i="28"/>
  <c r="A101" i="28"/>
  <c r="D100" i="28"/>
  <c r="A100" i="28"/>
  <c r="D99" i="28"/>
  <c r="A99" i="28"/>
  <c r="D98" i="28"/>
  <c r="A98" i="28"/>
  <c r="D97" i="28"/>
  <c r="A97" i="28"/>
  <c r="D96" i="28"/>
  <c r="A96" i="28"/>
  <c r="D95" i="28"/>
  <c r="A95" i="28"/>
  <c r="D94" i="28"/>
  <c r="A94" i="28"/>
  <c r="D93" i="28"/>
  <c r="A93" i="28"/>
  <c r="D92" i="28"/>
  <c r="A92" i="28"/>
  <c r="D91" i="28"/>
  <c r="A91" i="28"/>
  <c r="D90" i="28"/>
  <c r="A90" i="28"/>
  <c r="D89" i="28"/>
  <c r="A89" i="28"/>
  <c r="D88" i="28"/>
  <c r="A88" i="28"/>
  <c r="D87" i="28"/>
  <c r="A87" i="28"/>
  <c r="D86" i="28"/>
  <c r="A86" i="28"/>
  <c r="D85" i="28"/>
  <c r="A85" i="28"/>
  <c r="D84" i="28"/>
  <c r="A84" i="28"/>
  <c r="D83" i="28"/>
  <c r="A83" i="28"/>
  <c r="D82" i="28"/>
  <c r="A82" i="28"/>
  <c r="D81" i="28"/>
  <c r="A81" i="28"/>
  <c r="D80" i="28"/>
  <c r="A80" i="28"/>
  <c r="D79" i="28"/>
  <c r="A79" i="28"/>
  <c r="D78" i="28"/>
  <c r="A78" i="28"/>
  <c r="D77" i="28"/>
  <c r="A77" i="28"/>
  <c r="A76" i="28"/>
  <c r="D75" i="28"/>
  <c r="C75" i="28" s="1"/>
  <c r="A75" i="28"/>
  <c r="D74" i="28"/>
  <c r="C74" i="28" s="1"/>
  <c r="A74" i="28"/>
  <c r="D73" i="28"/>
  <c r="C73" i="28" s="1"/>
  <c r="A73" i="28"/>
  <c r="D72" i="28"/>
  <c r="C72" i="28" s="1"/>
  <c r="A72" i="28"/>
  <c r="D71" i="28"/>
  <c r="C71" i="28" s="1"/>
  <c r="A71" i="28"/>
  <c r="D70" i="28"/>
  <c r="A70" i="28"/>
  <c r="D69" i="28"/>
  <c r="A69" i="28"/>
  <c r="D68" i="28"/>
  <c r="A68" i="28"/>
  <c r="D67" i="28"/>
  <c r="A67" i="28"/>
  <c r="D66" i="28"/>
  <c r="A66" i="28"/>
  <c r="D65" i="28"/>
  <c r="A65" i="28"/>
  <c r="D64" i="28"/>
  <c r="A64" i="28"/>
  <c r="D63" i="28"/>
  <c r="C63" i="28"/>
  <c r="A63" i="28"/>
  <c r="D62" i="28"/>
  <c r="A62" i="28"/>
  <c r="D61" i="28"/>
  <c r="A61" i="28"/>
  <c r="D60" i="28"/>
  <c r="A60" i="28"/>
  <c r="A59" i="28"/>
  <c r="D58" i="28"/>
  <c r="A58" i="28"/>
  <c r="A57" i="28"/>
  <c r="D56" i="28"/>
  <c r="A56" i="28"/>
  <c r="D55" i="28"/>
  <c r="A55" i="28"/>
  <c r="D54" i="28"/>
  <c r="A54" i="28"/>
  <c r="D53" i="28"/>
  <c r="A53" i="28"/>
  <c r="D52" i="28"/>
  <c r="A52" i="28"/>
  <c r="D51" i="28"/>
  <c r="A51" i="28"/>
  <c r="D50" i="28"/>
  <c r="A50" i="28"/>
  <c r="D49" i="28"/>
  <c r="A49" i="28"/>
  <c r="D48" i="28"/>
  <c r="A48" i="28"/>
  <c r="D47" i="28"/>
  <c r="A47" i="28"/>
  <c r="D46" i="28"/>
  <c r="A46" i="28"/>
  <c r="D45" i="28"/>
  <c r="A45" i="28"/>
  <c r="D44" i="28"/>
  <c r="A44" i="28"/>
  <c r="D43" i="28"/>
  <c r="A43" i="28"/>
  <c r="D42" i="28"/>
  <c r="A42" i="28"/>
  <c r="D41" i="28"/>
  <c r="A41" i="28"/>
  <c r="D40" i="28"/>
  <c r="A40" i="28"/>
  <c r="D39" i="28"/>
  <c r="A39" i="28"/>
  <c r="D38" i="28"/>
  <c r="A38" i="28"/>
  <c r="D37" i="28"/>
  <c r="A37" i="28"/>
  <c r="D36" i="28"/>
  <c r="C36" i="28" s="1"/>
  <c r="A36" i="28"/>
  <c r="D35" i="28"/>
  <c r="C35" i="28" s="1"/>
  <c r="A35" i="28"/>
  <c r="D34" i="28"/>
  <c r="A34" i="28"/>
  <c r="D33" i="28"/>
  <c r="A33" i="28"/>
  <c r="D32" i="28"/>
  <c r="A32" i="28"/>
  <c r="D31" i="28"/>
  <c r="A31" i="28"/>
  <c r="D30" i="28"/>
  <c r="A30" i="28"/>
  <c r="D29" i="28"/>
  <c r="A29" i="28"/>
  <c r="D28" i="28"/>
  <c r="A28" i="28"/>
  <c r="D27" i="28"/>
  <c r="A27" i="28"/>
  <c r="D26" i="28"/>
  <c r="A26" i="28"/>
  <c r="D25" i="28"/>
  <c r="A25" i="28"/>
  <c r="D24" i="28"/>
  <c r="A24" i="28"/>
  <c r="D23" i="28"/>
  <c r="A23" i="28"/>
  <c r="D22" i="28"/>
  <c r="A22" i="28"/>
  <c r="D21" i="28"/>
  <c r="A21" i="28"/>
  <c r="D20" i="28"/>
  <c r="A20" i="28"/>
  <c r="D19" i="28"/>
  <c r="A19" i="28"/>
  <c r="D18" i="28"/>
  <c r="C18" i="28"/>
  <c r="A18" i="28"/>
  <c r="D17" i="28"/>
  <c r="A17" i="28"/>
  <c r="D16" i="28"/>
  <c r="A16" i="28"/>
  <c r="D15" i="28"/>
  <c r="A15" i="28"/>
  <c r="D14" i="28"/>
  <c r="A14" i="28"/>
  <c r="D13" i="28"/>
  <c r="A13" i="28"/>
  <c r="D12" i="28"/>
  <c r="A12" i="28"/>
  <c r="D11" i="28"/>
  <c r="A11" i="28"/>
  <c r="D10" i="28"/>
  <c r="A10" i="28"/>
  <c r="D9" i="28"/>
  <c r="A9" i="28"/>
  <c r="D8" i="28"/>
  <c r="A8" i="28"/>
  <c r="D7" i="28"/>
  <c r="C7" i="28"/>
  <c r="A7" i="28"/>
  <c r="D6" i="28"/>
  <c r="A6" i="28"/>
  <c r="D5" i="28"/>
  <c r="A5" i="28"/>
  <c r="D4" i="28"/>
  <c r="A4" i="28"/>
  <c r="D3" i="28"/>
  <c r="A3" i="28"/>
  <c r="D105" i="27"/>
  <c r="A105" i="27"/>
  <c r="D104" i="27"/>
  <c r="A104" i="27"/>
  <c r="D103" i="27"/>
  <c r="A103" i="27"/>
  <c r="D102" i="27"/>
  <c r="A102" i="27"/>
  <c r="D101" i="27"/>
  <c r="A101" i="27"/>
  <c r="D100" i="27"/>
  <c r="A100" i="27"/>
  <c r="D99" i="27"/>
  <c r="A99" i="27"/>
  <c r="D98" i="27"/>
  <c r="A98" i="27"/>
  <c r="D97" i="27"/>
  <c r="A97" i="27"/>
  <c r="D96" i="27"/>
  <c r="A96" i="27"/>
  <c r="D95" i="27"/>
  <c r="A95" i="27"/>
  <c r="D94" i="27"/>
  <c r="A94" i="27"/>
  <c r="D93" i="27"/>
  <c r="A93" i="27"/>
  <c r="D92" i="27"/>
  <c r="A92" i="27"/>
  <c r="D91" i="27"/>
  <c r="A91" i="27"/>
  <c r="D90" i="27"/>
  <c r="A90" i="27"/>
  <c r="D89" i="27"/>
  <c r="A89" i="27"/>
  <c r="D88" i="27"/>
  <c r="A88" i="27"/>
  <c r="D87" i="27"/>
  <c r="A87" i="27"/>
  <c r="D86" i="27"/>
  <c r="A86" i="27"/>
  <c r="D85" i="27"/>
  <c r="A85" i="27"/>
  <c r="D84" i="27"/>
  <c r="A84" i="27"/>
  <c r="D83" i="27"/>
  <c r="A83" i="27"/>
  <c r="D82" i="27"/>
  <c r="A82" i="27"/>
  <c r="D81" i="27"/>
  <c r="A81" i="27"/>
  <c r="D80" i="27"/>
  <c r="A80" i="27"/>
  <c r="D79" i="27"/>
  <c r="A79" i="27"/>
  <c r="D78" i="27"/>
  <c r="A78" i="27"/>
  <c r="D77" i="27"/>
  <c r="A77" i="27"/>
  <c r="A76" i="27"/>
  <c r="D75" i="27"/>
  <c r="C75" i="27" s="1"/>
  <c r="A75" i="27"/>
  <c r="D74" i="27"/>
  <c r="C74" i="27" s="1"/>
  <c r="A74" i="27"/>
  <c r="D73" i="27"/>
  <c r="C73" i="27" s="1"/>
  <c r="A73" i="27"/>
  <c r="D72" i="27"/>
  <c r="C72" i="27" s="1"/>
  <c r="A72" i="27"/>
  <c r="D71" i="27"/>
  <c r="C71" i="27" s="1"/>
  <c r="A71" i="27"/>
  <c r="D70" i="27"/>
  <c r="A70" i="27"/>
  <c r="D69" i="27"/>
  <c r="A69" i="27"/>
  <c r="D68" i="27"/>
  <c r="A68" i="27"/>
  <c r="D67" i="27"/>
  <c r="A67" i="27"/>
  <c r="D66" i="27"/>
  <c r="A66" i="27"/>
  <c r="D65" i="27"/>
  <c r="A65" i="27"/>
  <c r="D64" i="27"/>
  <c r="A64" i="27"/>
  <c r="D63" i="27"/>
  <c r="C63" i="27"/>
  <c r="A63" i="27"/>
  <c r="D62" i="27"/>
  <c r="A62" i="27"/>
  <c r="D61" i="27"/>
  <c r="A61" i="27"/>
  <c r="D60" i="27"/>
  <c r="A60" i="27"/>
  <c r="A59" i="27"/>
  <c r="D58" i="27"/>
  <c r="A58" i="27"/>
  <c r="A57" i="27"/>
  <c r="D56" i="27"/>
  <c r="A56" i="27"/>
  <c r="D55" i="27"/>
  <c r="A55" i="27"/>
  <c r="D54" i="27"/>
  <c r="A54" i="27"/>
  <c r="D53" i="27"/>
  <c r="A53" i="27"/>
  <c r="D52" i="27"/>
  <c r="A52" i="27"/>
  <c r="D51" i="27"/>
  <c r="A51" i="27"/>
  <c r="D50" i="27"/>
  <c r="A50" i="27"/>
  <c r="D49" i="27"/>
  <c r="A49" i="27"/>
  <c r="D48" i="27"/>
  <c r="A48" i="27"/>
  <c r="D47" i="27"/>
  <c r="A47" i="27"/>
  <c r="D46" i="27"/>
  <c r="A46" i="27"/>
  <c r="D45" i="27"/>
  <c r="A45" i="27"/>
  <c r="D44" i="27"/>
  <c r="A44" i="27"/>
  <c r="D43" i="27"/>
  <c r="A43" i="27"/>
  <c r="D42" i="27"/>
  <c r="A42" i="27"/>
  <c r="D41" i="27"/>
  <c r="A41" i="27"/>
  <c r="D40" i="27"/>
  <c r="A40" i="27"/>
  <c r="D39" i="27"/>
  <c r="A39" i="27"/>
  <c r="D38" i="27"/>
  <c r="A38" i="27"/>
  <c r="D37" i="27"/>
  <c r="A37" i="27"/>
  <c r="D36" i="27"/>
  <c r="C36" i="27" s="1"/>
  <c r="A36" i="27"/>
  <c r="D35" i="27"/>
  <c r="C35" i="27" s="1"/>
  <c r="A35" i="27"/>
  <c r="D34" i="27"/>
  <c r="A34" i="27"/>
  <c r="D33" i="27"/>
  <c r="A33" i="27"/>
  <c r="D32" i="27"/>
  <c r="A32" i="27"/>
  <c r="D31" i="27"/>
  <c r="A31" i="27"/>
  <c r="D30" i="27"/>
  <c r="A30" i="27"/>
  <c r="D29" i="27"/>
  <c r="A29" i="27"/>
  <c r="D28" i="27"/>
  <c r="A28" i="27"/>
  <c r="D27" i="27"/>
  <c r="A27" i="27"/>
  <c r="D26" i="27"/>
  <c r="A26" i="27"/>
  <c r="D25" i="27"/>
  <c r="A25" i="27"/>
  <c r="D24" i="27"/>
  <c r="A24" i="27"/>
  <c r="D23" i="27"/>
  <c r="A23" i="27"/>
  <c r="D22" i="27"/>
  <c r="A22" i="27"/>
  <c r="D21" i="27"/>
  <c r="A21" i="27"/>
  <c r="D20" i="27"/>
  <c r="A20" i="27"/>
  <c r="D19" i="27"/>
  <c r="A19" i="27"/>
  <c r="D18" i="27"/>
  <c r="C18" i="27"/>
  <c r="A18" i="27"/>
  <c r="D17" i="27"/>
  <c r="A17" i="27"/>
  <c r="D16" i="27"/>
  <c r="A16" i="27"/>
  <c r="D15" i="27"/>
  <c r="A15" i="27"/>
  <c r="D14" i="27"/>
  <c r="A14" i="27"/>
  <c r="D13" i="27"/>
  <c r="A13" i="27"/>
  <c r="D12" i="27"/>
  <c r="A12" i="27"/>
  <c r="D11" i="27"/>
  <c r="A11" i="27"/>
  <c r="D10" i="27"/>
  <c r="A10" i="27"/>
  <c r="D9" i="27"/>
  <c r="A9" i="27"/>
  <c r="D8" i="27"/>
  <c r="A8" i="27"/>
  <c r="D7" i="27"/>
  <c r="C7" i="27"/>
  <c r="A7" i="27"/>
  <c r="D6" i="27"/>
  <c r="A6" i="27"/>
  <c r="D5" i="27"/>
  <c r="A5" i="27"/>
  <c r="D4" i="27"/>
  <c r="A4" i="27"/>
  <c r="D3" i="27"/>
  <c r="A3" i="27"/>
  <c r="D105" i="26"/>
  <c r="A105" i="26"/>
  <c r="D104" i="26"/>
  <c r="A104" i="26"/>
  <c r="D103" i="26"/>
  <c r="A103" i="26"/>
  <c r="D102" i="26"/>
  <c r="A102" i="26"/>
  <c r="D101" i="26"/>
  <c r="A101" i="26"/>
  <c r="D100" i="26"/>
  <c r="A100" i="26"/>
  <c r="D99" i="26"/>
  <c r="A99" i="26"/>
  <c r="D98" i="26"/>
  <c r="A98" i="26"/>
  <c r="D97" i="26"/>
  <c r="A97" i="26"/>
  <c r="D96" i="26"/>
  <c r="A96" i="26"/>
  <c r="D95" i="26"/>
  <c r="A95" i="26"/>
  <c r="D94" i="26"/>
  <c r="A94" i="26"/>
  <c r="D93" i="26"/>
  <c r="A93" i="26"/>
  <c r="D92" i="26"/>
  <c r="A92" i="26"/>
  <c r="D91" i="26"/>
  <c r="A91" i="26"/>
  <c r="D90" i="26"/>
  <c r="A90" i="26"/>
  <c r="D89" i="26"/>
  <c r="A89" i="26"/>
  <c r="D88" i="26"/>
  <c r="A88" i="26"/>
  <c r="D87" i="26"/>
  <c r="A87" i="26"/>
  <c r="D86" i="26"/>
  <c r="A86" i="26"/>
  <c r="D85" i="26"/>
  <c r="A85" i="26"/>
  <c r="D84" i="26"/>
  <c r="A84" i="26"/>
  <c r="D83" i="26"/>
  <c r="A83" i="26"/>
  <c r="D82" i="26"/>
  <c r="A82" i="26"/>
  <c r="D81" i="26"/>
  <c r="A81" i="26"/>
  <c r="D80" i="26"/>
  <c r="A80" i="26"/>
  <c r="D79" i="26"/>
  <c r="A79" i="26"/>
  <c r="D78" i="26"/>
  <c r="A78" i="26"/>
  <c r="D77" i="26"/>
  <c r="A77" i="26"/>
  <c r="A76" i="26"/>
  <c r="D75" i="26"/>
  <c r="C75" i="26" s="1"/>
  <c r="A75" i="26"/>
  <c r="D74" i="26"/>
  <c r="C74" i="26" s="1"/>
  <c r="A74" i="26"/>
  <c r="D73" i="26"/>
  <c r="C73" i="26" s="1"/>
  <c r="A73" i="26"/>
  <c r="D72" i="26"/>
  <c r="C72" i="26" s="1"/>
  <c r="A72" i="26"/>
  <c r="D71" i="26"/>
  <c r="C71" i="26" s="1"/>
  <c r="A71" i="26"/>
  <c r="D70" i="26"/>
  <c r="A70" i="26"/>
  <c r="D69" i="26"/>
  <c r="A69" i="26"/>
  <c r="D68" i="26"/>
  <c r="A68" i="26"/>
  <c r="D67" i="26"/>
  <c r="A67" i="26"/>
  <c r="D66" i="26"/>
  <c r="A66" i="26"/>
  <c r="D65" i="26"/>
  <c r="A65" i="26"/>
  <c r="D64" i="26"/>
  <c r="A64" i="26"/>
  <c r="D63" i="26"/>
  <c r="C63" i="26"/>
  <c r="A63" i="26"/>
  <c r="D62" i="26"/>
  <c r="A62" i="26"/>
  <c r="D61" i="26"/>
  <c r="A61" i="26"/>
  <c r="D60" i="26"/>
  <c r="A60" i="26"/>
  <c r="A59" i="26"/>
  <c r="D58" i="26"/>
  <c r="A58" i="26"/>
  <c r="A57" i="26"/>
  <c r="D56" i="26"/>
  <c r="A56" i="26"/>
  <c r="D55" i="26"/>
  <c r="A55" i="26"/>
  <c r="D54" i="26"/>
  <c r="A54" i="26"/>
  <c r="D53" i="26"/>
  <c r="A53" i="26"/>
  <c r="D52" i="26"/>
  <c r="A52" i="26"/>
  <c r="D51" i="26"/>
  <c r="A51" i="26"/>
  <c r="D50" i="26"/>
  <c r="A50" i="26"/>
  <c r="D49" i="26"/>
  <c r="A49" i="26"/>
  <c r="D48" i="26"/>
  <c r="A48" i="26"/>
  <c r="D47" i="26"/>
  <c r="A47" i="26"/>
  <c r="D46" i="26"/>
  <c r="A46" i="26"/>
  <c r="D45" i="26"/>
  <c r="A45" i="26"/>
  <c r="D44" i="26"/>
  <c r="A44" i="26"/>
  <c r="D43" i="26"/>
  <c r="A43" i="26"/>
  <c r="D42" i="26"/>
  <c r="A42" i="26"/>
  <c r="D41" i="26"/>
  <c r="A41" i="26"/>
  <c r="D40" i="26"/>
  <c r="A40" i="26"/>
  <c r="D39" i="26"/>
  <c r="A39" i="26"/>
  <c r="D38" i="26"/>
  <c r="A38" i="26"/>
  <c r="D37" i="26"/>
  <c r="A37" i="26"/>
  <c r="D36" i="26"/>
  <c r="C36" i="26" s="1"/>
  <c r="A36" i="26"/>
  <c r="D35" i="26"/>
  <c r="C35" i="26" s="1"/>
  <c r="A35" i="26"/>
  <c r="D34" i="26"/>
  <c r="A34" i="26"/>
  <c r="D33" i="26"/>
  <c r="A33" i="26"/>
  <c r="D32" i="26"/>
  <c r="A32" i="26"/>
  <c r="D31" i="26"/>
  <c r="A31" i="26"/>
  <c r="D30" i="26"/>
  <c r="A30" i="26"/>
  <c r="D29" i="26"/>
  <c r="A29" i="26"/>
  <c r="D28" i="26"/>
  <c r="A28" i="26"/>
  <c r="D27" i="26"/>
  <c r="A27" i="26"/>
  <c r="D26" i="26"/>
  <c r="A26" i="26"/>
  <c r="D25" i="26"/>
  <c r="A25" i="26"/>
  <c r="D24" i="26"/>
  <c r="A24" i="26"/>
  <c r="D23" i="26"/>
  <c r="A23" i="26"/>
  <c r="D22" i="26"/>
  <c r="A22" i="26"/>
  <c r="D21" i="26"/>
  <c r="A21" i="26"/>
  <c r="D20" i="26"/>
  <c r="A20" i="26"/>
  <c r="D19" i="26"/>
  <c r="A19" i="26"/>
  <c r="D18" i="26"/>
  <c r="C18" i="26"/>
  <c r="A18" i="26"/>
  <c r="D17" i="26"/>
  <c r="A17" i="26"/>
  <c r="D16" i="26"/>
  <c r="A16" i="26"/>
  <c r="D15" i="26"/>
  <c r="A15" i="26"/>
  <c r="D14" i="26"/>
  <c r="A14" i="26"/>
  <c r="D13" i="26"/>
  <c r="A13" i="26"/>
  <c r="D12" i="26"/>
  <c r="A12" i="26"/>
  <c r="D11" i="26"/>
  <c r="A11" i="26"/>
  <c r="D10" i="26"/>
  <c r="A10" i="26"/>
  <c r="D9" i="26"/>
  <c r="A9" i="26"/>
  <c r="D8" i="26"/>
  <c r="A8" i="26"/>
  <c r="D7" i="26"/>
  <c r="C7" i="26"/>
  <c r="A7" i="26"/>
  <c r="D6" i="26"/>
  <c r="A6" i="26"/>
  <c r="D5" i="26"/>
  <c r="A5" i="26"/>
  <c r="D4" i="26"/>
  <c r="A4" i="26"/>
  <c r="D3" i="26"/>
  <c r="A3" i="26"/>
  <c r="D105" i="25"/>
  <c r="A105" i="25"/>
  <c r="D104" i="25"/>
  <c r="A104" i="25"/>
  <c r="D103" i="25"/>
  <c r="A103" i="25"/>
  <c r="D102" i="25"/>
  <c r="A102" i="25"/>
  <c r="D101" i="25"/>
  <c r="A101" i="25"/>
  <c r="D100" i="25"/>
  <c r="A100" i="25"/>
  <c r="D99" i="25"/>
  <c r="A99" i="25"/>
  <c r="D98" i="25"/>
  <c r="A98" i="25"/>
  <c r="D97" i="25"/>
  <c r="A97" i="25"/>
  <c r="D96" i="25"/>
  <c r="A96" i="25"/>
  <c r="D95" i="25"/>
  <c r="A95" i="25"/>
  <c r="D94" i="25"/>
  <c r="A94" i="25"/>
  <c r="D93" i="25"/>
  <c r="A93" i="25"/>
  <c r="D92" i="25"/>
  <c r="A92" i="25"/>
  <c r="D91" i="25"/>
  <c r="A91" i="25"/>
  <c r="D90" i="25"/>
  <c r="A90" i="25"/>
  <c r="D89" i="25"/>
  <c r="A89" i="25"/>
  <c r="D88" i="25"/>
  <c r="A88" i="25"/>
  <c r="D87" i="25"/>
  <c r="A87" i="25"/>
  <c r="D86" i="25"/>
  <c r="A86" i="25"/>
  <c r="D85" i="25"/>
  <c r="A85" i="25"/>
  <c r="D84" i="25"/>
  <c r="A84" i="25"/>
  <c r="D83" i="25"/>
  <c r="A83" i="25"/>
  <c r="D82" i="25"/>
  <c r="A82" i="25"/>
  <c r="D81" i="25"/>
  <c r="A81" i="25"/>
  <c r="D80" i="25"/>
  <c r="A80" i="25"/>
  <c r="D79" i="25"/>
  <c r="A79" i="25"/>
  <c r="D78" i="25"/>
  <c r="A78" i="25"/>
  <c r="D77" i="25"/>
  <c r="A77" i="25"/>
  <c r="A76" i="25"/>
  <c r="D75" i="25"/>
  <c r="C75" i="25" s="1"/>
  <c r="A75" i="25"/>
  <c r="D74" i="25"/>
  <c r="C74" i="25" s="1"/>
  <c r="A74" i="25"/>
  <c r="D73" i="25"/>
  <c r="C73" i="25" s="1"/>
  <c r="A73" i="25"/>
  <c r="D72" i="25"/>
  <c r="C72" i="25" s="1"/>
  <c r="A72" i="25"/>
  <c r="D71" i="25"/>
  <c r="C71" i="25" s="1"/>
  <c r="A71" i="25"/>
  <c r="D70" i="25"/>
  <c r="A70" i="25"/>
  <c r="D69" i="25"/>
  <c r="A69" i="25"/>
  <c r="D68" i="25"/>
  <c r="A68" i="25"/>
  <c r="D67" i="25"/>
  <c r="A67" i="25"/>
  <c r="D66" i="25"/>
  <c r="A66" i="25"/>
  <c r="D65" i="25"/>
  <c r="A65" i="25"/>
  <c r="D64" i="25"/>
  <c r="A64" i="25"/>
  <c r="D63" i="25"/>
  <c r="C63" i="25"/>
  <c r="A63" i="25"/>
  <c r="D62" i="25"/>
  <c r="A62" i="25"/>
  <c r="D61" i="25"/>
  <c r="A61" i="25"/>
  <c r="D60" i="25"/>
  <c r="A60" i="25"/>
  <c r="A59" i="25"/>
  <c r="D58" i="25"/>
  <c r="A58" i="25"/>
  <c r="A57" i="25"/>
  <c r="D56" i="25"/>
  <c r="A56" i="25"/>
  <c r="D55" i="25"/>
  <c r="A55" i="25"/>
  <c r="D54" i="25"/>
  <c r="A54" i="25"/>
  <c r="D53" i="25"/>
  <c r="A53" i="25"/>
  <c r="D52" i="25"/>
  <c r="A52" i="25"/>
  <c r="D51" i="25"/>
  <c r="A51" i="25"/>
  <c r="D50" i="25"/>
  <c r="A50" i="25"/>
  <c r="D49" i="25"/>
  <c r="A49" i="25"/>
  <c r="D48" i="25"/>
  <c r="A48" i="25"/>
  <c r="D47" i="25"/>
  <c r="A47" i="25"/>
  <c r="D46" i="25"/>
  <c r="A46" i="25"/>
  <c r="D45" i="25"/>
  <c r="A45" i="25"/>
  <c r="D44" i="25"/>
  <c r="A44" i="25"/>
  <c r="D43" i="25"/>
  <c r="A43" i="25"/>
  <c r="D42" i="25"/>
  <c r="A42" i="25"/>
  <c r="D41" i="25"/>
  <c r="A41" i="25"/>
  <c r="D40" i="25"/>
  <c r="A40" i="25"/>
  <c r="D39" i="25"/>
  <c r="A39" i="25"/>
  <c r="D38" i="25"/>
  <c r="A38" i="25"/>
  <c r="D37" i="25"/>
  <c r="A37" i="25"/>
  <c r="D36" i="25"/>
  <c r="C36" i="25" s="1"/>
  <c r="A36" i="25"/>
  <c r="D35" i="25"/>
  <c r="C35" i="25" s="1"/>
  <c r="A35" i="25"/>
  <c r="D34" i="25"/>
  <c r="A34" i="25"/>
  <c r="D33" i="25"/>
  <c r="A33" i="25"/>
  <c r="D32" i="25"/>
  <c r="A32" i="25"/>
  <c r="D31" i="25"/>
  <c r="A31" i="25"/>
  <c r="D30" i="25"/>
  <c r="A30" i="25"/>
  <c r="D29" i="25"/>
  <c r="A29" i="25"/>
  <c r="D28" i="25"/>
  <c r="A28" i="25"/>
  <c r="D27" i="25"/>
  <c r="A27" i="25"/>
  <c r="D26" i="25"/>
  <c r="A26" i="25"/>
  <c r="D25" i="25"/>
  <c r="A25" i="25"/>
  <c r="D24" i="25"/>
  <c r="A24" i="25"/>
  <c r="D23" i="25"/>
  <c r="A23" i="25"/>
  <c r="D22" i="25"/>
  <c r="A22" i="25"/>
  <c r="D21" i="25"/>
  <c r="A21" i="25"/>
  <c r="D20" i="25"/>
  <c r="A20" i="25"/>
  <c r="D19" i="25"/>
  <c r="A19" i="25"/>
  <c r="D18" i="25"/>
  <c r="C18" i="25"/>
  <c r="A18" i="25"/>
  <c r="D17" i="25"/>
  <c r="A17" i="25"/>
  <c r="D16" i="25"/>
  <c r="A16" i="25"/>
  <c r="D15" i="25"/>
  <c r="A15" i="25"/>
  <c r="D14" i="25"/>
  <c r="A14" i="25"/>
  <c r="D13" i="25"/>
  <c r="A13" i="25"/>
  <c r="D12" i="25"/>
  <c r="A12" i="25"/>
  <c r="D11" i="25"/>
  <c r="A11" i="25"/>
  <c r="D10" i="25"/>
  <c r="A10" i="25"/>
  <c r="D9" i="25"/>
  <c r="A9" i="25"/>
  <c r="D8" i="25"/>
  <c r="A8" i="25"/>
  <c r="D7" i="25"/>
  <c r="C7" i="25"/>
  <c r="A7" i="25"/>
  <c r="D6" i="25"/>
  <c r="A6" i="25"/>
  <c r="D5" i="25"/>
  <c r="A5" i="25"/>
  <c r="D4" i="25"/>
  <c r="A4" i="25"/>
  <c r="D3" i="25"/>
  <c r="A3" i="25"/>
  <c r="D105" i="24"/>
  <c r="A105" i="24"/>
  <c r="D104" i="24"/>
  <c r="A104" i="24"/>
  <c r="D103" i="24"/>
  <c r="A103" i="24"/>
  <c r="D102" i="24"/>
  <c r="A102" i="24"/>
  <c r="D101" i="24"/>
  <c r="A101" i="24"/>
  <c r="D100" i="24"/>
  <c r="A100" i="24"/>
  <c r="D99" i="24"/>
  <c r="A99" i="24"/>
  <c r="D98" i="24"/>
  <c r="A98" i="24"/>
  <c r="D97" i="24"/>
  <c r="A97" i="24"/>
  <c r="D96" i="24"/>
  <c r="A96" i="24"/>
  <c r="D95" i="24"/>
  <c r="A95" i="24"/>
  <c r="D94" i="24"/>
  <c r="A94" i="24"/>
  <c r="D93" i="24"/>
  <c r="A93" i="24"/>
  <c r="D92" i="24"/>
  <c r="A92" i="24"/>
  <c r="D91" i="24"/>
  <c r="A91" i="24"/>
  <c r="D90" i="24"/>
  <c r="A90" i="24"/>
  <c r="D89" i="24"/>
  <c r="A89" i="24"/>
  <c r="D88" i="24"/>
  <c r="A88" i="24"/>
  <c r="D87" i="24"/>
  <c r="A87" i="24"/>
  <c r="D86" i="24"/>
  <c r="A86" i="24"/>
  <c r="D85" i="24"/>
  <c r="A85" i="24"/>
  <c r="D84" i="24"/>
  <c r="A84" i="24"/>
  <c r="D83" i="24"/>
  <c r="A83" i="24"/>
  <c r="D82" i="24"/>
  <c r="A82" i="24"/>
  <c r="D81" i="24"/>
  <c r="A81" i="24"/>
  <c r="D80" i="24"/>
  <c r="A80" i="24"/>
  <c r="D79" i="24"/>
  <c r="A79" i="24"/>
  <c r="D78" i="24"/>
  <c r="A78" i="24"/>
  <c r="D77" i="24"/>
  <c r="A77" i="24"/>
  <c r="A76" i="24"/>
  <c r="D75" i="24"/>
  <c r="C75" i="24" s="1"/>
  <c r="A75" i="24"/>
  <c r="D74" i="24"/>
  <c r="C74" i="24" s="1"/>
  <c r="A74" i="24"/>
  <c r="D73" i="24"/>
  <c r="C73" i="24" s="1"/>
  <c r="A73" i="24"/>
  <c r="D72" i="24"/>
  <c r="C72" i="24" s="1"/>
  <c r="A72" i="24"/>
  <c r="D71" i="24"/>
  <c r="C71" i="24" s="1"/>
  <c r="A71" i="24"/>
  <c r="D70" i="24"/>
  <c r="A70" i="24"/>
  <c r="D69" i="24"/>
  <c r="A69" i="24"/>
  <c r="D68" i="24"/>
  <c r="A68" i="24"/>
  <c r="D67" i="24"/>
  <c r="A67" i="24"/>
  <c r="D66" i="24"/>
  <c r="A66" i="24"/>
  <c r="D65" i="24"/>
  <c r="A65" i="24"/>
  <c r="D64" i="24"/>
  <c r="A64" i="24"/>
  <c r="D63" i="24"/>
  <c r="C63" i="24"/>
  <c r="A63" i="24"/>
  <c r="D62" i="24"/>
  <c r="A62" i="24"/>
  <c r="D61" i="24"/>
  <c r="A61" i="24"/>
  <c r="D60" i="24"/>
  <c r="A60" i="24"/>
  <c r="A59" i="24"/>
  <c r="D58" i="24"/>
  <c r="A58" i="24"/>
  <c r="A57" i="24"/>
  <c r="D56" i="24"/>
  <c r="A56" i="24"/>
  <c r="D55" i="24"/>
  <c r="A55" i="24"/>
  <c r="D54" i="24"/>
  <c r="A54" i="24"/>
  <c r="D53" i="24"/>
  <c r="A53" i="24"/>
  <c r="D52" i="24"/>
  <c r="A52" i="24"/>
  <c r="D51" i="24"/>
  <c r="A51" i="24"/>
  <c r="D50" i="24"/>
  <c r="A50" i="24"/>
  <c r="D49" i="24"/>
  <c r="A49" i="24"/>
  <c r="D48" i="24"/>
  <c r="A48" i="24"/>
  <c r="D47" i="24"/>
  <c r="A47" i="24"/>
  <c r="D46" i="24"/>
  <c r="A46" i="24"/>
  <c r="D45" i="24"/>
  <c r="A45" i="24"/>
  <c r="D44" i="24"/>
  <c r="A44" i="24"/>
  <c r="D43" i="24"/>
  <c r="A43" i="24"/>
  <c r="D42" i="24"/>
  <c r="A42" i="24"/>
  <c r="D41" i="24"/>
  <c r="A41" i="24"/>
  <c r="D40" i="24"/>
  <c r="A40" i="24"/>
  <c r="D39" i="24"/>
  <c r="A39" i="24"/>
  <c r="D38" i="24"/>
  <c r="A38" i="24"/>
  <c r="D37" i="24"/>
  <c r="A37" i="24"/>
  <c r="D36" i="24"/>
  <c r="C36" i="24" s="1"/>
  <c r="A36" i="24"/>
  <c r="D35" i="24"/>
  <c r="C35" i="24" s="1"/>
  <c r="A35" i="24"/>
  <c r="D34" i="24"/>
  <c r="A34" i="24"/>
  <c r="D33" i="24"/>
  <c r="A33" i="24"/>
  <c r="D32" i="24"/>
  <c r="A32" i="24"/>
  <c r="D31" i="24"/>
  <c r="A31" i="24"/>
  <c r="D30" i="24"/>
  <c r="A30" i="24"/>
  <c r="D29" i="24"/>
  <c r="A29" i="24"/>
  <c r="D28" i="24"/>
  <c r="A28" i="24"/>
  <c r="D27" i="24"/>
  <c r="A27" i="24"/>
  <c r="D26" i="24"/>
  <c r="A26" i="24"/>
  <c r="D25" i="24"/>
  <c r="A25" i="24"/>
  <c r="D24" i="24"/>
  <c r="A24" i="24"/>
  <c r="D23" i="24"/>
  <c r="A23" i="24"/>
  <c r="D22" i="24"/>
  <c r="A22" i="24"/>
  <c r="D21" i="24"/>
  <c r="A21" i="24"/>
  <c r="D20" i="24"/>
  <c r="A20" i="24"/>
  <c r="D19" i="24"/>
  <c r="A19" i="24"/>
  <c r="D18" i="24"/>
  <c r="C18" i="24"/>
  <c r="A18" i="24"/>
  <c r="D17" i="24"/>
  <c r="A17" i="24"/>
  <c r="D16" i="24"/>
  <c r="A16" i="24"/>
  <c r="D15" i="24"/>
  <c r="A15" i="24"/>
  <c r="D14" i="24"/>
  <c r="A14" i="24"/>
  <c r="D13" i="24"/>
  <c r="A13" i="24"/>
  <c r="D12" i="24"/>
  <c r="A12" i="24"/>
  <c r="D11" i="24"/>
  <c r="A11" i="24"/>
  <c r="D10" i="24"/>
  <c r="A10" i="24"/>
  <c r="D9" i="24"/>
  <c r="A9" i="24"/>
  <c r="D8" i="24"/>
  <c r="A8" i="24"/>
  <c r="D7" i="24"/>
  <c r="C7" i="24"/>
  <c r="A7" i="24"/>
  <c r="D6" i="24"/>
  <c r="A6" i="24"/>
  <c r="D5" i="24"/>
  <c r="A5" i="24"/>
  <c r="D4" i="24"/>
  <c r="A4" i="24"/>
  <c r="D3" i="24"/>
  <c r="A3" i="24"/>
  <c r="D105" i="23"/>
  <c r="A105" i="23"/>
  <c r="D104" i="23"/>
  <c r="A104" i="23"/>
  <c r="D103" i="23"/>
  <c r="A103" i="23"/>
  <c r="D102" i="23"/>
  <c r="A102" i="23"/>
  <c r="D101" i="23"/>
  <c r="A101" i="23"/>
  <c r="D100" i="23"/>
  <c r="A100" i="23"/>
  <c r="D99" i="23"/>
  <c r="A99" i="23"/>
  <c r="D98" i="23"/>
  <c r="A98" i="23"/>
  <c r="D97" i="23"/>
  <c r="A97" i="23"/>
  <c r="D96" i="23"/>
  <c r="A96" i="23"/>
  <c r="D95" i="23"/>
  <c r="A95" i="23"/>
  <c r="D94" i="23"/>
  <c r="A94" i="23"/>
  <c r="D93" i="23"/>
  <c r="A93" i="23"/>
  <c r="D92" i="23"/>
  <c r="A92" i="23"/>
  <c r="D91" i="23"/>
  <c r="A91" i="23"/>
  <c r="D90" i="23"/>
  <c r="A90" i="23"/>
  <c r="D89" i="23"/>
  <c r="A89" i="23"/>
  <c r="D88" i="23"/>
  <c r="A88" i="23"/>
  <c r="D87" i="23"/>
  <c r="A87" i="23"/>
  <c r="D86" i="23"/>
  <c r="A86" i="23"/>
  <c r="D85" i="23"/>
  <c r="A85" i="23"/>
  <c r="D84" i="23"/>
  <c r="A84" i="23"/>
  <c r="D83" i="23"/>
  <c r="A83" i="23"/>
  <c r="D82" i="23"/>
  <c r="A82" i="23"/>
  <c r="D81" i="23"/>
  <c r="A81" i="23"/>
  <c r="D80" i="23"/>
  <c r="A80" i="23"/>
  <c r="D79" i="23"/>
  <c r="A79" i="23"/>
  <c r="D78" i="23"/>
  <c r="A78" i="23"/>
  <c r="D77" i="23"/>
  <c r="A77" i="23"/>
  <c r="A76" i="23"/>
  <c r="D75" i="23"/>
  <c r="C75" i="23" s="1"/>
  <c r="A75" i="23"/>
  <c r="D74" i="23"/>
  <c r="C74" i="23" s="1"/>
  <c r="A74" i="23"/>
  <c r="D73" i="23"/>
  <c r="C73" i="23" s="1"/>
  <c r="A73" i="23"/>
  <c r="D72" i="23"/>
  <c r="C72" i="23" s="1"/>
  <c r="A72" i="23"/>
  <c r="D71" i="23"/>
  <c r="C71" i="23" s="1"/>
  <c r="A71" i="23"/>
  <c r="D70" i="23"/>
  <c r="A70" i="23"/>
  <c r="D69" i="23"/>
  <c r="A69" i="23"/>
  <c r="D68" i="23"/>
  <c r="A68" i="23"/>
  <c r="D67" i="23"/>
  <c r="A67" i="23"/>
  <c r="D66" i="23"/>
  <c r="A66" i="23"/>
  <c r="D65" i="23"/>
  <c r="A65" i="23"/>
  <c r="D64" i="23"/>
  <c r="A64" i="23"/>
  <c r="D63" i="23"/>
  <c r="C63" i="23"/>
  <c r="A63" i="23"/>
  <c r="D62" i="23"/>
  <c r="A62" i="23"/>
  <c r="D61" i="23"/>
  <c r="A61" i="23"/>
  <c r="D60" i="23"/>
  <c r="A60" i="23"/>
  <c r="A59" i="23"/>
  <c r="D58" i="23"/>
  <c r="A58" i="23"/>
  <c r="A57" i="23"/>
  <c r="D56" i="23"/>
  <c r="A56" i="23"/>
  <c r="D55" i="23"/>
  <c r="A55" i="23"/>
  <c r="D54" i="23"/>
  <c r="A54" i="23"/>
  <c r="D53" i="23"/>
  <c r="A53" i="23"/>
  <c r="D52" i="23"/>
  <c r="A52" i="23"/>
  <c r="D51" i="23"/>
  <c r="A51" i="23"/>
  <c r="D50" i="23"/>
  <c r="A50" i="23"/>
  <c r="D49" i="23"/>
  <c r="A49" i="23"/>
  <c r="D48" i="23"/>
  <c r="A48" i="23"/>
  <c r="D47" i="23"/>
  <c r="A47" i="23"/>
  <c r="D46" i="23"/>
  <c r="A46" i="23"/>
  <c r="D45" i="23"/>
  <c r="A45" i="23"/>
  <c r="D44" i="23"/>
  <c r="A44" i="23"/>
  <c r="D43" i="23"/>
  <c r="A43" i="23"/>
  <c r="D42" i="23"/>
  <c r="A42" i="23"/>
  <c r="D41" i="23"/>
  <c r="A41" i="23"/>
  <c r="D40" i="23"/>
  <c r="A40" i="23"/>
  <c r="D39" i="23"/>
  <c r="A39" i="23"/>
  <c r="D38" i="23"/>
  <c r="A38" i="23"/>
  <c r="D37" i="23"/>
  <c r="A37" i="23"/>
  <c r="D36" i="23"/>
  <c r="C36" i="23" s="1"/>
  <c r="A36" i="23"/>
  <c r="D35" i="23"/>
  <c r="C35" i="23" s="1"/>
  <c r="A35" i="23"/>
  <c r="D34" i="23"/>
  <c r="A34" i="23"/>
  <c r="D33" i="23"/>
  <c r="A33" i="23"/>
  <c r="D32" i="23"/>
  <c r="A32" i="23"/>
  <c r="D31" i="23"/>
  <c r="A31" i="23"/>
  <c r="D30" i="23"/>
  <c r="A30" i="23"/>
  <c r="D29" i="23"/>
  <c r="A29" i="23"/>
  <c r="D28" i="23"/>
  <c r="A28" i="23"/>
  <c r="D27" i="23"/>
  <c r="A27" i="23"/>
  <c r="D26" i="23"/>
  <c r="A26" i="23"/>
  <c r="D25" i="23"/>
  <c r="A25" i="23"/>
  <c r="D24" i="23"/>
  <c r="A24" i="23"/>
  <c r="D23" i="23"/>
  <c r="A23" i="23"/>
  <c r="D22" i="23"/>
  <c r="A22" i="23"/>
  <c r="D21" i="23"/>
  <c r="A21" i="23"/>
  <c r="D20" i="23"/>
  <c r="A20" i="23"/>
  <c r="D19" i="23"/>
  <c r="A19" i="23"/>
  <c r="D18" i="23"/>
  <c r="C18" i="23"/>
  <c r="A18" i="23"/>
  <c r="D17" i="23"/>
  <c r="A17" i="23"/>
  <c r="D16" i="23"/>
  <c r="A16" i="23"/>
  <c r="D15" i="23"/>
  <c r="A15" i="23"/>
  <c r="D14" i="23"/>
  <c r="A14" i="23"/>
  <c r="D13" i="23"/>
  <c r="A13" i="23"/>
  <c r="D12" i="23"/>
  <c r="A12" i="23"/>
  <c r="D11" i="23"/>
  <c r="A11" i="23"/>
  <c r="D10" i="23"/>
  <c r="A10" i="23"/>
  <c r="D9" i="23"/>
  <c r="A9" i="23"/>
  <c r="D8" i="23"/>
  <c r="A8" i="23"/>
  <c r="D7" i="23"/>
  <c r="C7" i="23"/>
  <c r="A7" i="23"/>
  <c r="D6" i="23"/>
  <c r="A6" i="23"/>
  <c r="D5" i="23"/>
  <c r="A5" i="23"/>
  <c r="D4" i="23"/>
  <c r="A4" i="23"/>
  <c r="D3" i="23"/>
  <c r="A3" i="23"/>
  <c r="D105" i="22"/>
  <c r="A105" i="22"/>
  <c r="D104" i="22"/>
  <c r="A104" i="22"/>
  <c r="D103" i="22"/>
  <c r="A103" i="22"/>
  <c r="D102" i="22"/>
  <c r="A102" i="22"/>
  <c r="D101" i="22"/>
  <c r="A101" i="22"/>
  <c r="D100" i="22"/>
  <c r="A100" i="22"/>
  <c r="D99" i="22"/>
  <c r="A99" i="22"/>
  <c r="D98" i="22"/>
  <c r="A98" i="22"/>
  <c r="D97" i="22"/>
  <c r="A97" i="22"/>
  <c r="D96" i="22"/>
  <c r="A96" i="22"/>
  <c r="D95" i="22"/>
  <c r="A95" i="22"/>
  <c r="D94" i="22"/>
  <c r="A94" i="22"/>
  <c r="D93" i="22"/>
  <c r="A93" i="22"/>
  <c r="D92" i="22"/>
  <c r="A92" i="22"/>
  <c r="D91" i="22"/>
  <c r="A91" i="22"/>
  <c r="D90" i="22"/>
  <c r="A90" i="22"/>
  <c r="D89" i="22"/>
  <c r="A89" i="22"/>
  <c r="D88" i="22"/>
  <c r="A88" i="22"/>
  <c r="D87" i="22"/>
  <c r="A87" i="22"/>
  <c r="D86" i="22"/>
  <c r="A86" i="22"/>
  <c r="D85" i="22"/>
  <c r="A85" i="22"/>
  <c r="D84" i="22"/>
  <c r="A84" i="22"/>
  <c r="D83" i="22"/>
  <c r="A83" i="22"/>
  <c r="D82" i="22"/>
  <c r="A82" i="22"/>
  <c r="D81" i="22"/>
  <c r="A81" i="22"/>
  <c r="D80" i="22"/>
  <c r="A80" i="22"/>
  <c r="D79" i="22"/>
  <c r="A79" i="22"/>
  <c r="D78" i="22"/>
  <c r="A78" i="22"/>
  <c r="D77" i="22"/>
  <c r="A77" i="22"/>
  <c r="A76" i="22"/>
  <c r="D75" i="22"/>
  <c r="C75" i="22" s="1"/>
  <c r="A75" i="22"/>
  <c r="D74" i="22"/>
  <c r="C74" i="22" s="1"/>
  <c r="A74" i="22"/>
  <c r="D73" i="22"/>
  <c r="C73" i="22" s="1"/>
  <c r="A73" i="22"/>
  <c r="D72" i="22"/>
  <c r="C72" i="22" s="1"/>
  <c r="A72" i="22"/>
  <c r="D71" i="22"/>
  <c r="C71" i="22" s="1"/>
  <c r="A71" i="22"/>
  <c r="D70" i="22"/>
  <c r="A70" i="22"/>
  <c r="D69" i="22"/>
  <c r="A69" i="22"/>
  <c r="D68" i="22"/>
  <c r="A68" i="22"/>
  <c r="D67" i="22"/>
  <c r="A67" i="22"/>
  <c r="D66" i="22"/>
  <c r="A66" i="22"/>
  <c r="D65" i="22"/>
  <c r="A65" i="22"/>
  <c r="D64" i="22"/>
  <c r="A64" i="22"/>
  <c r="D63" i="22"/>
  <c r="C63" i="22"/>
  <c r="A63" i="22"/>
  <c r="D62" i="22"/>
  <c r="A62" i="22"/>
  <c r="D61" i="22"/>
  <c r="A61" i="22"/>
  <c r="D60" i="22"/>
  <c r="A60" i="22"/>
  <c r="A59" i="22"/>
  <c r="D58" i="22"/>
  <c r="A58" i="22"/>
  <c r="A57" i="22"/>
  <c r="D56" i="22"/>
  <c r="A56" i="22"/>
  <c r="D55" i="22"/>
  <c r="A55" i="22"/>
  <c r="D54" i="22"/>
  <c r="A54" i="22"/>
  <c r="D53" i="22"/>
  <c r="A53" i="22"/>
  <c r="D52" i="22"/>
  <c r="A52" i="22"/>
  <c r="D51" i="22"/>
  <c r="A51" i="22"/>
  <c r="D50" i="22"/>
  <c r="A50" i="22"/>
  <c r="D49" i="22"/>
  <c r="A49" i="22"/>
  <c r="D48" i="22"/>
  <c r="A48" i="22"/>
  <c r="D47" i="22"/>
  <c r="A47" i="22"/>
  <c r="D46" i="22"/>
  <c r="A46" i="22"/>
  <c r="D45" i="22"/>
  <c r="A45" i="22"/>
  <c r="D44" i="22"/>
  <c r="A44" i="22"/>
  <c r="D43" i="22"/>
  <c r="A43" i="22"/>
  <c r="D42" i="22"/>
  <c r="A42" i="22"/>
  <c r="D41" i="22"/>
  <c r="A41" i="22"/>
  <c r="D40" i="22"/>
  <c r="A40" i="22"/>
  <c r="D39" i="22"/>
  <c r="A39" i="22"/>
  <c r="D38" i="22"/>
  <c r="A38" i="22"/>
  <c r="D37" i="22"/>
  <c r="A37" i="22"/>
  <c r="D36" i="22"/>
  <c r="C36" i="22" s="1"/>
  <c r="A36" i="22"/>
  <c r="D35" i="22"/>
  <c r="C35" i="22" s="1"/>
  <c r="A35" i="22"/>
  <c r="D34" i="22"/>
  <c r="A34" i="22"/>
  <c r="D33" i="22"/>
  <c r="A33" i="22"/>
  <c r="D32" i="22"/>
  <c r="A32" i="22"/>
  <c r="D31" i="22"/>
  <c r="A31" i="22"/>
  <c r="D30" i="22"/>
  <c r="A30" i="22"/>
  <c r="D29" i="22"/>
  <c r="A29" i="22"/>
  <c r="D28" i="22"/>
  <c r="A28" i="22"/>
  <c r="D27" i="22"/>
  <c r="A27" i="22"/>
  <c r="D26" i="22"/>
  <c r="A26" i="22"/>
  <c r="D25" i="22"/>
  <c r="A25" i="22"/>
  <c r="D24" i="22"/>
  <c r="A24" i="22"/>
  <c r="D23" i="22"/>
  <c r="A23" i="22"/>
  <c r="D22" i="22"/>
  <c r="A22" i="22"/>
  <c r="D21" i="22"/>
  <c r="A21" i="22"/>
  <c r="D20" i="22"/>
  <c r="A20" i="22"/>
  <c r="D19" i="22"/>
  <c r="A19" i="22"/>
  <c r="D18" i="22"/>
  <c r="C18" i="22"/>
  <c r="A18" i="22"/>
  <c r="D17" i="22"/>
  <c r="A17" i="22"/>
  <c r="D16" i="22"/>
  <c r="A16" i="22"/>
  <c r="D15" i="22"/>
  <c r="A15" i="22"/>
  <c r="D14" i="22"/>
  <c r="A14" i="22"/>
  <c r="D13" i="22"/>
  <c r="A13" i="22"/>
  <c r="D12" i="22"/>
  <c r="A12" i="22"/>
  <c r="D11" i="22"/>
  <c r="A11" i="22"/>
  <c r="D10" i="22"/>
  <c r="A10" i="22"/>
  <c r="D9" i="22"/>
  <c r="A9" i="22"/>
  <c r="D8" i="22"/>
  <c r="A8" i="22"/>
  <c r="D7" i="22"/>
  <c r="C7" i="22"/>
  <c r="A7" i="22"/>
  <c r="D6" i="22"/>
  <c r="A6" i="22"/>
  <c r="D5" i="22"/>
  <c r="A5" i="22"/>
  <c r="D4" i="22"/>
  <c r="A4" i="22"/>
  <c r="D3" i="22"/>
  <c r="A3" i="22"/>
  <c r="D105" i="21"/>
  <c r="A105" i="21"/>
  <c r="D104" i="21"/>
  <c r="A104" i="21"/>
  <c r="D103" i="21"/>
  <c r="A103" i="21"/>
  <c r="D102" i="21"/>
  <c r="A102" i="21"/>
  <c r="D101" i="21"/>
  <c r="A101" i="21"/>
  <c r="D100" i="21"/>
  <c r="A100" i="21"/>
  <c r="D99" i="21"/>
  <c r="A99" i="21"/>
  <c r="D98" i="21"/>
  <c r="A98" i="21"/>
  <c r="D97" i="21"/>
  <c r="A97" i="21"/>
  <c r="D96" i="21"/>
  <c r="A96" i="21"/>
  <c r="D95" i="21"/>
  <c r="A95" i="21"/>
  <c r="D94" i="21"/>
  <c r="A94" i="21"/>
  <c r="D93" i="21"/>
  <c r="A93" i="21"/>
  <c r="D92" i="21"/>
  <c r="A92" i="21"/>
  <c r="D91" i="21"/>
  <c r="A91" i="21"/>
  <c r="D90" i="21"/>
  <c r="A90" i="21"/>
  <c r="D89" i="21"/>
  <c r="A89" i="21"/>
  <c r="D88" i="21"/>
  <c r="A88" i="21"/>
  <c r="D87" i="21"/>
  <c r="A87" i="21"/>
  <c r="D86" i="21"/>
  <c r="A86" i="21"/>
  <c r="D85" i="21"/>
  <c r="A85" i="21"/>
  <c r="D84" i="21"/>
  <c r="A84" i="21"/>
  <c r="D83" i="21"/>
  <c r="A83" i="21"/>
  <c r="D82" i="21"/>
  <c r="A82" i="21"/>
  <c r="D81" i="21"/>
  <c r="A81" i="21"/>
  <c r="D80" i="21"/>
  <c r="A80" i="21"/>
  <c r="D79" i="21"/>
  <c r="A79" i="21"/>
  <c r="D78" i="21"/>
  <c r="A78" i="21"/>
  <c r="D77" i="21"/>
  <c r="A77" i="21"/>
  <c r="A76" i="21"/>
  <c r="D75" i="21"/>
  <c r="C75" i="21" s="1"/>
  <c r="A75" i="21"/>
  <c r="D74" i="21"/>
  <c r="C74" i="21" s="1"/>
  <c r="A74" i="21"/>
  <c r="D73" i="21"/>
  <c r="C73" i="21" s="1"/>
  <c r="A73" i="21"/>
  <c r="D72" i="21"/>
  <c r="C72" i="21" s="1"/>
  <c r="A72" i="21"/>
  <c r="D71" i="21"/>
  <c r="C71" i="21" s="1"/>
  <c r="A71" i="21"/>
  <c r="D70" i="21"/>
  <c r="A70" i="21"/>
  <c r="D69" i="21"/>
  <c r="A69" i="21"/>
  <c r="D68" i="21"/>
  <c r="A68" i="21"/>
  <c r="D67" i="21"/>
  <c r="A67" i="21"/>
  <c r="D66" i="21"/>
  <c r="A66" i="21"/>
  <c r="D65" i="21"/>
  <c r="A65" i="21"/>
  <c r="D64" i="21"/>
  <c r="A64" i="21"/>
  <c r="D63" i="21"/>
  <c r="C63" i="21"/>
  <c r="A63" i="21"/>
  <c r="D62" i="21"/>
  <c r="A62" i="21"/>
  <c r="D61" i="21"/>
  <c r="A61" i="21"/>
  <c r="D60" i="21"/>
  <c r="A60" i="21"/>
  <c r="A59" i="21"/>
  <c r="D58" i="21"/>
  <c r="A58" i="21"/>
  <c r="A57" i="21"/>
  <c r="D56" i="21"/>
  <c r="A56" i="21"/>
  <c r="D55" i="21"/>
  <c r="A55" i="21"/>
  <c r="D54" i="21"/>
  <c r="A54" i="21"/>
  <c r="D53" i="21"/>
  <c r="A53" i="21"/>
  <c r="D52" i="21"/>
  <c r="A52" i="21"/>
  <c r="D51" i="21"/>
  <c r="A51" i="21"/>
  <c r="D50" i="21"/>
  <c r="A50" i="21"/>
  <c r="D49" i="21"/>
  <c r="A49" i="21"/>
  <c r="D48" i="21"/>
  <c r="A48" i="21"/>
  <c r="D47" i="21"/>
  <c r="A47" i="21"/>
  <c r="D46" i="21"/>
  <c r="A46" i="21"/>
  <c r="D45" i="21"/>
  <c r="A45" i="21"/>
  <c r="D44" i="21"/>
  <c r="A44" i="21"/>
  <c r="D43" i="21"/>
  <c r="A43" i="21"/>
  <c r="D42" i="21"/>
  <c r="A42" i="21"/>
  <c r="D41" i="21"/>
  <c r="A41" i="21"/>
  <c r="D40" i="21"/>
  <c r="A40" i="21"/>
  <c r="D39" i="21"/>
  <c r="A39" i="21"/>
  <c r="D38" i="21"/>
  <c r="A38" i="21"/>
  <c r="D37" i="21"/>
  <c r="A37" i="21"/>
  <c r="D36" i="21"/>
  <c r="C36" i="21" s="1"/>
  <c r="A36" i="21"/>
  <c r="D35" i="21"/>
  <c r="C35" i="21" s="1"/>
  <c r="A35" i="21"/>
  <c r="D34" i="21"/>
  <c r="A34" i="21"/>
  <c r="D33" i="21"/>
  <c r="A33" i="21"/>
  <c r="D32" i="21"/>
  <c r="A32" i="21"/>
  <c r="D31" i="21"/>
  <c r="A31" i="21"/>
  <c r="D30" i="21"/>
  <c r="A30" i="21"/>
  <c r="D29" i="21"/>
  <c r="A29" i="21"/>
  <c r="D28" i="21"/>
  <c r="A28" i="21"/>
  <c r="D27" i="21"/>
  <c r="A27" i="21"/>
  <c r="D26" i="21"/>
  <c r="A26" i="21"/>
  <c r="D25" i="21"/>
  <c r="A25" i="21"/>
  <c r="D24" i="21"/>
  <c r="A24" i="21"/>
  <c r="D23" i="21"/>
  <c r="A23" i="21"/>
  <c r="D22" i="21"/>
  <c r="A22" i="21"/>
  <c r="D21" i="21"/>
  <c r="A21" i="21"/>
  <c r="D20" i="21"/>
  <c r="A20" i="21"/>
  <c r="D19" i="21"/>
  <c r="A19" i="21"/>
  <c r="D18" i="21"/>
  <c r="C18" i="21"/>
  <c r="A18" i="21"/>
  <c r="D17" i="21"/>
  <c r="A17" i="21"/>
  <c r="D16" i="21"/>
  <c r="A16" i="21"/>
  <c r="D15" i="21"/>
  <c r="A15" i="21"/>
  <c r="D14" i="21"/>
  <c r="A14" i="21"/>
  <c r="D13" i="21"/>
  <c r="A13" i="21"/>
  <c r="D12" i="21"/>
  <c r="A12" i="21"/>
  <c r="D11" i="21"/>
  <c r="A11" i="21"/>
  <c r="D10" i="21"/>
  <c r="A10" i="21"/>
  <c r="D9" i="21"/>
  <c r="A9" i="21"/>
  <c r="D8" i="21"/>
  <c r="A8" i="21"/>
  <c r="D7" i="21"/>
  <c r="C7" i="21"/>
  <c r="A7" i="21"/>
  <c r="D6" i="21"/>
  <c r="A6" i="21"/>
  <c r="D5" i="21"/>
  <c r="A5" i="21"/>
  <c r="D4" i="21"/>
  <c r="A4" i="21"/>
  <c r="D3" i="21"/>
  <c r="A3" i="21"/>
  <c r="D105" i="20"/>
  <c r="A105" i="20"/>
  <c r="D104" i="20"/>
  <c r="A104" i="20"/>
  <c r="D103" i="20"/>
  <c r="A103" i="20"/>
  <c r="D102" i="20"/>
  <c r="A102" i="20"/>
  <c r="D101" i="20"/>
  <c r="A101" i="20"/>
  <c r="D100" i="20"/>
  <c r="A100" i="20"/>
  <c r="D99" i="20"/>
  <c r="A99" i="20"/>
  <c r="D98" i="20"/>
  <c r="A98" i="20"/>
  <c r="D97" i="20"/>
  <c r="A97" i="20"/>
  <c r="D96" i="20"/>
  <c r="A96" i="20"/>
  <c r="D95" i="20"/>
  <c r="A95" i="20"/>
  <c r="D94" i="20"/>
  <c r="A94" i="20"/>
  <c r="D93" i="20"/>
  <c r="A93" i="20"/>
  <c r="D92" i="20"/>
  <c r="A92" i="20"/>
  <c r="D91" i="20"/>
  <c r="A91" i="20"/>
  <c r="D90" i="20"/>
  <c r="A90" i="20"/>
  <c r="D89" i="20"/>
  <c r="A89" i="20"/>
  <c r="D88" i="20"/>
  <c r="A88" i="20"/>
  <c r="D87" i="20"/>
  <c r="A87" i="20"/>
  <c r="D86" i="20"/>
  <c r="A86" i="20"/>
  <c r="D85" i="20"/>
  <c r="A85" i="20"/>
  <c r="D84" i="20"/>
  <c r="A84" i="20"/>
  <c r="D83" i="20"/>
  <c r="A83" i="20"/>
  <c r="D82" i="20"/>
  <c r="A82" i="20"/>
  <c r="D81" i="20"/>
  <c r="A81" i="20"/>
  <c r="D80" i="20"/>
  <c r="A80" i="20"/>
  <c r="D79" i="20"/>
  <c r="A79" i="20"/>
  <c r="D78" i="20"/>
  <c r="A78" i="20"/>
  <c r="D77" i="20"/>
  <c r="A77" i="20"/>
  <c r="A76" i="20"/>
  <c r="D75" i="20"/>
  <c r="C75" i="20" s="1"/>
  <c r="A75" i="20"/>
  <c r="D74" i="20"/>
  <c r="C74" i="20" s="1"/>
  <c r="A74" i="20"/>
  <c r="D73" i="20"/>
  <c r="C73" i="20" s="1"/>
  <c r="A73" i="20"/>
  <c r="D72" i="20"/>
  <c r="C72" i="20" s="1"/>
  <c r="A72" i="20"/>
  <c r="D71" i="20"/>
  <c r="C71" i="20" s="1"/>
  <c r="A71" i="20"/>
  <c r="D70" i="20"/>
  <c r="A70" i="20"/>
  <c r="D69" i="20"/>
  <c r="A69" i="20"/>
  <c r="D68" i="20"/>
  <c r="A68" i="20"/>
  <c r="D67" i="20"/>
  <c r="A67" i="20"/>
  <c r="D66" i="20"/>
  <c r="A66" i="20"/>
  <c r="D65" i="20"/>
  <c r="A65" i="20"/>
  <c r="D64" i="20"/>
  <c r="A64" i="20"/>
  <c r="D63" i="20"/>
  <c r="C63" i="20"/>
  <c r="A63" i="20"/>
  <c r="D62" i="20"/>
  <c r="A62" i="20"/>
  <c r="D61" i="20"/>
  <c r="A61" i="20"/>
  <c r="D60" i="20"/>
  <c r="A60" i="20"/>
  <c r="A59" i="20"/>
  <c r="D58" i="20"/>
  <c r="A58" i="20"/>
  <c r="A57" i="20"/>
  <c r="D56" i="20"/>
  <c r="A56" i="20"/>
  <c r="D55" i="20"/>
  <c r="A55" i="20"/>
  <c r="D54" i="20"/>
  <c r="A54" i="20"/>
  <c r="D53" i="20"/>
  <c r="A53" i="20"/>
  <c r="D52" i="20"/>
  <c r="A52" i="20"/>
  <c r="D51" i="20"/>
  <c r="A51" i="20"/>
  <c r="D50" i="20"/>
  <c r="A50" i="20"/>
  <c r="D49" i="20"/>
  <c r="A49" i="20"/>
  <c r="D48" i="20"/>
  <c r="A48" i="20"/>
  <c r="D47" i="20"/>
  <c r="A47" i="20"/>
  <c r="D46" i="20"/>
  <c r="A46" i="20"/>
  <c r="D45" i="20"/>
  <c r="A45" i="20"/>
  <c r="D44" i="20"/>
  <c r="A44" i="20"/>
  <c r="D43" i="20"/>
  <c r="A43" i="20"/>
  <c r="D42" i="20"/>
  <c r="A42" i="20"/>
  <c r="D41" i="20"/>
  <c r="A41" i="20"/>
  <c r="D40" i="20"/>
  <c r="A40" i="20"/>
  <c r="D39" i="20"/>
  <c r="A39" i="20"/>
  <c r="D38" i="20"/>
  <c r="A38" i="20"/>
  <c r="D37" i="20"/>
  <c r="A37" i="20"/>
  <c r="D36" i="20"/>
  <c r="C36" i="20" s="1"/>
  <c r="A36" i="20"/>
  <c r="D35" i="20"/>
  <c r="C35" i="20" s="1"/>
  <c r="A35" i="20"/>
  <c r="D34" i="20"/>
  <c r="A34" i="20"/>
  <c r="D33" i="20"/>
  <c r="A33" i="20"/>
  <c r="D32" i="20"/>
  <c r="A32" i="20"/>
  <c r="D31" i="20"/>
  <c r="A31" i="20"/>
  <c r="D30" i="20"/>
  <c r="A30" i="20"/>
  <c r="D29" i="20"/>
  <c r="A29" i="20"/>
  <c r="D28" i="20"/>
  <c r="A28" i="20"/>
  <c r="D27" i="20"/>
  <c r="A27" i="20"/>
  <c r="D26" i="20"/>
  <c r="A26" i="20"/>
  <c r="D25" i="20"/>
  <c r="A25" i="20"/>
  <c r="D24" i="20"/>
  <c r="A24" i="20"/>
  <c r="D23" i="20"/>
  <c r="A23" i="20"/>
  <c r="D22" i="20"/>
  <c r="A22" i="20"/>
  <c r="D21" i="20"/>
  <c r="A21" i="20"/>
  <c r="D20" i="20"/>
  <c r="A20" i="20"/>
  <c r="D19" i="20"/>
  <c r="A19" i="20"/>
  <c r="D18" i="20"/>
  <c r="C18" i="20"/>
  <c r="A18" i="20"/>
  <c r="D17" i="20"/>
  <c r="A17" i="20"/>
  <c r="D16" i="20"/>
  <c r="A16" i="20"/>
  <c r="D15" i="20"/>
  <c r="A15" i="20"/>
  <c r="D14" i="20"/>
  <c r="A14" i="20"/>
  <c r="D13" i="20"/>
  <c r="A13" i="20"/>
  <c r="D12" i="20"/>
  <c r="A12" i="20"/>
  <c r="D11" i="20"/>
  <c r="A11" i="20"/>
  <c r="D10" i="20"/>
  <c r="A10" i="20"/>
  <c r="D9" i="20"/>
  <c r="A9" i="20"/>
  <c r="D8" i="20"/>
  <c r="A8" i="20"/>
  <c r="D7" i="20"/>
  <c r="C7" i="20"/>
  <c r="A7" i="20"/>
  <c r="D6" i="20"/>
  <c r="A6" i="20"/>
  <c r="D5" i="20"/>
  <c r="A5" i="20"/>
  <c r="D4" i="20"/>
  <c r="A4" i="20"/>
  <c r="D3" i="20"/>
  <c r="A3" i="20"/>
  <c r="D105" i="19"/>
  <c r="A105" i="19"/>
  <c r="D104" i="19"/>
  <c r="A104" i="19"/>
  <c r="D103" i="19"/>
  <c r="A103" i="19"/>
  <c r="D102" i="19"/>
  <c r="A102" i="19"/>
  <c r="D101" i="19"/>
  <c r="A101" i="19"/>
  <c r="D100" i="19"/>
  <c r="A100" i="19"/>
  <c r="D99" i="19"/>
  <c r="A99" i="19"/>
  <c r="D98" i="19"/>
  <c r="A98" i="19"/>
  <c r="D97" i="19"/>
  <c r="A97" i="19"/>
  <c r="D96" i="19"/>
  <c r="A96" i="19"/>
  <c r="D95" i="19"/>
  <c r="A95" i="19"/>
  <c r="D94" i="19"/>
  <c r="A94" i="19"/>
  <c r="D93" i="19"/>
  <c r="A93" i="19"/>
  <c r="D92" i="19"/>
  <c r="A92" i="19"/>
  <c r="D91" i="19"/>
  <c r="A91" i="19"/>
  <c r="D90" i="19"/>
  <c r="A90" i="19"/>
  <c r="D89" i="19"/>
  <c r="A89" i="19"/>
  <c r="D88" i="19"/>
  <c r="A88" i="19"/>
  <c r="D87" i="19"/>
  <c r="A87" i="19"/>
  <c r="D86" i="19"/>
  <c r="A86" i="19"/>
  <c r="D85" i="19"/>
  <c r="A85" i="19"/>
  <c r="D84" i="19"/>
  <c r="A84" i="19"/>
  <c r="D83" i="19"/>
  <c r="A83" i="19"/>
  <c r="D82" i="19"/>
  <c r="A82" i="19"/>
  <c r="D81" i="19"/>
  <c r="A81" i="19"/>
  <c r="D80" i="19"/>
  <c r="A80" i="19"/>
  <c r="D79" i="19"/>
  <c r="A79" i="19"/>
  <c r="D78" i="19"/>
  <c r="A78" i="19"/>
  <c r="D77" i="19"/>
  <c r="A77" i="19"/>
  <c r="A76" i="19"/>
  <c r="D75" i="19"/>
  <c r="C75" i="19" s="1"/>
  <c r="A75" i="19"/>
  <c r="D74" i="19"/>
  <c r="C74" i="19" s="1"/>
  <c r="A74" i="19"/>
  <c r="D73" i="19"/>
  <c r="C73" i="19" s="1"/>
  <c r="A73" i="19"/>
  <c r="D72" i="19"/>
  <c r="C72" i="19" s="1"/>
  <c r="A72" i="19"/>
  <c r="D71" i="19"/>
  <c r="C71" i="19" s="1"/>
  <c r="A71" i="19"/>
  <c r="D70" i="19"/>
  <c r="A70" i="19"/>
  <c r="D69" i="19"/>
  <c r="A69" i="19"/>
  <c r="D68" i="19"/>
  <c r="A68" i="19"/>
  <c r="D67" i="19"/>
  <c r="A67" i="19"/>
  <c r="D66" i="19"/>
  <c r="A66" i="19"/>
  <c r="D65" i="19"/>
  <c r="A65" i="19"/>
  <c r="D64" i="19"/>
  <c r="A64" i="19"/>
  <c r="D63" i="19"/>
  <c r="C63" i="19"/>
  <c r="A63" i="19"/>
  <c r="D62" i="19"/>
  <c r="A62" i="19"/>
  <c r="D61" i="19"/>
  <c r="A61" i="19"/>
  <c r="D60" i="19"/>
  <c r="A60" i="19"/>
  <c r="A59" i="19"/>
  <c r="D58" i="19"/>
  <c r="A58" i="19"/>
  <c r="A57" i="19"/>
  <c r="D56" i="19"/>
  <c r="A56" i="19"/>
  <c r="D55" i="19"/>
  <c r="A55" i="19"/>
  <c r="D54" i="19"/>
  <c r="A54" i="19"/>
  <c r="D53" i="19"/>
  <c r="A53" i="19"/>
  <c r="D52" i="19"/>
  <c r="A52" i="19"/>
  <c r="D51" i="19"/>
  <c r="A51" i="19"/>
  <c r="D50" i="19"/>
  <c r="A50" i="19"/>
  <c r="D49" i="19"/>
  <c r="A49" i="19"/>
  <c r="D48" i="19"/>
  <c r="A48" i="19"/>
  <c r="D47" i="19"/>
  <c r="A47" i="19"/>
  <c r="D46" i="19"/>
  <c r="A46" i="19"/>
  <c r="D45" i="19"/>
  <c r="A45" i="19"/>
  <c r="D44" i="19"/>
  <c r="A44" i="19"/>
  <c r="D43" i="19"/>
  <c r="A43" i="19"/>
  <c r="D42" i="19"/>
  <c r="A42" i="19"/>
  <c r="D41" i="19"/>
  <c r="A41" i="19"/>
  <c r="D40" i="19"/>
  <c r="A40" i="19"/>
  <c r="D39" i="19"/>
  <c r="A39" i="19"/>
  <c r="D38" i="19"/>
  <c r="A38" i="19"/>
  <c r="D37" i="19"/>
  <c r="A37" i="19"/>
  <c r="D36" i="19"/>
  <c r="C36" i="19" s="1"/>
  <c r="A36" i="19"/>
  <c r="D35" i="19"/>
  <c r="C35" i="19" s="1"/>
  <c r="A35" i="19"/>
  <c r="D34" i="19"/>
  <c r="A34" i="19"/>
  <c r="D33" i="19"/>
  <c r="A33" i="19"/>
  <c r="D32" i="19"/>
  <c r="A32" i="19"/>
  <c r="D31" i="19"/>
  <c r="A31" i="19"/>
  <c r="D30" i="19"/>
  <c r="A30" i="19"/>
  <c r="D29" i="19"/>
  <c r="A29" i="19"/>
  <c r="D28" i="19"/>
  <c r="A28" i="19"/>
  <c r="D27" i="19"/>
  <c r="A27" i="19"/>
  <c r="D26" i="19"/>
  <c r="A26" i="19"/>
  <c r="D25" i="19"/>
  <c r="A25" i="19"/>
  <c r="D24" i="19"/>
  <c r="A24" i="19"/>
  <c r="D23" i="19"/>
  <c r="A23" i="19"/>
  <c r="D22" i="19"/>
  <c r="A22" i="19"/>
  <c r="D21" i="19"/>
  <c r="A21" i="19"/>
  <c r="D20" i="19"/>
  <c r="A20" i="19"/>
  <c r="D19" i="19"/>
  <c r="A19" i="19"/>
  <c r="D18" i="19"/>
  <c r="C18" i="19"/>
  <c r="A18" i="19"/>
  <c r="D17" i="19"/>
  <c r="A17" i="19"/>
  <c r="D16" i="19"/>
  <c r="A16" i="19"/>
  <c r="D15" i="19"/>
  <c r="A15" i="19"/>
  <c r="D14" i="19"/>
  <c r="A14" i="19"/>
  <c r="D13" i="19"/>
  <c r="A13" i="19"/>
  <c r="D12" i="19"/>
  <c r="A12" i="19"/>
  <c r="D11" i="19"/>
  <c r="A11" i="19"/>
  <c r="D10" i="19"/>
  <c r="A10" i="19"/>
  <c r="D9" i="19"/>
  <c r="A9" i="19"/>
  <c r="D8" i="19"/>
  <c r="A8" i="19"/>
  <c r="D7" i="19"/>
  <c r="C7" i="19"/>
  <c r="A7" i="19"/>
  <c r="D6" i="19"/>
  <c r="A6" i="19"/>
  <c r="D5" i="19"/>
  <c r="A5" i="19"/>
  <c r="D4" i="19"/>
  <c r="A4" i="19"/>
  <c r="D3" i="19"/>
  <c r="A3" i="19"/>
  <c r="D105" i="18"/>
  <c r="A105" i="18"/>
  <c r="D104" i="18"/>
  <c r="A104" i="18"/>
  <c r="D103" i="18"/>
  <c r="A103" i="18"/>
  <c r="D102" i="18"/>
  <c r="A102" i="18"/>
  <c r="D101" i="18"/>
  <c r="A101" i="18"/>
  <c r="D100" i="18"/>
  <c r="A100" i="18"/>
  <c r="D99" i="18"/>
  <c r="A99" i="18"/>
  <c r="D98" i="18"/>
  <c r="A98" i="18"/>
  <c r="D97" i="18"/>
  <c r="A97" i="18"/>
  <c r="D96" i="18"/>
  <c r="A96" i="18"/>
  <c r="D95" i="18"/>
  <c r="A95" i="18"/>
  <c r="D94" i="18"/>
  <c r="A94" i="18"/>
  <c r="D93" i="18"/>
  <c r="A93" i="18"/>
  <c r="D92" i="18"/>
  <c r="A92" i="18"/>
  <c r="D91" i="18"/>
  <c r="A91" i="18"/>
  <c r="D90" i="18"/>
  <c r="A90" i="18"/>
  <c r="D89" i="18"/>
  <c r="A89" i="18"/>
  <c r="D88" i="18"/>
  <c r="A88" i="18"/>
  <c r="D87" i="18"/>
  <c r="A87" i="18"/>
  <c r="D86" i="18"/>
  <c r="A86" i="18"/>
  <c r="D85" i="18"/>
  <c r="A85" i="18"/>
  <c r="D84" i="18"/>
  <c r="A84" i="18"/>
  <c r="D83" i="18"/>
  <c r="A83" i="18"/>
  <c r="D82" i="18"/>
  <c r="A82" i="18"/>
  <c r="D81" i="18"/>
  <c r="A81" i="18"/>
  <c r="D80" i="18"/>
  <c r="A80" i="18"/>
  <c r="D79" i="18"/>
  <c r="A79" i="18"/>
  <c r="D78" i="18"/>
  <c r="A78" i="18"/>
  <c r="D77" i="18"/>
  <c r="A77" i="18"/>
  <c r="A76" i="18"/>
  <c r="D75" i="18"/>
  <c r="C75" i="18" s="1"/>
  <c r="A75" i="18"/>
  <c r="D74" i="18"/>
  <c r="C74" i="18" s="1"/>
  <c r="A74" i="18"/>
  <c r="D73" i="18"/>
  <c r="C73" i="18" s="1"/>
  <c r="A73" i="18"/>
  <c r="D72" i="18"/>
  <c r="C72" i="18" s="1"/>
  <c r="A72" i="18"/>
  <c r="D71" i="18"/>
  <c r="C71" i="18" s="1"/>
  <c r="A71" i="18"/>
  <c r="D70" i="18"/>
  <c r="A70" i="18"/>
  <c r="D69" i="18"/>
  <c r="A69" i="18"/>
  <c r="D68" i="18"/>
  <c r="A68" i="18"/>
  <c r="D67" i="18"/>
  <c r="A67" i="18"/>
  <c r="D66" i="18"/>
  <c r="A66" i="18"/>
  <c r="D65" i="18"/>
  <c r="A65" i="18"/>
  <c r="D64" i="18"/>
  <c r="A64" i="18"/>
  <c r="D63" i="18"/>
  <c r="C63" i="18"/>
  <c r="A63" i="18"/>
  <c r="D62" i="18"/>
  <c r="A62" i="18"/>
  <c r="D61" i="18"/>
  <c r="A61" i="18"/>
  <c r="D60" i="18"/>
  <c r="A60" i="18"/>
  <c r="A59" i="18"/>
  <c r="D58" i="18"/>
  <c r="A58" i="18"/>
  <c r="A57" i="18"/>
  <c r="D56" i="18"/>
  <c r="A56" i="18"/>
  <c r="D55" i="18"/>
  <c r="A55" i="18"/>
  <c r="D54" i="18"/>
  <c r="A54" i="18"/>
  <c r="D53" i="18"/>
  <c r="A53" i="18"/>
  <c r="D52" i="18"/>
  <c r="A52" i="18"/>
  <c r="D51" i="18"/>
  <c r="A51" i="18"/>
  <c r="D50" i="18"/>
  <c r="A50" i="18"/>
  <c r="D49" i="18"/>
  <c r="A49" i="18"/>
  <c r="D48" i="18"/>
  <c r="A48" i="18"/>
  <c r="D47" i="18"/>
  <c r="A47" i="18"/>
  <c r="D46" i="18"/>
  <c r="A46" i="18"/>
  <c r="D45" i="18"/>
  <c r="A45" i="18"/>
  <c r="D44" i="18"/>
  <c r="A44" i="18"/>
  <c r="D43" i="18"/>
  <c r="A43" i="18"/>
  <c r="D42" i="18"/>
  <c r="A42" i="18"/>
  <c r="D41" i="18"/>
  <c r="A41" i="18"/>
  <c r="D40" i="18"/>
  <c r="A40" i="18"/>
  <c r="D39" i="18"/>
  <c r="A39" i="18"/>
  <c r="D38" i="18"/>
  <c r="A38" i="18"/>
  <c r="D37" i="18"/>
  <c r="A37" i="18"/>
  <c r="D36" i="18"/>
  <c r="C36" i="18" s="1"/>
  <c r="A36" i="18"/>
  <c r="D35" i="18"/>
  <c r="C35" i="18" s="1"/>
  <c r="A35" i="18"/>
  <c r="D34" i="18"/>
  <c r="A34" i="18"/>
  <c r="D33" i="18"/>
  <c r="A33" i="18"/>
  <c r="D32" i="18"/>
  <c r="A32" i="18"/>
  <c r="D31" i="18"/>
  <c r="A31" i="18"/>
  <c r="D30" i="18"/>
  <c r="A30" i="18"/>
  <c r="D29" i="18"/>
  <c r="A29" i="18"/>
  <c r="D28" i="18"/>
  <c r="A28" i="18"/>
  <c r="D27" i="18"/>
  <c r="A27" i="18"/>
  <c r="D26" i="18"/>
  <c r="A26" i="18"/>
  <c r="D25" i="18"/>
  <c r="A25" i="18"/>
  <c r="D24" i="18"/>
  <c r="A24" i="18"/>
  <c r="D23" i="18"/>
  <c r="A23" i="18"/>
  <c r="D22" i="18"/>
  <c r="A22" i="18"/>
  <c r="D21" i="18"/>
  <c r="A21" i="18"/>
  <c r="D20" i="18"/>
  <c r="A20" i="18"/>
  <c r="D19" i="18"/>
  <c r="A19" i="18"/>
  <c r="D18" i="18"/>
  <c r="C18" i="18"/>
  <c r="A18" i="18"/>
  <c r="D17" i="18"/>
  <c r="A17" i="18"/>
  <c r="D16" i="18"/>
  <c r="A16" i="18"/>
  <c r="D15" i="18"/>
  <c r="A15" i="18"/>
  <c r="D14" i="18"/>
  <c r="A14" i="18"/>
  <c r="D13" i="18"/>
  <c r="A13" i="18"/>
  <c r="D12" i="18"/>
  <c r="A12" i="18"/>
  <c r="D11" i="18"/>
  <c r="A11" i="18"/>
  <c r="D10" i="18"/>
  <c r="A10" i="18"/>
  <c r="D9" i="18"/>
  <c r="A9" i="18"/>
  <c r="D8" i="18"/>
  <c r="A8" i="18"/>
  <c r="D7" i="18"/>
  <c r="C7" i="18"/>
  <c r="A7" i="18"/>
  <c r="D6" i="18"/>
  <c r="A6" i="18"/>
  <c r="D5" i="18"/>
  <c r="A5" i="18"/>
  <c r="D4" i="18"/>
  <c r="A4" i="18"/>
  <c r="D3" i="18"/>
  <c r="A3" i="18"/>
  <c r="D105" i="17"/>
  <c r="A105" i="17"/>
  <c r="D104" i="17"/>
  <c r="A104" i="17"/>
  <c r="D103" i="17"/>
  <c r="A103" i="17"/>
  <c r="D102" i="17"/>
  <c r="A102" i="17"/>
  <c r="D101" i="17"/>
  <c r="A101" i="17"/>
  <c r="D100" i="17"/>
  <c r="A100" i="17"/>
  <c r="D99" i="17"/>
  <c r="A99" i="17"/>
  <c r="D98" i="17"/>
  <c r="A98" i="17"/>
  <c r="D97" i="17"/>
  <c r="A97" i="17"/>
  <c r="D96" i="17"/>
  <c r="A96" i="17"/>
  <c r="D95" i="17"/>
  <c r="A95" i="17"/>
  <c r="D94" i="17"/>
  <c r="A94" i="17"/>
  <c r="D93" i="17"/>
  <c r="A93" i="17"/>
  <c r="D92" i="17"/>
  <c r="A92" i="17"/>
  <c r="D91" i="17"/>
  <c r="A91" i="17"/>
  <c r="D90" i="17"/>
  <c r="A90" i="17"/>
  <c r="D89" i="17"/>
  <c r="A89" i="17"/>
  <c r="D88" i="17"/>
  <c r="A88" i="17"/>
  <c r="D87" i="17"/>
  <c r="A87" i="17"/>
  <c r="D86" i="17"/>
  <c r="A86" i="17"/>
  <c r="D85" i="17"/>
  <c r="A85" i="17"/>
  <c r="D84" i="17"/>
  <c r="A84" i="17"/>
  <c r="D83" i="17"/>
  <c r="A83" i="17"/>
  <c r="D82" i="17"/>
  <c r="A82" i="17"/>
  <c r="D81" i="17"/>
  <c r="A81" i="17"/>
  <c r="D80" i="17"/>
  <c r="A80" i="17"/>
  <c r="D79" i="17"/>
  <c r="A79" i="17"/>
  <c r="D78" i="17"/>
  <c r="A78" i="17"/>
  <c r="D77" i="17"/>
  <c r="A77" i="17"/>
  <c r="A76" i="17"/>
  <c r="D75" i="17"/>
  <c r="C75" i="17" s="1"/>
  <c r="A75" i="17"/>
  <c r="D74" i="17"/>
  <c r="C74" i="17" s="1"/>
  <c r="A74" i="17"/>
  <c r="D73" i="17"/>
  <c r="C73" i="17" s="1"/>
  <c r="A73" i="17"/>
  <c r="D72" i="17"/>
  <c r="C72" i="17" s="1"/>
  <c r="A72" i="17"/>
  <c r="D71" i="17"/>
  <c r="C71" i="17" s="1"/>
  <c r="A71" i="17"/>
  <c r="D70" i="17"/>
  <c r="A70" i="17"/>
  <c r="D69" i="17"/>
  <c r="A69" i="17"/>
  <c r="D68" i="17"/>
  <c r="A68" i="17"/>
  <c r="D67" i="17"/>
  <c r="A67" i="17"/>
  <c r="D66" i="17"/>
  <c r="A66" i="17"/>
  <c r="D65" i="17"/>
  <c r="A65" i="17"/>
  <c r="D64" i="17"/>
  <c r="A64" i="17"/>
  <c r="D63" i="17"/>
  <c r="C63" i="17"/>
  <c r="A63" i="17"/>
  <c r="D62" i="17"/>
  <c r="A62" i="17"/>
  <c r="D61" i="17"/>
  <c r="A61" i="17"/>
  <c r="D60" i="17"/>
  <c r="A60" i="17"/>
  <c r="A59" i="17"/>
  <c r="D58" i="17"/>
  <c r="A58" i="17"/>
  <c r="A57" i="17"/>
  <c r="D56" i="17"/>
  <c r="A56" i="17"/>
  <c r="D55" i="17"/>
  <c r="A55" i="17"/>
  <c r="D54" i="17"/>
  <c r="A54" i="17"/>
  <c r="D53" i="17"/>
  <c r="A53" i="17"/>
  <c r="D52" i="17"/>
  <c r="A52" i="17"/>
  <c r="D51" i="17"/>
  <c r="A51" i="17"/>
  <c r="D50" i="17"/>
  <c r="A50" i="17"/>
  <c r="D49" i="17"/>
  <c r="A49" i="17"/>
  <c r="D48" i="17"/>
  <c r="A48" i="17"/>
  <c r="D47" i="17"/>
  <c r="A47" i="17"/>
  <c r="D46" i="17"/>
  <c r="A46" i="17"/>
  <c r="D45" i="17"/>
  <c r="A45" i="17"/>
  <c r="D44" i="17"/>
  <c r="A44" i="17"/>
  <c r="D43" i="17"/>
  <c r="A43" i="17"/>
  <c r="D42" i="17"/>
  <c r="A42" i="17"/>
  <c r="D41" i="17"/>
  <c r="A41" i="17"/>
  <c r="D40" i="17"/>
  <c r="A40" i="17"/>
  <c r="D39" i="17"/>
  <c r="A39" i="17"/>
  <c r="D38" i="17"/>
  <c r="A38" i="17"/>
  <c r="D37" i="17"/>
  <c r="A37" i="17"/>
  <c r="D36" i="17"/>
  <c r="C36" i="17" s="1"/>
  <c r="A36" i="17"/>
  <c r="D35" i="17"/>
  <c r="C35" i="17" s="1"/>
  <c r="A35" i="17"/>
  <c r="D34" i="17"/>
  <c r="A34" i="17"/>
  <c r="D33" i="17"/>
  <c r="A33" i="17"/>
  <c r="D32" i="17"/>
  <c r="A32" i="17"/>
  <c r="D31" i="17"/>
  <c r="A31" i="17"/>
  <c r="D30" i="17"/>
  <c r="A30" i="17"/>
  <c r="D29" i="17"/>
  <c r="A29" i="17"/>
  <c r="D28" i="17"/>
  <c r="A28" i="17"/>
  <c r="D27" i="17"/>
  <c r="A27" i="17"/>
  <c r="D26" i="17"/>
  <c r="A26" i="17"/>
  <c r="D25" i="17"/>
  <c r="A25" i="17"/>
  <c r="D24" i="17"/>
  <c r="A24" i="17"/>
  <c r="D23" i="17"/>
  <c r="A23" i="17"/>
  <c r="D22" i="17"/>
  <c r="A22" i="17"/>
  <c r="D21" i="17"/>
  <c r="A21" i="17"/>
  <c r="D20" i="17"/>
  <c r="A20" i="17"/>
  <c r="D19" i="17"/>
  <c r="A19" i="17"/>
  <c r="D18" i="17"/>
  <c r="C18" i="17"/>
  <c r="A18" i="17"/>
  <c r="D17" i="17"/>
  <c r="A17" i="17"/>
  <c r="D16" i="17"/>
  <c r="A16" i="17"/>
  <c r="D15" i="17"/>
  <c r="A15" i="17"/>
  <c r="D14" i="17"/>
  <c r="A14" i="17"/>
  <c r="D13" i="17"/>
  <c r="A13" i="17"/>
  <c r="D12" i="17"/>
  <c r="A12" i="17"/>
  <c r="D11" i="17"/>
  <c r="A11" i="17"/>
  <c r="D10" i="17"/>
  <c r="A10" i="17"/>
  <c r="D9" i="17"/>
  <c r="A9" i="17"/>
  <c r="D8" i="17"/>
  <c r="A8" i="17"/>
  <c r="D7" i="17"/>
  <c r="C7" i="17"/>
  <c r="A7" i="17"/>
  <c r="D6" i="17"/>
  <c r="A6" i="17"/>
  <c r="D5" i="17"/>
  <c r="A5" i="17"/>
  <c r="D4" i="17"/>
  <c r="A4" i="17"/>
  <c r="D3" i="17"/>
  <c r="A3" i="17"/>
  <c r="D105" i="16"/>
  <c r="A105" i="16"/>
  <c r="D104" i="16"/>
  <c r="A104" i="16"/>
  <c r="D103" i="16"/>
  <c r="A103" i="16"/>
  <c r="D102" i="16"/>
  <c r="A102" i="16"/>
  <c r="D101" i="16"/>
  <c r="A101" i="16"/>
  <c r="D100" i="16"/>
  <c r="A100" i="16"/>
  <c r="D99" i="16"/>
  <c r="A99" i="16"/>
  <c r="D98" i="16"/>
  <c r="A98" i="16"/>
  <c r="D97" i="16"/>
  <c r="A97" i="16"/>
  <c r="D96" i="16"/>
  <c r="A96" i="16"/>
  <c r="D95" i="16"/>
  <c r="A95" i="16"/>
  <c r="D94" i="16"/>
  <c r="A94" i="16"/>
  <c r="D93" i="16"/>
  <c r="A93" i="16"/>
  <c r="D92" i="16"/>
  <c r="A92" i="16"/>
  <c r="D91" i="16"/>
  <c r="A91" i="16"/>
  <c r="D90" i="16"/>
  <c r="A90" i="16"/>
  <c r="D89" i="16"/>
  <c r="A89" i="16"/>
  <c r="D88" i="16"/>
  <c r="A88" i="16"/>
  <c r="D87" i="16"/>
  <c r="A87" i="16"/>
  <c r="D86" i="16"/>
  <c r="A86" i="16"/>
  <c r="D85" i="16"/>
  <c r="A85" i="16"/>
  <c r="D84" i="16"/>
  <c r="A84" i="16"/>
  <c r="D83" i="16"/>
  <c r="A83" i="16"/>
  <c r="D82" i="16"/>
  <c r="A82" i="16"/>
  <c r="D81" i="16"/>
  <c r="A81" i="16"/>
  <c r="D80" i="16"/>
  <c r="A80" i="16"/>
  <c r="D79" i="16"/>
  <c r="A79" i="16"/>
  <c r="D78" i="16"/>
  <c r="A78" i="16"/>
  <c r="D77" i="16"/>
  <c r="A77" i="16"/>
  <c r="A76" i="16"/>
  <c r="D75" i="16"/>
  <c r="C75" i="16" s="1"/>
  <c r="A75" i="16"/>
  <c r="D74" i="16"/>
  <c r="C74" i="16" s="1"/>
  <c r="A74" i="16"/>
  <c r="D73" i="16"/>
  <c r="C73" i="16" s="1"/>
  <c r="A73" i="16"/>
  <c r="D72" i="16"/>
  <c r="C72" i="16" s="1"/>
  <c r="A72" i="16"/>
  <c r="D71" i="16"/>
  <c r="C71" i="16" s="1"/>
  <c r="A71" i="16"/>
  <c r="D70" i="16"/>
  <c r="A70" i="16"/>
  <c r="D69" i="16"/>
  <c r="A69" i="16"/>
  <c r="D68" i="16"/>
  <c r="A68" i="16"/>
  <c r="D67" i="16"/>
  <c r="A67" i="16"/>
  <c r="D66" i="16"/>
  <c r="A66" i="16"/>
  <c r="D65" i="16"/>
  <c r="A65" i="16"/>
  <c r="D64" i="16"/>
  <c r="A64" i="16"/>
  <c r="D63" i="16"/>
  <c r="C63" i="16"/>
  <c r="A63" i="16"/>
  <c r="D62" i="16"/>
  <c r="A62" i="16"/>
  <c r="D61" i="16"/>
  <c r="A61" i="16"/>
  <c r="D60" i="16"/>
  <c r="A60" i="16"/>
  <c r="A59" i="16"/>
  <c r="D58" i="16"/>
  <c r="A58" i="16"/>
  <c r="A57" i="16"/>
  <c r="D56" i="16"/>
  <c r="A56" i="16"/>
  <c r="D55" i="16"/>
  <c r="A55" i="16"/>
  <c r="D54" i="16"/>
  <c r="A54" i="16"/>
  <c r="D53" i="16"/>
  <c r="A53" i="16"/>
  <c r="D52" i="16"/>
  <c r="A52" i="16"/>
  <c r="D51" i="16"/>
  <c r="A51" i="16"/>
  <c r="D50" i="16"/>
  <c r="A50" i="16"/>
  <c r="D49" i="16"/>
  <c r="A49" i="16"/>
  <c r="D48" i="16"/>
  <c r="A48" i="16"/>
  <c r="D47" i="16"/>
  <c r="A47" i="16"/>
  <c r="D46" i="16"/>
  <c r="A46" i="16"/>
  <c r="D45" i="16"/>
  <c r="A45" i="16"/>
  <c r="D44" i="16"/>
  <c r="A44" i="16"/>
  <c r="D43" i="16"/>
  <c r="A43" i="16"/>
  <c r="D42" i="16"/>
  <c r="A42" i="16"/>
  <c r="D41" i="16"/>
  <c r="A41" i="16"/>
  <c r="D40" i="16"/>
  <c r="A40" i="16"/>
  <c r="D39" i="16"/>
  <c r="A39" i="16"/>
  <c r="D38" i="16"/>
  <c r="A38" i="16"/>
  <c r="D37" i="16"/>
  <c r="A37" i="16"/>
  <c r="D36" i="16"/>
  <c r="C36" i="16" s="1"/>
  <c r="A36" i="16"/>
  <c r="D35" i="16"/>
  <c r="C35" i="16" s="1"/>
  <c r="A35" i="16"/>
  <c r="D34" i="16"/>
  <c r="A34" i="16"/>
  <c r="D33" i="16"/>
  <c r="A33" i="16"/>
  <c r="D32" i="16"/>
  <c r="A32" i="16"/>
  <c r="D31" i="16"/>
  <c r="A31" i="16"/>
  <c r="D30" i="16"/>
  <c r="A30" i="16"/>
  <c r="D29" i="16"/>
  <c r="A29" i="16"/>
  <c r="D28" i="16"/>
  <c r="A28" i="16"/>
  <c r="D27" i="16"/>
  <c r="A27" i="16"/>
  <c r="D26" i="16"/>
  <c r="A26" i="16"/>
  <c r="D25" i="16"/>
  <c r="A25" i="16"/>
  <c r="D24" i="16"/>
  <c r="A24" i="16"/>
  <c r="D23" i="16"/>
  <c r="A23" i="16"/>
  <c r="D22" i="16"/>
  <c r="A22" i="16"/>
  <c r="D21" i="16"/>
  <c r="A21" i="16"/>
  <c r="D20" i="16"/>
  <c r="A20" i="16"/>
  <c r="D19" i="16"/>
  <c r="A19" i="16"/>
  <c r="D18" i="16"/>
  <c r="C18" i="16"/>
  <c r="A18" i="16"/>
  <c r="D17" i="16"/>
  <c r="A17" i="16"/>
  <c r="D16" i="16"/>
  <c r="A16" i="16"/>
  <c r="D15" i="16"/>
  <c r="A15" i="16"/>
  <c r="D14" i="16"/>
  <c r="A14" i="16"/>
  <c r="D13" i="16"/>
  <c r="A13" i="16"/>
  <c r="D12" i="16"/>
  <c r="A12" i="16"/>
  <c r="D11" i="16"/>
  <c r="A11" i="16"/>
  <c r="D10" i="16"/>
  <c r="A10" i="16"/>
  <c r="D9" i="16"/>
  <c r="A9" i="16"/>
  <c r="D8" i="16"/>
  <c r="A8" i="16"/>
  <c r="D7" i="16"/>
  <c r="C7" i="16"/>
  <c r="A7" i="16"/>
  <c r="D6" i="16"/>
  <c r="A6" i="16"/>
  <c r="D5" i="16"/>
  <c r="A5" i="16"/>
  <c r="D4" i="16"/>
  <c r="A4" i="16"/>
  <c r="D3" i="16"/>
  <c r="A3" i="16"/>
  <c r="D105" i="15"/>
  <c r="A105" i="15"/>
  <c r="D104" i="15"/>
  <c r="A104" i="15"/>
  <c r="D103" i="15"/>
  <c r="A103" i="15"/>
  <c r="D102" i="15"/>
  <c r="A102" i="15"/>
  <c r="D101" i="15"/>
  <c r="A101" i="15"/>
  <c r="D100" i="15"/>
  <c r="A100" i="15"/>
  <c r="D99" i="15"/>
  <c r="A99" i="15"/>
  <c r="D98" i="15"/>
  <c r="A98" i="15"/>
  <c r="D97" i="15"/>
  <c r="A97" i="15"/>
  <c r="D96" i="15"/>
  <c r="A96" i="15"/>
  <c r="D95" i="15"/>
  <c r="A95" i="15"/>
  <c r="D94" i="15"/>
  <c r="A94" i="15"/>
  <c r="D93" i="15"/>
  <c r="A93" i="15"/>
  <c r="D92" i="15"/>
  <c r="A92" i="15"/>
  <c r="D91" i="15"/>
  <c r="A91" i="15"/>
  <c r="D90" i="15"/>
  <c r="A90" i="15"/>
  <c r="D89" i="15"/>
  <c r="A89" i="15"/>
  <c r="D88" i="15"/>
  <c r="A88" i="15"/>
  <c r="D87" i="15"/>
  <c r="A87" i="15"/>
  <c r="D86" i="15"/>
  <c r="A86" i="15"/>
  <c r="D85" i="15"/>
  <c r="A85" i="15"/>
  <c r="D84" i="15"/>
  <c r="A84" i="15"/>
  <c r="D83" i="15"/>
  <c r="A83" i="15"/>
  <c r="D82" i="15"/>
  <c r="A82" i="15"/>
  <c r="D81" i="15"/>
  <c r="A81" i="15"/>
  <c r="D80" i="15"/>
  <c r="A80" i="15"/>
  <c r="D79" i="15"/>
  <c r="A79" i="15"/>
  <c r="D78" i="15"/>
  <c r="A78" i="15"/>
  <c r="D77" i="15"/>
  <c r="A77" i="15"/>
  <c r="A76" i="15"/>
  <c r="D75" i="15"/>
  <c r="C75" i="15" s="1"/>
  <c r="A75" i="15"/>
  <c r="D74" i="15"/>
  <c r="C74" i="15" s="1"/>
  <c r="A74" i="15"/>
  <c r="D73" i="15"/>
  <c r="C73" i="15" s="1"/>
  <c r="A73" i="15"/>
  <c r="D72" i="15"/>
  <c r="C72" i="15" s="1"/>
  <c r="A72" i="15"/>
  <c r="D71" i="15"/>
  <c r="C71" i="15" s="1"/>
  <c r="A71" i="15"/>
  <c r="D70" i="15"/>
  <c r="A70" i="15"/>
  <c r="D69" i="15"/>
  <c r="A69" i="15"/>
  <c r="D68" i="15"/>
  <c r="A68" i="15"/>
  <c r="D67" i="15"/>
  <c r="A67" i="15"/>
  <c r="D66" i="15"/>
  <c r="A66" i="15"/>
  <c r="D65" i="15"/>
  <c r="A65" i="15"/>
  <c r="D64" i="15"/>
  <c r="A64" i="15"/>
  <c r="D63" i="15"/>
  <c r="C63" i="15"/>
  <c r="A63" i="15"/>
  <c r="D62" i="15"/>
  <c r="A62" i="15"/>
  <c r="D61" i="15"/>
  <c r="A61" i="15"/>
  <c r="D60" i="15"/>
  <c r="A60" i="15"/>
  <c r="A59" i="15"/>
  <c r="D58" i="15"/>
  <c r="A58" i="15"/>
  <c r="A57" i="15"/>
  <c r="D56" i="15"/>
  <c r="A56" i="15"/>
  <c r="D55" i="15"/>
  <c r="A55" i="15"/>
  <c r="D54" i="15"/>
  <c r="A54" i="15"/>
  <c r="D53" i="15"/>
  <c r="A53" i="15"/>
  <c r="D52" i="15"/>
  <c r="A52" i="15"/>
  <c r="D51" i="15"/>
  <c r="A51" i="15"/>
  <c r="D50" i="15"/>
  <c r="A50" i="15"/>
  <c r="D49" i="15"/>
  <c r="A49" i="15"/>
  <c r="D48" i="15"/>
  <c r="A48" i="15"/>
  <c r="D47" i="15"/>
  <c r="A47" i="15"/>
  <c r="D46" i="15"/>
  <c r="A46" i="15"/>
  <c r="D45" i="15"/>
  <c r="A45" i="15"/>
  <c r="D44" i="15"/>
  <c r="A44" i="15"/>
  <c r="D43" i="15"/>
  <c r="A43" i="15"/>
  <c r="D42" i="15"/>
  <c r="A42" i="15"/>
  <c r="D41" i="15"/>
  <c r="A41" i="15"/>
  <c r="D40" i="15"/>
  <c r="A40" i="15"/>
  <c r="D39" i="15"/>
  <c r="A39" i="15"/>
  <c r="D38" i="15"/>
  <c r="A38" i="15"/>
  <c r="D37" i="15"/>
  <c r="A37" i="15"/>
  <c r="D36" i="15"/>
  <c r="C36" i="15" s="1"/>
  <c r="A36" i="15"/>
  <c r="D35" i="15"/>
  <c r="C35" i="15" s="1"/>
  <c r="A35" i="15"/>
  <c r="D34" i="15"/>
  <c r="A34" i="15"/>
  <c r="D33" i="15"/>
  <c r="A33" i="15"/>
  <c r="D32" i="15"/>
  <c r="A32" i="15"/>
  <c r="D31" i="15"/>
  <c r="A31" i="15"/>
  <c r="D30" i="15"/>
  <c r="A30" i="15"/>
  <c r="D29" i="15"/>
  <c r="A29" i="15"/>
  <c r="D28" i="15"/>
  <c r="A28" i="15"/>
  <c r="D27" i="15"/>
  <c r="A27" i="15"/>
  <c r="D26" i="15"/>
  <c r="A26" i="15"/>
  <c r="D25" i="15"/>
  <c r="A25" i="15"/>
  <c r="D24" i="15"/>
  <c r="A24" i="15"/>
  <c r="D23" i="15"/>
  <c r="A23" i="15"/>
  <c r="D22" i="15"/>
  <c r="A22" i="15"/>
  <c r="D21" i="15"/>
  <c r="A21" i="15"/>
  <c r="D20" i="15"/>
  <c r="A20" i="15"/>
  <c r="D19" i="15"/>
  <c r="A19" i="15"/>
  <c r="D18" i="15"/>
  <c r="C18" i="15"/>
  <c r="A18" i="15"/>
  <c r="D17" i="15"/>
  <c r="A17" i="15"/>
  <c r="D16" i="15"/>
  <c r="A16" i="15"/>
  <c r="D15" i="15"/>
  <c r="A15" i="15"/>
  <c r="D14" i="15"/>
  <c r="A14" i="15"/>
  <c r="D13" i="15"/>
  <c r="A13" i="15"/>
  <c r="D12" i="15"/>
  <c r="A12" i="15"/>
  <c r="D11" i="15"/>
  <c r="A11" i="15"/>
  <c r="D10" i="15"/>
  <c r="A10" i="15"/>
  <c r="D9" i="15"/>
  <c r="A9" i="15"/>
  <c r="D8" i="15"/>
  <c r="A8" i="15"/>
  <c r="D7" i="15"/>
  <c r="C7" i="15"/>
  <c r="A7" i="15"/>
  <c r="D6" i="15"/>
  <c r="A6" i="15"/>
  <c r="D5" i="15"/>
  <c r="A5" i="15"/>
  <c r="D4" i="15"/>
  <c r="A4" i="15"/>
  <c r="D3" i="15"/>
  <c r="A3" i="15"/>
  <c r="D105" i="14"/>
  <c r="A105" i="14"/>
  <c r="D104" i="14"/>
  <c r="A104" i="14"/>
  <c r="D103" i="14"/>
  <c r="A103" i="14"/>
  <c r="D102" i="14"/>
  <c r="A102" i="14"/>
  <c r="D101" i="14"/>
  <c r="A101" i="14"/>
  <c r="D100" i="14"/>
  <c r="A100" i="14"/>
  <c r="D99" i="14"/>
  <c r="A99" i="14"/>
  <c r="D98" i="14"/>
  <c r="A98" i="14"/>
  <c r="D97" i="14"/>
  <c r="A97" i="14"/>
  <c r="D96" i="14"/>
  <c r="A96" i="14"/>
  <c r="D95" i="14"/>
  <c r="A95" i="14"/>
  <c r="D94" i="14"/>
  <c r="A94" i="14"/>
  <c r="D93" i="14"/>
  <c r="A93" i="14"/>
  <c r="D92" i="14"/>
  <c r="A92" i="14"/>
  <c r="D91" i="14"/>
  <c r="A91" i="14"/>
  <c r="D90" i="14"/>
  <c r="A90" i="14"/>
  <c r="D89" i="14"/>
  <c r="A89" i="14"/>
  <c r="D88" i="14"/>
  <c r="A88" i="14"/>
  <c r="D87" i="14"/>
  <c r="A87" i="14"/>
  <c r="D86" i="14"/>
  <c r="A86" i="14"/>
  <c r="D85" i="14"/>
  <c r="A85" i="14"/>
  <c r="D84" i="14"/>
  <c r="A84" i="14"/>
  <c r="D83" i="14"/>
  <c r="A83" i="14"/>
  <c r="D82" i="14"/>
  <c r="A82" i="14"/>
  <c r="D81" i="14"/>
  <c r="A81" i="14"/>
  <c r="D80" i="14"/>
  <c r="A80" i="14"/>
  <c r="D79" i="14"/>
  <c r="A79" i="14"/>
  <c r="D78" i="14"/>
  <c r="A78" i="14"/>
  <c r="D77" i="14"/>
  <c r="A77" i="14"/>
  <c r="A76" i="14"/>
  <c r="D75" i="14"/>
  <c r="C75" i="14" s="1"/>
  <c r="A75" i="14"/>
  <c r="D74" i="14"/>
  <c r="C74" i="14" s="1"/>
  <c r="A74" i="14"/>
  <c r="D73" i="14"/>
  <c r="C73" i="14" s="1"/>
  <c r="A73" i="14"/>
  <c r="D72" i="14"/>
  <c r="C72" i="14" s="1"/>
  <c r="A72" i="14"/>
  <c r="D71" i="14"/>
  <c r="C71" i="14" s="1"/>
  <c r="A71" i="14"/>
  <c r="D70" i="14"/>
  <c r="A70" i="14"/>
  <c r="D69" i="14"/>
  <c r="A69" i="14"/>
  <c r="D68" i="14"/>
  <c r="A68" i="14"/>
  <c r="D67" i="14"/>
  <c r="A67" i="14"/>
  <c r="D66" i="14"/>
  <c r="A66" i="14"/>
  <c r="D65" i="14"/>
  <c r="A65" i="14"/>
  <c r="D64" i="14"/>
  <c r="A64" i="14"/>
  <c r="D63" i="14"/>
  <c r="C63" i="14"/>
  <c r="A63" i="14"/>
  <c r="D62" i="14"/>
  <c r="A62" i="14"/>
  <c r="D61" i="14"/>
  <c r="A61" i="14"/>
  <c r="D60" i="14"/>
  <c r="A60" i="14"/>
  <c r="A59" i="14"/>
  <c r="D58" i="14"/>
  <c r="A58" i="14"/>
  <c r="A57" i="14"/>
  <c r="D56" i="14"/>
  <c r="A56" i="14"/>
  <c r="D55" i="14"/>
  <c r="A55" i="14"/>
  <c r="D54" i="14"/>
  <c r="A54" i="14"/>
  <c r="D53" i="14"/>
  <c r="A53" i="14"/>
  <c r="D52" i="14"/>
  <c r="A52" i="14"/>
  <c r="D51" i="14"/>
  <c r="A51" i="14"/>
  <c r="D50" i="14"/>
  <c r="A50" i="14"/>
  <c r="D49" i="14"/>
  <c r="A49" i="14"/>
  <c r="D48" i="14"/>
  <c r="A48" i="14"/>
  <c r="D47" i="14"/>
  <c r="A47" i="14"/>
  <c r="D46" i="14"/>
  <c r="A46" i="14"/>
  <c r="D45" i="14"/>
  <c r="A45" i="14"/>
  <c r="D44" i="14"/>
  <c r="A44" i="14"/>
  <c r="D43" i="14"/>
  <c r="A43" i="14"/>
  <c r="D42" i="14"/>
  <c r="A42" i="14"/>
  <c r="D41" i="14"/>
  <c r="A41" i="14"/>
  <c r="D40" i="14"/>
  <c r="A40" i="14"/>
  <c r="D39" i="14"/>
  <c r="A39" i="14"/>
  <c r="D38" i="14"/>
  <c r="A38" i="14"/>
  <c r="D37" i="14"/>
  <c r="A37" i="14"/>
  <c r="D36" i="14"/>
  <c r="C36" i="14" s="1"/>
  <c r="A36" i="14"/>
  <c r="D35" i="14"/>
  <c r="C35" i="14" s="1"/>
  <c r="A35" i="14"/>
  <c r="D34" i="14"/>
  <c r="A34" i="14"/>
  <c r="D33" i="14"/>
  <c r="A33" i="14"/>
  <c r="D32" i="14"/>
  <c r="A32" i="14"/>
  <c r="D31" i="14"/>
  <c r="A31" i="14"/>
  <c r="D30" i="14"/>
  <c r="A30" i="14"/>
  <c r="D29" i="14"/>
  <c r="A29" i="14"/>
  <c r="D28" i="14"/>
  <c r="A28" i="14"/>
  <c r="D27" i="14"/>
  <c r="A27" i="14"/>
  <c r="D26" i="14"/>
  <c r="A26" i="14"/>
  <c r="D25" i="14"/>
  <c r="A25" i="14"/>
  <c r="D24" i="14"/>
  <c r="A24" i="14"/>
  <c r="D23" i="14"/>
  <c r="A23" i="14"/>
  <c r="D22" i="14"/>
  <c r="A22" i="14"/>
  <c r="D21" i="14"/>
  <c r="A21" i="14"/>
  <c r="D20" i="14"/>
  <c r="A20" i="14"/>
  <c r="D19" i="14"/>
  <c r="A19" i="14"/>
  <c r="D18" i="14"/>
  <c r="C18" i="14"/>
  <c r="A18" i="14"/>
  <c r="D17" i="14"/>
  <c r="A17" i="14"/>
  <c r="D16" i="14"/>
  <c r="A16" i="14"/>
  <c r="D15" i="14"/>
  <c r="A15" i="14"/>
  <c r="D14" i="14"/>
  <c r="A14" i="14"/>
  <c r="D13" i="14"/>
  <c r="A13" i="14"/>
  <c r="D12" i="14"/>
  <c r="A12" i="14"/>
  <c r="D11" i="14"/>
  <c r="A11" i="14"/>
  <c r="D10" i="14"/>
  <c r="A10" i="14"/>
  <c r="D9" i="14"/>
  <c r="A9" i="14"/>
  <c r="D8" i="14"/>
  <c r="A8" i="14"/>
  <c r="D7" i="14"/>
  <c r="C7" i="14"/>
  <c r="A7" i="14"/>
  <c r="D6" i="14"/>
  <c r="A6" i="14"/>
  <c r="D5" i="14"/>
  <c r="A5" i="14"/>
  <c r="D4" i="14"/>
  <c r="A4" i="14"/>
  <c r="D3" i="14"/>
  <c r="A3" i="14"/>
  <c r="D105" i="13"/>
  <c r="A105" i="13"/>
  <c r="D104" i="13"/>
  <c r="A104" i="13"/>
  <c r="D103" i="13"/>
  <c r="A103" i="13"/>
  <c r="D102" i="13"/>
  <c r="A102" i="13"/>
  <c r="D101" i="13"/>
  <c r="A101" i="13"/>
  <c r="D100" i="13"/>
  <c r="A100" i="13"/>
  <c r="D99" i="13"/>
  <c r="A99" i="13"/>
  <c r="D98" i="13"/>
  <c r="A98" i="13"/>
  <c r="D97" i="13"/>
  <c r="A97" i="13"/>
  <c r="D96" i="13"/>
  <c r="A96" i="13"/>
  <c r="D95" i="13"/>
  <c r="A95" i="13"/>
  <c r="D94" i="13"/>
  <c r="A94" i="13"/>
  <c r="D93" i="13"/>
  <c r="A93" i="13"/>
  <c r="D92" i="13"/>
  <c r="A92" i="13"/>
  <c r="D91" i="13"/>
  <c r="A91" i="13"/>
  <c r="D90" i="13"/>
  <c r="A90" i="13"/>
  <c r="D89" i="13"/>
  <c r="A89" i="13"/>
  <c r="D88" i="13"/>
  <c r="A88" i="13"/>
  <c r="D87" i="13"/>
  <c r="A87" i="13"/>
  <c r="D86" i="13"/>
  <c r="A86" i="13"/>
  <c r="D85" i="13"/>
  <c r="A85" i="13"/>
  <c r="D84" i="13"/>
  <c r="A84" i="13"/>
  <c r="D83" i="13"/>
  <c r="A83" i="13"/>
  <c r="D82" i="13"/>
  <c r="A82" i="13"/>
  <c r="D81" i="13"/>
  <c r="A81" i="13"/>
  <c r="D80" i="13"/>
  <c r="A80" i="13"/>
  <c r="D79" i="13"/>
  <c r="A79" i="13"/>
  <c r="D78" i="13"/>
  <c r="A78" i="13"/>
  <c r="D77" i="13"/>
  <c r="A77" i="13"/>
  <c r="A76" i="13"/>
  <c r="D75" i="13"/>
  <c r="C75" i="13" s="1"/>
  <c r="A75" i="13"/>
  <c r="D74" i="13"/>
  <c r="C74" i="13" s="1"/>
  <c r="A74" i="13"/>
  <c r="D73" i="13"/>
  <c r="C73" i="13" s="1"/>
  <c r="A73" i="13"/>
  <c r="D72" i="13"/>
  <c r="C72" i="13" s="1"/>
  <c r="A72" i="13"/>
  <c r="D71" i="13"/>
  <c r="C71" i="13" s="1"/>
  <c r="A71" i="13"/>
  <c r="D70" i="13"/>
  <c r="A70" i="13"/>
  <c r="D69" i="13"/>
  <c r="A69" i="13"/>
  <c r="D68" i="13"/>
  <c r="A68" i="13"/>
  <c r="D67" i="13"/>
  <c r="A67" i="13"/>
  <c r="D66" i="13"/>
  <c r="A66" i="13"/>
  <c r="D65" i="13"/>
  <c r="A65" i="13"/>
  <c r="D64" i="13"/>
  <c r="A64" i="13"/>
  <c r="D63" i="13"/>
  <c r="C63" i="13"/>
  <c r="A63" i="13"/>
  <c r="D62" i="13"/>
  <c r="A62" i="13"/>
  <c r="D61" i="13"/>
  <c r="A61" i="13"/>
  <c r="D60" i="13"/>
  <c r="A60" i="13"/>
  <c r="A59" i="13"/>
  <c r="D58" i="13"/>
  <c r="A58" i="13"/>
  <c r="A57" i="13"/>
  <c r="D56" i="13"/>
  <c r="A56" i="13"/>
  <c r="D55" i="13"/>
  <c r="A55" i="13"/>
  <c r="D54" i="13"/>
  <c r="A54" i="13"/>
  <c r="D53" i="13"/>
  <c r="A53" i="13"/>
  <c r="D52" i="13"/>
  <c r="A52" i="13"/>
  <c r="D51" i="13"/>
  <c r="A51" i="13"/>
  <c r="D50" i="13"/>
  <c r="A50" i="13"/>
  <c r="D49" i="13"/>
  <c r="A49" i="13"/>
  <c r="D48" i="13"/>
  <c r="A48" i="13"/>
  <c r="D47" i="13"/>
  <c r="A47" i="13"/>
  <c r="D46" i="13"/>
  <c r="A46" i="13"/>
  <c r="D45" i="13"/>
  <c r="A45" i="13"/>
  <c r="D44" i="13"/>
  <c r="A44" i="13"/>
  <c r="D43" i="13"/>
  <c r="A43" i="13"/>
  <c r="D42" i="13"/>
  <c r="A42" i="13"/>
  <c r="D41" i="13"/>
  <c r="A41" i="13"/>
  <c r="D40" i="13"/>
  <c r="A40" i="13"/>
  <c r="D39" i="13"/>
  <c r="A39" i="13"/>
  <c r="D38" i="13"/>
  <c r="A38" i="13"/>
  <c r="D37" i="13"/>
  <c r="A37" i="13"/>
  <c r="D36" i="13"/>
  <c r="C36" i="13" s="1"/>
  <c r="A36" i="13"/>
  <c r="D35" i="13"/>
  <c r="C35" i="13" s="1"/>
  <c r="A35" i="13"/>
  <c r="D34" i="13"/>
  <c r="A34" i="13"/>
  <c r="D33" i="13"/>
  <c r="A33" i="13"/>
  <c r="D32" i="13"/>
  <c r="A32" i="13"/>
  <c r="D31" i="13"/>
  <c r="A31" i="13"/>
  <c r="D30" i="13"/>
  <c r="A30" i="13"/>
  <c r="D29" i="13"/>
  <c r="A29" i="13"/>
  <c r="D28" i="13"/>
  <c r="A28" i="13"/>
  <c r="D27" i="13"/>
  <c r="A27" i="13"/>
  <c r="D26" i="13"/>
  <c r="A26" i="13"/>
  <c r="D25" i="13"/>
  <c r="A25" i="13"/>
  <c r="D24" i="13"/>
  <c r="A24" i="13"/>
  <c r="D23" i="13"/>
  <c r="A23" i="13"/>
  <c r="D22" i="13"/>
  <c r="A22" i="13"/>
  <c r="D21" i="13"/>
  <c r="A21" i="13"/>
  <c r="D20" i="13"/>
  <c r="A20" i="13"/>
  <c r="D19" i="13"/>
  <c r="A19" i="13"/>
  <c r="D18" i="13"/>
  <c r="C18" i="13"/>
  <c r="A18" i="13"/>
  <c r="D17" i="13"/>
  <c r="A17" i="13"/>
  <c r="D16" i="13"/>
  <c r="A16" i="13"/>
  <c r="D15" i="13"/>
  <c r="A15" i="13"/>
  <c r="D14" i="13"/>
  <c r="A14" i="13"/>
  <c r="D13" i="13"/>
  <c r="A13" i="13"/>
  <c r="D12" i="13"/>
  <c r="A12" i="13"/>
  <c r="D11" i="13"/>
  <c r="A11" i="13"/>
  <c r="D10" i="13"/>
  <c r="A10" i="13"/>
  <c r="D9" i="13"/>
  <c r="A9" i="13"/>
  <c r="D8" i="13"/>
  <c r="A8" i="13"/>
  <c r="D7" i="13"/>
  <c r="C7" i="13"/>
  <c r="A7" i="13"/>
  <c r="D6" i="13"/>
  <c r="A6" i="13"/>
  <c r="D5" i="13"/>
  <c r="A5" i="13"/>
  <c r="D4" i="13"/>
  <c r="A4" i="13"/>
  <c r="D3" i="13"/>
  <c r="A3" i="13"/>
  <c r="D105" i="12"/>
  <c r="A105" i="12"/>
  <c r="D104" i="12"/>
  <c r="A104" i="12"/>
  <c r="D103" i="12"/>
  <c r="A103" i="12"/>
  <c r="D102" i="12"/>
  <c r="A102" i="12"/>
  <c r="D101" i="12"/>
  <c r="A101" i="12"/>
  <c r="D100" i="12"/>
  <c r="A100" i="12"/>
  <c r="D99" i="12"/>
  <c r="A99" i="12"/>
  <c r="D98" i="12"/>
  <c r="A98" i="12"/>
  <c r="D97" i="12"/>
  <c r="A97" i="12"/>
  <c r="D96" i="12"/>
  <c r="A96" i="12"/>
  <c r="D95" i="12"/>
  <c r="A95" i="12"/>
  <c r="D94" i="12"/>
  <c r="A94" i="12"/>
  <c r="D93" i="12"/>
  <c r="A93" i="12"/>
  <c r="D92" i="12"/>
  <c r="A92" i="12"/>
  <c r="D91" i="12"/>
  <c r="A91" i="12"/>
  <c r="D90" i="12"/>
  <c r="A90" i="12"/>
  <c r="D89" i="12"/>
  <c r="A89" i="12"/>
  <c r="D88" i="12"/>
  <c r="A88" i="12"/>
  <c r="D87" i="12"/>
  <c r="A87" i="12"/>
  <c r="D86" i="12"/>
  <c r="A86" i="12"/>
  <c r="D85" i="12"/>
  <c r="A85" i="12"/>
  <c r="D84" i="12"/>
  <c r="A84" i="12"/>
  <c r="D83" i="12"/>
  <c r="A83" i="12"/>
  <c r="D82" i="12"/>
  <c r="A82" i="12"/>
  <c r="D81" i="12"/>
  <c r="A81" i="12"/>
  <c r="D80" i="12"/>
  <c r="A80" i="12"/>
  <c r="D79" i="12"/>
  <c r="A79" i="12"/>
  <c r="D78" i="12"/>
  <c r="A78" i="12"/>
  <c r="D77" i="12"/>
  <c r="A77" i="12"/>
  <c r="A76" i="12"/>
  <c r="D75" i="12"/>
  <c r="C75" i="12" s="1"/>
  <c r="A75" i="12"/>
  <c r="D74" i="12"/>
  <c r="C74" i="12" s="1"/>
  <c r="A74" i="12"/>
  <c r="D73" i="12"/>
  <c r="C73" i="12" s="1"/>
  <c r="A73" i="12"/>
  <c r="D72" i="12"/>
  <c r="C72" i="12" s="1"/>
  <c r="A72" i="12"/>
  <c r="D71" i="12"/>
  <c r="C71" i="12" s="1"/>
  <c r="A71" i="12"/>
  <c r="D70" i="12"/>
  <c r="A70" i="12"/>
  <c r="D69" i="12"/>
  <c r="A69" i="12"/>
  <c r="D68" i="12"/>
  <c r="A68" i="12"/>
  <c r="D67" i="12"/>
  <c r="A67" i="12"/>
  <c r="D66" i="12"/>
  <c r="A66" i="12"/>
  <c r="D65" i="12"/>
  <c r="A65" i="12"/>
  <c r="D64" i="12"/>
  <c r="A64" i="12"/>
  <c r="D63" i="12"/>
  <c r="C63" i="12"/>
  <c r="A63" i="12"/>
  <c r="D62" i="12"/>
  <c r="A62" i="12"/>
  <c r="D61" i="12"/>
  <c r="A61" i="12"/>
  <c r="D60" i="12"/>
  <c r="A60" i="12"/>
  <c r="A59" i="12"/>
  <c r="D58" i="12"/>
  <c r="A58" i="12"/>
  <c r="A57" i="12"/>
  <c r="D56" i="12"/>
  <c r="A56" i="12"/>
  <c r="D55" i="12"/>
  <c r="A55" i="12"/>
  <c r="D54" i="12"/>
  <c r="A54" i="12"/>
  <c r="D53" i="12"/>
  <c r="A53" i="12"/>
  <c r="D52" i="12"/>
  <c r="A52" i="12"/>
  <c r="D51" i="12"/>
  <c r="A51" i="12"/>
  <c r="D50" i="12"/>
  <c r="A50" i="12"/>
  <c r="D49" i="12"/>
  <c r="A49" i="12"/>
  <c r="D48" i="12"/>
  <c r="A48" i="12"/>
  <c r="D47" i="12"/>
  <c r="A47" i="12"/>
  <c r="D46" i="12"/>
  <c r="A46" i="12"/>
  <c r="D45" i="12"/>
  <c r="A45" i="12"/>
  <c r="D44" i="12"/>
  <c r="A44" i="12"/>
  <c r="D43" i="12"/>
  <c r="A43" i="12"/>
  <c r="D42" i="12"/>
  <c r="A42" i="12"/>
  <c r="D41" i="12"/>
  <c r="A41" i="12"/>
  <c r="D40" i="12"/>
  <c r="A40" i="12"/>
  <c r="D39" i="12"/>
  <c r="A39" i="12"/>
  <c r="D38" i="12"/>
  <c r="A38" i="12"/>
  <c r="D37" i="12"/>
  <c r="A37" i="12"/>
  <c r="D36" i="12"/>
  <c r="C36" i="12" s="1"/>
  <c r="A36" i="12"/>
  <c r="D35" i="12"/>
  <c r="C35" i="12" s="1"/>
  <c r="A35" i="12"/>
  <c r="D34" i="12"/>
  <c r="A34" i="12"/>
  <c r="D33" i="12"/>
  <c r="A33" i="12"/>
  <c r="D32" i="12"/>
  <c r="A32" i="12"/>
  <c r="D31" i="12"/>
  <c r="A31" i="12"/>
  <c r="D30" i="12"/>
  <c r="A30" i="12"/>
  <c r="D29" i="12"/>
  <c r="A29" i="12"/>
  <c r="D28" i="12"/>
  <c r="A28" i="12"/>
  <c r="D27" i="12"/>
  <c r="A27" i="12"/>
  <c r="D26" i="12"/>
  <c r="A26" i="12"/>
  <c r="D25" i="12"/>
  <c r="A25" i="12"/>
  <c r="D24" i="12"/>
  <c r="A24" i="12"/>
  <c r="D23" i="12"/>
  <c r="A23" i="12"/>
  <c r="D22" i="12"/>
  <c r="A22" i="12"/>
  <c r="D21" i="12"/>
  <c r="A21" i="12"/>
  <c r="D20" i="12"/>
  <c r="A20" i="12"/>
  <c r="D19" i="12"/>
  <c r="A19" i="12"/>
  <c r="D18" i="12"/>
  <c r="C18" i="12"/>
  <c r="A18" i="12"/>
  <c r="D17" i="12"/>
  <c r="A17" i="12"/>
  <c r="D16" i="12"/>
  <c r="A16" i="12"/>
  <c r="D15" i="12"/>
  <c r="A15" i="12"/>
  <c r="D14" i="12"/>
  <c r="A14" i="12"/>
  <c r="D13" i="12"/>
  <c r="A13" i="12"/>
  <c r="D12" i="12"/>
  <c r="A12" i="12"/>
  <c r="D11" i="12"/>
  <c r="A11" i="12"/>
  <c r="D10" i="12"/>
  <c r="A10" i="12"/>
  <c r="D9" i="12"/>
  <c r="A9" i="12"/>
  <c r="D8" i="12"/>
  <c r="A8" i="12"/>
  <c r="D7" i="12"/>
  <c r="C7" i="12"/>
  <c r="A7" i="12"/>
  <c r="D6" i="12"/>
  <c r="A6" i="12"/>
  <c r="D5" i="12"/>
  <c r="A5" i="12"/>
  <c r="D4" i="12"/>
  <c r="A4" i="12"/>
  <c r="D3" i="12"/>
  <c r="A3" i="12"/>
  <c r="D105" i="11"/>
  <c r="A105" i="11"/>
  <c r="D104" i="11"/>
  <c r="A104" i="11"/>
  <c r="D103" i="11"/>
  <c r="A103" i="11"/>
  <c r="D102" i="11"/>
  <c r="A102" i="11"/>
  <c r="D101" i="11"/>
  <c r="A101" i="11"/>
  <c r="D100" i="11"/>
  <c r="A100" i="11"/>
  <c r="D99" i="11"/>
  <c r="A99" i="11"/>
  <c r="D98" i="11"/>
  <c r="A98" i="11"/>
  <c r="D97" i="11"/>
  <c r="A97" i="11"/>
  <c r="D96" i="11"/>
  <c r="A96" i="11"/>
  <c r="D95" i="11"/>
  <c r="A95" i="11"/>
  <c r="D94" i="11"/>
  <c r="A94" i="11"/>
  <c r="D93" i="11"/>
  <c r="A93" i="11"/>
  <c r="D92" i="11"/>
  <c r="A92" i="11"/>
  <c r="D91" i="11"/>
  <c r="A91" i="11"/>
  <c r="D90" i="11"/>
  <c r="A90" i="11"/>
  <c r="D89" i="11"/>
  <c r="A89" i="11"/>
  <c r="D88" i="11"/>
  <c r="A88" i="11"/>
  <c r="D87" i="11"/>
  <c r="A87" i="11"/>
  <c r="D86" i="11"/>
  <c r="A86" i="11"/>
  <c r="D85" i="11"/>
  <c r="A85" i="11"/>
  <c r="D84" i="11"/>
  <c r="A84" i="11"/>
  <c r="D83" i="11"/>
  <c r="A83" i="11"/>
  <c r="D82" i="11"/>
  <c r="A82" i="11"/>
  <c r="D81" i="11"/>
  <c r="A81" i="11"/>
  <c r="D80" i="11"/>
  <c r="A80" i="11"/>
  <c r="D79" i="11"/>
  <c r="A79" i="11"/>
  <c r="D78" i="11"/>
  <c r="A78" i="11"/>
  <c r="D77" i="11"/>
  <c r="A77" i="11"/>
  <c r="A76" i="11"/>
  <c r="D75" i="11"/>
  <c r="C75" i="11" s="1"/>
  <c r="A75" i="11"/>
  <c r="D74" i="11"/>
  <c r="C74" i="11" s="1"/>
  <c r="A74" i="11"/>
  <c r="D73" i="11"/>
  <c r="C73" i="11" s="1"/>
  <c r="A73" i="11"/>
  <c r="D72" i="11"/>
  <c r="C72" i="11" s="1"/>
  <c r="A72" i="11"/>
  <c r="D71" i="11"/>
  <c r="C71" i="11" s="1"/>
  <c r="A71" i="11"/>
  <c r="D70" i="11"/>
  <c r="A70" i="11"/>
  <c r="D69" i="11"/>
  <c r="A69" i="11"/>
  <c r="D68" i="11"/>
  <c r="A68" i="11"/>
  <c r="D67" i="11"/>
  <c r="A67" i="11"/>
  <c r="D66" i="11"/>
  <c r="A66" i="11"/>
  <c r="D65" i="11"/>
  <c r="A65" i="11"/>
  <c r="D64" i="11"/>
  <c r="A64" i="11"/>
  <c r="D63" i="11"/>
  <c r="C63" i="11"/>
  <c r="A63" i="11"/>
  <c r="D62" i="11"/>
  <c r="A62" i="11"/>
  <c r="D61" i="11"/>
  <c r="A61" i="11"/>
  <c r="D60" i="11"/>
  <c r="A60" i="11"/>
  <c r="A59" i="11"/>
  <c r="D58" i="11"/>
  <c r="A58" i="11"/>
  <c r="A57" i="11"/>
  <c r="D56" i="11"/>
  <c r="A56" i="11"/>
  <c r="D55" i="11"/>
  <c r="A55" i="11"/>
  <c r="D54" i="11"/>
  <c r="A54" i="11"/>
  <c r="D53" i="11"/>
  <c r="A53" i="11"/>
  <c r="D52" i="11"/>
  <c r="A52" i="11"/>
  <c r="D51" i="11"/>
  <c r="A51" i="11"/>
  <c r="D50" i="11"/>
  <c r="A50" i="11"/>
  <c r="D49" i="11"/>
  <c r="A49" i="11"/>
  <c r="D48" i="11"/>
  <c r="A48" i="11"/>
  <c r="D47" i="11"/>
  <c r="A47" i="11"/>
  <c r="D46" i="11"/>
  <c r="A46" i="11"/>
  <c r="D45" i="11"/>
  <c r="A45" i="11"/>
  <c r="D44" i="11"/>
  <c r="A44" i="11"/>
  <c r="D43" i="11"/>
  <c r="A43" i="11"/>
  <c r="D42" i="11"/>
  <c r="A42" i="11"/>
  <c r="D41" i="11"/>
  <c r="A41" i="11"/>
  <c r="D40" i="11"/>
  <c r="A40" i="11"/>
  <c r="D39" i="11"/>
  <c r="A39" i="11"/>
  <c r="D38" i="11"/>
  <c r="A38" i="11"/>
  <c r="D37" i="11"/>
  <c r="A37" i="11"/>
  <c r="D36" i="11"/>
  <c r="C36" i="11" s="1"/>
  <c r="A36" i="11"/>
  <c r="D35" i="11"/>
  <c r="C35" i="11" s="1"/>
  <c r="A35" i="11"/>
  <c r="D34" i="11"/>
  <c r="A34" i="11"/>
  <c r="D33" i="11"/>
  <c r="A33" i="11"/>
  <c r="D32" i="11"/>
  <c r="A32" i="11"/>
  <c r="D31" i="11"/>
  <c r="A31" i="11"/>
  <c r="D30" i="11"/>
  <c r="A30" i="11"/>
  <c r="D29" i="11"/>
  <c r="A29" i="11"/>
  <c r="D28" i="11"/>
  <c r="A28" i="11"/>
  <c r="D27" i="11"/>
  <c r="A27" i="11"/>
  <c r="D26" i="11"/>
  <c r="A26" i="11"/>
  <c r="D25" i="11"/>
  <c r="A25" i="11"/>
  <c r="D24" i="11"/>
  <c r="A24" i="11"/>
  <c r="D23" i="11"/>
  <c r="A23" i="11"/>
  <c r="D22" i="11"/>
  <c r="A22" i="11"/>
  <c r="D21" i="11"/>
  <c r="A21" i="11"/>
  <c r="D20" i="11"/>
  <c r="A20" i="11"/>
  <c r="D19" i="11"/>
  <c r="A19" i="11"/>
  <c r="D18" i="11"/>
  <c r="C18" i="11"/>
  <c r="A18" i="11"/>
  <c r="D17" i="11"/>
  <c r="A17" i="11"/>
  <c r="D16" i="11"/>
  <c r="A16" i="11"/>
  <c r="D15" i="11"/>
  <c r="A15" i="11"/>
  <c r="D14" i="11"/>
  <c r="A14" i="11"/>
  <c r="D13" i="11"/>
  <c r="A13" i="11"/>
  <c r="D12" i="11"/>
  <c r="A12" i="11"/>
  <c r="D11" i="11"/>
  <c r="A11" i="11"/>
  <c r="D10" i="11"/>
  <c r="A10" i="11"/>
  <c r="D9" i="11"/>
  <c r="A9" i="11"/>
  <c r="D8" i="11"/>
  <c r="A8" i="11"/>
  <c r="D7" i="11"/>
  <c r="C7" i="11"/>
  <c r="A7" i="11"/>
  <c r="D6" i="11"/>
  <c r="A6" i="11"/>
  <c r="D5" i="11"/>
  <c r="A5" i="11"/>
  <c r="D4" i="11"/>
  <c r="A4" i="11"/>
  <c r="D3" i="11"/>
  <c r="A3" i="11"/>
  <c r="D105" i="10"/>
  <c r="A105" i="10"/>
  <c r="D104" i="10"/>
  <c r="A104" i="10"/>
  <c r="D103" i="10"/>
  <c r="A103" i="10"/>
  <c r="D102" i="10"/>
  <c r="A102" i="10"/>
  <c r="D101" i="10"/>
  <c r="A101" i="10"/>
  <c r="D100" i="10"/>
  <c r="A100" i="10"/>
  <c r="D99" i="10"/>
  <c r="A99" i="10"/>
  <c r="D98" i="10"/>
  <c r="A98" i="10"/>
  <c r="D97" i="10"/>
  <c r="A97" i="10"/>
  <c r="D96" i="10"/>
  <c r="A96" i="10"/>
  <c r="D95" i="10"/>
  <c r="A95" i="10"/>
  <c r="D94" i="10"/>
  <c r="A94" i="10"/>
  <c r="D93" i="10"/>
  <c r="A93" i="10"/>
  <c r="D92" i="10"/>
  <c r="A92" i="10"/>
  <c r="D91" i="10"/>
  <c r="A91" i="10"/>
  <c r="D90" i="10"/>
  <c r="A90" i="10"/>
  <c r="D89" i="10"/>
  <c r="A89" i="10"/>
  <c r="D88" i="10"/>
  <c r="A88" i="10"/>
  <c r="D87" i="10"/>
  <c r="A87" i="10"/>
  <c r="D86" i="10"/>
  <c r="A86" i="10"/>
  <c r="D85" i="10"/>
  <c r="A85" i="10"/>
  <c r="D84" i="10"/>
  <c r="A84" i="10"/>
  <c r="D83" i="10"/>
  <c r="A83" i="10"/>
  <c r="D82" i="10"/>
  <c r="A82" i="10"/>
  <c r="D81" i="10"/>
  <c r="A81" i="10"/>
  <c r="D80" i="10"/>
  <c r="A80" i="10"/>
  <c r="D79" i="10"/>
  <c r="A79" i="10"/>
  <c r="D78" i="10"/>
  <c r="A78" i="10"/>
  <c r="D77" i="10"/>
  <c r="A77" i="10"/>
  <c r="A76" i="10"/>
  <c r="D75" i="10"/>
  <c r="C75" i="10" s="1"/>
  <c r="A75" i="10"/>
  <c r="D74" i="10"/>
  <c r="C74" i="10" s="1"/>
  <c r="A74" i="10"/>
  <c r="D73" i="10"/>
  <c r="C73" i="10" s="1"/>
  <c r="A73" i="10"/>
  <c r="D72" i="10"/>
  <c r="C72" i="10" s="1"/>
  <c r="A72" i="10"/>
  <c r="D71" i="10"/>
  <c r="C71" i="10" s="1"/>
  <c r="A71" i="10"/>
  <c r="D70" i="10"/>
  <c r="A70" i="10"/>
  <c r="D69" i="10"/>
  <c r="A69" i="10"/>
  <c r="D68" i="10"/>
  <c r="A68" i="10"/>
  <c r="D67" i="10"/>
  <c r="A67" i="10"/>
  <c r="D66" i="10"/>
  <c r="A66" i="10"/>
  <c r="D65" i="10"/>
  <c r="A65" i="10"/>
  <c r="D64" i="10"/>
  <c r="A64" i="10"/>
  <c r="D63" i="10"/>
  <c r="C63" i="10"/>
  <c r="A63" i="10"/>
  <c r="D62" i="10"/>
  <c r="A62" i="10"/>
  <c r="D61" i="10"/>
  <c r="A61" i="10"/>
  <c r="D60" i="10"/>
  <c r="A60" i="10"/>
  <c r="A59" i="10"/>
  <c r="D58" i="10"/>
  <c r="A58" i="10"/>
  <c r="A57" i="10"/>
  <c r="D56" i="10"/>
  <c r="A56" i="10"/>
  <c r="D55" i="10"/>
  <c r="A55" i="10"/>
  <c r="D54" i="10"/>
  <c r="A54" i="10"/>
  <c r="D53" i="10"/>
  <c r="A53" i="10"/>
  <c r="D52" i="10"/>
  <c r="A52" i="10"/>
  <c r="D51" i="10"/>
  <c r="A51" i="10"/>
  <c r="D50" i="10"/>
  <c r="A50" i="10"/>
  <c r="D49" i="10"/>
  <c r="A49" i="10"/>
  <c r="D48" i="10"/>
  <c r="A48" i="10"/>
  <c r="D47" i="10"/>
  <c r="A47" i="10"/>
  <c r="D46" i="10"/>
  <c r="A46" i="10"/>
  <c r="D45" i="10"/>
  <c r="A45" i="10"/>
  <c r="D44" i="10"/>
  <c r="A44" i="10"/>
  <c r="D43" i="10"/>
  <c r="A43" i="10"/>
  <c r="D42" i="10"/>
  <c r="A42" i="10"/>
  <c r="D41" i="10"/>
  <c r="A41" i="10"/>
  <c r="D40" i="10"/>
  <c r="A40" i="10"/>
  <c r="D39" i="10"/>
  <c r="A39" i="10"/>
  <c r="D38" i="10"/>
  <c r="A38" i="10"/>
  <c r="D37" i="10"/>
  <c r="A37" i="10"/>
  <c r="D36" i="10"/>
  <c r="C36" i="10" s="1"/>
  <c r="A36" i="10"/>
  <c r="D35" i="10"/>
  <c r="C35" i="10" s="1"/>
  <c r="A35" i="10"/>
  <c r="D34" i="10"/>
  <c r="A34" i="10"/>
  <c r="D33" i="10"/>
  <c r="A33" i="10"/>
  <c r="D32" i="10"/>
  <c r="A32" i="10"/>
  <c r="D31" i="10"/>
  <c r="A31" i="10"/>
  <c r="D30" i="10"/>
  <c r="A30" i="10"/>
  <c r="D29" i="10"/>
  <c r="A29" i="10"/>
  <c r="D28" i="10"/>
  <c r="A28" i="10"/>
  <c r="D27" i="10"/>
  <c r="A27" i="10"/>
  <c r="D26" i="10"/>
  <c r="A26" i="10"/>
  <c r="D25" i="10"/>
  <c r="A25" i="10"/>
  <c r="D24" i="10"/>
  <c r="A24" i="10"/>
  <c r="D23" i="10"/>
  <c r="A23" i="10"/>
  <c r="D22" i="10"/>
  <c r="A22" i="10"/>
  <c r="D21" i="10"/>
  <c r="A21" i="10"/>
  <c r="D20" i="10"/>
  <c r="A20" i="10"/>
  <c r="D19" i="10"/>
  <c r="A19" i="10"/>
  <c r="D18" i="10"/>
  <c r="C18" i="10"/>
  <c r="A18" i="10"/>
  <c r="D17" i="10"/>
  <c r="A17" i="10"/>
  <c r="D16" i="10"/>
  <c r="A16" i="10"/>
  <c r="D15" i="10"/>
  <c r="A15" i="10"/>
  <c r="D14" i="10"/>
  <c r="A14" i="10"/>
  <c r="D13" i="10"/>
  <c r="A13" i="10"/>
  <c r="D12" i="10"/>
  <c r="A12" i="10"/>
  <c r="D11" i="10"/>
  <c r="A11" i="10"/>
  <c r="D10" i="10"/>
  <c r="A10" i="10"/>
  <c r="D9" i="10"/>
  <c r="A9" i="10"/>
  <c r="D8" i="10"/>
  <c r="A8" i="10"/>
  <c r="D7" i="10"/>
  <c r="C7" i="10"/>
  <c r="A7" i="10"/>
  <c r="D6" i="10"/>
  <c r="A6" i="10"/>
  <c r="D5" i="10"/>
  <c r="A5" i="10"/>
  <c r="D4" i="10"/>
  <c r="A4" i="10"/>
  <c r="D3" i="10"/>
  <c r="A3" i="10"/>
  <c r="D105" i="9"/>
  <c r="A105" i="9"/>
  <c r="D104" i="9"/>
  <c r="A104" i="9"/>
  <c r="D103" i="9"/>
  <c r="A103" i="9"/>
  <c r="D102" i="9"/>
  <c r="A102" i="9"/>
  <c r="D101" i="9"/>
  <c r="A101" i="9"/>
  <c r="D100" i="9"/>
  <c r="A100" i="9"/>
  <c r="D99" i="9"/>
  <c r="A99" i="9"/>
  <c r="D98" i="9"/>
  <c r="A98" i="9"/>
  <c r="D97" i="9"/>
  <c r="A97" i="9"/>
  <c r="D96" i="9"/>
  <c r="A96" i="9"/>
  <c r="D95" i="9"/>
  <c r="A95" i="9"/>
  <c r="D94" i="9"/>
  <c r="A94" i="9"/>
  <c r="D93" i="9"/>
  <c r="A93" i="9"/>
  <c r="D92" i="9"/>
  <c r="A92" i="9"/>
  <c r="D91" i="9"/>
  <c r="A91" i="9"/>
  <c r="D90" i="9"/>
  <c r="A90" i="9"/>
  <c r="D89" i="9"/>
  <c r="A89" i="9"/>
  <c r="D88" i="9"/>
  <c r="A88" i="9"/>
  <c r="D87" i="9"/>
  <c r="A87" i="9"/>
  <c r="D86" i="9"/>
  <c r="A86" i="9"/>
  <c r="D85" i="9"/>
  <c r="A85" i="9"/>
  <c r="D84" i="9"/>
  <c r="A84" i="9"/>
  <c r="D83" i="9"/>
  <c r="A83" i="9"/>
  <c r="D82" i="9"/>
  <c r="A82" i="9"/>
  <c r="D81" i="9"/>
  <c r="A81" i="9"/>
  <c r="D80" i="9"/>
  <c r="A80" i="9"/>
  <c r="D79" i="9"/>
  <c r="A79" i="9"/>
  <c r="D78" i="9"/>
  <c r="A78" i="9"/>
  <c r="D77" i="9"/>
  <c r="A77" i="9"/>
  <c r="A76" i="9"/>
  <c r="D75" i="9"/>
  <c r="C75" i="9" s="1"/>
  <c r="A75" i="9"/>
  <c r="D74" i="9"/>
  <c r="C74" i="9" s="1"/>
  <c r="A74" i="9"/>
  <c r="D73" i="9"/>
  <c r="C73" i="9" s="1"/>
  <c r="A73" i="9"/>
  <c r="D72" i="9"/>
  <c r="C72" i="9" s="1"/>
  <c r="A72" i="9"/>
  <c r="D71" i="9"/>
  <c r="C71" i="9" s="1"/>
  <c r="A71" i="9"/>
  <c r="D70" i="9"/>
  <c r="A70" i="9"/>
  <c r="D69" i="9"/>
  <c r="A69" i="9"/>
  <c r="D68" i="9"/>
  <c r="A68" i="9"/>
  <c r="D67" i="9"/>
  <c r="A67" i="9"/>
  <c r="D66" i="9"/>
  <c r="A66" i="9"/>
  <c r="D65" i="9"/>
  <c r="A65" i="9"/>
  <c r="D64" i="9"/>
  <c r="A64" i="9"/>
  <c r="D63" i="9"/>
  <c r="C63" i="9"/>
  <c r="A63" i="9"/>
  <c r="D62" i="9"/>
  <c r="A62" i="9"/>
  <c r="D61" i="9"/>
  <c r="A61" i="9"/>
  <c r="D60" i="9"/>
  <c r="A60" i="9"/>
  <c r="A59" i="9"/>
  <c r="D58" i="9"/>
  <c r="A58" i="9"/>
  <c r="A57" i="9"/>
  <c r="D56" i="9"/>
  <c r="A56" i="9"/>
  <c r="D55" i="9"/>
  <c r="A55" i="9"/>
  <c r="D54" i="9"/>
  <c r="A54" i="9"/>
  <c r="D53" i="9"/>
  <c r="A53" i="9"/>
  <c r="D52" i="9"/>
  <c r="A52" i="9"/>
  <c r="D51" i="9"/>
  <c r="A51" i="9"/>
  <c r="D50" i="9"/>
  <c r="A50" i="9"/>
  <c r="D49" i="9"/>
  <c r="A49" i="9"/>
  <c r="D48" i="9"/>
  <c r="A48" i="9"/>
  <c r="D47" i="9"/>
  <c r="A47" i="9"/>
  <c r="D46" i="9"/>
  <c r="A46" i="9"/>
  <c r="D45" i="9"/>
  <c r="A45" i="9"/>
  <c r="D44" i="9"/>
  <c r="A44" i="9"/>
  <c r="D43" i="9"/>
  <c r="A43" i="9"/>
  <c r="D42" i="9"/>
  <c r="A42" i="9"/>
  <c r="D41" i="9"/>
  <c r="A41" i="9"/>
  <c r="D40" i="9"/>
  <c r="A40" i="9"/>
  <c r="D39" i="9"/>
  <c r="A39" i="9"/>
  <c r="D38" i="9"/>
  <c r="A38" i="9"/>
  <c r="D37" i="9"/>
  <c r="A37" i="9"/>
  <c r="D36" i="9"/>
  <c r="C36" i="9" s="1"/>
  <c r="A36" i="9"/>
  <c r="D35" i="9"/>
  <c r="C35" i="9" s="1"/>
  <c r="A35" i="9"/>
  <c r="D34" i="9"/>
  <c r="A34" i="9"/>
  <c r="D33" i="9"/>
  <c r="A33" i="9"/>
  <c r="D32" i="9"/>
  <c r="A32" i="9"/>
  <c r="D31" i="9"/>
  <c r="A31" i="9"/>
  <c r="D30" i="9"/>
  <c r="A30" i="9"/>
  <c r="D29" i="9"/>
  <c r="A29" i="9"/>
  <c r="D28" i="9"/>
  <c r="A28" i="9"/>
  <c r="D27" i="9"/>
  <c r="A27" i="9"/>
  <c r="D26" i="9"/>
  <c r="A26" i="9"/>
  <c r="D25" i="9"/>
  <c r="A25" i="9"/>
  <c r="D24" i="9"/>
  <c r="A24" i="9"/>
  <c r="D23" i="9"/>
  <c r="A23" i="9"/>
  <c r="D22" i="9"/>
  <c r="A22" i="9"/>
  <c r="D21" i="9"/>
  <c r="A21" i="9"/>
  <c r="D20" i="9"/>
  <c r="A20" i="9"/>
  <c r="D19" i="9"/>
  <c r="A19" i="9"/>
  <c r="D18" i="9"/>
  <c r="C18" i="9"/>
  <c r="A18" i="9"/>
  <c r="D17" i="9"/>
  <c r="A17" i="9"/>
  <c r="D16" i="9"/>
  <c r="A16" i="9"/>
  <c r="D15" i="9"/>
  <c r="A15" i="9"/>
  <c r="D14" i="9"/>
  <c r="A14" i="9"/>
  <c r="D13" i="9"/>
  <c r="A13" i="9"/>
  <c r="D12" i="9"/>
  <c r="A12" i="9"/>
  <c r="D11" i="9"/>
  <c r="A11" i="9"/>
  <c r="D10" i="9"/>
  <c r="A10" i="9"/>
  <c r="D9" i="9"/>
  <c r="A9" i="9"/>
  <c r="D8" i="9"/>
  <c r="A8" i="9"/>
  <c r="D7" i="9"/>
  <c r="C7" i="9"/>
  <c r="A7" i="9"/>
  <c r="D6" i="9"/>
  <c r="A6" i="9"/>
  <c r="D5" i="9"/>
  <c r="A5" i="9"/>
  <c r="D4" i="9"/>
  <c r="A4" i="9"/>
  <c r="D3" i="9"/>
  <c r="A3" i="9"/>
  <c r="D105" i="8"/>
  <c r="A105" i="8"/>
  <c r="D104" i="8"/>
  <c r="A104" i="8"/>
  <c r="D103" i="8"/>
  <c r="A103" i="8"/>
  <c r="D102" i="8"/>
  <c r="A102" i="8"/>
  <c r="D101" i="8"/>
  <c r="A101" i="8"/>
  <c r="D100" i="8"/>
  <c r="A100" i="8"/>
  <c r="D99" i="8"/>
  <c r="A99" i="8"/>
  <c r="D98" i="8"/>
  <c r="A98" i="8"/>
  <c r="D97" i="8"/>
  <c r="A97" i="8"/>
  <c r="D96" i="8"/>
  <c r="A96" i="8"/>
  <c r="D95" i="8"/>
  <c r="A95" i="8"/>
  <c r="D94" i="8"/>
  <c r="A94" i="8"/>
  <c r="D93" i="8"/>
  <c r="A93" i="8"/>
  <c r="D92" i="8"/>
  <c r="A92" i="8"/>
  <c r="D91" i="8"/>
  <c r="A91" i="8"/>
  <c r="D90" i="8"/>
  <c r="A90" i="8"/>
  <c r="D89" i="8"/>
  <c r="A89" i="8"/>
  <c r="D88" i="8"/>
  <c r="A88" i="8"/>
  <c r="D87" i="8"/>
  <c r="A87" i="8"/>
  <c r="D86" i="8"/>
  <c r="A86" i="8"/>
  <c r="D85" i="8"/>
  <c r="A85" i="8"/>
  <c r="D84" i="8"/>
  <c r="A84" i="8"/>
  <c r="D83" i="8"/>
  <c r="A83" i="8"/>
  <c r="D82" i="8"/>
  <c r="A82" i="8"/>
  <c r="D81" i="8"/>
  <c r="A81" i="8"/>
  <c r="D80" i="8"/>
  <c r="A80" i="8"/>
  <c r="D79" i="8"/>
  <c r="A79" i="8"/>
  <c r="D78" i="8"/>
  <c r="A78" i="8"/>
  <c r="D77" i="8"/>
  <c r="A77" i="8"/>
  <c r="A76" i="8"/>
  <c r="D75" i="8"/>
  <c r="C75" i="8" s="1"/>
  <c r="A75" i="8"/>
  <c r="D74" i="8"/>
  <c r="C74" i="8" s="1"/>
  <c r="A74" i="8"/>
  <c r="D73" i="8"/>
  <c r="C73" i="8" s="1"/>
  <c r="A73" i="8"/>
  <c r="D72" i="8"/>
  <c r="C72" i="8" s="1"/>
  <c r="A72" i="8"/>
  <c r="D71" i="8"/>
  <c r="C71" i="8" s="1"/>
  <c r="A71" i="8"/>
  <c r="D70" i="8"/>
  <c r="A70" i="8"/>
  <c r="D69" i="8"/>
  <c r="A69" i="8"/>
  <c r="D68" i="8"/>
  <c r="A68" i="8"/>
  <c r="D67" i="8"/>
  <c r="A67" i="8"/>
  <c r="D66" i="8"/>
  <c r="A66" i="8"/>
  <c r="D65" i="8"/>
  <c r="A65" i="8"/>
  <c r="D64" i="8"/>
  <c r="A64" i="8"/>
  <c r="D63" i="8"/>
  <c r="C63" i="8"/>
  <c r="A63" i="8"/>
  <c r="D62" i="8"/>
  <c r="A62" i="8"/>
  <c r="D61" i="8"/>
  <c r="A61" i="8"/>
  <c r="D60" i="8"/>
  <c r="A60" i="8"/>
  <c r="A59" i="8"/>
  <c r="D58" i="8"/>
  <c r="A58" i="8"/>
  <c r="A57" i="8"/>
  <c r="D56" i="8"/>
  <c r="A56" i="8"/>
  <c r="D55" i="8"/>
  <c r="A55" i="8"/>
  <c r="D54" i="8"/>
  <c r="A54" i="8"/>
  <c r="D53" i="8"/>
  <c r="A53" i="8"/>
  <c r="D52" i="8"/>
  <c r="A52" i="8"/>
  <c r="D51" i="8"/>
  <c r="A51" i="8"/>
  <c r="D50" i="8"/>
  <c r="A50" i="8"/>
  <c r="D49" i="8"/>
  <c r="A49" i="8"/>
  <c r="D48" i="8"/>
  <c r="A48" i="8"/>
  <c r="D47" i="8"/>
  <c r="A47" i="8"/>
  <c r="D46" i="8"/>
  <c r="A46" i="8"/>
  <c r="D45" i="8"/>
  <c r="A45" i="8"/>
  <c r="D44" i="8"/>
  <c r="A44" i="8"/>
  <c r="D43" i="8"/>
  <c r="A43" i="8"/>
  <c r="D42" i="8"/>
  <c r="A42" i="8"/>
  <c r="D41" i="8"/>
  <c r="A41" i="8"/>
  <c r="D40" i="8"/>
  <c r="A40" i="8"/>
  <c r="D39" i="8"/>
  <c r="A39" i="8"/>
  <c r="D38" i="8"/>
  <c r="A38" i="8"/>
  <c r="D37" i="8"/>
  <c r="A37" i="8"/>
  <c r="D36" i="8"/>
  <c r="C36" i="8" s="1"/>
  <c r="A36" i="8"/>
  <c r="D35" i="8"/>
  <c r="C35" i="8" s="1"/>
  <c r="A35" i="8"/>
  <c r="D34" i="8"/>
  <c r="A34" i="8"/>
  <c r="D33" i="8"/>
  <c r="A33" i="8"/>
  <c r="D32" i="8"/>
  <c r="A32" i="8"/>
  <c r="D31" i="8"/>
  <c r="A31" i="8"/>
  <c r="D30" i="8"/>
  <c r="A30" i="8"/>
  <c r="D29" i="8"/>
  <c r="A29" i="8"/>
  <c r="D28" i="8"/>
  <c r="A28" i="8"/>
  <c r="D27" i="8"/>
  <c r="A27" i="8"/>
  <c r="D26" i="8"/>
  <c r="A26" i="8"/>
  <c r="D25" i="8"/>
  <c r="A25" i="8"/>
  <c r="D24" i="8"/>
  <c r="A24" i="8"/>
  <c r="D23" i="8"/>
  <c r="A23" i="8"/>
  <c r="D22" i="8"/>
  <c r="A22" i="8"/>
  <c r="D21" i="8"/>
  <c r="A21" i="8"/>
  <c r="D20" i="8"/>
  <c r="A20" i="8"/>
  <c r="D19" i="8"/>
  <c r="A19" i="8"/>
  <c r="D18" i="8"/>
  <c r="C18" i="8"/>
  <c r="A18" i="8"/>
  <c r="D17" i="8"/>
  <c r="A17" i="8"/>
  <c r="D16" i="8"/>
  <c r="A16" i="8"/>
  <c r="D15" i="8"/>
  <c r="A15" i="8"/>
  <c r="D14" i="8"/>
  <c r="A14" i="8"/>
  <c r="D13" i="8"/>
  <c r="A13" i="8"/>
  <c r="D12" i="8"/>
  <c r="A12" i="8"/>
  <c r="D11" i="8"/>
  <c r="A11" i="8"/>
  <c r="D10" i="8"/>
  <c r="A10" i="8"/>
  <c r="D9" i="8"/>
  <c r="A9" i="8"/>
  <c r="D8" i="8"/>
  <c r="A8" i="8"/>
  <c r="D7" i="8"/>
  <c r="C7" i="8"/>
  <c r="A7" i="8"/>
  <c r="D6" i="8"/>
  <c r="A6" i="8"/>
  <c r="D5" i="8"/>
  <c r="A5" i="8"/>
  <c r="D4" i="8"/>
  <c r="A4" i="8"/>
  <c r="D3" i="8"/>
  <c r="A3" i="8"/>
  <c r="D105" i="7"/>
  <c r="A105" i="7"/>
  <c r="D104" i="7"/>
  <c r="A104" i="7"/>
  <c r="D103" i="7"/>
  <c r="A103" i="7"/>
  <c r="D102" i="7"/>
  <c r="A102" i="7"/>
  <c r="D101" i="7"/>
  <c r="A101" i="7"/>
  <c r="D100" i="7"/>
  <c r="A100" i="7"/>
  <c r="D99" i="7"/>
  <c r="A99" i="7"/>
  <c r="D98" i="7"/>
  <c r="A98" i="7"/>
  <c r="D97" i="7"/>
  <c r="A97" i="7"/>
  <c r="D96" i="7"/>
  <c r="A96" i="7"/>
  <c r="D95" i="7"/>
  <c r="A95" i="7"/>
  <c r="D94" i="7"/>
  <c r="A94" i="7"/>
  <c r="D93" i="7"/>
  <c r="A93" i="7"/>
  <c r="D92" i="7"/>
  <c r="A92" i="7"/>
  <c r="D91" i="7"/>
  <c r="A91" i="7"/>
  <c r="D90" i="7"/>
  <c r="A90" i="7"/>
  <c r="D89" i="7"/>
  <c r="A89" i="7"/>
  <c r="D88" i="7"/>
  <c r="A88" i="7"/>
  <c r="D87" i="7"/>
  <c r="A87" i="7"/>
  <c r="D86" i="7"/>
  <c r="A86" i="7"/>
  <c r="D85" i="7"/>
  <c r="A85" i="7"/>
  <c r="D84" i="7"/>
  <c r="A84" i="7"/>
  <c r="D83" i="7"/>
  <c r="A83" i="7"/>
  <c r="D82" i="7"/>
  <c r="A82" i="7"/>
  <c r="D81" i="7"/>
  <c r="A81" i="7"/>
  <c r="D80" i="7"/>
  <c r="A80" i="7"/>
  <c r="D79" i="7"/>
  <c r="A79" i="7"/>
  <c r="D78" i="7"/>
  <c r="A78" i="7"/>
  <c r="D77" i="7"/>
  <c r="A77" i="7"/>
  <c r="A76" i="7"/>
  <c r="D75" i="7"/>
  <c r="C75" i="7" s="1"/>
  <c r="A75" i="7"/>
  <c r="D74" i="7"/>
  <c r="C74" i="7" s="1"/>
  <c r="A74" i="7"/>
  <c r="D73" i="7"/>
  <c r="C73" i="7" s="1"/>
  <c r="A73" i="7"/>
  <c r="D72" i="7"/>
  <c r="C72" i="7" s="1"/>
  <c r="A72" i="7"/>
  <c r="D71" i="7"/>
  <c r="C71" i="7" s="1"/>
  <c r="A71" i="7"/>
  <c r="D70" i="7"/>
  <c r="A70" i="7"/>
  <c r="D69" i="7"/>
  <c r="A69" i="7"/>
  <c r="D68" i="7"/>
  <c r="A68" i="7"/>
  <c r="D67" i="7"/>
  <c r="A67" i="7"/>
  <c r="D66" i="7"/>
  <c r="A66" i="7"/>
  <c r="D65" i="7"/>
  <c r="A65" i="7"/>
  <c r="D64" i="7"/>
  <c r="A64" i="7"/>
  <c r="D63" i="7"/>
  <c r="C63" i="7"/>
  <c r="A63" i="7"/>
  <c r="D62" i="7"/>
  <c r="A62" i="7"/>
  <c r="D61" i="7"/>
  <c r="A61" i="7"/>
  <c r="D60" i="7"/>
  <c r="A60" i="7"/>
  <c r="A59" i="7"/>
  <c r="D58" i="7"/>
  <c r="A58" i="7"/>
  <c r="A57" i="7"/>
  <c r="D56" i="7"/>
  <c r="A56" i="7"/>
  <c r="D55" i="7"/>
  <c r="A55" i="7"/>
  <c r="D54" i="7"/>
  <c r="A54" i="7"/>
  <c r="D53" i="7"/>
  <c r="A53" i="7"/>
  <c r="D52" i="7"/>
  <c r="A52" i="7"/>
  <c r="D51" i="7"/>
  <c r="A51" i="7"/>
  <c r="D50" i="7"/>
  <c r="A50" i="7"/>
  <c r="D49" i="7"/>
  <c r="A49" i="7"/>
  <c r="D48" i="7"/>
  <c r="A48" i="7"/>
  <c r="D47" i="7"/>
  <c r="A47" i="7"/>
  <c r="D46" i="7"/>
  <c r="A46" i="7"/>
  <c r="D45" i="7"/>
  <c r="A45" i="7"/>
  <c r="D44" i="7"/>
  <c r="A44" i="7"/>
  <c r="D43" i="7"/>
  <c r="A43" i="7"/>
  <c r="D42" i="7"/>
  <c r="A42" i="7"/>
  <c r="D41" i="7"/>
  <c r="A41" i="7"/>
  <c r="D40" i="7"/>
  <c r="A40" i="7"/>
  <c r="D39" i="7"/>
  <c r="A39" i="7"/>
  <c r="D38" i="7"/>
  <c r="A38" i="7"/>
  <c r="D37" i="7"/>
  <c r="A37" i="7"/>
  <c r="D36" i="7"/>
  <c r="C36" i="7" s="1"/>
  <c r="A36" i="7"/>
  <c r="D35" i="7"/>
  <c r="C35" i="7" s="1"/>
  <c r="A35" i="7"/>
  <c r="D34" i="7"/>
  <c r="A34" i="7"/>
  <c r="D33" i="7"/>
  <c r="A33" i="7"/>
  <c r="D32" i="7"/>
  <c r="A32" i="7"/>
  <c r="D31" i="7"/>
  <c r="A31" i="7"/>
  <c r="D30" i="7"/>
  <c r="A30" i="7"/>
  <c r="D29" i="7"/>
  <c r="A29" i="7"/>
  <c r="D28" i="7"/>
  <c r="A28" i="7"/>
  <c r="D27" i="7"/>
  <c r="A27" i="7"/>
  <c r="D26" i="7"/>
  <c r="A26" i="7"/>
  <c r="D25" i="7"/>
  <c r="A25" i="7"/>
  <c r="D24" i="7"/>
  <c r="A24" i="7"/>
  <c r="D23" i="7"/>
  <c r="A23" i="7"/>
  <c r="D22" i="7"/>
  <c r="A22" i="7"/>
  <c r="D21" i="7"/>
  <c r="A21" i="7"/>
  <c r="D20" i="7"/>
  <c r="A20" i="7"/>
  <c r="D19" i="7"/>
  <c r="A19" i="7"/>
  <c r="D18" i="7"/>
  <c r="C18" i="7"/>
  <c r="A18" i="7"/>
  <c r="D17" i="7"/>
  <c r="A17" i="7"/>
  <c r="D16" i="7"/>
  <c r="A16" i="7"/>
  <c r="D15" i="7"/>
  <c r="A15" i="7"/>
  <c r="D14" i="7"/>
  <c r="A14" i="7"/>
  <c r="D13" i="7"/>
  <c r="A13" i="7"/>
  <c r="D12" i="7"/>
  <c r="A12" i="7"/>
  <c r="D11" i="7"/>
  <c r="A11" i="7"/>
  <c r="D10" i="7"/>
  <c r="A10" i="7"/>
  <c r="D9" i="7"/>
  <c r="A9" i="7"/>
  <c r="D8" i="7"/>
  <c r="A8" i="7"/>
  <c r="D7" i="7"/>
  <c r="C7" i="7"/>
  <c r="A7" i="7"/>
  <c r="D6" i="7"/>
  <c r="A6" i="7"/>
  <c r="D5" i="7"/>
  <c r="A5" i="7"/>
  <c r="D4" i="7"/>
  <c r="A4" i="7"/>
  <c r="D3" i="7"/>
  <c r="A3" i="7"/>
  <c r="X2" i="55"/>
  <c r="P2" i="55"/>
  <c r="P2" i="54"/>
  <c r="P2" i="53"/>
  <c r="Y2" i="53" s="1"/>
  <c r="P2" i="52"/>
  <c r="Y2" i="52" s="1"/>
  <c r="P2" i="51"/>
  <c r="Y2" i="51" s="1"/>
  <c r="Y2" i="50"/>
  <c r="P2" i="50"/>
  <c r="Y2" i="49"/>
  <c r="P2" i="49"/>
  <c r="P2" i="48"/>
  <c r="Y2" i="48" s="1"/>
  <c r="B18" i="67"/>
  <c r="C17" i="67"/>
  <c r="B17" i="67"/>
  <c r="C16" i="67"/>
  <c r="B16" i="67"/>
  <c r="B15" i="67"/>
  <c r="C14" i="67"/>
  <c r="B14" i="67"/>
  <c r="C13" i="67"/>
  <c r="B13" i="67"/>
  <c r="C12" i="67"/>
  <c r="B12" i="67"/>
  <c r="C11" i="67"/>
  <c r="B11" i="67"/>
  <c r="C10" i="67"/>
  <c r="B10" i="67"/>
  <c r="C9" i="67"/>
  <c r="B9" i="67"/>
  <c r="C8" i="67"/>
  <c r="B8" i="67"/>
  <c r="C7" i="67"/>
  <c r="B7" i="67"/>
  <c r="C6" i="67"/>
  <c r="B6" i="67"/>
  <c r="C5" i="67"/>
  <c r="B5" i="67"/>
  <c r="C4" i="67"/>
  <c r="B4" i="67"/>
  <c r="C3" i="67"/>
  <c r="Q17" i="65"/>
  <c r="O34" i="62" s="1"/>
  <c r="AC2" i="41"/>
  <c r="U1" i="41" s="1"/>
  <c r="I13" i="76" l="1"/>
  <c r="D7" i="62"/>
  <c r="D7" i="63"/>
  <c r="D7" i="65"/>
  <c r="F8" i="62"/>
  <c r="B8" i="65"/>
  <c r="B17" i="62"/>
  <c r="A1" i="41"/>
  <c r="K5" i="41"/>
  <c r="I14" i="79"/>
  <c r="V57" i="69"/>
  <c r="L34" i="62"/>
  <c r="R3" i="41"/>
  <c r="K3" i="41"/>
  <c r="F3" i="41"/>
  <c r="E9" i="41"/>
  <c r="AK36" i="41"/>
  <c r="C17" i="41"/>
  <c r="AK30" i="41" a="1"/>
  <c r="AK30" i="41" s="1"/>
  <c r="AD29" i="41" a="1"/>
  <c r="AD29" i="41" s="1"/>
  <c r="I16" i="65"/>
  <c r="M21" i="63"/>
  <c r="I21" i="63" s="1"/>
  <c r="I22" i="63"/>
  <c r="J22" i="63" s="1"/>
  <c r="M22" i="63"/>
  <c r="O12" i="62"/>
  <c r="O14" i="62"/>
  <c r="N14" i="62"/>
  <c r="N19" i="62"/>
  <c r="AA28" i="41"/>
  <c r="N12" i="62"/>
  <c r="N13" i="62" s="1"/>
  <c r="J16" i="62" s="1"/>
  <c r="AG10" i="41"/>
  <c r="E14" i="41"/>
  <c r="AD25" i="41"/>
  <c r="AK25" i="41"/>
  <c r="AK26" i="41"/>
  <c r="AK27" i="41"/>
  <c r="L1" i="41"/>
  <c r="AN5" i="41"/>
  <c r="AN3" i="41"/>
  <c r="AW3" i="41" s="1"/>
  <c r="AL4" i="41"/>
  <c r="AD6" i="41"/>
  <c r="I14" i="41"/>
  <c r="AA37" i="41"/>
  <c r="AB30" i="41"/>
  <c r="X57" i="69"/>
  <c r="Z57" i="69" s="1"/>
  <c r="V56" i="69"/>
  <c r="W56" i="69"/>
  <c r="Y56" i="69" s="1"/>
  <c r="U56" i="69"/>
  <c r="X54" i="69"/>
  <c r="Z54" i="69" s="1"/>
  <c r="V54" i="69"/>
  <c r="C4" i="66"/>
  <c r="C22" i="41" s="1"/>
  <c r="AK6" i="41" a="1"/>
  <c r="AK8" i="41" a="1"/>
  <c r="AC6" i="41" a="1"/>
  <c r="AK7" i="41" a="1"/>
  <c r="AK9" i="41" a="1"/>
  <c r="P4" i="41" a="1"/>
  <c r="B21" i="62" l="1"/>
  <c r="AK6" i="41"/>
  <c r="AK9" i="41"/>
  <c r="AK8" i="41"/>
  <c r="AK7" i="41"/>
  <c r="L14" i="79"/>
  <c r="M14" i="79" s="1"/>
  <c r="K6" i="41" s="1"/>
  <c r="J14" i="79"/>
  <c r="K14" i="79" s="1"/>
  <c r="P4" i="41"/>
  <c r="J21" i="63"/>
  <c r="J23" i="63" s="1"/>
  <c r="B26" i="63" s="1"/>
  <c r="O13" i="62"/>
  <c r="N21" i="62"/>
  <c r="N20" i="62"/>
  <c r="O20" i="62" s="1"/>
  <c r="J24" i="62" s="1"/>
  <c r="F8" i="65"/>
  <c r="B11" i="65"/>
  <c r="B16" i="62"/>
  <c r="AK28" i="41"/>
  <c r="AW5" i="41"/>
  <c r="AO3" i="41"/>
  <c r="AR3" i="41" s="1"/>
  <c r="AS3" i="41" s="1"/>
  <c r="AO5" i="41"/>
  <c r="AT5" i="41"/>
  <c r="AP3" i="41"/>
  <c r="AC6" i="41"/>
  <c r="Z7" i="41" a="1"/>
  <c r="J17" i="62" l="1"/>
  <c r="J21" i="62"/>
  <c r="AK10" i="41"/>
  <c r="J26" i="63"/>
  <c r="Z7" i="41"/>
  <c r="B23" i="63"/>
  <c r="J27" i="63"/>
  <c r="J28" i="63"/>
  <c r="H11" i="65"/>
  <c r="J11" i="65" s="1"/>
  <c r="B12" i="65" s="1"/>
  <c r="N15" i="62"/>
  <c r="O21" i="62"/>
  <c r="J25" i="62" s="1"/>
  <c r="B25" i="62"/>
  <c r="B24" i="62"/>
  <c r="AU5" i="41"/>
  <c r="AP5" i="41"/>
  <c r="AZ3" i="41" s="1"/>
  <c r="AR5" i="41"/>
  <c r="AS5" i="41" s="1"/>
  <c r="AV3" i="41" s="1"/>
  <c r="I28" i="62"/>
  <c r="I27" i="62"/>
  <c r="AK32" i="41" l="1"/>
  <c r="K7" i="41" s="1"/>
  <c r="O15" i="62"/>
  <c r="L33" i="62"/>
  <c r="I33" i="62" s="1"/>
  <c r="B33" i="62"/>
  <c r="J22" i="62"/>
  <c r="B22" i="62"/>
  <c r="J22" i="65"/>
  <c r="H12" i="65"/>
  <c r="B13" i="65" s="1"/>
  <c r="B22" i="65"/>
  <c r="BA3" i="41"/>
  <c r="B23" i="65" s="1"/>
  <c r="J23" i="62" l="1"/>
  <c r="J26" i="62" s="1"/>
  <c r="J27" i="62" s="1"/>
  <c r="B23" i="62"/>
  <c r="H13" i="65"/>
  <c r="B15" i="65" s="1"/>
  <c r="J28" i="62"/>
  <c r="BB3" i="41"/>
  <c r="J29" i="62" l="1"/>
  <c r="J31" i="62" s="1"/>
  <c r="H15" i="65"/>
  <c r="B29" i="62"/>
  <c r="J30" i="62"/>
  <c r="J23" i="65"/>
  <c r="J32" i="62" l="1"/>
  <c r="B32" i="62" s="1"/>
  <c r="H16" i="65"/>
  <c r="H17" i="65"/>
  <c r="B26" i="62"/>
  <c r="B34" i="62" l="1"/>
  <c r="N30" i="62"/>
  <c r="H18" i="65"/>
  <c r="H20" i="65" l="1"/>
  <c r="B18" i="65"/>
  <c r="L28" i="65"/>
  <c r="H25" i="65" l="1"/>
  <c r="N31" i="62"/>
  <c r="Q11" i="62"/>
  <c r="Q12" i="62" s="1"/>
  <c r="Q14" i="62" s="1"/>
  <c r="Q21" i="62" s="1"/>
  <c r="M34" i="62"/>
  <c r="O35" i="62" s="1"/>
  <c r="O37" i="62" s="1"/>
  <c r="O40" i="62" s="1"/>
  <c r="I34" i="62" s="1"/>
  <c r="J31" i="63"/>
  <c r="B21" i="65"/>
  <c r="H21" i="65"/>
  <c r="Q23" i="62" l="1"/>
  <c r="J25" i="65" s="1"/>
  <c r="J29" i="63"/>
  <c r="I37" i="62" s="1"/>
  <c r="Q16" i="65"/>
  <c r="J30" i="63"/>
  <c r="I35" i="62"/>
  <c r="B35" i="62" s="1"/>
  <c r="L29" i="65"/>
  <c r="O36" i="63" l="1"/>
  <c r="O37" i="63" s="1"/>
  <c r="O39" i="63" s="1"/>
  <c r="O45" i="63" s="1"/>
  <c r="Q18" i="65"/>
  <c r="L31" i="65"/>
  <c r="H26" i="65"/>
  <c r="W21" i="65" l="1"/>
  <c r="B24" i="65" s="1"/>
  <c r="X21" i="65" l="1"/>
  <c r="J24" i="65"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32">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futureMetadata>
  <cellMetadata count="1">
    <bk>
      <rc t="1" v="0"/>
    </bk>
  </cellMetadata>
  <valueMetadata count="32">
    <bk>
      <rc t="2" v="0"/>
    </bk>
    <bk>
      <rc t="2" v="1"/>
    </bk>
    <bk>
      <rc t="2" v="2"/>
    </bk>
    <bk>
      <rc t="2" v="3"/>
    </bk>
    <bk>
      <rc t="2" v="4"/>
    </bk>
    <bk>
      <rc t="2" v="5"/>
    </bk>
    <bk>
      <rc t="2" v="6"/>
    </bk>
    <bk>
      <rc t="2" v="7"/>
    </bk>
    <bk>
      <rc t="2" v="8"/>
    </bk>
    <bk>
      <rc t="2" v="9"/>
    </bk>
    <bk>
      <rc t="2" v="10"/>
    </bk>
    <bk>
      <rc t="2" v="11"/>
    </bk>
    <bk>
      <rc t="2" v="12"/>
    </bk>
    <bk>
      <rc t="2" v="13"/>
    </bk>
    <bk>
      <rc t="2" v="14"/>
    </bk>
    <bk>
      <rc t="2" v="15"/>
    </bk>
    <bk>
      <rc t="2" v="16"/>
    </bk>
    <bk>
      <rc t="2" v="17"/>
    </bk>
    <bk>
      <rc t="2" v="18"/>
    </bk>
    <bk>
      <rc t="2" v="19"/>
    </bk>
    <bk>
      <rc t="2" v="20"/>
    </bk>
    <bk>
      <rc t="2" v="21"/>
    </bk>
    <bk>
      <rc t="2" v="22"/>
    </bk>
    <bk>
      <rc t="2" v="23"/>
    </bk>
    <bk>
      <rc t="2" v="24"/>
    </bk>
    <bk>
      <rc t="2" v="25"/>
    </bk>
    <bk>
      <rc t="2" v="26"/>
    </bk>
    <bk>
      <rc t="2" v="27"/>
    </bk>
    <bk>
      <rc t="2" v="28"/>
    </bk>
    <bk>
      <rc t="2" v="29"/>
    </bk>
    <bk>
      <rc t="2" v="30"/>
    </bk>
    <bk>
      <rc t="2" v="31"/>
    </bk>
  </valueMetadata>
</metadata>
</file>

<file path=xl/sharedStrings.xml><?xml version="1.0" encoding="utf-8"?>
<sst xmlns="http://schemas.openxmlformats.org/spreadsheetml/2006/main" count="18805" uniqueCount="5242">
  <si>
    <t>Belgien</t>
  </si>
  <si>
    <t>Bulgarien</t>
  </si>
  <si>
    <t>Dänemark</t>
  </si>
  <si>
    <t>Deutschland</t>
  </si>
  <si>
    <t>Estland</t>
  </si>
  <si>
    <t>Finnland</t>
  </si>
  <si>
    <t>Frankreich</t>
  </si>
  <si>
    <t>Griechenland</t>
  </si>
  <si>
    <t>Irland</t>
  </si>
  <si>
    <t>Island</t>
  </si>
  <si>
    <t>Italien</t>
  </si>
  <si>
    <t>Kroatien</t>
  </si>
  <si>
    <t>Lettland</t>
  </si>
  <si>
    <t>Liechtenstein</t>
  </si>
  <si>
    <t>Litauen</t>
  </si>
  <si>
    <t>Luxemburg</t>
  </si>
  <si>
    <t>Malta</t>
  </si>
  <si>
    <t>Niederlande</t>
  </si>
  <si>
    <t>Norwegen</t>
  </si>
  <si>
    <t>Österreich</t>
  </si>
  <si>
    <t>Polen</t>
  </si>
  <si>
    <t>Portugal</t>
  </si>
  <si>
    <t>Rumänien</t>
  </si>
  <si>
    <t>Schweden</t>
  </si>
  <si>
    <t>Schweiz</t>
  </si>
  <si>
    <t>Slowakei</t>
  </si>
  <si>
    <t>Slowenien</t>
  </si>
  <si>
    <t>Spanien</t>
  </si>
  <si>
    <t>Tschechische Republik</t>
  </si>
  <si>
    <t>Ungarn</t>
  </si>
  <si>
    <t>Zypern</t>
  </si>
  <si>
    <t>Arbeitnehmer:
Königlicher Erlass Nr. 50 vom 24. Oktober 1967 über Alters- und Hinterliebenenpensionen für Arbeitnehmer (Arrêté royal n° 50 relatif à la pension de retraite et de survie des travailleurs salariés/Koninklijk besluit nr 50 betreffende het rust- en overlevingspensioen voor werknemers).
Königlicher Erlass vom 21. Dezember 1967 zur Einführung einer allgemeinen Regelung über die Ruhestands- und Hinterbliebenenpension für Lohnempfänger (Koninklijk besluit tot vaststelling van het algemeen reglement betreffende het rust- en overlevingspensioen voor werknemers)
Königlicher Erlass vom 23. Dezember 1996 zur Ausführung der Artikel 15, 16 und 17 des Gesetzes vom 26. Juli 1996 zur Modernisierung der sozialen Sicherheit und zur Sicherung der gesetzlichen Pensionsregelungen (Koninklijk besluit tot uitvoering van de artikelen 15, 16 en 17 van de wet van 26 juli 1996 tot modernisering van de sociale zekerheid en tot vrijwaring van de leefbaarheid van de wettelijke pensioenen).
Selbstständige:
Königlicher Erlass Nr. 72 vom 10. November 1967 über Alters- und Hinterliebenenpensionen für Selbstständige (Arrêté royal n° 72 relatif à la pension de retraite et de survie des travailleurs indépendants/Koninklijk besluit nr 72 betreffende het rust- en overlevingspensioen der zelfstandigen)
Königlicher Erlass vom 22. Dezember 1967 zur Einführung einer allgemeinen Regelung über die Ruhestands- und Hinterbliebenenpension für Selbständige (Koninklijk besluit houdende algemeen reglement betreffende het rust- en overlevingspensioen der zelfstandigen)
Verzeichnis der Rechtsakte: Moniteur Belge - Belgisch Staatsblad (fgov.be)</t>
  </si>
  <si>
    <t>Sozialgesetzbuch (Кодекс за социално осигуряване) von 1999, Abschnitt 2003 novelliert.
Gesetz über den Haushalt der staatlichen Sozialversicherung für das Jahr 2025 (Закон за бюджета на държавното обществено осигуряване за 2025 г.), 2025.
Verordnung über Kategorisierung von Arbeit bei Pensionierung (verabschiedet mit Dekret 235 von 20.10.1998) (Наредба за категоризиране на труда при пенсиониране (приета с ПМС №235 от 20.10.1998 г.)</t>
  </si>
  <si>
    <t>Konsolidiertes Gesetz Nr. 1123 vom 21. Oktober 2024 über Volksrenten (bekendtgørelse af lov om social pension).
Konsolidiertes Gesetz Nr. 1120 vom 17 September 2015 über Teilrenten (bekendtgørelse af lov om delpension).
Konsolidiertes Gesetz Nr. 1142 vom 1. November 2024 über Zusatzrenten (lov om arbejdsmarkedets tillægspension, ATP).
Verzeichnis der Rechtsakte: https://www.retsinformation.dk/</t>
  </si>
  <si>
    <t>Sozialgesetzbuch Sechstes Buch, eingeführt durch das Rentenreformgesetz vom 18. Dezember 1989, in der Fassung der Bekanntmachung vom 19. Februar 2002 (BGBl. I S. 754, 1404, 3384) zuletzt geändert durch Art. 11 G v. 18.12.2024 (BGBl. I Nr. 423).
SGB 6 - nichtamtliches Inhaltsverzeichnis (gesetze-im-internet.de).</t>
  </si>
  <si>
    <t>Gesetz über die staatliche Rentenversicherung (Riikliku pensionikindlustuse seadus) 2001.
Gesetz über Altersrenten unter günstigen Bedingungen (Soodustingimustel vanaduspensionide seadus) 1992.
Gesetz über Renten bei Erreichen einer bestimmten Altersgrenze (Väljateenitud aastate pensionide seadus) 1992.
Gesetz für von Besatzungsmächten unterdrückte Personen (Okupatsioonirežiimide poolt represseeritud isiku seadus) 2004.
Gesetz über die kapitalgedeckte Rente (Kogumispensionide seadus) 2004.
Verzeichnis der Rechtsakte – siehe hier.</t>
  </si>
  <si>
    <t>Gesetz über die Volksrenten Nr. 568/2007 (Kansaneläkelaki, KEL).
Gesetz über die garantierten Renten Nr. 703/2010 (Laki takuueläkkeestä).
Gesetz über Renten für Seeleute Nr. 1290/2006 (Merimieseläkelaki, MEL).
Gesetz über Renten für Arbeitnehmer 395/2006 (Työntekijän eläkelaki, TyEL).
Gesetz über Renten für den öffentlichen Sektor Nr. 81/2016 (Julkisten alojen eläkelaki).
Gesetz über Renten der Selbstständigen Nr. 1272/2006 (Yrittäjän eläkelaki, YEL).
Rentengesetz für Landwirte Nr. 1280/2006 (Maatalousyrittäjän eläkelaki, MYEL).
Verzeichnis der Rechtsakte: https://www.finlex.fi/en/</t>
  </si>
  <si>
    <t>Allgemeines Basissystem (Régime de base): Sozialgesetzbuch (Code de la sécurité sociale), Artikel L 351-1 ff.
Arbeitnehmer-Zusatzrentensystem (retraite complémentaire des salariés, Agirc-Arrco): Nationales berufsübergreifendes Abkommen vom 17. November 2017.
Es gibt weitere Basis- und Zusatzsysteme, insbesondere:
   * für Selbstständige (Artikel L.633-1 ff. des Sozialgesetzbuchs);
   * für bestimmte Arbeitnehmergruppen (Arbeitnehmer in der Landwirtschaft, staatlich angestellte Arbeitnehmer, Arbeiternehmer in Unternehmen mit Sonderstatus usw.).
Verzeichnis der Rechtsakte: https://www.legifrance.gouv.fr/codes/texte_lc/LEGITEXT000006073189/ und https://www.agirc-arrco.fr/nos-etudes-et-publications/documentation-institutionnelle/textes-de-reference/</t>
  </si>
  <si>
    <t>Gesetz Nr. 1846/51 vom 14. Juni 1951, in der durch das Gesetz Nr. 2676/99 vom 5. Januar 1999 geänderten Fassung.
Gesetz Nr. 1902/90 vom 17. Oktober 1990.
Gesetz Nr. 2084/92 vom 7. Oktober 1992.
Gesetz Nr. 3029/02 vom 11. Juli 2002.
Gesetz Nr. 3232/04 vom 12. Februar 2004.
Gesetz Nr. 3385/05 vom Freitag, 19. August 2005.
Gesetz Nr. 3518/06 vom 21. Dezember 2006.
Gesetz Nr. 3655/08 vom 3. April 2008.
Gesetz Nr. 3863/10 vom 15. Juli 2010.
Gesetz Nr. 3986/11 vom 1. Juli 2011.
Gesetz Nr. 3996/11 vom 5. August 2011.
Gesetz Nr. 4093/2012 vom 12. November 2012.
Gesetzliche Verordnung vom 19. November 2012.
Gesetz Nr. 4111/13 vom 25. Januar 2013.
Gesetz Nr. 4316/2014 vom 24. Dezember 2014.
Gesetz Nr. 4334/2015 vom 16. Juli 2015.
Gesetz Nr. 4336/2015 vom 14. August 2015.
Gesetz Nr. 4387/2016 vom 12. Mai 2016.
Gesetz Nr. 4393/2016 vom 6. Juni 2016.
Gesetz Nr. 4472/2017 vom 19. Mai 2017.
Ministerialentscheidung Gesetz Nr. 4583/2018 vom 18. Dezember 2018.
Gesetz Nr. 4554/2018 vom 18. Juni 2018.
Gesetz Nr. 4611/2019 vom 17. Mai 2019.
Gesetz Nr. 4623/2019 vom 9. Oktober 2019.
Gesetz Nr. 4670/2020 vom 28. Februar 2020.
Gesetz Nr. 4676/2020 vom 19. März 2020.
Gesetz Nr. 4690/2020 vom 30. Mai 2020.
Gesetz Nr. 4714/2020 vom 31. Juli 2020.
Gesetz Nr. 4798/2021 vom 24. April 2021.
Gesetz Nr. 4892/2022 vom 22. Februar 2022.
Gesetz Nr. 4921//2022 vom 18. April 2022.
Gesetz Nr. 4997/2022 vom 25. November 2022.
Gesetz Nr. 5036/2023 vom 28. März 2023.
Gesetz Nr. 5078/2023 vom 20. Dezember 2023.
Gesetz Nr. 5167/2024 vom 20. Dezember 2024.
Verzeichnis der Rechtsakte: https://search.et.gr/el/</t>
  </si>
  <si>
    <t>Zusammenfassendes Gesetz über die soziale Sicherheit (Social Welfare Consolidation Act) von 2005.
Verordnungen über die soziale Sicherheit (zusammenfassende Ansprüche, Zahlungen und Kontrolle) (Social Welfare (Consolidated Claims, Payments and Control) Regulations) von 2007 (S.I. Nr. 142 von 2007).
Verzeichnis der Rechtsakte – siehe hier.</t>
  </si>
  <si>
    <t>Sozialversicherungsgesetz (Lög um almannatryggingar) Nr. 100/2007 vom Mai 2007.
Sozialhilfegesetz (Lög um félagslega aðstoð) Nr. 99/2007 vom Mai 2007.
Gesetz über die Angelegenheiten älterer Personen (Lög um málefni aldraðra) Nr. 125/1999 vom Dezember 1999.
Gesetz über die obligatorische Versicherung für Renten und die Tätigkeit von Rentenfonds (Lög um skyldutryggingu lífeyrisréttinda og starfsemi lífeyrissjóða) Nr. 129/1997 vom Dezember 1997.
Verzeichnis der Rechtsakte – siehe hier.</t>
  </si>
  <si>
    <t>Gesetz Nr. 155 vom 23. April 1981 (Legge 23 Aprile 1981 n. 155 - Adeguamento delle strutture e delle procedure per la liquidazione urgente delle pensioni e per i trattamenti di disoccupazione, e misure urgenti in materia previdenziale e pensionistica).
Gesetz Nr. 638 vom 11. Nov. 1983 (Legge 11 Novembre 1983 n. 638 - Conversione in Legge, con modificazioni, del Decreto-Legge 12 settembre 1983, n. 463, recante misure urgenti in materia previdenziale e sanitaria).
Gesetzgebende Verordnung Nr. 503 vom 30. Dez. 1992 (Decreto Legislativo 30 Dicembre 1992 n. 503 - Norme per il riordinamento del sistema previdenziale dei lavoratori privati e pubblici).
Gesetz Nr. 335 vom 8. August 1995 zur Rentenreform (Legge 8 Agosto 1995 n. 335 - Riforma del sistema pensionistico obbligatorio e complementare).
Gesetz Nr. 243 vom 23. August 2004 über die Förderung von Zusatzrenten (Legge 23 Agosto 2004 n. 243 - Norme in materia pensionistica e deleghe al Governo nel settore della previdenza pubblica, per il sostegno alla previdenza complementare e all'occupazione stabile e per il riordino degli enti di previdenza ed assistenza obbligatoria).
Gesetz Nr. 247 vom 24. Dezember 2007 über die Finanzen und Rentenreform (Legge 24 Dicembre 2007 n. 247 -Norme di attuazione del Protocollo del 23 Luglio 2007 su previdenza, lavoro e competitività per favorire l’equità e la crescita sostenibili, nonché ulteriori norme in materia di lavoro e previdenza sociale).
Gesetz Nr. 127 vom 3. August 2007, Änderungsgesetz gemäß Verordnung Nr. 81 vom 2. Juli 2007, über dringende Maßnahmen in Finanzangelegenheiten (Legge 3 agosto 2007, n. 127 - Conversione in legge, con modificazioni, del decreto-legge 2 luglio 2007, n. 81, recante disposizioni urgenti in materia finanziaria).
Gesetz Nr. 133 vom 6. August 2008 zur Beseitigung der Einschränkungen bezüglich der Kumulation von Renten und Arbeit (Legge 6 agosto 2008, n.133- Conversione in legge, con modificazioni, del decreto-legge 25 giugno 2008, n. 112, recante disposizioni urgenti per lo sviluppo economico, la semplificazione, la competitività, la stabilizzazione della finanza pubblica e la perequazione tributaria).
Gesetz Nr. 122 vom 30. Juli 2010 über dringende Maßnahmen im Bereich der finanziellen Stabilisierung und wirtschaftlichen Wettbewerbsfähigkeit (Legge 30 Luglio 2010 n. 122 - misure urgenti in materia di stabilizzazione finanziaria e competitività economica).
Gesetzgebende Verordnung Nr. 67 vom 21. April 2011 über “Zugang zu vorgezogener Rente für Arbeitnehmer in besonders schweren oder gefährlichen Berufen gemäß den Kategorien unter Gesetz Nr. 183 vom 4. November 2010 – veröffentlicht im Amtrsblatt der italienischen Republik Nr.108 vom 11. Mai 2011 (D. lgs 67/2011 - Accesso anticipato al pensionamento per gli addetti alle lavorazioni particolarmente faticose e pesanti, laut Gesetz Nr. 183 vom 4. November 2010).
Gesetzgebende Verordnung Nr. 201 vom 6. Dezember 2011, umgewandelt in Gesetz Nr. 214 vom 22. Dezember 2011 über dringende Maßnahmen zur Steigerung des Wachstums und der Gerechtigkeit zur Konsolidierung der Staatsschulden (Legge 22 dicembre 2011 n. 214 – Disposizioni urgenti per la crescita, l’equità e il consolidamento dei conti pubblici).
Gesetz Nr. 147 vom 27. Dezember 2013 über Bestimmungen für die Aufstellung des jährlichen und mehrjährigen Staatshaushalts – Stabilitätsgesetz 2014 (Disposizioni per la formazione del bilancio annuale e pluriennale dello Stato - Legge di stabilità 2014).
Gesetz Nr. 190 vom Dienstag, 23. Dezember 2014 über Bestimmungen für die Aufstellung des jährlichen und mehrjährigen Staatshaushalts - Stabilitätsgesetz 2015 (Disposizioni per la formazione del bilancio annuale e pluriennale dello Stato), veröffentlicht im Amtsblatt der Italienischen Republik Nr. 300 am 29. Dezember 2014, ordentliches Supplement Nr. 99.
Gesetzesdekret Nr. 65 vom 21. Mai 2015 mit Sofortmaßnahmen in Bezug auf die Sicherheit – Sicherheitsnetze and Abfindungsgarantien – zur Anwendung des Urteils des Verfassungsgerichts Nr. 70 vom 10. März – 30. April 2015 (Decreto Legge 21 maggio 2015, n. 65 recante “Disposizioni urgenti in materia di pensioni, di ammortizzatori sociali e di garanzie TFR” – applicazione della sentenza della Corte Costituzionale n. 70 del 10 marzo – 30 aprile 2015).
Gesetz Nr. 208 vom 28. Dezember 2015 über Bestimmungen für die Aufstellung des jährlichen und mehrjährigen Staatshaushalts – Stabilitätsgesetz 2016 veröffentlicht im Amtsblatt der Italienischen Republik Nr. 302 am 30.Dezember 2015, ordentliches Supplement Nr. 70 (GU Serie Generale n.302 del 30-12-2015) (Disposizioni per la formazione del bilancio annuale e pluriennale dello Stato).
Gesetz Nr. 232 vom 11. Dezember 2016 über den vorläufigen Staatshaushalt für das Finanzjahr 2017 und den mehrjährigen Haushalt für die Jahre 2017-2019 – Stabilitätsgesetz 2017 – veröffentlicht im Amtsblatt der Italienischen Republik Nr. 297 am 21. Dezember 2016 – ordentliches Supplement Nr. 57 (Bilancio di previsione dello Stato per l'anno finanziario 2017 e bilancio pluriennale per il triennio 2017-2019).
Gesetz Nr. 205 vom 27. Dezember 2017 über den vorläufigen Staatshaushalt für das Finanzjahr 2018 und den mehrjährigen Haushalt für die Jahre 2018-2020 – Haushaltsgesetz 2018 – veröffentlicht im Amtsblatt der Italienischen Republik Nr. 302 am 29. Dezember 2017 – ordentliches Supplement Nr. 62 (Legge di Bilancio 2018 - Bilancio di previsione dello Stato per l'anno finanziario 2018 e bilancio pluriennale per il triennio 2018-2020).
Gesetz Nr. 145 vom 30. Dezember 2018 über den vorläufigen Staatshaushalt für das Finanzjahr 2019 und den mehrjährigen Haushalt für die Jahre 2019-2021 – Haushaltsgesetz 2019 – veröffentlicht im Amtsblatt der Italienischen Republik Nr. 302 am 31. Dezember 2018 – ordentliches Supplement Nr. 62/L (Bilancio di previsione dello Stato per l'anno finanziario 2019 e bilancio pluriennale per il triennio 2019-2021).
Gesetz Nr. 178 vom 30. Dezember 2020 über den vorläufigen Staatshaushalt für das Finanzjahr 2021 und den mehrjährigen Haushalt für die Jahre 2021-2023 – Haushaltsgesetz 2021 - veröffentlicht im Amtsblatt der Italienischen Republik Nr. 322 vom 30. Dezember 2020 - ordentliches Supplement Nr. 46/L (Bilancio di previsione dello Stato per l'anno finanziario 2021 e bilancio pluriennale per il triennio 2021-2023).
Gesetz Nr. 234 vom 30. Dezember 2021 über den vorläufigen Staatshaushalt für das Finanzjahr 2022 und den mehrjährigen Haushalt für die Jahre 2022-2024 – Haushaltsgesetz veröffentlicht im Amtsblatt der Italienischen Republik Nr. 310 vom 31. Dezember 2021 (Ordinary Supplemento n. 49) (Bilancio di previsione dello Stato per l'an-no finanziario 2022 e bilancio pluriennale per il triennio 2022-2024).
Gesetz Nr. 197 vom 29. Dezember 2022 - über den vorläufigen Staatshaushalt für das Finanzjahr 2023 und den mehrjährigen Haushalt für die Jahre 2023-2025 – Haushaltsgesetz 2023 veröffentlicht im Amtsblatt der Italienischen Republik Nr. 303 vom 29. Dezember 2022 ordentliches Supplement Nr. 43 (Bilancio di previsione dello Stato per l'anno finanziario 2023 e bilancio pluriennale per il triennio 2023-2025 - GU Serie Generale n.303 del 29-12-2022 - Suppl. Ordinario n. 43).
Gesetz Nr. 213 vom 30. Dezember 2023 - über den vorläufigen Staatshaushalt für das Finanzjahr 2024 und den mehrjährigen Haushalt für die Jahre 2024-2026 – Haushaltsgesetz 2023 veröffentlicht im Amtsblatt der Italienischen Republik Nr. 303 vom 30. Dezember 2023 - ordentliches Supplement Nr. 40/L (Bilancio di previsione dello Stato per l'anno finanziario 2024 e bilancio pluriennale per il triennio 2024-2026 - GU Serie Generale n.303 del 30-12-2023 - Suppl. Ordinario n. 40/L).
Gesetz Nr. 207 vom 30. Dezember 2024 – über den vorläufigen Staatshaushalt für das Finanzjahr 2025 und den mehrjährigen Haushalt für die Jahre 2025-2027 – Haushaltsgesetz 2024 veröffentlicht im Amtsblatt der Italienischen Republik Nr. 305 vom 31. Dezember 2024 – ordentliches Supplement Nr. 43 (Bilancio di previsione dello Stato per l'anno finanziario 2025 e bilancio pluriennale per il triennio 2025-2027 - GU Serie Generale n.305 del 31-12-2024 - Suppl. Ordinario n. 43).
Verzeichnis der Rechtsakte: https://www.normattiva.it</t>
  </si>
  <si>
    <t>1. Säule:
Rentenversicherungsgesetz (Zakon o mirovinskom osiguranju) von 2025, Abl. Nr. 96/25.
Gesetz über die Höchstrente (Zakon o najvišoj mirovini) von 1998, Abl. Nr. 162/98, 82/01.
Gesetz über Zulagen zu Renten, die nach dem Rentenversicherungsgesetz erworben wurden (Zakon o dodatku na mirovine ostvarene prema Zakonu o mirovinskom osiguranju) von 2007, Abl. Nr. 79/07, 114/11, 115/18 und 156/23.2. Säule:
Gesetz über obligatorische Rentenfonds (Zakon o obveznim mirovinskom fondovima) von 2014, Abl. Nr. 19/14 (in Kraft seit dem 20. Februar 2014) und Änderungen 93/15, 64/18, 115/18, 58/20 und 156/23.
Gesetz über Rentenversicherungsunternehmen (Zakon o mirovinskim osiguravajućim društvima), von 2014, Abl. Nr. 22/14 (in Kraft seit dem 27. Februar 2014) und Änderung 29/18, 115/18 und 156/23.
Verzeichnis der Rechtsakte – siehe hier.</t>
  </si>
  <si>
    <t>Gesetz über die staatliche Sozialversicherung (Likums „Par valsts sociālo apdrošināšanu“) vom 1. Oktober 1997.
Gesetz über staatliche Renten (Likums „Par valsts pensijām“) vom 2. November 1995.
Gesetz über die staatlichen kapitalgedeckten Renten (Valsts fondēto pensiju likums) vom 17. Februar 2000.
Gesetz über private Rentenfonds (Likums “Par privātajiem pensiju fondiem”) 5/6/1997.
Gesetz über Staatliche Sozialleistungen (Valsts sociālo pabalstu likums) vom 1. Januar 2003.
Verordnung des Ministerkabinetts Nr. 165 über “Verfahren zur Erbringung von Nachweisen, Berechnung und Registrierung von Versicherungszeiten” vom 23. April 2002 (Ministru kabineta 23.04.2002. noteikumi Nr.165 “Apdrošināšanas periodu pierādīšanas aprēķināšanas un uzskaites kārtība”).
Verordnung des Ministerkabinetts Nr. 427 über “Gewährung, Neuberechnung und Zahlung der gesetzlichen Rente sowie Verfahren für die Berechnung des durchschnittlichen versicherungspflichtigen Entgelts zur Bestimmung der Invaliditätsrente” vom 5. Juli 2016 (Ministru kabineta 05.07.2016. noteikumi Nr.427 "Noteikumi par valsts pensijas piešķiršanu, pārrēķināšanu un izmaksu, kā arī vidējās apdrošināšanas iemaksu algas aprēķināšanas kārtību invaliditātes pensijas noteikšanai").
Verordnung des Ministerkabinetts Nr. 1445 über “Geplanten Zeitraum der Rentenzahlung zum Zweck der Rentenberechnung" vom 10. Dezember 2013 (Ministru kabineta 10.12.2013. noteikumi Nr.1445 "Noteikumi par pensijas aprēķināšanai piemērojamo plānoto vecuma pensijas izmaksas laika periodu").
Verordnung des Ministerkabinetts Nr. 976 über “Frewillige Mitgliedschaft in der staatlichen Sozialversicherung" vom 12. Oktober 2010 (Ministru kabineta 12.10.2010. noteikumi Nr.976 "Noteikumi par brīvprātīgu pievienošanos valsts sociālajai apdrošināšanai").
Verzeichnis der Rechtsakte: https://likumi.lv/</t>
  </si>
  <si>
    <t>1. Säule: Gesetz über die Alters- und Hinterlassenenversicherung (AHVG), LGBl. 1952 Nr. 29.
2. Säule: Gesetz über die betriebliche Personalvorsorge, LGBl. 1988 Nr. 12.
Gesetz über die betriebliche Personalvorsorge des Staates, LGBL. 2013 Nr. 329,
Rechtsinformationssystem: www.gesetze.li</t>
  </si>
  <si>
    <t>Das Änderungsgesetz zum Gesetz Nr. I-549 der Republik Litauen über Renten der staatlichen Sozialversicherung (Lietuvos Respublikos valstybinių socialinio draudimo pensijų įstatymo Nr. I-549 pakeitimo įstatymas) vom 29. Juni 2016 (Nr. XII.2512).
Verzeichnis der Rechtsakte: https://e-seimas.lrs.lt/.</t>
  </si>
  <si>
    <t>Band III des Gesetzbuches über soziale Sicherheit (Code de la sécurité sociale).
Verzeichnis der Rechtsakte: https://legilux.public.lu/eli/etat/leg/code/securite_sociale/20250101</t>
  </si>
  <si>
    <t>Gesetz über soziale Sicherheit (Att dwar is-Sigurtà Soċjali) (Kap. 318), verfügbar unter https://legislation.mt/eli/cap/318/eng.
Rentenverordnung (Ordinanza tal-Pensjonijiet) (Kap. 93), verfügbar unter https://legislation.mt/eli/cap/93/eng.
Verzeichnis der Rechtsakte: https://legislation.mt/Legislation.</t>
  </si>
  <si>
    <t>Allgemeines Altersrentengesetz (Algemene Ouderdomswet, AOW).
Seit 31. Mai 1956 (aktuelle Fassung 1. Januar 2025)
Verzeichnis der Rechtsakte: www.wetten.nl</t>
  </si>
  <si>
    <t>Volksversicherungsgesetz (folketrygdloven) vom 28. Februar 1997, Abschnitte 3, 19 und 20.
Gesetz über die obligatorische berufsbezogene Rente (lov om obligatorisk tjenestepensjon) vom 21. Dezember 2005.
Verzeichnis der Rechtsakte – siehe hier.</t>
  </si>
  <si>
    <t>Allgemeines Sozialversicherungsgesetz vom 9. September 1955 (ASVG).
Allgemeines Pensionsgesetz vom 18. November 2004 (APG).
Rechtsinformationssystem: https://www.ris.bka.gv.at</t>
  </si>
  <si>
    <t>Gesetz über das System der Sozialversicherung (Ustawa o systemie ubezpieczeń społecznych) vom 13. Oktober 1998.
Gesetz über Renten des Sozialversicherungsfonds (Ustawa o emeryturach i rentach z Funduszu Ubezpieczen Spolecznych) vom 17. Dezember 1998.
Gesetz über die Ehrenleistung für das Erreichen des 100. Geburtstages (Ustawa o świadczeniu honorowym z tytułu ukończenia 100 lat życia) vom 18. Oktober 2024.
Verzeichnis der Rechtsakte – siehe https://isap.sejm.gov.pl/.</t>
  </si>
  <si>
    <t>Rechtsordnung Nr. 265/99 vom 14. Juli 1999 über die Pflegezulage (Decreto-Lei nº 265/99, de 14/7, na  redação atual , complemento por dependência), mehrfach geändert.
Rechtsordnung Nr. 232/05 vom 29. Dezember 2005 über die Solidarzulage für ältere Menschen (Decreto-Lei nº 232/05, de 29/12, versão consolidada, complemento por dependência), mehrfach geändert.
Gesetz Nr. 53-B/06 vom 29. Dezember 2006 über den Indexwert für soziale Unterstützungen IAS (Lei nº 53-B/06, de 29/12, versão consolidada, Indexante dos Apoios Sociais), mehrfach geändert.
Rechtsverordnung Nr. 187/07 vom 10. Mai 2007 über das Absicherungssystem bei Invalidität und Alter des allgemeinen Systems (Decreto-Lei nº 187/07, de 10/5, versão consolidada, regime de proteção nas eventualidades de maternidade, paternidade e adoção), mehrfach geändert.
Verzeichnis der Rechtsakte - siehe hier.</t>
  </si>
  <si>
    <t>Gesetz Nr. 360/2023 über das öffentliche Rentensystem (Legea nr.360/2023 privind sistemul public de pensii), mit späteren Änderungen.
Gesetz Nr. 360/2023 über das staatliche Rentensystem (Legea nr.360/2023 privind sistemul public de pensii).
Regierungsbeschluss Nr. 181 vom 28. Februar 2024 zur Anerkennung der Regeln für die Anwendung von Gesetz Nr. 360/2023 über das öffentliche Rentensystem (Hotărârea nr.181 din 28 februarie 2024 pentru aprobarea Normelor de aplicare a Legii nr. 360/2023 privind sistemul public de pensii).
Verzeichnis der Rechtsakte: https://legislatie.just.ro/Public/Acasa</t>
  </si>
  <si>
    <t>Sozialgesetzbuch (Socialförsäkringsbalken) von 2010, Abschnitt E, Kapitel 55-73 und 74a, Abschnitt G.
Verzeichnis der Rechtsakte: Socialförsäkringsbalk (2010:110) | Sveriges riksdag</t>
  </si>
  <si>
    <t>1. Säule (Grundsystem):
Bundesgesetz vom 20. Dezember 1946 über die Alters- und Hinterlassenenversicherung (AHVG).
Bundesgesetz vom 6. Oktober 2000 über den Allgemeinen Teil des Sozialversicherungsrechts (ATSG).
2. Säule (obligatorische Mindestvorsorge):
Bundesgesetz vom 25. Juni 1982 über die berufliche Alters-, Hinterlassenen- und Invalidenvorsorge (BVG).
Publikationsplattform des Bundesrechts: https://www.fedlex.admin.ch/fr/cc/internal-law/83</t>
  </si>
  <si>
    <t>1. Säule:
Sozialversicherungsgesetz (Zákon o sociálnom poistení) Nr. 461/2003.
2. Säule:
Gesetz über Geldanlagen für die Altersrente (Zákon o starobnom dôchodkovom sporení) Nr. 43/2004.
3. Säule:
Gesetz zum Zusatzrentensparen (Zákon o doplnkovom dôchodkovom sporení) Nr. 650/2004.
Gesetz zum Schutz, zur Förderung und Entwicklung der Volksgesundheit (Zákon o ochrane, podpore a rozvoji verejného zdravia) Nr. 355/2007.
Gesetz über das europaweite persönliche Rentenprodukt (Zákon o celoeurópskom osobnom dôchodkovom produkte) Nr. 129/2022.
Verzeichnis der Rechtsakte: https://www.slov-lex.sk/pravne-predpisy</t>
  </si>
  <si>
    <t>Gesetz über die Renten- und Invaliditätsversicherung (Zakon o pokojninskem in invalidskem zavarovanju) (Amtsblatt der Republik Slowenien, Nr. 48/22 in der offiziell konsolidierten Version einschließlich späterer Änderungen).
Gesetz zum Finanzausgleich (Zakon za uravnoteženje javnih financ (ZUJF)) (Amtsblatt der Republik Slowenien, Nr. 40/2012, mit Änderungen).
Gesetz zur persönlichen Einkommenssteuer (Zakon o dohodnini (Zdoh-2)) (Amtsblatt der Republik Slowenien, Nr. 13/2011 – in der offiziell konsolidierten Version einschließlich späteren Änderungen).
Gesetz über die Umsetzung der Haushaltspläne der Republik Slowenien für die Jahre 2025 und 2026 (Zakon o izvrševanju proračunov Republike Slovenije za leti 2025 in 2026) (Amtsblatt der Republik Slowenien, Nr. 104/24 einschließlich späteren Änderungen).
Verzeichnis der Rechtsakte: https://pisrs.si/.</t>
  </si>
  <si>
    <t>Allgemeines Gesetz über die soziale Sicherheit (Ley General de Seguridad Social) aufgrund des Gesetzgebenden Königlichen Dekret Nr. 8/2015 vom Freitag, 30. Oktober 2015, einschließlich Änderungen.
Ministerialerlass vom 18.1.1967 zur Festlegung von Regeln zur Anwendung und Entwicklung von Altersleistungen im Rahmen des Allgemeinen Systems der Sozialen Sicherheit (Orden Ministerial por la que se establecen normas para la aplicación y desarrollo de la prestación de Vejez en el Régimen General de la Seguridad Social).
Königliches Dekret Nr. 1647/97 vom 31.10.1997, einschließlich Änderungen.
Gesetz Nr. 35/2002 vom 12.7.2002 zur Einführung eines progressiven und flexiblen Rentensystems (Ley 35/2002, de 12 de julio, de medidas para el establecimiento de un sistema de jubilación gradual y flexible), einschließlich Änderungen.
Gesetz Nr. 27/2011 vom 1.8.2011 (Ley 27/2011, de 1 de agosto, sobre actualización, adecuación y modernización del sistema de Seguridad Social).
Verzeichnis der Rechtsakte: https://www.boe.es/buscar/legislacion.php</t>
  </si>
  <si>
    <t>Konsolidiertes Gesetz über die Grundrentenversicherung (Zákon o důchodovém pojištění) Nr. 155/1995.
Verzeichnis der Rechtsakte: https://www.zakonyprolidi.cz/.</t>
  </si>
  <si>
    <t>Gesetz CXXII von 2019 über Ansprüche auf Leistungen der sozialen Sicherheit und die Finanzierung dieser Leistungen (törvény a társadalombiztosítás ellátásaira jogosultakról, valamint ezen ellátások fedezetéről).
Gesetz LXXXI von 1997 über Renten der Sozialversicherung (törvény a társadalombiztosítási nyugellátásokról).
Gesetz CLXVII von 2011 über die Beendigung von vorgezogenen Renten, über Leistung vor dem Rentenalter und über Leistung für offizielle Mitglieder des Militärs (törvény a korhatár előtti öregségi nyugdíjak megszüntetéséről, a korhatár előtti ellátásról és a szolgálati járandóságról).Regierungsdekret Nr. 168/1997 (X. 6.) über die Umsetzung von Gesetz LXXXI von 1997 über Renten der Sozialversicherung (168/1997. (X. 6.) Korm. rendelet a társadalombiztosítási nyugellátásról szóló 1997. évi LXXXI. törvény végrehajtásáról) Regierungsdekret Nr. 333/2011 (XII. 29.) über die Umsetzung der Leistung vor dem Ruhestand, Leistung für offizielle Mitglieder des Militärs, Leib-rente für Tanzkünstler und Übergangsrente für Bergleute sowie die Änderung der zugehörigen Regierungsdekrete (333/2011. (XII. 29.) Korm. rendelet a korhatár előtti ellátás, a szolgálati járandóság, a balettművészeti életjáradék és az átmeneti bányászjáradék eljárási szabályairól, valamint egyes kapcsolódó kormányrendeletek módosításáról) 
Regierungsdekret Nr. 383/2017 (XII. 12) über die Leistung für ältere Menschen, die Langzeitpflege erbringen (383/2017. (XII. 12.) Korm. rendelet a tartós ápolást végzők időskori támogatásáról)
Verzeichnis der Rechtsakte: https://njt.hu/</t>
  </si>
  <si>
    <t>Sozialversicherungsgesetz (Νομοθεσία Κοινωνικών Ασφαλίσεων) : Nr. 59 (I) /2010 vom 9. Juli 2010 - 2025.
Durchführungsverordnungen zu den Leistungen der Sozialversicherung.
Durchführungsverordnungen zu den Sozialversicherungsbeiträgen.</t>
  </si>
  <si>
    <t>Das gesetzliche Rentensystem (die sogenannte 1. Säule) ist ein überwiegend beitragsfinanziertes obligatorisches Sozialversicherungssystem (durch Umlage) für alle Erwerbstätigen (Arbeitnehmer und Selbstständige) mit einkommensbezogenen festgelegten Leistungen, die von den Beiträgen und der Versicherungsdauer abhängen und nach der Ersatzleistungsquote entsprechend der Familiensituation differenziert sind.
Für Führungskräfte im öffentlichen Dienst gibt es zudem eine zusätzliche Rentenpflichtversicherung. Dieses Gesetz gewährt Personen, die für eine Management- oder Führungsposition in einem öffentlichen Dienst ernannt werden, zusätzliche Vorteile bei der Altersrente. Deren Zusatzleistungen werden basierend auf dem Gehalt berechnet, und zwar entweder als „Zielvorgaben“ oder als „festgelegte Leistungen“.
Darüber hinaus existiert ein beitragsunabhängiges Mindestleistungssystem speziell für ältere Menschen, siehe „Mindestsicherung“ in Bezug auf die Einkommensgarantie für betagte Personen (garantie de revenus aux personnes âgées/inkomensgarantie voor ouderen).
Es existieren keine freiwilligen gesetzlichen Ruhestandspensionen.
Außerhalb der Sozialversicherung gibt es ein Zusatzrentensystem (die sogenannte 2. Säule), das auf Initiative des Arbeitgebers (Betriebsrente oder Betriebsplan) oder des Berufssektors (Branchenrente oder Branchenplan) eingerichtet wird.
Im Folgenden wird nur die 1. Säule erläutert.</t>
  </si>
  <si>
    <t>Erste Säule:
Obligatorisches öffentliches Rentenversicherungssystem nach dem Umlageverfahren, auf Grundlage eines leistungsorientierten Prinzips für alle Arbeitnehmer, Selbstständige, Landwirte, Erwerbstätige ohne formellen Arbeitsvertrag sowie sonstige (etwa 30 Gruppen versicherter Personen).
Zweite Säule:
Ergänzendes obligatorisches kapitalgedecktes Rentensystem.
Es gibt zwei Arten von Fonds:
   * Der universelle Rentenfonds, der alle Personen abdeckt, die nach 31.12.1959 geboren sind.
   * Der berufliche Rentenfonds, der Personen abdeckt, deren Arbeit unter die erste oder zweite Kategorie fällt (schwere oder schädliche Arbeitsbedingungen).
Ab 2015 besteht die Möglichkeit, sowohl in der öffentlichen Rentenkasse als auch dem universellen Rentenfonds versichert zu sein oder Mittel aus dem universellen Rentenfonds in die öffentliche Rentenversicherung zu übertragen. Dieser Beschluss ist umkehrbar.
Mittel können auch aus dem beruflichen Rentenfonds in die öffentliche Rentenversicherung übertragen werden, in diesem Fall ist der Beschluss jedoch unumkehrbar.
Dritte Säule:
Freiwillige Zusatzrentenversicherung nach dem Prinzip der Kapitaldeckung mit festgelegten Beiträgen.
Es gibt zwei Arten von Fonds:
   * den freiwilligen Zusatzrentenversicherungsfonds und
   * den Berufsrentenfonds.
Beide Fonds sind freiwillig für alle Personen, die das Alter von 16 Jahren erreicht haben.
Es existiert eine spezifische beitragsbunabhängige Altersrente für Personen ab 70 Jahren – siehe Garantiertes Mindesteinkommen.</t>
  </si>
  <si>
    <t>1. Säule:
Altersrente (Folkepension)/Frührente (Tidlig Pension):
Steuerfinanziertes universelles Umlagesystem für die gesamte Bevölkerung mit von der Dauer des Wohnsitzes in Dänemark abhängiger, leistungsorientierter Pauschalleistung.
Zusatzrente (arbejdsmarkedets tillægspension, ATP):
Beitragsdefiniertes obligatorisches Sozialversicherungssystem für Arbeitnehmer und Sozialhilfeempfänger.
Obligatorisches Rentensystem (Obligatorisk Pensionsordning):
Obligatorisches Sozialversicherungssystem mit vorgegebenen Beiträgen für Personen, die bestimmte Sozialleistungen beziehen (z.B. Arbeitslosengeld, Invalidenrente etc.). Der Staat übernimmt die Beiträge für das obligatorische Rentensystem für diese Personen und sie erhalten die gleichen Rechte wie Personen, die durch die Zusatzrente (arbejdsmarkedets tillægspension, ATP) abgedeckt sind. Kumulation von Beiträgen ist möglich in Fällen, in denen Beiträge sowohl für das obligatorische Rentensystem als auch die Zusatzrente gezahlt werden.
2. Säule:
Überwiegend zusammengesetzt aus (privat organisierten) beitragsorientierten Arbeitsmarktrentensystemen. Diese Säule umfasst auch steuerfinanzierte, einkommensbezogene Beamtenpensionen.
3. Säule:
Zusammengesetzt aus freiwilligen individuellen privaten Rentensparplänen, gegründet auf Initiative von Privatpersonen und unabhängig von Beschäftigungsbedingungen.Sie können als beitragsorientierte Pläne bei Banken, Versicherungsunternehmen oder Rentenfonds eingerichtet werden. Individuelle Systeme sind üblicherweise Kapital- oder Ratenrentensysteme, es kann sich aber auch um lebenslange Leibrenten handeln.
Die öffentliche freiwillige Frührente ist in dieser Säule nicht enthalten.
Die 2. und 3. Säule sind in dieser Tabelle nicht dargestellt.
Es gibt kein spezifisches beitragsunabhängiges Mindestleistungssystem für ältere Personen. Es gilt das allgemeine Mindestsicherungssystem (siehe Tabelle XI).</t>
  </si>
  <si>
    <t>Aus Beiträgen und Steuern im Umlageverfahren (PAYG) finanziertes obligatorisches Sozialversicherungssystem für Arbeitnehmer und einzelne Gruppen von Selbstständigen mit entgeltbezogenen Renten, deren Höhe wesentlich von den Beiträgen und der Versicherungsdauer abhängt (1. Säule).
Die Höhe der wird aufgrund eines Punktesystems festgelegt; die Berechnung enthält leistungs- und beitragsorientierte Elemente.
Der Aufbau einer Zusatzrente ist nicht verpflichtend und kann über den Arbeitgeber im Rahmen der betrieblichen Altersversorgung (2. Säule) oder als private zusätzliche Altersversorgung (3. Säule) erfolgen. Der Staat hilft beim Aufbau einer zusätzlichen kapitalgedeckten Altersvorsorge mit Zulagen, Steuervorteilen und Beitragsersparnis in der Sozialversicherung.
Bedürftige Menschen, die in Deutschland wohnen und die Regelaltersgrenze erreicht haben, können Grundsicherung im Alter beantragen (siehe Tabelle XI – Mindestsicherung).
Die unten angeführten Informationen beziehen sich nur auf das obligatorische Sozialversicherungssystem (1. Säule).</t>
  </si>
  <si>
    <t>1. Säule (Umlageverfahren):
Altersrente (vanaduspension):
Beitragsfinanziertes universelles Sozialversicherungssystem mit Renten, die von der Dauer der Erwerbstätigkeit (bis 1998) und von den Beitragszahlungen (seit 1999) abhängen. Altersrente ist einkommens-abhängig (DB).
Volksrente (rahvapension):
Steuerfinanziertes universelles System, das eine Mindestrente für Personen, die keinen Anspruch auf eine Altersrente haben, garantiert. Siehe Tabelle XI „Mindestsicherung“.Pauschalleistungen.
2. Säule (DC):
Zusatzrente (kogumispension):
Kapitalgedeckte Rentenversicherung auf der Basis privat verwalteten Fonds unter staatlicher Aufsicht mit beitragsabhängigen Renten. Personen, die nach dem 1. Januar 1983 geboren wurden, werden automatisch registriert mit der Option, das System zu verlassen.
3. Säule (DC):
Freiwilliges privates Rentensystem.</t>
  </si>
  <si>
    <t>Duales System:
(1) Beitragsfinanzierte Versicherung (Gesetzliche einkommensbezogene Rente, Työeläke) für Arbeitnehmer, Selbstständige, Landwirte mit einkommensbezogenen Renten. Die Renten richten sich nach dem Jahreseinkommen und dem Alter. Das System ist leistungsorientiert. Es wird hauptsächlich über Umlagen finanziert, jedoch basiert ein Teil der Renten auf dem Prinzip der Teilfinanzierung.
(2) aus Steuern finanziertes universelles System (Volksrente, Kansaneläke und garantierte Rente, Takuueläke), das eine pauschale Mindestrente garantiert.
Die beiden Rentensysteme sind miteinander verknüpft. Überschreitet die Gesetzliche einkommensbezogene Rente (Työeläke) eine bestimmte Höchstgrenze, so wird keine Volksrente (Kansaneläke) gewährt.
Der Zweck der Garantierten Rente ist, die Einwohner Finnlands mit einer Mindestrente zu versorgen.
Freiwillige private Altersrentensysteme existieren (sind aber unüblich). In der MISSOC-Tabelle gibt es dazu keine näheren Informationen.</t>
  </si>
  <si>
    <t>Obligatorische Sozialversicherungssysteme, die nach dem Umlageprinzip finanziert werden, und aus zwei Säulen bestehen:
   * 1. Säule (Basissystem): obligatorische Grundversicherung, in deren Rahmen bestimmte Leistungen erbracht werden; ihre Höhe hängen vom Einkommen, den Beiträgen und der Versicherungsdauer ab;
   * 2. Säule (Zusatzsystem für Mitarbeiter Agirc-Arrco): obligatorische Zusatzversicherung, in deren Rahmen bestimmte Leistungen erbracht werden, deren Höhe auf dem Punktesystem beruht. Die Höhe der Rente entspricht der Anzahl der erworbenen Punkte, die mit dem Punktwert multipliziert werden.
Es existiert auch ein freiwilliges, kapitalgedecktes Versicherungssystem (Zusatz- oder komplementäres System), das jedoch nicht unter die Sozialversicherungsgesetzgebung fällt. Es wird in den MISSOC-Tabellen nicht aufgeführt.
Es existiert ein beitragsunabhängiges System von Mindestleistungen speziell für ältere Personen: Solidaritätsleistung für ältere Menschen (allocation de solidarité aux personnes âgées, ASPA) (weitere Informationen in der Tabelle XI „Mindestsicherung“).</t>
  </si>
  <si>
    <t>1. Säule:
1/Hauptrente der e-EFKA:
Obligatorisches Sozialversicherungssystem, das alle Arbeitnehmer und Selbstständigen abdeckt. Die Hauptrente enthält die staatliche Rente (ΕΘΝΙΚΗ ΣΥΝΤΑΞΗ) und die beitragsabhängige Rente (ΑΝΤΑΠΟΔΟΤΙΚΗ ΣΥΝΤΑΞΗ). Das System wird finanziert durch Beiträge für die beitragsabhängige Rente und durch den Staatshaushalt für die staatliche Rente.
Es wird im Umlageverfahren (pay-as-you-go (PAYG)) verwaltet und bietet entgeltbezogene Leistungen, die auf Leistungszusagen (Defined Benefits (DB)) beruhen für die beitragsabhängige Rente und Pauschalleistungen für die staatliche Rente.
2/ Hilfsrenten:
Hilfsrente der e-EFKA:
Obligatorisches Sozialversicherungssystem, das alle Arbeitnehmer und die meisten Selbstständigen zu den gleichen Bedingungen abdeckt wie für die Hauptrente. Sie wird durch Arbeitnehmer- und Arbeitgeberbeiträge finanziert und im Umlageverfahren (pay-as-you-go (PAYG)) verwaltet. Sie bietet entgeltbezogene Leistungen auf Grundlage von Leistungszusagen (Defined Benefits (DB)) für den Versicherungszeitraum bis 31. Dezember 2012 und eines fktiv beitragsorientierten Systems (Notional Defined Contributions, NDC) für den Versicherungszeitraum ab Januar 2015.
Hilfsrente der TEKA:
TEKA (Hellenische leistungsorientierte Hilfsrentenkasse - ΤΑΜΕΙΟ ΕΠΙΚΟΥΡΙΚΗΣ ΚΕΦΑΛΑΙΟΠΟΙΗΤΙΚΗΣ ΑΣΦΑΛΙΣΗΣ) ist eine kapitalgedeckte, beitragsorientierte Kasse (defined contributions, DC), welche entsprechend dem kapitalgedeckten System läuft und Berufsanfänger seit 1.1.2022 abdeckt. Sie ist auch obligatorisch für alle Personen, die nach dem 1.1.2004 geboren wurden, sofern sie über eine Zusatzversicherung verfügen (alle Arbeitnehmer und bestimmte Kategorien von Selbstständigen).
3/ Zusatzleistungen für bestimmte Berufsgruppen, wie z.B.: Pauschalleistungen (Beamte, Militärangehörige, Ingenieure, Rechtsanwälte etc.) und Dividenden (Beamte, Militärangehörige), erbracht von entsprechenden Wertpapierfonds, welche zum größten Teil in die e-EFKA eingebettet sind.
2. Säule:
Die 2. Säule bietet Zusatzrenten. Sie umfasst 4 obligatorische Betriebsrentenfonds, welche entgeltbezogene Leistungen auf Hybridbasis erbringen (beitragsorientiert, angepasst entsprechend versicherungsmathematischen Bewertungen und verfügbarem Kapital), sowie 27 freiwillige Betriebsrentenfonds (ΤΑΜΕΙΑ ΕΠΑΓΓΕΛΜΑΤΙΚΗΣ ΑΣΦΑΛΙΣΗΣ-ΤΕΑ), welche voll finanziert sind.
3. Säule
Diese Säule beruht auf Freiwilligkeit und umfasst private Versicherungssysteme.
Sowohl die 2. und 3. Säule als auch die Hilfsrenten der e-EFKA und TEKA sowie sonstige Leistungen für bestimmte Berufsgruppen (1. Säule) sind nicht in den MISSOC-Tabellen dargestellt.
Unversicherte ältere Personen können eine bedarfsorientierte Leistung der OPEKA beziehen (siehe Tabelle XI zu “Garantierte Mindestleistungen” für nähere Informationen).</t>
  </si>
  <si>
    <t>Erste Säule
Beitragsfinanziertes obligatorisches Sozialversicherungssystem auf Umlagebasis für alle Arbeitnehmer und Selbstständige mit pauschalen festgelegten Leistungen gemäß der Höhe der entrichteten Beiträge.
Zweite Säule
Es gibt auch ein freiwilliges Beitragssystem, welches zur Berechtigung für die staatliche Rente beitragen kann.
Zudem wird eine (beitragsunabhängige) Staatliche Rente (State Pension (Non-Contributory)) gewährt (siehe Tabelle XI - Mindestsicherung).</t>
  </si>
  <si>
    <t>Duales System:
Volksrente (lífeyrir almannatrygginga) (1. Säule): allgmeines steuerfinanziertes Umlagesystem für alle Einwohner mit pauschalen Leistungsbeträgen (unterliegt der Einkommensprüfung), abhängig von der Dauer des Wohnsitzes.
Arbeitsrente (lögbundnir lífeyrissjóðir) (2. Säule): Beitragspflichtiges System für alle Erwerbstätigen mit einkommensbezogenen Renten, die von den Beiträgen und der Versicherungsdauer abhängen (außer im System für Arbeitnehmer im Staatsdienst, das teilweise auf Versorgungszusagen mit im Voraus definierten Leistungen und teilweise auf einem System mit definierten Leistungen beruht).
Beide Systeme werden in dieser Tabelle beschrieben, mit Betonung auf den Systemen der sozialen Sicherheit.
Freiwilliges persönliches Rentenfondssystem (3. Säule).</t>
  </si>
  <si>
    <t>Allgemeine Pflichtversicherung (Assicurazione Generale Obbligatoria, AGO) für Arbeitnehmer der Privatwirtschaft mit Leistungen basierend auf 2 bestimmenden Faktoren: Alter und geleistete Beiträge.
Es gibt ein zusätzliches freiwilliges, ergänzendes Berufssystem, welches sowohl aus offenen Fonds sowie geschlossenen, tarifvertraglich gebundenen Fonds besteht. Die geschlossenen Fonds können sowohl von Arbeitnehmern und Arbeitgebern finanziert werden als auch durch die freiwillige Umwandlung von TFR (privaten Abfindungszahlungen). Zusätzlich können Arbeitnehmer Mitglieder von privaten Rentenfonds werden.
In Tabelle VI werden nur Pflichtsysteme dargestellt.
Sonstige obligatorische Systeme für Selbstständige (siehe MISSOC-Informationen zum Sozialschutz für Selbstständige) und eine bestimmte Anzahl besonderer Gruppen von Arbeitern wie Beamte, Freiberufler, atypische Beschäftigte.
Die Mittel werden auf Umlagebasis verwaltet.Das Rentensystem basiert auf einem fiktiven beitragsdefinierten System (NDC) für Personen, die nach dem 1. Januar 1996 in den Arbeitsmarkt eingetreten sind. Für Personen, die vor diesem Datum in den Arbeitsmarkt eingetreten sind, gilt ein „hybrides“ System (eine Mischung aus DB und NDC). 
Es gibt ein gesetzliches, beitragsfreies Mindestleistungssystem, auf dessen Grundlage älteren mittellosen Menschen die wohlstandsbasierte Sozialhilfe (assegno sociale) gewährt wird (siehe Tabelle XI, „Mindestsicherung”).</t>
  </si>
  <si>
    <t>1. Säule:
Obligatorisches Sozialversicherungssystem (Umlageverfahren) für die aktive Bevölkerung auf der Grundlage von definierten Leistungen je nach dem früheren Einkommen (einkommensbezogen) und der Beschäftigungsdauer.2. Säule:
Obligatorisches kapitalgedecktes System der 2. Säule auf der Grundlage von definierten Beiträgen (Hybridschema).
Die 3. Rentensäule ist freiwillig und wird von Rentenfondsverwaltungen geführt.
Nur die beiden Pflichtsäulen (1. Und 2.) werden in dieser Tabelle beschrieben.</t>
  </si>
  <si>
    <t>Obligatorische Sozialversicherungssysteme:
   * 1. Säule: Auf dem Umlageverfahren beruhendes System mit einkommensbezogenen Renten, die von Beiträgen und der Versicherungsdauer abhängen (auf der Basis fiktiver Beiträge).
   * 2. Säule: System, das auf dem Kapitaldeckungsverfahren beruht, mit Renten entsprechend den angesammelten Beiträgen und ausgewählten Rentenfonds (auf der Basis von Festbeiträgen).
Die obligatorischen Systeme werden ergänzt durch ein privates freiwilliges Rentensystem, welches der 3. Säule entspricht. Es wird nicht in den MISSOC-Tabellen dargestellt.
Es gibt kein besonderes Sozialhilfesystem für alte Menschen. Es gilt das allgemeine Mindestsicherungssystem (siehe Tabelle XI). Zusätzlich kann, wer keinen Anspruch auf Altersrente (Vecuma pensija)  hat, unter bestimmten Umständen die Staatliche Grundleistung der sozialen Sicherheit (Valsts sociālā nodrošinājuma pabalsts) erhalten.</t>
  </si>
  <si>
    <t>1. Säule:
Beitrags- (und teilweise steuer-)finanziertes obligatorisches Sozialversicherungssystem (Existenzsicherung) für alle Personen mit Wohnsitz oder Erwerbstätigkeit (Arbeitnehmer und Selbstständige) mit Renten, die im Wesentlichen von der Versicherungsdauer und von Beiträgen (z.T. fiktiven Beiträgen) abhängen. Das System wird aufgrund eines Umlageverfahrens finanziert. Die Leistungsberechnung erfolgt nach einem fiktiv beitragsorientierten System.
Reichen die anrechenbaren Einnahmen aus den Renten und allfälligen anderen Quellen nicht aus, um die anerkannten Ausgaben zu decken, besteht ein Anspruch auf Ergänzungsleistungen um die minimalen Lebenshaltungskosten decken zu können (s. Tabelle XI ‚Mindestsicherung‘).
2. Säule:
Beitragsfinanziertes obligatorisches Sozialversicherungssystem (Sicherung eines angemessenen Lebensstandards) für unselbstständig Erwerbstätige mit entgeltbezogenen Renten, die von Beiträgen abhängen.
Die Finanzierung der 2. Säule erfolgt im Kapitaldeckungsverfahren.
Die Altersleistung ist entweder von der Beitragsseite oder der Leistungsseite her definiert (Beitragsprimat oder Leistungsprimat). Die Höhe der Altersrente hängt vom individuell angesammelten Alterskapital ab. Anstelle einer Altersleistung kann die Vorsorgeeinrichtung eine Kapitalabfindung vorsehen.</t>
  </si>
  <si>
    <t>1. Säule - Im Umlageverfahren beitrags-und steuerfinanziertes obligatorisches Sozialversicherungssystem für Arbeitnehmer und Selbstständige mit Renten, die aus einem pauschalen und einem entgeltbezogenen Teil bestehen. Die Leistungen werden nach dem leistungsorientierten System berechnet. Das System enthält Rentenpunkte zur Bestimmung des individuellen Anteils der Rente.
2. Säule – Freiwilliges System. Personen, die unter der ersten Säule versichert sind, können frei wählen, ob sie allein im Sozialversicherungssystem (1. Säule) bleiben oder der 2. Säule beitreten möchten. Das System finanziert sich aus dem privaten Beitrag einer Person (3% des Bruttolohns der Person) und einem staatlichen Beitrag (1,5% des nationalen Durchschnittslohns). Hat eine Person sich einmal für die 2. Säule der Alterssicherung entschieden, kann sie nicht mehr allein zum Sozialversicherungssystem zurückkehren.
3. Säule – Besteht aus freiwillig selbst-angesammelten Mitteln. Für diese Methode der Akkumulation gelten Vergünstigungen bei der persönlichen Einkommenssteuer. Von staatlicher Seite wird diese Methode nicht finanziert, Arbeitgeber können jedoch beitragen, indem sie die Beiträge teilweise oder vollständig übernehmen.
Nähere Informationen zur 3. Säule werden in den MISSOC-Tabellen nicht dargestellt. Es existiert eine Altersleistung der Sozialhilfe; diese wird in der Tabelle XI „Mindestsicherung“ dargestellt.</t>
  </si>
  <si>
    <t>1. Säule:
Durch Beiträge mit staatlicher Beteiligung finanziertes obligatorisches Sozialversicherungssystem mit einer Säule für die Arbeitnehmer und die Selbstständigen mit von der Versicherungsdauer abhängigen pauschalen und von der Beitragshöhe abhängigen Leistungen.
System basierend auf dem Umlageverfahren und bestimmten Leistungen.
Freiwillige Versicherung für Personen, die nicht mehr gesetzlich versichert sind oder ihre Versicherung ergänzen möchten.
Möglich sind außerdem Renten der 2. und der 3. Säule.
2. Säule:
Ein vom Arbeitgeber freiwillig eingerichtetes Zusatzrentensystem für alle oder bestimmte Gruppen von Arbeitnehmern des Unternehmens, das das gesetzliche Sozialversicherungssystem ergänzt.
3. Säule:
Ein Vertrag zur Altersvorsorge, der es Einzelpersonen ermöglicht, freiwillig ein privates Sparguthaben für den Ruhestand zu bilden.
Die 2. und 3. Säule sind in den MISSOC-Tabellen nicht enthalten.
Es existiert kein gesondertes Sozialversicherungssystem für ältere Personen. Es gilt das allgemeine System der Mindestsicherung (vgl. Tabelle XI).</t>
  </si>
  <si>
    <t>Im Umlageverfahren beitragsfinanziertes obligatorisches Sozialversicherungssystem für alle Arbeitnehmer und Selbstständige/ Freischaffende mit entgeltbezogenen Renten der ersten Säule, die von Beiträgen und der Versicherungsdauer abhängen. Das System ist leistungsorientiert.
Das System umfasst keine Punktesysteme.
Es existieren Arbeitgeber-Rentensysteme. Sie gelten für bestimmte Kategorien von Arbeitnehmern wie z.B. Mitarbeiter des öffentlichen Dienstes (eingestellt vor 1979) und einerseits Angehörige der Polizei sowie Angehörige der Streitkräfte, der Abteilung für Katastrophenschutz sowie Gefängniswärter andererseits. Sie erfordern 30 vollendete Dienstjahre für die erste Gruppe und 25 Jahre für letztere.
Freiwillige private Alterssysteme vorhanden.
Nähere Informationen zu den betrieblichen Systemen und privaten Rentensystemen werden in Tabelle VI nicht dargestellt.
Das System bietet auch eine beitragsfreie bedarfsorientierte Altersrente (Pensjoni tal-Eta’) (Siehe Tabelle XI “ Garantiertes Mindesteinkommen”).</t>
  </si>
  <si>
    <t>Duales System:
   * Durch steuerliche ‚Beiträge‘ vom Erwerbseinkommen auf Umlagebasis und zusätzlich durch Steuern finanziertes Sozialversicherungssystem (erste Säule) für alle Einwohner. Das System bietet je nach Haushaltssituation unterschiedliche pauschale Leistungen;
   * Zusatzrentensysteme aufgrund von Tarifverträgen mit Versicherungspflicht für die Mehrzahl der Arbeitnehmer (zweite Säule). Diese Systeme werden in den MISSOC-Tabellen nicht dargestellt, da sie auf Unternehmens-, Sektor- oder beruflicher Ebene organisiert sind.
   * Die Klassifizierung auf der Grundlage der Leistungsdefinition gilt nicht für die staatliche pauschal tarifierte Rentenversicherung.
Individuelle Mitgliedschaft in freiwilligen Zusatzrentensystemen ist möglich (dritte Säule).
Die unten stehenden Informationen beziehen sich ausschließlich auf das gesetzliche Sozialversicherungssystem für das Alter (erste Säule).</t>
  </si>
  <si>
    <t>1. Säule:
Die Volksversicherung (folketrygden) ist ein universelles Pflichtsystem. Es ist ein Umlagesystem auf der Grundlage eines fiktiv beitragsorientierten Schemas. Finanzierung durch Steuern und Beiträge.
Das Rentensystem dieser Versicherung besteht aus folgenden Kernstücken (uneingeschränkt für vor dem Jahr 1954 geborenen Personen; alte Regelung):
   * Einkommensbasierte Zusatzrente (tilleggspensjon), beruhend auf den jährlichen Rentenpunkten (pensjonspoeng), die das Einkommensniveau widerspiegeln;
   * Grundrente (grunnpensjon), beruhend auf der Zeit des Wohnsitzes;
   * Mindestrente (minste pensjonsnivå) für diejenigen Personen, die keinen Anspruch auf eine Zusatzrente haben oder eine sehr geringe Zusatzrente beziehen. Wenn die Summe der Grundrente und der Zusatzrente geringer ist als die Mindestrente, wird der Differenzbetrag als Rentenzulage (pensjonstillegg) gezahlt.
Für Personen, die ab dem Jahr 1963 geboren sind (neue Regelung):
   * Einkommensbasierte Rente (inntektspensjon) basierend auf kumulierter Rentensparbeträge, die das Lebenseinkommen widerspiegelt;
   * Garantierte Rente (garantipensjon) basierend auf dem Aufenthaltszeitraum, für diejenigen Personen, die nur geringfügige oder keine Rentensparbeträge haben.
Personen, die zwischen den Jahren 1954 und 1962 geboren wurden, erhalten eine Rente, die proportional aus alten und neuen Regelungen berechnet wurde.
Im Rahmen der norwegischen Volksversicherung gibt es kein freiwilliges Altersrentensystem.
2. Säule:
Obligatorische berufsbezogene Rente (obligatorisk tjenestepensjon): Vom Arbeitgeber finanzierte Aufstockung der Rente der Volksversicherung.
3. Säule:
Freiwillige private Versicherung. Diese ist jedoch nicht in der Tabelle aufgeführt.</t>
  </si>
  <si>
    <t>Beitragsorientiertes (defined contributions) obligatorisches Sozialversicherungssystem für Arbeitnehmer:innen mit entgeltbezogenen Renten, die von Beiträgen und der Versicherungsdauer abhängen (1. Säule). Es wird aufgrund eines Umlageverfahrens finanziert. Es gibt kein Punktesystem.
Neben der gesetzlichen Pflichtversicherung für alle Erwerbstätigen bestehen auch die betriebliche (als freiwillige Sozialleistung des Arbeitgebers; 2. Säule) und die freiwillige private Altersvorsorge (3. Säule) (“Drei-Säulen-Prinzip”). Die unten angeführten Informationen beziehen sich nur auf das obligatorische Sozialversicherungssystem (1. Säule).
Kein spezifisches beitragsunabhängiges Mindesteinkommenssystem für ältere Menschen; die Ausgleichszulage (steuerfinanziert) im allgemeinen Rentensystem garantiert den Versicherten ein Mindesteinkommen, wenn sie die Voraussetzungen für eine Rente (insb. Mindestversicherungszeit und Alter) erfüllen.</t>
  </si>
  <si>
    <t>Beitragsfinanziertes gesetzliches Sozialversicherungssystem für alle Arbeitnehmer und Selbstständigen mit einkommensbezogenen Renten, die von Beiträgen und der Versicherungsdauer abhängen.
Gemischtes System bestehend aus einer ersten Säule die auf Basis des Umlageverfahrens finanziert wird und einer kapitalgedeckten zweiten Säule. Personen die vor 1949 geboren wurden unterliegen ausschließlich der ersten Säule und ihre Renten sind leistungsorientiert. Personen, die nach 1949 geboren wurden, unterliegen dem neuen Hybridsystem (beitragsorientiert und leistungsorientiert) und können wählen, ob sie in dem alten System verbleiben möchten oder dem neuen System beitreten möchten.
Es existiert ein freiwilliges Alterssystem oder auch eine 3. Säule als zusätzliche private Finanzierung zu Rentenzwecken. Diese sind IKE (Individuelle Rentenkonten), IKZE (Individuelle Altersvorsorgekonten), PPE (Rentenprogramme für Arbeitnehmer) sowie PPK (Kapitalpläne für Arbeitnehmer).
Nur die 1. und 2. Säule werden in Tabelle VI dargestellt.
Gesetzliches Sozialversicherungssystem für Landwirte und deren Familienangehörige.
Sondersystem für Angehörige der Polizei und der Streitkräfte, Staatsanwälte und Richter.
Die oben genannten Systeme enthalten keine Punktesysteme.
Es gibt kein spezifisches System der Unterstützung für ältere Menschen. Es gilt das allgemeine Mindestsicherungssystem (siehe Tabelle XI).</t>
  </si>
  <si>
    <t>1. Säule – Die obligatorische Alterssicherung ist ein Sozialversicherungssystem, beruhend auf dem Umlageprinzip, mit festgelegten Leistungen, die vom versicherungspflichtigen Entgelt und der Beitragsdauer abhängen. In dieser Tabelle wird nur das System beschrieben, das keine anderen obligatorischen Säulen enthält.
Leistungsempfänger, die sowohl in das allgemeine System als auch in die portugiesische Pensionskasse für Beamte während sich nicht überschneidender beitragspflichtiger Zeiten eingezahlt haben, können eine einheitliche Rente beantragen. Die Rente wird von dem letzten System gewährt, in das der Leistungsempfänger mindestens fünf Jahre lang entsprechend den Regeln dieses Systems (einschließlich der Berechnungsregeln) Beiträge eingezahlt hat.
Die aufeinanderfolgenden Beitragszeiten im allgemeinen System und im System der freiwilligen Sozialversicherung sind für die Gewährung einer einheitlichen Rente bestimmend.
Die genannten Systeme enthalten keine Punktesysteme.
Es gibt ein System der freiwilligen Sozialversicherung, das spezifische Personengruppen abdeckt.
Es gibt ein spezifisches beitragsunabhängiges System - Sozialrente - für ältere Menschen, das in Tabelle XI „Mindestsicherung“ enthalten ist.
2. Säule - Einige vollständig private Systeme, die auf Initiative eines Unternehmens und von Sozial- oder Berufsverbänden gemeinschaftlich eingerichtet werden können.
3. Säule - Öffentliche Zusatzversicherung, freiwillige Zusatzversicherung und freiwillige private Versicherung auf individuelle Initiative.</t>
  </si>
  <si>
    <t>Mehrsäulensystem:
   * Erste Säule: mit Beiträgen von Arbeitnehmern und Selbstständigen finanziertes obligatorisches, beitragsorientiertes Sozialversicherungssystem auf Umlagebasis mit entgeltbezogenen, von der Höhe der Beiträge und der Versicherungsdauer abhängigen Leistungen; Berechnungsmethode basiert auf Punktesystem.
   * Zweite Säule: mit Beiträgen von Arbeitnehmern (und gleichgestellten Gruppen), die nach dem 1. Juli 1971 geboren sind, vollständig finanziertes, obligatorisches, kapitalgedecktes Sozialversicherungssystem mit beitragsabhängigen Leistungen.
   * Dritte Säule: beitragsfinanziertes, freiwilliges, vollständig kapitalgedecktes Sozialversicherungssystem.
   * Vierte Säule: betriebliche Altersversorgung, finanziert von Arbeitgebern und/oder durch Arbeitnehmerbeiträge (freiwilliges System).
Die 3. Säule und 4. Säule werden in den MISSOC-Tabellen nicht dargestellt.
Sozialbeihilfe für Rentner (indemnizatie sociala pentru pensionari): beitragsunabhängige Mindestleistung, zahlbar an Personen im Ruhestand, wenn der Betrag der bezogenen Leistung unter der monatlichen Schwelle von RON 1.281 (€252) liegt.</t>
  </si>
  <si>
    <t>Das Altersrentensystem (allmän ålderspension) ist ein universelles Pflichtsystem, das aus verschiedenen Teilen besteht:
   * Die einkommensabhängige Altersrente umfasst die entgeltbezogene Altersrente (inkomstpension) und die Prämienrente (premiepension). Die entgeltbezogene Altersrente ist ein beitragsorientiertes System mit Nennbeträgen (NDC), und die Prämienrente ist ein vollständig kapitalgedecktes Rentensystem mit beitragsorientierten Beiträgen, die in individuelle Konten (DC) eingezahlt wird.
   * Personen, die vor 1954 geboren wurden, erhalten ihre volle Rente oder Teile davon in Form einer einkommensabhängigen Zusatzrente (tilläggspension), bei der es sich um ein  leistungsorientiertes System handelt, das durch Beiträge auf einer Umlagebasis finanziert wird (DB);
   * eine steuerfinanzierte Garantierente (garantipension), welche festgelegte Leistungen für alle Einwohner ohne oder nur mit einer niedrigen entgeltbezogenen Altersrente bereitstellt. Die Garantierente ist eine Mindestleistung.
   * die steuerfinanzierte Ergänzung zur Einkommensrente (inkomstpensionstillägg) ist eine Ergänzung zur Einkommensrente für Personen, die eine vollständige Erwerbsbiographie hatten, aber noch eine geringe Einkommensrente beziehen.
Es gibt berufliche und private Alterssysteme. Nähere Informationen dazu werden nicht in den MISSOC-Tabellen dargestellt.
Ältere Menschen können grundlegende Unterstützung in Form einer Einkommenshilfe für Ältere (äldreförsörjningsstöd) und einer Garantierente (garantipension) erhalten.
Kein spezifisches System für ältere Menschen. Es gilt das allgemeine System der Mindestsicherung (siehe Tabelle XI).</t>
  </si>
  <si>
    <t>1. Säule (Grundsystem):
Allgemeine Versicherung, welche den Existenzbedarf in angemessener Weise decken soll. Finanzierung durch Beiträge und Steuern nach dem Umlageverfahren. Für Erwerbstätige hängen die Beiträge von ihrem Einkommen ab, für Nichterwerbstätige von ihren sozialen Bedingungen.
Die 1. Säule basiert auf einem leistungsorientierten System.
2. Säule (obligatorische Mindestvorsorge):
Beitragsfinanzierte Pflichtversicherung für Arbeitnehmer ab einem bestimmten Lohn nach dem Kapitaldeckungsverfahren. Zusammen mit der 1. Säule soll sie die Fortsetzung der gewohnten Lebenshaltung in angemessener Weise ermöglichen.
Das BVG sieht Mindestleistungen vor. Die Vorsorgeeinrichtungen können in ihren internen Statuten eine weitergehende Vorsorge vorsehen. In den MISSOC-Tabellen wird nur die gesetzliche Mindestvorsorge behandelt.
Die 2. Säule basiert auf einem beitragsorientierten System mit einer staatlichen Garantie (Garantiefonds).
Säule 3a (gebundene Selbstvorsorge)
Freiwillige private Vorsorge für Erwerbstätige, die durch steuerliche Maßnahmen gefördert wird. Sie wird in den MISSOC-Tabellen nicht dargestellt.
Ergänzungsleistungen zur 1. Säule (EL)
Personen, die eine Alters-, Hinterbliebenen- oder Invalidenrente beziehen, haben Anspruch auf Ergänzungsleistungen, wenn ihre Mittel nicht ausreichen, um den Lebensbedarf zu decken. Siehe Tabelle XI „Mindestsicherung“.</t>
  </si>
  <si>
    <t xml:space="preserve">
   * Säule:
Umlageverfahren der Sozialversicherung basierend auf Beiträgen und dem Solidaritätsprinzip, wobei sich die Summe der Leistungen aus den Beschäftigungsaktivitäten des gesamten Arbeitslebens zusammensetzt. Das Rentensystem ist beitragsorientiert. Sondersystem für Polizisten, Soldaten und Zollbeamte.
2. Säule:
Kapitalgedecktes System basierend auf Beiträgen (durch den Arbeitgeber, Selbstständige, freiwillig rentenversicherte Personen und den Staat gezahlt) und der Wertsteigerung der kumulierten Mittel aus den getätigten Investitionen. Das Rentensystem ist beitragsorientiert.
3. Säule:
Zusätzlicher freiwilliger Sparplan für die Altersvorsorge, der aus Arbeitgeberbeiträgen und Beiträgen der Teilnehmer finanziert wird. Das Rentensystem ist beitragsorientiert.
Nähere Informationen zur 3. Säule sind in den MISSOC-Tabellen nicht dargestellt.
PEPP:
Freiwillige Ersparnisse für den Ruhestand auf individueller Basis.
Nähere Informationen zu PEPP (europaweites persönliches Rentenprodukt) sind nicht in den MISSOC-Tabellen enthalten.
Kein spezifisches System. Es gilt das allgemeine Mindestsicherungssystem (siehe Tabelle XI).</t>
  </si>
  <si>
    <t>Beitragsfinanziertes obligatorisches umlagefinanziertes Sozialversicherungssystem für alle Arbeitnehmer und Selbstständigen mit einkommensbezogenen Leistungen, die von Beiträgen und der Versicherungsdauer abhängen.
Das System basiert auf – festgelegten Leistungen.
Die Leistungen sind einkommensabhängig.
Das Rentensystem umfasst kein Punktesystem.
Es gibt freiwillige betriebliche Rentensysteme. Nähere Informationen dazu sind nicht in den MISSOC-Tabellen dargestellt.
Kein spezifisches System. Es gilt das allgemeine Mindestsicherungssystem (siehe Tabelle XI).</t>
  </si>
  <si>
    <t>Beitragsfinanziertes obligatorisches Sozialversicherungssystem für Arbeitnehmer und Gleichgestellte mit einer entgeltbezogenen Ruhestandsrente (pensión de jubilación). Altersversorgungssystem mit im Voraus festgelegten Leistungen, deren Höhe von Beiträgen und der Versicherungsdauer abhängt.
Sondersystem für Selbstständige (siehe den Abschnitt der MISSOC-Databank zum Sozialschutz von Selbstständigen).
Außerhalb des öffentlichen Sozialversicherungssystems existieren freiwillige Altersrentensysteme. Diese sind in den MISSOC-Tabellen nicht dargestellt.
Spezifische Sozialhilfe für ältere Personen wird von den Regionen bereitgestellt: für nähere Informationen siehe Beitragsunabhängige Altersrente (Pensión de invalidez no contributiva) in Tabelle XI “Mindestsicherung”.</t>
  </si>
  <si>
    <t>Das gesetzliche Alterssystem ist ein beitragsfinanziertes obligatorisches Sozialversicherungssystem für Arbeitnehmer und Selbstständige sowie Gleichgestellte auf Umlagebasis (1. Säule).
Das System basiert auf Leistungszusagen.
Das System bietet entgeltbezogene Renten, die von Beiträgen und der Versicherungsdauer abhängen. Es enthält kein Punktesystem.
Es existiert ein freiwilliges Zusatzrentensparsystem (3. Säule).
Unten stehende Informationen beziehen sich nur auf das gesetzliche Alterssystem (1. Säule).
Kein spezifisches System. Es gilt das Mindestsicherungssystem (siehe Tabelle XI).</t>
  </si>
  <si>
    <t>Erste Säule:
Durch Sozialversicherungsbeiträge finanziertes obligatorisches staatliches Rentensystem nach dem Umlageverfahren für Arbeitnehmer und Selbständige auf der Grundlage definierter Leistung mit einkommensbezogenen Renten (DB), die von der Dauer der Dienstzeit abhängen.
Zweite Säule:
Freiwilliges privates Altersrentensystem.
Die zweite Säule ist in den MISSOC-Tabellen nicht dargestellt.
Einkommenshilfe für Ältere (Időskorúak járadéka) ist eine beitragsunabhängige Mindestleistung für ältere Menschen (siehe Tabelle XI zu “Mindestsicherung” für nähere Informationen).</t>
  </si>
  <si>
    <t>Beitragsfinanziertes obligatorisches Sozialversicherungssystem (umlagefinanziert) für Arbeitnehmer und Selbstständige mit festgelegten Leistungen (einkommensbezogenen Renten und anderen Leistungen) , die von Beiträgen und der Versicherungsdauer abhängen.
Es gibt kein freiwilliges Altersrentensystem.</t>
  </si>
  <si>
    <t xml:space="preserve">   Anwendungsbereich</t>
  </si>
  <si>
    <t>Gesetzliches Rentensystem (1. Säule):
Pflichtversicherung für alle Erwerbstätigen (Arbeitnehmer und Selbstständige). Zu besonderen Regeln für Selbstständige: Siehe Anhang zur Sozialversicherung für Selbstständige.
Keine freiwillige Versicherung möglich.</t>
  </si>
  <si>
    <t>Siehe Tabelle V "Invalidität".</t>
  </si>
  <si>
    <t>1. Säule:
Altersrente (Folkepension):
Alle Einwohner (abhängig von der Dauer ihres Wohnsitzes).
Frührente (Tidlig Pension):
Alle Einwohner mit langfristiger Beteiligung am Arbeitsmarkt.
Zusatzrente (arbejdsmarkedets tillægspension, ATP):
Pflichtversicherung für:
   * alle Arbeitnehmer ab dem Alter von 16 Jahren mit einer Wochenarbeitszeit von mindestens 9 Stunden sowie Personen, die Tagegeld wegen Krankheit, Geburt bzw. Adoption oder Arbeitslosigkeit beziehen oder an einer Beschäftigungsförderungs-, Ausbildungs- oder Fortbildungsmaßnahme teilnehmen oder sich in einer Trainingsmaßnahme nach dem Gesetz für eine aktive Arbeitsmarktpolitik befinden. Pflichtmitgliedschaft besteht auch für Bezieher einer ab dem 1. Januar 2003 bewilligten Invalidenrente (førtidspension);
   * Personen, die Sozialhilfe oder ein sonstiges Transfereinkommen beziehen.
Freiwillige Mitgliedschaft möglich für:
   * Personen im vorzeitigen Ruhestand sowie Bezieher einer vor dem 1. Januar 2003 bewilligten Invaliditätsrente;
   * Arbeitnehmer, die eine selbstständige Tätigkeit aufnehmen, können nach vorausgegangener dreijähriger Mitgliedschaft freiwillig im Versicherungssystem bleiben.
Obligatorisches Rentensystem (Obligatorisk Pensionsordning): Empfänger von bestimmten Sozialleistungen wie Arbeitslosengeld, Krankengeld, Invalidenrente, Seniorenrente, Bildungsförderung (uddannelseshjælp), Sozialhilfe (kontanthjælp) etc.</t>
  </si>
  <si>
    <t>Pflichtversicherung für Arbeitnehmer und für einzelne Gruppen von Selbstständigen sowie einige weitere Personengruppen (z. B. Kindererziehende, nicht erwerbsmäßig tätige Pflegepersonen).
Freiwillige Versicherung ab vollendetem 16. Lebensjahr für alle in Deutschland wohnenden Personen und alle Deutschen im Ausland möglich.</t>
  </si>
  <si>
    <t>1. Säule:
Alle Einwohner.
2. Säule:
Obligatorisch für alle nach dem 1. Januar 1983 geborenen Personen, keine freiwillige Mitgliedschaft für früher Geborene möglich.</t>
  </si>
  <si>
    <t>Gesetzliche einkommensbezogene Rente (Työeläke):
Alle versicherten Arbeitnehmer ab 17 Jahren und Selbstständigen ab dem Alter von 18 Jahren.
Volksrente (Kansaneläke) und garantierte Rente (Takuueläke):
Versicherungspflicht für alle Einwohner im Alter von 16 bis 65 Jahren.</t>
  </si>
  <si>
    <t>1. Säule (Basissystem) und 2. Säule (Zusatzrentensysteme (Agirc-Arrco)):
Arbeitnehmer des privaten Sektors.
In bestimmten Fällen freiwillige Versicherung (ehemalige Pflichtversicherte, Eltern zu Hause, Personen, die ehrenamtlich die Funktion als Dritte für ein Familienmitglied übernehmen).</t>
  </si>
  <si>
    <t>1. Säule (Hauptrente der e-EFKA):
Pflichtversicherung für alle Beschäftigten (Arbeitnehmer und Selbstständige).
Nach Beendigung einer Beschäftigung ist unter bestimmten Bedingungen eine freiwillige Fortsetzung der Versicherung möglich (προαιρετική συνέχιση της ασφάλισης).</t>
  </si>
  <si>
    <t>Alle Menschen in Beschäftigung (Arbeitnehmer und Selbstständige) zwischen 16 und 66 Jahren.
Zusätzlich besteht für Personen, die nicht mehr durch die obligatorische Sozialversicherung abgedeckt sind, die Möglichkeit, freiwillig Beiträge zu leisten, um Anspruch auf Sozialversicherungszahlungen (wie z. B. die (beitragsabhängige) Staatliche Rente (State Pension (Contributory)) zu erwerben, sofern bestimmte Anspruchskriterien erfüllt sind.</t>
  </si>
  <si>
    <t>Volksrente (lífeyrir almannatrygginga):
Alle Einwohner.
Arbeitsrente (lögbundnir lífeyrissjóðir):
Alle wirtschaftlich aktiven Personen, Arbeitnehmer, Arbeitgeber und Selbstständige im Alter von 16 bis 70 Jahren.
Mitgliedschaft in einem freiwilligen persönlichen Rentenfondssystem ist möglich.</t>
  </si>
  <si>
    <t>Zusätzlich zu den Arbeitnehmern in der Privatwirtschaft werden auch reguläre Selbstständige (d.h. Landwirte, Teilpächter, Handwerker und Kaufleute) Beamte, Freiberufler und atypische Beschäftigte erfasst. Selbstständige, die unter dem gesonderten Rentensystem (Gestione Separata) gemeldet sind, haben ebenfalls Pflichtabdeckung (siehe die MISSOC-Informationen über den Sozialschutz von Selbstständigen).
Mitgliedschaft auf freiwilliger Basis ist nur möglich als eine Fortsetzung früherer Beitragszeiten unter der Bedingung, dass während des gesamten Erwerbslebens 5 gültige Beitragsjahre geleistet wurden oder, alternativ, 3 Beitragsjahre während der 5 Jahre vor Anmeldung der Forderung geleistet wurden.</t>
  </si>
  <si>
    <t xml:space="preserve">1. Säule:
   * Arbeitnehmer,
   * Selbstständige.
2. Säule:
   * Mitglieder der 1. Säule unter 40 Jahren: Pflichtmitgliedschaft;
   * Von Januar 2002 bis Juni 2002 konnten Mitglieder der 1. Säule, die damals zwischen 40 und 50 Jahre alt waren, die obligatorische Versicherung des Systems der 2. Säule wählen;
   * Versicherte Personen, die seit dem 1. Januar 1962 geboren sind und die in Rentensäulen 1 und 2 pflichtversichert sind sowie Personen, die freiwillig der 2. Säule beigetreten sind, sind berechtigt, sich ihr Rentensystem auzusuchen (Säule 1 oder 2).
</t>
  </si>
  <si>
    <t>1. Säule:
Alle Arbeitnehmer und Selbstständige.
Freiwillige Versicherung möglich.
2. Säule:
Obligatorisch für alle Personen, die nach dem 1. Juli 1971 geboren wurden. Versicherte, die zwischen dem 2. Juli 1951 und dem 1. Juli 1971 geboren wurden, können dem Rentensystem der 2. Säule freiwillig beitreten.</t>
  </si>
  <si>
    <t>1. Säule:
Arbeitnehmer und Selbstständige sowie alle nichterwerbstätigen Einwohner.
2. Säule:
Unselbständige Erwerbstätige, die mit dem 1. Januar nach Vollendung des 19. Altersjahres, in der 1. Säule beitragspflichtig sind und mehr als  CHF 14.700 (€15.707) Bruttojahreseinkommen aufweisen. Das Arbeitsverhältnis muss unbefristet oder auf mehr als drei Monate befristet sein.
Freiwillige Versicherung für nicht beitragspflichtige Arbeitnehmer und für selbstständig Erwerbstätige möglich.</t>
  </si>
  <si>
    <t>1. und 2. Säule – Alle Arbeitnehmer und Selbstständigen gehören zur Gruppe der durch die Alterssysteme Pflichtversicherten.
Freiwillige Abdeckung ist nicht möglich.</t>
  </si>
  <si>
    <t>1. Säule:
Pflichtversicherung für die Arbeitnehmer und die Selbstständigen (Wohngebietsansässige und nicht Wohngebietsansässige).
Die Empfänger des Ersatzeinkommens, von dem ein Rentenbeitrag einbehalten wird (Arbeitslosigkeit, Krankheit, Mutterschaft, Unfallrente, Elternurlaub), sind ebenfalls abgedeckt.
Möglichkeit der freiwilligen Versicherung für Personen, die nicht mehr gesetzlich versichert sind oder ihre Versicherung ergänzen möchten. Môglichkeit des rückwirkenden Erwerbs von Anrechnungszeiten.</t>
  </si>
  <si>
    <t>Arbeitnehmer und Selbstständige/Freischaffende.
Freiwillige Versicherung möglich für alleinstehende nicht erwerbstätige Personen.</t>
  </si>
  <si>
    <t>Alle Einwohner unter der Regelaltersgrenze. Personen unter der Regelaltersgrenze, die in den Niederlanden arbeiten und der Lohnsteuer unterliegen, sind ebenfalls versichert.</t>
  </si>
  <si>
    <t>Einkommensbasierte Rente (inntektspensjon) und Zusatzrente (tilleggspensjon):
Arbeitnehmer, Freiberufler, Selbstständige.
Garantierte Rente (garantipensjon) und Grundrente (grunnpensjon):
Alle Einwohner ab 16 Jahren.
Obligatorische berufsbezogene Rente (obligatorisk tjenestepensjon):
Mit wenigen Ausnahmen alle Arbeitnehmer, die nicht bereits durch ein Mindestanforderungen erfüllendes Zusatzsystem für eine Beschäftigung im privaten oder öffentlichen Sektor geschützt sind.
Selbstständige sind nicht durch obligatorische berufsbezogene Renten abgedeckt. Ein System berufsbezogener Renten auf freiwilliger Basis kann etabliert werden.</t>
  </si>
  <si>
    <t>Pflichtversichert:
   * Alle gegen Entgelt beschäftigten Arbeitnehmer:innen, Lehrlinge.
   * Selbständige und in den Betrieben Selbstständiger ohne Entgelt mitarbeitende Kinder.
   * Freie Dienstnehmer:in: Personen, die zwar keinen Arbeitsvertrag haben, im Wesentlichen aber wie ein:e Arbeitnehmer:in tätig werden (z.B. keine eigene betriebliche Struktur, persönliche Leistungserbringung).
Freiwillige Versicherung möglich für nicht pflichtversicherte Personen, die älter als 15 Jahre sind und im Inland ihren Wohnort haben.
Weiters begünstigte Selbstversicherung bzw. Weiterversicherung für pflegende Angehörige möglich, die einen nahen Angehörigen ab Pflegegeldstufe 3 oder ein behindertes Kind betreuen.</t>
  </si>
  <si>
    <t>Arbeitnehmer, Selbstständige, Landwirte und gleichgestellte Gruppen (z.B. Geistliche, Studierende mit Promotionsstipendien).
Wahlmöglichkeit einer freiwilligen Versicherung für nicht Pflichtversicherte.</t>
  </si>
  <si>
    <t>Pflichtversicherung für all diejenigen, die einer Erwerbstätigkeit nachgehen (Arbeitnehmer und Selbstständige und gleichgestellte Gruppen).
Freiwillige Versicherung für bestimmte Gruppen, z. B.
   * Staatsbürger (einschließlich Bürger der Europäischen Union) und ausländische Bürger oder Staatenlose, die seit mehr als einem Jahr in Portugal leben
   * Staatsbürger, die im Ausland eine Erwerbstätigkeit ausüben und nicht durch die internationalen Instrumente der sozialen Sicherheit, denen Portugal angehört, erfasst werden
   * Seeleute, die als Fischer auf Fischereifahrzeugen ausländischer oder binationaler Unternehmen tätig sind;
   * Soziale Freiwillige, die unbezahlte Tätigkeiten für private Einrichtungen der sozialen Verbundenheit ausüben
   * Forschungsstipendiaten, die die im Statut des Forschers festgelegten Voraussetzungen erfüllen und nicht durch ein Pflichtversicherungssystem abgedeckt sind.
   * Leistungssportler.
Hauptverantwortliche informelle Pflegepersonen (Personen, die andere dauerhaft pflegen und keine Vergütung für ihre berufliche Tätigkeit erhalten – siehe Tabelle XII – Langzeitpflege. 5. Leistungserbringer; Identifizierung informeller Pflegepersonen)</t>
  </si>
  <si>
    <t>Erste Säule:
Gesetzlicher Versicherungsschutz auf Grundlage des Personalstatuts von Bürgern mit Wohnsitz oder Aufenthalt in Rumänien (oder ohne Wohnsitz oder Aufenthalt in Rumänien entsprechend den gesetzlich bindenden internationalen Regelungen).
Pflichtsystem:
   * Personen, die Tätigkeiten auf der Grundlage eines individuellen Beschäftigungsvertrags ausführen;
   * Beamte;
   * Sonstige Kategorien, für die Sozialversicherungsbeiträge gemäß dem Steuergesetz anfallen;
   * Personen, die monatliche Zahlungen aus dem Etat der Arbeitslosenversicherung erhalten;
   * Selbstständige, falls ihr monatliches durchschnittliches Nettoeinkommen dem Mindestbruttolohn entspricht oder ihn überschreitet, d. h. RON 4.050 (€797), überschreitet;
   * Anbieter haushaltsnaher Dienstleistungen (d.h. natürliche Person, die in einem oder mehreren Haushalten Haushaltstätigkeiten erledigen kann gegen Vergütung, die ausschließlich in Form von Gutscheinen für Haushaltsaktivitäten gewährt werden darf).
Freiwilliges System:
   * Mitglieder des Systems, die nicht im allgemeinen Rentensystem integriert sind (Rechtsanwälte, Mitarbeiter in religiösen Gruppen);
   * Personen, die sich versichern wollen oder ihr versichertes Einkommen erhöhen wollen.
Zweite Säule:
Obligatorisch für Arbeitnehmer und Selbstständige, die in der ersten Säule versichert und nach dem 1. Juli 1971 geboren sind. Freiwillige Mitgliedschaft möglich für Personen, die zwischen dem 1. Juli 1961 und dem 1. Juli 1971 geboren sind.</t>
  </si>
  <si>
    <t>Alle Personen, die in Schweden gewohnt oder gearbeitet haben (abhängige oder selbstständige Tätigkeit), sind über das öffentliche Rentensystem abgedeckt.
Die entgeltbezogene Zusatzrente (tilläggspension) nur an vor 1954 Geborene gewährt wird.</t>
  </si>
  <si>
    <t>1. Säule (Grundsystem):
   * Jede Person, die in der Schweiz Wohnsitz hat oder hier eine Erwerbstätigkeit ausübt.
   * Unter bestimmten Bedingungen, freiwillige Versicherung für Schweizer Bürger und Staatsangehörige der Mitgliedstaaten der EU oder der EFTA, die ausserhalb der Schweiz, der EU oder der EFTA leben.
2. Säule (obligatorische Mindestvorsorge):
   * Arbeitnehmer über 24 Jahren, die in der 1. Säule versichert sind und vom gleichen Arbeitgeber einen Lohn von mehr als CHF22.680 (€24.233) erhalten.
   * Freiwillige Versicherung für gewisse nicht obligatorisch unterstellte Arbeitnehmer sowie Selbstständigerwerbende.</t>
  </si>
  <si>
    <t>1. Säule:
Pflichtmitgliedschaft für
   * Personen in einem Beschäftigungsverhältnis oder einem ähnlichen Verhältnis (zum Beispiel ein Arbeitsvertrag);
   * Selbstständige, deren Einkommen €8.580 im Jahr 2024 übersteigt (50% des nationalen Durchschnittslohns im Jahr 2023).
Die folgenden Personengruppen sind ebenfalls versichert:
   * Personen, die ein Kind unter 6 Jahren betreuen (oder 18 Jahren, wenn eine Behinderung vorliegt);
   * Bezieher eines Barzuschusses für Pflegeaufgaben;
   * Personen, die mindestens 140 Stunden persönliche Unterstützung pro Monat erhalten;
   * Soldaten in freiwilligem Militärdienst;
   * Bezieher einer Unfallrente zum Zweck der Alterssicherung;
   * gefährdete oder geschützte Zeugen;
   * ehemalige Bergarbeiter, die Ausgleichszahlung für Bergleute erhalten.
Freiwillige Versicherung für Personen über 16 Jahre mit ständigem oder zeitweiligem Wohnsitz.
2. Säule:
Automatische Teilnahme am Altersvorsorgesparen für Personen unter 40 Jahren (die ab 1. Mai 2023 Versicherungsbeiträge zahlen werden). Sparer haben die Möglichkeit, innerhalb von zwei Jahren ab dem ersten Eintritt aus der zweiten Säule auszutreten und das Recht, erneut beizutreten (allerdings nur einmal).</t>
  </si>
  <si>
    <t xml:space="preserve">
   * Arbeitnehmer, Selbstständige, Landwirte, Aktionäre, leitende Angestellte und Personen, die eine Beschäftigung auf anderer rechtlicher Grundlage ausüben (z.B. Vetragsvereinbarungen von Freiberuflern);
   * Empfänger von Arbeitslosengeld (denarno nadomestilo za primer brezposelnosti) und Personen, deren Beiträge für Renten- und Invaliditätsversicherung vom Beschäftigungsservice übernommen werden bis sie die Anspruchsbedingungen für eine Altersrente erfüllen;
   * Personen mit Anspruch auf Lohnersatzleistungen aufgrund zeitlich begrenzter Erwerbsunfähigkeit nach Beendigung des Arbeitsverhältnisses, wenn sie nicht durch die Pflichtversicherung aus anderen Gründen abgedeckt sind;
   * Personen, die professionelle Pflegschaftsdienste ausführen;
   * Personen, die ein religiöses Amt als religiöser Arbeitnehmer ausführen;
   * Personen mit Anspruch auf Lohnersatzleistungen während beruflicher Rehabilitation;
   * ein Elternteil, der Anspruch auf Elterngeld (starševski dodatek) hat, wenn diese Person nicht durch die Pflichtversicherung aus anderen Gründen abgedeckt ist;
   * Anspruch auf Teilzahlungen bei Einkommensersatzleistung (delno plačilo za izgubljeni dohodek); Anspruch auf Elternschaftsgeld, aber keinen Anspruch auf Elternurlaub hat sowie nicht durch die Pflichtversicherung aus anderen Gründen abgedeckt ist; Anspruch auf Zahlungen des proportionalen Beitragsanteils und Anrecht auf Teilzeitarbeit zur Pflege und Schutz von Kindern zur Deckung des Unterschiedes zur Vollzeitarbeit;
   * Familienhelfer mit Anspruch auf Teilzahlungen bei Einkommensersatzleistung (delno plačilo za izgubljeni dohodek) (siehe Tabelle XII „Pflegebedürftigkeit");
   * Soldaten, die freiwillig Wehrdienst leisten, und Bürger während freiwilligen Rettungskursen.
Für Personen im Alter von über 15 Jahren mit einem dauerhaften Wohnsitz in Slowenien, die die Bedingungen zur Deckung durch die Pflichtversicherung nicht erfüllen, ist eine freiwillige Versicherung möglich.</t>
  </si>
  <si>
    <t>Pflichtversicherung für Arbeitnehmer und Gleichgestellte (z.B. Empfänger von beitragsabhängigem Arbeitslosengeld, Arbeitnehmer während des Zeitraums des unbezahlten jährlichen Urlaubs, der nicht vor dem Vertragsende genommen wurde, Nehmer einer freiwilligen Versicherung (Convenio especial)).
Sondersystem für Selbstständige (siehe den Abschnitt der MISSOC-Databank zum Sozialschutz von Selbstständigen).
Freiwillige Versicherung möglich (Convenio especial) für Arbeitnehmer und Gleichgestellte, die aus dem System ausscheiden, in dem sie registriert waren, oder für Personen, die bestimmte Bedingungen erfüllen.</t>
  </si>
  <si>
    <t>Pflichtversicherung für Arbeitnehmer und Selbstständige. Für nähere Informationen zu Selbstständigen, siehe die gesonderten Informationen zum Sozialschutz von Selbstständigen.
Freiwillige Versicherung für Arbeitslose; Studenten; im Ausland beschäftigte Personen; Freiwillige; Mitglieder des EU-Parlaments; Ausländer, die in Tschechien für ausländische Arbeitgeber arbeiten; Ehepartner von Diplomaten und andere Staatsbedienstete, die im Ausland leben sowie Selbstständige, deren Versicherungsschuld verfallen ist.
Andere Personen über 18 Jahren mit mindestens einjähriger Beitragszeit können sich ebenfalls freiwillig versichern, jedoch für maximal 15 Jahre.</t>
  </si>
  <si>
    <t>Erste Säule:
Versicherte (Arbeitnehmer, Selbstständige, Empfänger von verschiedenen Leistungen der sozialen Sicherheit, von denen der Rentenbeitrag gezahlt wird).
Personen, die nicht durch das obligatorische Sozialversicherungssystem abgedeckt sind, können eine „Vereinbarung über den Erwerb rentenfähigen Einkommens und Versicherungszeiten“ abschließen.</t>
  </si>
  <si>
    <t>Pflichtversicherung für alle Erwerbstätigen (Arbeitnehmer und Selbstständige).
Freiwillige Versicherung möglich nach früherer Beschäftigung und für Personen, die für zypriotische Arbeitgeber im Ausland tätig sind.</t>
  </si>
  <si>
    <t>Keine Ausnahmen.</t>
  </si>
  <si>
    <t>1. Säule:
Zusatzrente (arbejdsmarkedets tillægspension, ATP):
Arbeitnehmer mit einer wöchentlichen Arbeitszeit von weniger als 9 Stunden sind von der Versicherungspflicht befreit.</t>
  </si>
  <si>
    <t>Befreiungsmöglichkeit für Arbeitnehmer mit einer ausschließlich geringfügig entlohnten Beschäftigung (bis zu €556 brutto, monatlich) und Versicherungsfreiheit bei einer kurzfristigen Beschäftigung (bis zu 3 Monaten oder 70 Arbeitstagen im Kalenderjahr), es sei denn, dass die Beschäftigung berufsmäßig ausgeübt wird und ihr Entgelt €556 brutto im Monat übersteigt. Darüber hinaus gibt es weitere Befreiungsmöglichkeiten, etwa für versicherungspflichtige Mitglieder berufsständischer Versorgungswerke (z. B. Ärzte, Anwälte) oder für selbständige Handwerker nach 18 Jahren Pflichtbeitragszahlung.</t>
  </si>
  <si>
    <t>Gesetzliche einkommensbezogene Rente (Työeläke):
Arbeitnehmer:
Befreiung von der Versicherungspflicht bei monatlichen Bruttoeinkommen unter €70,08 (TyEL).
Selbstständige, Landwirte:
Befreiung von der Versicherungspflicht während der ersten vier Monate der Selbstständigkeit, sofern das versicherungspflichtige Bruttoeinkommen pro Jahr weniger als €9.208,43 (Selbstständige) bzw. weniger als €4.605 (Landwirte und Stipendiaten) beträgt.</t>
  </si>
  <si>
    <t>1. Säule (Basissystem) und 2. Säule (Zusatzrentensysteme (Agirc-Arrco)):
Keine Ausnahmen.</t>
  </si>
  <si>
    <t>1. Säule (Hauptrente der e-EFKA):
Keine Ausnahmen.</t>
  </si>
  <si>
    <t xml:space="preserve">
   * Personen mit einem Wochenbruttoverdienst von weniger als €38 und Selbstständige mit einem Jahreseinkommen unter €5.000;
   * Beamte und Beschäftigte des öffentlichen Dienstes, die vor April 1995 eingestellt wurden.</t>
  </si>
  <si>
    <t>Volksrente (lífeyrir almannatrygginga) und Arbeitsrente (lögbundnir lífeyrissjóðir):
Keine Ausnahmen.</t>
  </si>
  <si>
    <t>Personen mit einem Bruttoeinkommen unter €5.000 pro Jahr sind von Sozialversicherungsabgaben ausgenommen.</t>
  </si>
  <si>
    <t>Ausnahmen von der zweiten Säule für Personen, die Anspruch auf eine Rente unter vorteilhafteren Bedingungen haben (Militär- und Polizeipersonal sowie Justizbeamte im aktiven Dienst).</t>
  </si>
  <si>
    <t>1. Säule/2.Säule:
Keine Ausnahmen.</t>
  </si>
  <si>
    <t xml:space="preserve">1. Säule:
   * bei unzumutbarer Doppelbelastung durch gleichzeitige ausländische Versicherung,
   * bei kurzer Versicherungszugehörigkeit.
2. Säule:
   * Arbeitnehmer, die bereits für eine hauptberufliche Erwerbstätigkeit obligatorisch versichert sind oder im Hauptberuf eine selbständige Erwerbstätigkeit ausüben;
   * Arbeitnehmer, die nicht dauernd in Liechtenstein tätig sind und für die im Ausland ein genügender Versicherungsschutz besteht;
   * Arbeitnehmer, deren Arbeitgeber nach dem AHVG nicht beitragspflichtig ist;
   * Arbeitnehmer von juristischen Personen, die daran maβgebend beteiligt sind und Arbeitgeberfunktionen ausüben;
   * Arbeitnehmer, die zumindest zwei Drittel invalid sind;
   * die Familienmitglieder des Arbeitgebers, die in dessen Betrieb mitarbeiten und keinen Barlohn beziehen oder deren Barlohn nicht den Jahresbetrag der minimalen jährlichen Altersrente der Alters- und Hinterlassenenversicherung erreicht.
</t>
  </si>
  <si>
    <t>1. Säule:
Personen, die ihre berufliche Tätigkeit über einen vorab festgelegten Zeitraum von höchstens drei Monaten pro Kalenderjahr nur gelegentlich und nicht gewohnheitsmäßig ausüben, sind von der Versicherungspflicht befreit.
Auf Antrag der betreffenden Person ist eine nebenberufliche Tätigkeit im kulturellen oder sportlichen Bereich für eine nicht gewinnorientierte Vereinigung versicherungsfrei, wenn das erzielte Erwerbseinkommen zwei Drittel des sozialen Mindestlohns pro Jahr nicht übersteigt
Eine selbstständige Erwerbstätigkeit ist von der Versicherungspflicht befreit, wenn das Einkommen aus der Berufstätigkeit höchstens einem Drittel des sozialen Mindestlohns (salaire social minimum) pro Jahr entspricht.</t>
  </si>
  <si>
    <t>Unter folgenden Umständen sind Personen von der Pflichtversicherung ausgenommen:
   * Personen mit einer Gelegenheitsbeschäftigung, die nicht dazu bestimmt ist, Teil eines Handels oder Geschäfts zu sein;
   * Personen mit Wohnsitz in Malta, deren Arbeitgeber seinen Unternehmenssitz im Ausland hat;
   * Personen mit einer Beschäftigung von weniger als 8 Stunden wöchentlich;
   * Personen, die Beschäftigung und Wohnsitz in Malta haben, Beiträge jedoch in ihrem Herkunftsland zahlen;
   * Geschäftsführer von Familienunternehmen;
   * Mehrheitseigentümer in Partnerschaftsgesellschaften;
   * Arbeitnehmer, die seit einem Zeitpunkt vor dem 5. Januar 2008 eine Rente im Rahmen des maltesischen Systems beziehen;
   * Hinterbliebene Ehepartner oder Partner, die eine Witwen-/Witwerrente im Rahmen des maltesischen Systems beziehen, sofern ihr Bruttoerwerbseinkommen den nationalen Mindestlohn nicht überschreitet;
   * Personen, die als gelegentliche Sozialassistenten im Rahmen des Programms „Aktives Altern und gemeinschaftliche Pflege” beschäftigt sind.</t>
  </si>
  <si>
    <t>Keine Versicherungspflicht bzw. -deckung, wenn das Bruttoentgelt unter der Geringfügigkeitsgrenze von monatlich €551,10 (2025) liegt. Das Entgelt aus mehreren Tätigkeiten wird zusammengerechnet; freiwilliger Beitritt bei Versicherungsfreiheit möglich.</t>
  </si>
  <si>
    <t xml:space="preserve">Erste Säule:
   * Arbeitnehmer und Selbstständige, die anderen Sozialversicherungssystemen angehören (z. B. Soldaten, Rechtanwälte, Personal religiöser Gemeinschaften).
   * Selbstständige im Ruhestand.
   * Selbstständige, falls ihr monatliches durchschnittliches Nettoeinkommen (abzüglich Sozialversicherungsbeiträge) unter dem Mindestbruttolohn liegt, d. h. RON 4.050 (€797).
Zweite Säule:
   * Personen, die vom Versicherungsschutz der ersten Säule ausgenommen sind.
   * Arbeitnehmer im Bausektor, der Landwirtschaft und Lebensmittelindustrie.
</t>
  </si>
  <si>
    <t>Jährlicher Gesamtverdienst unter 0,423 des Grundbetrages (prisbasbelopp), d. h. SEK 24.872 (€2.261) im Jahr 2025 und Einkünfte über dem 7,5-fachen des Einkommensgrundbetrags (inkomstbasbelopp), d h. SEK 604.500 (€54.955) im Jahr 2025 sind von Beiträgen zum entgeltbezogenen Altersrentensystem ausgenommen.</t>
  </si>
  <si>
    <t>1. Säule (Grundsystem):
Insbesondere:
   * Bei Doppelbelastung (gleichzeitige ausländische Versicherung).
   * Selbstständigerwerbende und Arbeitnehmer nicht beitragspflichtiger Arbeitgeber, welche die Voraussetzungen der obligatorischen Versicherung nur für eine verhältnismäßig kurze Zeit erfüllen.
2. Säule (obligatorische Mindestvorsorge):
Insbesondere:
   * Arbeitnehmer, deren Arbeitgeber der Beitragspflicht in der 1. Säule nicht unterliegt.
   * Arbeitnehmer mit einem befristeten Arbeitsvertrag von höchstens 3 Monaten.
   * Personen, die zu mindestens 70% invalid sind.
   * Gewisse Familienmitglieder des Leiters eines Landwirtschaftsbetriebes, die in diesem Betrieb arbeiten.
   * Bei Doppelbelastung (gleichzeitige ausländische Versicherung).</t>
  </si>
  <si>
    <t>Keine Pflichtversicherung für Selbstständige, deren jährliches Einkommen unter €8.580 im Jahr 2024 (50% des nationalen Durchschnittslohns des Jahres 2023).</t>
  </si>
  <si>
    <t>Befreiung von der Pflichtversicherung für Landwirte, wenn ihr Einkommen aus landwirtschaftlicher Tätigkeit 60% des nationalen Durchschnittslohns nicht übersteigt (€2.464,35 (brutto) im Januar 2025).</t>
  </si>
  <si>
    <t>Keine Befreiung.</t>
  </si>
  <si>
    <t>Grundsätzlich keine Ausnahmen.
Bestimmte Arten von Ergänzungsvereinbarungen zu Arbeitsverträgen sind von der obligatorischen Sozialversicherungsdeckung ausgenommen:
   * Beschäftigung mit Bruttoeinkünften unterhalb CZK 4.500 (€182) monatlich.
   * “Übereinkünfte über das Beenden eines Auftrags” (Dohoda o provedení práce), d.h. Arbeitsverträge für die Beendigung eines bestimmten Auftrags mit höchstens 300 Arbeitsstunden in einem Kalenderjahr sind von der obligatorischen Sozialversicherungsdeckung ausgenommen, wenn die monatlichen Bruttoeinkünfte geringer sind als CZK 11.500 (€465).</t>
  </si>
  <si>
    <t>Erste Säule:
Keine Ausnahmen.</t>
  </si>
  <si>
    <t xml:space="preserve">
   *              Arbeitnehmer im elterlichen Betrieb in der Landwirtschaft. 
   *              beim Ehepartner angestellter Arbeitnehmer. 
   *              Selbstständige im Landwirtschaftssektor im Alter unter 16 Jahren. </t>
  </si>
  <si>
    <t xml:space="preserve">   Anspruchsvoraussetzungen</t>
  </si>
  <si>
    <t>Das gesetzliche Rentenalter für Männer und Frauen ist wie folgt festgelegt:
   * 65 Jahrefür Personen, die vor dem 1. Januar 1960 geboren sind 
   * 66 Jahre für Personen, die nach dem 31. Dezember 1959 und vor dem 1. Januar 1964 geboren sind 
   * 67 Jahre für Personen, die nach dem 31. Dezember 1964 geboren sind. 
Das gesetzliche Rentenalter ist nicht an eine bestimmte Anzahl von Beitragsjahren gebunden und richtet sich nicht nach der Entwicklung der Lebenserwartung.</t>
  </si>
  <si>
    <t>Erste Säule:
   * Männer: Alter von 64 Jahren und 8 Monaten und Versicherungszeitraum von 39 Jahren und 8 Monaten;
   * Frauen: Alter von 62 Jahren und 4 Monaten und Versicherungszeitraum von 36 Jahren und 8 Monaten.
Das Rentenalter wird wie folgt angehoben:
   * bei Frauen um 2 Monate pro Kalenderjahr bis zum 31.12.2029 und um 3 Monate ab dem 01.01.2030 bis zum 65. Lebensjahr;
   * bei Männern um 2 Monate pro Kalenderjahr bis zum 31.12.2017 und um 1 Monat ab 01.01.2018 bis zum 65. Lebensjahr.
Nach dem 31.12.2037 wird das Rentenalter an die Lebenserwartung gebunden.
Der benötigte Versicherungszeitraum wird um 2 Monate pro Kalenderjahr erhöht, bis er bei Frauen 37 Jahre und bei Männern 40 Jahre erreicht.
Zweite Säule:
Siehe oben Erste Säule "2. Vorzeitiger Rentenbezug“.</t>
  </si>
  <si>
    <t>1. Säule:
Altersrente (Folkepension):
Das Ruhestandsalter wird stufenweise bis 2035 auf 69 Jahre angehoben. Seit 1. Januar 2025 beträgt das Ruhestandsalter 67 Jahre.
Das Ruhestandsalter ist an die Entwicklung der Lebenserwartung im Alter von 60 Jahren gekoppelt. Es wird alle 5 Jahre angepasst.
Frührente (Tidlig pension): Frühestens 3 Jahre vor dem Ruhestandsalter.
Zusatzrente (arbejdsmarkedets tillægspension, ATP) und obligatorisches Rentensystem (Obligatorisk Pensionsordning):
67 Jahre.</t>
  </si>
  <si>
    <t>67 Jahre (Regelaltersgrenze) für ab 1964 Geborene.
Die Regelaltersgrenze wird seit 2012, beginnend mit dem Jahrgang 1947, bis 2031 schrittweise auf 67 Jahre angehoben werden. Die Stufen der Anhebung betrugen zunächst einen Monat pro Jahr (von 65 auf 66 Jahre) und seit 2024 zwei Monate pro Jahr (von 66 auf 67 Jahre). Für alle vor 1947 Geborenen gilt die Regelaltersgrenze 65 Jahre.
Für Versicherte, die 1959 geboren wurden, steigt im Jahr 2025 die Altersgrenze auf 66 Jahre und zwei Monate.</t>
  </si>
  <si>
    <t>Männer und Frauen: 64 Jahre und 9 Monate.
Rentenalter ist unabhängig von Versicherungszeiten.
Ab dem Jahr 2017 wird das Rentenalter weiter stufenweise angehoben, bis es im Jahr 2026 sowohl für Männer als auch Frauen 65 Jahre betragen wird.
Ab 2027 ist das Rentenalter gekoppelt an Veränderungen in der Lebenserwartung.</t>
  </si>
  <si>
    <t>Gesetzliche einkommensbezogene Rente (Työeläke):
Für Personen, die vor 1965 geboren sind, ist das niedrigste Ruhestandsalter abhängig von ihrem Geburtsjahr (obwohl es möglich ist, länger zu arbeiten). (Für den öffentlichen Sektor gelten niedrigere Altersgrenzen).
Das Ruhestandsalter wird um 3 Monate jährlich angehoben, bis im Jahr 2027 ein Ruhestandsalter von 65 Jahren erreicht sein wird:
   * 64 Jahre und 3 Monate für Personen, die 1959 geboren wurden;
   * 64 Jahre und 6 Monate für Personen, die 1960 geboren wurden;
   * 64 Jahre und 9 Monate für Personen, die 1961 geboren wurden;
   * 65 Jahre für Personen, die zwischen 1962 und 1964 geboren wurden.
Das Ruhestandsalter von Personen, die 1965 und später geboren sind, wird an die Lebenserwartung gekoppelt und im Alter von 62 Jahren bestimmt.
Volksrente (Kansaneläke) und garantierte Rente (Takuueläke): 65 Jahre für Personen, die vor 1965 geboren sind. Das Ruhestandsalter von Personen, die 1965 oder später geboren sind, wird an das Ruhestandsalter im Rahmen des einkommensabhängigen Rentensystems gekoppelt.</t>
  </si>
  <si>
    <t>1. Säule (Basissystem) und 2. Säule (Zusatzrentensysteme (Agirc-Arrco)):
62 Jahre für Personen, die vor September 1961 geboren sind; 62 Jahre und 3 Monate für Personen, die von September bis einschließlich Dezember 1961 geboren sind; 62 Jahre und 6 Monate (Personen, die 1962 geboren sind).
Schrittweise Anhebung des gesetzlichen Rentenalters: Anhebung um 3 Monate pro Generation bis zum Alter von 64 Jahren für Personen, die 1968 oder danach geboren sind.</t>
  </si>
  <si>
    <t>1. Säule (Hauptrente der e-EFKA):
   * 67 Jahre (bei 15 Versicherungsjahren),
   * 62 Jahre (bei 40 Versicherungsjahren).
Ab dem Jahr 2021 werden das Mindest- und das gesetzliche Renteneintrittsalter alle drei Jahre in Übereinstimmung mit Veränderungen der Lebenserwartung angepasst.</t>
  </si>
  <si>
    <t>(Beitragsabhängige) Staatliche Rente (State Pension (Contributory)):
66 Jahre für alle Personen, die die Beitragsbedingungen erfüllen.
Das Rentenalter ist nicht verknüpft mit Veränderungen der Lebenserwartung.</t>
  </si>
  <si>
    <t>Volksrente (lífeyrir almannatrygginga):
Allgemeines Renteneintrittsalter ist 67 Jahre für Männer und Frauen.
Arbeitsrente (lögbundnir lífeyrissjóðir):
65 bis 70 Jahre für Männer und Frauen entsprechend der Satzung des Rentenfonds.
Das Renteneintrittsalter ist nicht an Veränderungen der Lebenserwartung oder eine bestimmte Anzahl von Beitragsjahren gebunden.</t>
  </si>
  <si>
    <t>Das normale gesetzliche Rentenalter ist 67 Jahre für Männer und Frauen in allen Sektoren. Die schrittweise Anhebung des Rentenalters auf Grundlage der Lebenserwartung wurde bis Dezember 2025 eingefroren.
Erstmals nach dem 1. Januar 1996 können Versicherte im Alter von 71 Jahren + 3 Monaten in den Ruhestand gehen. Diese Altersbeschränkung kann auf 67 Jahre (das derzeitige gesetzliche Rentenalter) vorgezogen werden, vorausgesetzt, dass 20 Versicherungsjahre geleistet wurden und dass der monatliche Rentenbetrag der monatlichen Sozialhilfeleistung (assegno sociale) entspricht, d.h. €538,69 im Jahr 2025.</t>
  </si>
  <si>
    <t>Das Renteneintrittsalter liegt derzeit bei:
   * Männer: 65 Jahre;
   * Frauen: 63 Jahre und 9 Monate im Jahr 2025;
   * Langzeitversicherte mit 41 Versicherungsjahren oder mehr: 60 Jahre.
Das Renteneintrittsalter für Frauen wird in der Übergangszeit von 2020 bis 2029 schrittweise um 3 Monate pro Kalenderjahr angehoben, um 2030 65 Jahre zu erreichen.
Das Renteneintrittsalter ist mit Veränderungen der Lebenserwartung verknüoft.</t>
  </si>
  <si>
    <t>65 Jahre.
Die Regelaltersgrenze ist unabhängig von einem spezifischen Versicherungszeitraum oder einer spezifischen Anzahl von Beitragsjahren. Sie ist abhängig vom Geburtsdatum.</t>
  </si>
  <si>
    <t>1. und 2. Säule:
Frauen und Männer erreichen das ordentliche Rentenalter mit dem vollendeten 65. Altersjahr.</t>
  </si>
  <si>
    <t>1. und 2. Säule:
Das Rentenalter wird jährlich um 4 Monate für Frauen und 2 Monate für Männer angehoben, bis es im Jahr 2026 65 Jahre für beide erreicht.
Im Jahr 2025 liegt das Rentenalter bei:
   * 64 Jahren und 10 Monaten für Männer;
   * 64 Jahren und 8  Monaten für Frauen.</t>
  </si>
  <si>
    <t>1. Säule:
Das gesetzliche Renteneintrittsalter liegt bei 65 Jahren, sofern Beiträge für eine bestimmte Anzahl von Versicherungsjahren eingezahlt wurden.</t>
  </si>
  <si>
    <t xml:space="preserve">Für Männer und Frauen mit Geburtsdatum zwischen:
   * 1959 - 1961: 64 Jahre;
   * 1962 und Folgejahren: 65 Jahre.
</t>
  </si>
  <si>
    <t>Das gesetzliche Renteneintrittsalter ist an die verbleibende Lebenserwartung gebunden und steigt um 3 Monate für jede 4,5 Monate der gestiegenen Lebenserwartung. Das Renteneintrittsalter muss mindestens 5 Jahre im Voraus bekanntgegeben werden.
Das gesetzliche Renteneintrittsalter im Jahr:
   * 2025 ist 67 Jahre
   * 2026 ist 67 Jahre
   * 2027 ist 67 Jahre
   * 2028 ist 67 Jahre und 3 Monate
   * 2029 ist 67 Jahre und 3 Monate
   * 2030 ist 67 Jahre und 3 Monate</t>
  </si>
  <si>
    <t>Es gibt kein festes Renteneintrittsalter mehr, es ist jedoch nicht möglich, vor dem 62. Lebensjahr eine Altersrente zu beantragen. Für einen Anspruch auf eine Rente zwischen 62 und 68 Jahren müssen bestimmte Voraussetzungen erfüllt sein. Nach wie vor besteht ein allgemeiner Anspruch auf Altersrente ab 67. Für Männer und Frauen gilt das gleiche Renteneintrittsalter.
Das Renteneintrittsalter ist nicht an die Lebenserwartung gekoppelt.</t>
  </si>
  <si>
    <t>Click here to see information and table</t>
  </si>
  <si>
    <t>Altersrente (Emerytura):
60 Jahre für Frauen und 65 Jahre für Männer.
Das Rentenalter ist nicht abhängig von einer bestimmten Versicherungszeit oder einer konkreten Anzahl von Beitragsjahren.</t>
  </si>
  <si>
    <t>66 Jahre und 7 Monate für Männer und Frauen im Jahr 2025 (nach 2014 richtet sich das reguläre Renteneintrittsalter nach der mittleren Lebenserwartung im Alter von 65 Jahren).
65 Jahre für Leistungsempfänger, denen es nach geltendem Recht nicht möglich ist, nach Erreichen dieses Alters weiterzuarbeiten (z. B. Piloten, Lastkraftwagenfahrer).
An dem Datum, an dem der Leistungsempfänger das 60. Lebensjahr erreicht, wird das reguläre Renteneintrittsalter für jedes Kalenderjahr, das über die Dauer von 40 Beitragsjahren hinausgeht, um 4 Monate gesenkt, wobei die Grenze bei 60 Jahren liegt.</t>
  </si>
  <si>
    <t>Erste Säule/Zweite Säule:
Altersrente (pensie pentru limita de varsta):
Männer: 65 Jahre.
Frauen: 62 Jahre und 5 Monate, schrittweise ansteigend auf 65 Jahre bis zum 1. Januar 2030.
Der Anstieg variiert: die Regel ist ein Monat Anstieg jeden Monat oder alle zwei, fünf oder elf Monate.
Ab Januar 2035 wird das Regelpensionsalter alle drei Jahre um die Hälfte des Gewinns an Lebenserwartung erhöht. Diese Anpassung wird nicht angewendet, wenn der Zuwachs weniger als einen Monat beträgt.</t>
  </si>
  <si>
    <t>Flexibles Rentenalter ab 63 Jahren für entgeltbezogenen Renten (d.h. entgeltbezogene Altersrente (inkomstpension), die entgeltbezogene Zusatzrente (tilläggspension) und Prämienrente (premiepension)) und ab 66 Jahren für eine Garantierente und Ergänzung zur Einkommensrente (inkomstpensionstillägg).
Ab dem Jahr 2026 wird das Renteneintrittsalter mit einem empfohlenen Renteneintrittsalter verknüpft, welches alljährlich aufgrund der Lebenserwartung berechnet wird. Dieses Alter wird dann sechs Jahre später angewendet. Das empfohlene Renteneintrittsalter ist 67 Jahre und gilt für die Jahre 2026-2029.</t>
  </si>
  <si>
    <t>1. Säule (Grundsystem)/2. Säule (obligatorische Mindestvorsorge):
Referenzalter (Rentenalter):
Männer: 65 Jahre
Frauen: 64 Jahre und 3 Monate
Seit 2025 wird das Referenzalter (Rentenalter) für Frauen um 3 Monate pro Jahr angehoben, bis es im Jahr 2028 65 Jahre erreicht.</t>
  </si>
  <si>
    <t>Altersrente (Starobný dôchodok):
Das Rentenalter beruht auf Geburtsjahr, Geschlecht und Anzahl der aufgezogenen Kinder mit einem Höchstrentenalter von 64 für kinderlose Männer und Frauen.
Seit dem 1. Januar 2023 ist das Rentenalter für Personen, die im Jahr 1967 oder später geboren wurden, mit der durchschnittlichen Lebenserwartung verknüpft.
Für Frauen, die Kinder großgezogen haben (oder für Männer, die allein Kinder großgezogen haben), reduziert sich das Rentenalter um:
   * ein halbes Jahr für 1 Kind;
   * ein Jahr für 2 Kinder und;
   * anderthalb Jahre für 3 oder mehr Kinder.
Beispielsweise liegt das Rentenalter für Männer und Frauen ohne Kinder, die im März 1962 geboren wurden, am 1. Juli 2025 bei 63 Jahren und 4 Monaten.</t>
  </si>
  <si>
    <t>Das gesetzliche Rentenalter beträgt 65 Jahre für Frauen und Männer, wenn sie eine Versicherungszeit von mindestens 15 Jahren vorweisen können.</t>
  </si>
  <si>
    <t xml:space="preserve">
   * 65 Jahre (mit mindestens 38 Jahre und 3 Monate Beitragszeit).
   * 66 Jahre und 8 Monate (mit weniger als 38 Jahren und 3 Monaten Beitragszeit).
Progressive Anhebung bis 2027, um 65 Jahre zu erreichen (mit 38 Jahren und 6 Monaten Beitragszeit) oder 67 Jahre (mit weniger als 38 Jahren und 6 Monaten Beitragszeit).
Anhebung der gesetzlichen Altersgrenze (im Falle einer unzureichenden Beitragszeit) um zwei Monate pro Jahr.</t>
  </si>
  <si>
    <t>Männer: 64 Jahre und 4 Monate.
Frauen: abhängig von der Anzahl der großgezogenen Kinder:
   * keine Kinder: 64 Jahre und 4 Monate;
   * 1 Kind: 64 Jahre und 2 Monate ;
   * 2 Kinder: 63 Jahre und 2 Monate ;
   * 3 oder 4 Kinder: 62 Jahre und 2 Monate;
   * 5 oder mehr Kinder: 61 Jahre und 2 Monate.
Das gesetzliche Renteneintrittsalter für Männer wird schrittweise jedes Jahr um 2 Monate bis auf 65 Jahre erhöht und danach um 1 Monat pro Jahr, bis 67 Jahre erreicht sind.
Das gesetzliche Renteneintrittsalter für Frauen wird jedes Jahr um 6 Monate erhöht, bis das Renteneintrittsalter der Männer erreicht wurde. Danach beträgt die Erhöhung ebenfalls 2 Monate pro Jahr, bis 65 Jahre erreicht sind und danach um 1 Monat pro Jahr, bis 67 Jahre erreicht sind.
Siehe weiter unten „2. Mindestversicherungszeit und andere Bedingungen für den Bezug einer Altersrente“ für sonstige Bedingungen für den Anspruch auf Altersrente.</t>
  </si>
  <si>
    <t>Erste Säule:
Seit dem Jahr 2022 können 1957 und später geborene Personen mit 65 Jahren in den Ruhestand gehen.
Das Rentenalter ist unabhängig von einer konkreten Versicherungszeit oder einer konkreten Anzahl geleisteter Beitragsjahre.</t>
  </si>
  <si>
    <t>65 Jahre für Männer und Frauen;
63 Jahre für Bergarbeiter.
Das Ruhestandsalter wird alle 5 Jahre ab 2023 nach den Veränderungen in der Lebenserwartung in den Jahren 2018-2024 überprüft. Versicherungsmathematische Bewertungen zeigten keine Änderungen für 2024.
Das Ruhestandsalter ändert sich nicht entsprechend der Versicherungsdauer.</t>
  </si>
  <si>
    <t>Gesetzliche Rente:
Keine Mindestversicherungsdauer.
Die Dauer der Versicherungszeit gilt nur als vollständig für Männer und Frauen, wenn sie 14.040 Tage (d. h. 45 Jahre) tatsächlicher (oder gleichgestellter) Erwerbstätigkeit in Vollzeitäquivalent beträgt. Diese Bedingung hinsichtlich der Dauer gilt in Kombination mit der Bedingung des gesetzlichen Rentenalters oder den Altersbedingungen für eine vorzeitige Rente.</t>
  </si>
  <si>
    <t>Erste Säule:
Bedingungen sind ein bestimmtes Mindestalter und eine bestimmte Anzahl von Versicherungsjahren.
   * Männer: Alter von 64 Jahren und 8 Monaten und Versicherungszeitraum von 39 Jahren und 8 Monaten;
   * Frauen: Alter von 62 Jahren und 4 Monaten und Versicherungszeitraum von 36 Jahren und 8 Monaten.
Bei unzureichender Versicherungsdauer wird der Pensionsanspruch nach 15 zurückgelegten Versicherungsjahren erworben (von denen alle tatsächliche Dienstjahre gewesen sein müssen im Gegensatz zu angerechneten Zeiträumen, siehe „Leistungen, Zeiträume, die angerechnet oder als beitragspflichtig behandelt werden") ab einem Alter von 67 Jahren für Männer und Frauen.
Zweite Säule:
Universeller Rentenfonds:
Der Anspruch auf Annuitätsrente ensteht gleichzeitig mit dem Anspruch auf eine Altersrente und dem Erwerb von Versicherungszeiten in der ersten Säule.
Beruflicher Rentenfonds:
Keine sonstigen Bedingungen.</t>
  </si>
  <si>
    <t>1. Säule:
Altersrente (Folkepension):
Mindestens drei Jahre Wohnsitz in Dänemark im Alter von 15 Jahren bis zum gesetzlichen Renteneinstiegsalter.
Ausländer: 10 Jahre Wohnsitz in Dänemark, davon 5 Jahre unmittelbar vor der Rente.
Dies gilt in Kombination mit der Altersbedingung für den Ruhestand.
Voller Anspruch, falls der Empfänger zwischen der Vollendung des 15. Lebensjahres und dem Rentenalter mindestens 40 Jahre in Dänemark ansässig war für Personen, die das Renteneinstiegsalter vor dem 1. Juli 2025 erreichen.
Voller Anspruch nach Wohnsitz in Dänemark in 9 von 10 Jahren zwischen dem Alter von 15 Jahren und dem Renteneinstiegsalter, für Personen die das Renteneinstiegsalter am 1. Juli 2025 oder später erreichen.
Frührente (Tidlig Pension):
Mindestens drei Jahre Wohnsitz in Dänemark im Alter von 15 Jahren bis zum Rentenalter.
Ausländer: 10 Jahre Wohnsitz in Dänemark, davon 5 Jahre unmittelbar vor der Rente.
Voller Anspruch nach Wohnsitz in 9 von 10 Jahren zwischen dem Alter von 15 Jahren und dem Renteneintrittsalter.
Zusatzrente (arbejdsmarkedets tillægspension, ATP) und obligatorisches Rentensystem (Obligatorisk Pensionsordning):
Keine Mindestversicherungsdauer.
Kein Konzept eines " vollen Anspruchs".</t>
  </si>
  <si>
    <t>Allgemeine Mindestversicherungszeit: 5 Jahre mit Beitrags- und Ersatzzeiten.
Kein Begriff einer vollständigen Laufbahn oder eines vollständigen Versicherungsverlaufs.</t>
  </si>
  <si>
    <t>Kein Konzept einer „vollen Rente“.
1. Säule:
Erreichen des Rentenalters und 15 Beitragsjahre (voller Anspruch).
Für Personen mit teilweiser oder ohne Arbeitsfähigkeit wird die erforderliche Mindestversicherungszeit um ein Jahr pro 3 Jahre währender teilweiser oder fehlender Arbeitsfähigkeit reduziert.
2. Säule:
Keine Mindestversicherungszeit.</t>
  </si>
  <si>
    <t>Gesetzliche einkommensbezogene Rente (Työeläke): 4 Versicherungsmonate für Selbstständige, Landwirte und Empfänger von Stipendien (keine Mindestversicherungszeit für Arbeitnehmer).
Kein Konzept einer vollständigen Laufbahn oder voller Beitragszeiten.
Volksrente (Kansaneläke): 3 Jahre Wohnsitz in Finnland nach Vollendung des 16. Lebensjahres.
Verlust des Anspruchs auf Volksrente bei einem Einkommen aus einkommensbezogener Rente, das folgende Grenzen überschreitet:
   * für Alleinstehende: €1.617,13 pro Monat im Jahr 2025;
   * für Verheiratete oder zusammenlebende Personen: €1.449,13 pro Monat im Jahr 2025.
Garantierte Rente (Takuueläke): 3 Jahre wohnhaft gewesen sein nach Vollendung des 16. Lebensjahres.
Einwohner, die eine Altersrente beziehen, haben Anspruch auf eine garantierte Rente, wenn ihr gesamtes Rentenbruttoeinkommen 2025 weniger als €978,34 pro Monat beträgt. Auch Migranten (d. h. Einwohner ohne Anspruch auf eine Volksrente), die keine Volksrente beziehen, haben ab einem Alter von 65 Jahren Anspruch auf eine garantierte Rente.</t>
  </si>
  <si>
    <t>1. Säule (Basissystem):
Der Anspruch entsteht, sobald der Versicherte das gesetzliche Rentenalter erreicht hat und mit seinen Beitragszahlungen mindestens ein anrechenbares Versicherungsquartal belegen kann. Erwerb eines Versicherungsquartals durch Nachweis eines jährlichen Bruttoarbeitsentgelts in Höhe von 150 der geltenden Stundensätze des Mindestlohns (salaire minimum interprofessionnel de croissance, SMIC).
Der volle Satz wird gewährt, wenn:
   * die Altersbedingungen sowie der benötigte Versicherungszeitraum erfüllt sind. Der benötigte Versicherungszeitraum wird anhand des Geburtsjahres der betroffenen Person festgelegt (167 Quartale für Versicherte, die zwischen 1958 und 1960 geboren sind, 168 Quartale für Personen, die zwischen Januar und Ende August 1961 geboren sind, 169 Quartale für Personen, die zwischen September 1961 und Dezember 1962 geboren wurden und bis zu 172 Quartale für die ab 1965 geborenen Versicherten) oder entsprechend der Zugehörigkeit der betroffenen Person zu einer bestimmten Gruppe (versichert erwerbsunfähig usw.);
   * ersatzweise das gesetzliche Renteneintrittsalter (67 Jahre für Personen, die nach 1955 geboren sind), ohne vorgeschriebene Mindestversicherungszeit.
2. Säule (Zusatzrentensysteme (Agirc-Arrco)):
Keine Mindestversicherungsdauer.
Die volle Rente wird ab 67 Jahren oder beim Erhalt der Grundrente des allgemeinen Systems zum vollen Satz gewährt.</t>
  </si>
  <si>
    <t>1. Säule (Hauptrente der e-EFKA):
Folgende Bedingungen gelten in Kombination mit dem Lebensalter:
   * Staatliche Rente (ΕΘΝΙΚΗ ΣΥΝΤΑΞΗ): mindestens 15 Jahre legaler, dauerhafter Wohnsitz in Griechenland zwischen dem Alter von 15 Jahren und dem Renteneintrittsalter und mindestens 15 Versicherungsjahre;
   * Beitragsabhängige Rente (ΑΝΤΑΠΟΔΟΤΙΚΗ ΣΥΝΤΑΞΗ):
   * Versicherungszeitraum von 4.500 versicherungspflichtigen Arbeitstagen (oder 15 Versicherungsjahren) und Alter von 67 Jahren,
   * Mindestversicherungszeit von 12.000 versicherungspflichtigen Arbeitstagen (oder 40 Jahren) und Alter von 62 Jahren,
   * Mütter oder verwitwete Väter von Kindern jedes Alters, die erwerbsunfähig sind: 5.500 Arbeitstage (erste Versicherung bis 31.12.1992) oder 6.000 Arbeitstage (erste Versicherung nach dem 1.1.1993) und ein Alter von 55 Jahren für eine volle Rente unter der Bedingung, dass sie keine andere Rente beziehen,
   * Eltern und Geschwister von Personen mit einer Behinderung von mindestens 67% und Ehepartner von Personen mit einer Behinderung von mindestens 80%: 7.500 versicherungspflichtigen Arbeitstage im Alter von 62 Jahren.
Der Anspruch auf Altersrente ohne Kürzung des Betrags (volle Rente) ist abhängig vom Alter bei Beantragung der Rente, nicht der Anzahl der Jahre von geleisteten Sozialbeiträgen oder des Aufenthaltes. Kein Begriff der vollständigen Laufbahn oder vollständiger Beitragskonten.</t>
  </si>
  <si>
    <t>(Beitragsabhängige) Staatliche Rente (State Pension (Contributory)):
Eine Person muss durchschnittlich 10 Wochen geleistete oder angerechnete Beiträge pro Jahr aufweisen; der Höchstrentensatz ist zahlbar an Personen mit einem Jahresdurchschnitt von mindestens 48 Wochen geleisteter Beiträge. Das erforderliche Mindestmaß, d.h. 520 Wochen geleisteter Beiträge.
Die Bedingungen gelten in Kombination mit dem Alter.
(Beitragsabhängige) Staatliche Rente (State Pension (Contributory)) für freiwillig Versicherte:
Sie müssen den Antrag innerhalb von 60 Monaten ab dem Ende des Steuerjahres stellen, in dem sie zuletzt obligatorische Versicherungsbeiträge gezahlt haben oder ihnen zuletzt eine Beitragsgutschrift gewährt wurde.
Sie müssen zuvor 468 Wochen Sozialversicherung gezahlt haben, wenn sie am oder nach dem 6. April 2014 freiwilliger Beitragszahler geworden sind, 520 Wochen Sozialversicherung, wenn sie am oder nach dem 6. April 2015 freiwilliger Beitragszahler geworden sind.</t>
  </si>
  <si>
    <t>Volksrente (lífeyrir almannatrygginga):
Die Mindestanforderung ist 3 Jahre Wohnsitz zwischen 16 und einschließlich 66 Jahren; 40 Jahre Wohnsitz für vollen Anspruch.
Arbeitsrente (lögbundnir lífeyrissjóðir):
Keine Mindestversicherungsdauer.</t>
  </si>
  <si>
    <t>Für Versicherte vor 1996 gilt eine Mindestversicherungszeit von 20 geleisteten und/oder fiktiven Beitragsjahren ungeachtet des Rentenberechnungssystems.
Für Personen, die erstmals nach dem 1. Januar 1996 versichert waren, kann eine Mindestversicherungszeit von 5 geleisteten Beitragsjahren gelten (fiktive Beiträge werden nicht berücksichtigt), das Renteneintrittsalter ist jedoch höher (71 Jahre + 3 Monate).
Der Anspruch auf eine volle Rente, die sogenannte Vorgezogene Rente (pensione anticipata) beruht auf den folgenden Voraussetzungen (gültig bis Dezember 2026):
   * 42 Jahre und 10 Monate an Beiträgen ungeachtet des Alters;
   * 41 Jahre und 10 Monate an Beiträgen für weibliche Arbeitnehmer ungeachtet des Alters.
Der Rentenbetrag unterliegt keiner dauerhaften Reduzierung mehr, auch wenn er bereits vor dem Alter von 62 Jahren bezogen wird. Denoch gilt ein Aufschub-System bezüglich des Datums, an dem die erste Rentenzahlung fällig wird.
Vorteilhaftere Anspruchsvoraussetzungen werden weiterhin für frühzeitige Arbeitnehmer gelten (sogenannte „lavoratori precoci“) (d.h. jene, die vor dem Erreichen des 19. Lebensjahres bereits 12 Monate lang Beiträge geleistet haben):
   * 41 Beitragsjahre, unabhängig vom Alter, für Männer und Frauen gleichermaßen sowie eine der folgenden Voraussetzungen erfüllt sein:
   * Langzeitarbeitslosigkeit mit geringen Chancen für die Wiedereingliederung in den Arbeitsmarkt 3 Monate nach Ende des Arbeitslosengelds (siehe auch Tabelle X – „Arbeitslosigkeit“);
   * Einstufung als Person mit Behinderungen und einem Grad der Invalidität von mindestens 74% (siehe auch Tabelle XI – „Mindestsicherung“);
   * Unterstützung einer Person mit Behinderungen über einen Zeitraum von mindestens 6 Monaten, die im Haushalt wohnt und ein Verwandter 1. Grades (z.B.: Ehegatte, Eltern, Kind) ist (siehe auch Tabelle IX – „Familienleistungen“);
   * beschwerliche Arbeiten wie in Tabelle E des „Haushaltsgesetzes“ für 2018 aufgeführt haben;
   * anstrengende Arbeiten ausgeführt haben.
Für die erste anstehende Rentenzahlung gibt es ein System der 3-monatigen Stundung.
Diese Maßnahme wird versuchsweise weiterhin bis zum Jahr 2026 in Kraft bleiben.</t>
  </si>
  <si>
    <t>Kein Konzept für Vollrente.
Die Mindestversicherungszeit für eine Altersrente beträgt für Männer wie für Frauen 15 Jahre in Kombination mit dem Lebensalter.
Bedingungen gelten in Kombination mit der Altersbedingung.</t>
  </si>
  <si>
    <t>1. Säule:
Versicherungsdauer von 20 Jahren.
Beide Bedingungen gelten für den Bezug von Altersrente: sowohl die Regelaltersgrenze als auch die erforderliche Versicherungszeit müssen erreicht werden.
Kein Konzept einer vollständigen Laufbahn oder vollständigen Versicherungszeiten.
2.Säule:
Es gilt nur die Altersbedingung.</t>
  </si>
  <si>
    <t>1. Säule: Eine versicherte Person muss zumindest ein Beitragsjahr einbezahlt haben. Ein voller Anspruch kann nur entstehen, wenn für die vollständige Beitragsdauer Beiträge einbezahlt wurden (keine Versicherungslücken zwischen dem vollendetem 20. und vollendetem 65. Altersjahr).
2. Säule: Kein Konzept einer "vollen Rente".
Keine Anwartschaftszeit.</t>
  </si>
  <si>
    <t>1. Säule:
Mindestversicherungszeit von 15 Versicherungsjahren in Kombination mit der Altersvoraussetzung.
2. Säule:
Nur Altersvoraussetzung.
Kein Konzept einer vollständigen Laufbahn oder vollständigen Versicherungszeiten.</t>
  </si>
  <si>
    <t>1. Säule:
Die Altersrente (pension de vieillesse) wird bei Vollendung des 65. Lebensjahres unter folgenden Voraussetzungen gewährt: Mindestversicherungszeit von 120 Monaten, Pflichtversicherung, freiwillige Versicherung oder rückwirkender Kauf von Versicherungszeiten.
Keine gesetzlich vorgeschriebene vollständige Versicherungsdauer (auch wenn die Anzahl der pauschalen Erhöhungen auf 40 Versicherungsjahre begrenzt ist und die vorzeitige Versetzung in den Ruhestand an eine 40-jährige Mindestversicherungszeit geknüpft ist).
Aufgrund der Berechnungsmethode erhält eine Person mit einer kürzeren Versicherungszeit einen geringeren Rentenbetrag.</t>
  </si>
  <si>
    <t xml:space="preserve">Abgesehen vom Alter ist die weitere Bedingung für den Bezug einer Altersrente eine Mindestversicherungszeit von:
   * vor dem Ruhestand mindestens zehn Jahre abhängig oder selbstständig erwerbstätig gewesen sein;
   * durchschnittlich mindestens zwischen 20 und höchstens 50 Wochenbeiträge (gezahlt oder angerechnet) pro Jahr ab dem Alter von 18 Jahren aufweisen für Personen, die nach 1958 geboren sind.
Ein voller Altersrentenanspruch beruht auf folgenden Beitragszeiten:
   * 35 Jahre entrichtete oder angerechnete Beiträge für Personen, die zwischen 1952 und 1961 geboren sind;
   * 40 Jahre entrichtete oder angerechnete Beiträge für Personen, die zwischen 1962 und 1968 geboren sind;
   * 41 Jahre entrichtete oder angerechnete Beiträge für Personen, die am oder nach dem 1. Januar 1969 geboren sind;
   * 42 Jahre entrichtete oder angerechnete Beiträge für Personen, die an oder nach dem 1. Januar 1976 geboren sind.
</t>
  </si>
  <si>
    <t>Volle Rente zahlbar nach 50 Versicherungsjahren vor der Regelaltersgrenze. Für jedes Jahr ohne Versicherungsnachweis wird ein Betrag von 2% von der vollen Rente abgezogen.
Personen, die ins Ausland umziehen, haben Anspruch auf freiwillige Versicherung für eine Höchstdauer von zehn Jahren nach ihrem Umzug, wenn sie zuvor für mindestens ein Jahr in den Niederlanden gelebt haben und wenn sie diese Versicherung innerhalb eines Jahres nach dem Umzug beantragen.</t>
  </si>
  <si>
    <t>Einkommensbasierte Rente (inntektspensjon): Kein Konzept der vollen Rente. Kein Mindestverdienstzeitraum.
Für eine volle Garantierte Rente (garantipensjon), eine volle Grundrente (grunnpensjon) und eine volle Mindestrente (minste pensjonsnivå) ist eine Wohnsitzdauer von 40 Jahren ab dem Alter von 16 Jahren bis zum Ende des Kalenderjahres, in dem das 66. Lebensjahr vollendet wird, erforderlich. Bei einer Wohnsitzdauer unter 40 Jahren wird die Rente proportional gekürzt. Erforderlich ist eine Mindestwohnsitzdauer von 5 Jahren.
Für eine volle Zusatzrente (tilleggspensjon) sind Rentenpunkte (pensjonspoeng) für 40 Kalenderjahre erforderlich. Rentenpunkte können ab dem Jahr, in dem das 13. Lebensjahr vollendet wird bis zum 75. Lebensjahr erworben werden. Wurden für weniger als 40 Jahre Rentenpunkte erworben, wird die Rente proportional gekürzt. Erforderlich ist ein Mindestzeitraum von 5 Jahren, in denen Rentenpunkte erworben wurde.
Gleiche Bedingungen für Frauen und Männer.</t>
  </si>
  <si>
    <t>Für eine Regelaltersrente: Bestimmte Anzahl an Versicherungsjahren und Rentenalter.
Für Personen die ab dem 1. Jänner 1955 geboren wurden:
Für den Bezug einer Altersrente ist die Erfüllung einer Mindestversicherungsdauer vorgesehen.
   * 180 Versicherungsmonate (15 Versicherungsjahre); davon müssen mindestens 84 Versicherungsmonate (sieben Jahre) aus einer Erwerbstätigkeit heraus entstanden sein.
Zu den Zeiten der Erwerbstätigkeit zählen auch Zeiten der Pflege eines behinderten Kindes, eines/einer nahen Angehörigen (ab Pflegestufe 3) sowie Zeiten der Familienhospizkarenz, Pflegekarenz, Pflegeteilzeit, aliquotem Pflegekarenzgeld sowie die Begleitung von Kindern bei einem Rehabilitationsaufenthalt.
Kein Begriff einer vollständigen Laufbahn oder eines vollständigen Versicherungsverlaufes.</t>
  </si>
  <si>
    <t>Neben dem Alter ist die andere Bedingung für die Gewährung einer Altersrente (Emerytura) mit einer garantierten Mindestrente eine Mindestversicherungszeit (Beitrags- und beitragsfreie Zeiten) von 25 Jahren für Männer und 20 Jahren für Frauen.
Altersrente (Emerytura) ohne garantiertes Minimum:
   * Personen, die vor dem 1. Januar 1949 geboren wurden: Versicherungsdauer (Beitrags- und beitragsfreie Zeiten) von 20 Jahren für Männer und 15 Jahren für Frauen. Die Bedingungen gelten in Kombination mit dem Alter;
   * Personen, die nach dem 31. Dezember 1948 geboren wurden: Keine Mindestdauer erforderlich.
Kein Konzept einer vollständigen Laufbahn oder vollständigen Beitragszeiten.</t>
  </si>
  <si>
    <t>Neben dem Erreichen des gesetzlichen Rentenalters müssen Beiträge für mindestens 15 Jahre entrichtet oder angerechnet werden. Für die Anrechnung eines Jahres muss nachweislich an 120 Tagen ein Arbeitsentgelt bezogen worden sein.
Das Konzept einer vollständigen Laufbahn im eigentlichen Sinne existiert nicht.
Bei der Rentenberechnung werden die Jahre der gesamten beitragspflichtigen Laufbahn mit einer Obergrenze von 40 Jahren berücksichtigt (oder die Summe der 40 höchsten angepassten Jahresgehälter, wenn die beitragspflichtige Laufbahn mehr als 40 Jahre umfasst).</t>
  </si>
  <si>
    <t>Erste Säule:
Altersrente (pensie pentru limita de varsta):
Beitragsabhängiger Mindestversicherungszeitraum: 15 Jahre.
Gilt in Kombination mit dem üblichen Regelpensionsalter.
In der rumänischen Gesetzgebung gibt es kein Konzept einer vollen Laufbahn oder eines vollständigen Beitragsnachweises, um "vollen" Anspruch auf die Altersrente (wie in MISSOC definiert) zu haben.
In Rumänien bezieht sich der vollständige beitragsabhängige Versicherungszeitraum auf die Zeit, in der Personen Beiträge zum Versicherungssystem geleistet haben, die sie für eine Reduzierung des Regelpensionsalters berechtigen, wenn sie entweder die Altersrente mit reduziertem Ruhestandsalter (pensie pentru limită de vârstă cu reducerea vârstelor standard de pensionare)  oder die vorgezogene Ruhestandsrente beantragen (pensie anticipată).
Zweite Säule:
Altersrente (pensie pentru limita de vârsta):
Ausreichendes persönliches Pensionsvermögen (d.h. Betrag in ausreichender Höhe auf dem Rentenkonto angesammelt). Gilt in Kombination mit dem üblichen Regelpensionsalter.</t>
  </si>
  <si>
    <t>Abgesehen vom Alter beruht der Anspruch auf eine Altersrente auf den folgenden Mindestversicherungszeiten:
   * keine für die entgeltbezogene Altersrente (inkomstpension) und die Prämienrente (premiepension);
   * drei Jahre mit rentenfähigem Einkommen* für die entgeltbezogene Zusatzrente (tilläggspension) für Personen, die vor 1954 geboren wurden;
   * mindestens 3 Jahre Wohnsitz in Schweden für die Garantierente (garantipension);
   * ein Jahr Bezug eines rentenfähigen Einkommens* für die Ergänzung zur Einkommensrente (inkomstpensionstillägg).
Es gibt kein Konzept einer vollständigen Laufbahn oder vollständigen Versicherungszeiten für die entgeltbezogene Altersrente (inkomstpension) und Prämienrente (premiepension), es existiert jedoch wie folgt für:
   * entgeltbezogene Zusatzrente (tilläggspension): 30 mit Jahre mit rentenfähigem Einkommen für eine volle Rente für Personen, die vor 1954 geboren wurden;
   * Garantierente (garantipension): 40 Jahre Wohnsitz in Schweden für eine volle Rente;
   * Ergänzung zur Einkommensrente (inkomstpensionstillägg):
   * Zwischen 30 und 40 Jahren mit einem rentenfähigen Einkommen* je nach Geburtsjahr;
   * Ein Mindesteinkommen von 42,3% des Grundbetrags jährlich (welches sich im Jahr 2025 auf SEK 24.872 (€2.261) beläuft) oder mehr.
*Rentenfähiges Einkommen umfasst Erwerbseinkommen und Einkommen aus bestimmten anderen Sozialversicherungssystemen wie z.B. Entschädigung für Einkommensverlust aufgrund von Krankheit, Arbeitslosigkeit oder Elternurlaub.</t>
  </si>
  <si>
    <t>1. Säule (Grundsystem):
Ein Beitragsjahr.
Eine volle Rente wird gewährt, wenn die Person ab dem 21. bis zum Referenzalter (Rentenalter) die Beitragspflicht erfüllt hat.
2. Säule (obligatorische Mindestvorsorge):
Keine Mindestversicherungsdauer.
Kein Begriff einer vollständigen Laufbahn oder eines vollständigen Versicherungsverlaufes.</t>
  </si>
  <si>
    <t>1. Säule:
15 Versicherungsjahre und das Rentenalter erreicht haben.
2. Säule:
Keine Mindestversicherungszeit, aber das Rentenalter erreicht haben.
Kein Konzept einer vollständigen Laufbahn oder Versicherungszeiten.
Siehe jedoch „Alter – Leistungen – 6. Mindestrente und bedarfsorientierte Leistung“.</t>
  </si>
  <si>
    <t>Die Bedingung für den Bezug einer Altersrente (abgesehen vom Alter) ist eine Mindestversicherungszeit von 15 Jahren (ausschließlich Zeiten, für die Beiträge entrichtet wurden).
Voller Anspruch auf Altersrente ist abhängig von folgenden Bedingungen:
60 Jahre alt und eine Versicherungszeit von 40 Jahren für Männer und Frauen (einschließlich angerechnete oder als entrichtet behandelte Zeiten, nicht jedoch erworbene Zeiträume (pokojninska doba brez dokupa)).</t>
  </si>
  <si>
    <t>Für einen Anspruch auf Altersrente müssen Beiträge für einen Mindestzeitraum von 15 Jahren geleistet worden sein, davon mindestens 2 während der 15 Jahre unmittelbar vor Eintritt in den Ruhestand.
Bedingungen gelten in Kombination mit dem Alter. Praktisch ist es notwendig, 65 Jahre alt zu sein und mindestens 38 Jahre und 3 Monate lang Beiträge geleistet zu haben (oder 66 Jahre und 8 Monate alt zu sein und weniger als 38 Jahre und 3 Monate lang Beiträge geleistet zu haben).
Für einen Anspruch auf 100% der Bemessungsgrundlage bei einem Renteneintritt im Jahr 2025 ist ein Mindestzeitraum von 36 Beitragsjahren und 6 Monaten erforderlich.</t>
  </si>
  <si>
    <t xml:space="preserve">
   * 35 Versicherungsjahre (30 Jahre ohne beitragslose Zeiträume) in Verbindung mit dem Renteneintrittsalter, oder
   * 20 Jahre Versicherung (15 Jahre ohne beitragslose Zeiträume), wenn der Rentner/ die Rentnerin das Renteneintrittsalter für Männer um mindestens 5 Jahre übersteigt.</t>
  </si>
  <si>
    <t>Erste Säule:
Der Anspruch auf Altersrente stützt sich auf die Kumulierung der erforderlichen Versicherungszeit und das Erreichen des entsprechenden Rentenalters.
   * 15 Jahre Versicherungszeit für das, was in der ungarischen Terminologie als „Teilrente“ ohne Mindestgarantie bezeichnet wird.
   * 20 Jahre Versicherungszeit für das, was in der ungarischen Terminologie als „Vollrente“ mit Mindestgarantie bezeichnet wird.
Kein Konzept einer vollständigen Laufbahn oder vollständigen Versicherungsdauer.</t>
  </si>
  <si>
    <t>Grund- (Βασική Σύνταξη) und Zusatzrente (Συμπληρωματική Σύνταξη):
Der Anspruch hängt von der Versicherungszeit und den Beitragszahlungen ab:
   *              Die Person muss mindestens 780 Wochen bis zum Erreichen des Rentenalters versichert gewesen sein (diese Zahl steigt jedes Kalenderjahr schrittweise an, um 780 Wochen von dem ersten Montag in 2017 an zu erreichen), 
   *              die gezahlte Grundversicherung bis zum Rentenalter muss mindestens das 780-fache des wöchentlichen versicherungspflichtigen Grundentgelts (Βασικές Ασφαλιστέες Αποδοχές), also € 213,54 pro Woche betragen (mindestens 15 Versicherungspunkte zur Grundversicherung), 
   *              die Anzahl der Versicherungspunkte der gezahlten und gleichgestellten Grundversicherung für den Zeitraum dem 1. Tag des Jahres, in dem das Alter von 16 Jahren erreicht wurde und der Woche vor derjenigen, in der die Anspruchsberechtigung beginnt, beträgt mindestens 30 % der in diesem Zeitraum umfassten Jahre. 
Die Beitragspflicht endet mit Erreichen des Rentenalters (65 Jahre). Falls bis dahin die Versicherungsbedingungen für die gesetzliche Rente (Θεσμοθετημένη Σύνταξη) noch nicht erfüllt sind, sind auch weiterhin Beiträge zu entrichten, bis die Versicherungsbedingungen für die gesetzliche Rente erfüllt sind, jedoch maximal bis zur Vollendung des 68. Lebensjahres.
Personen, die im Alter von 68 Jahren die Versicherungsbedingungen nicht erfüllen und die die Grundversicherung, die mindestens dem 312-fachen des wöchentlichen versicherungspflichtigen Grundentgelts (Βασικές Ασφαλιστέες Αποδοχές) (mindestens sechs Versicherungspunkte zur Grundversicherung) entspricht, gezahlt haben, haben Anspruch auf eine Pauschalzahlung in Höhe von 15 % des Wertes der Versicherungspunkte der gezahlten und gleichgestellten Versicherung.
Eine besondere Leistung für Personen mit Thalassämie im Alter von 50 Jahren ab dem 28.12.2020: Der Anspruch hängt von den Mtgliedszeiten und den wie oben beschriebenen Beiträgen ab:
   *      Die versicherte Person muss mindestens 520 Wochen bis zum rentenfähigen Alter versichert sein, 
   *      Die bezahlte Grundversicherung bis zum rentenfähigen Alter muss mindestens dem 520-fachen des wöchentlichen Grundversicherungsvermögens  von € 213,54 pro Woche entsprechen (mindestens 10 Versicherungspunkte bei der Grundversicherung), 
   *      Die Anzahl der ausgezahlten Versicherungspunkte und der angepassten Grundversicherung für den Zeitraum zwischen dem ersten Tag des Jahres, an dem das 16. Lebensjahr erreicht wurde, und der Woche vor der Woche, die den Tag des Anspruchs einschließt, entspricht mindestens 30 % der in diesem Zeitraum einbezogenen Jahren.  
Definitionen:
Grundversicherung: versicherungspflichtiges Entgelt unterhalb des versicherungspflichtigen Grundentgelts (bis zu einem Versicherungspunkt).
Zusatzversicherung: versicherungspflichtiges Entgelt über dem Einkommensgrundbetrag (mehr als ein Versicherungspunkt).
Ein Versicherungspunkt: entspricht dem 52-fachen des wöchentlichen Grundbetrags = € 11.104.
Grundrente (Βασική Σύνταξη) :
Durchschnittliches jährlich gezahltes oder gleichgestelltes versicherungspflichtiges Entgelt ab dem 1. Tag des Jahres, in dem das 16. Lebensjahr vollendet wurde bis zum Rentenalter in Höhe des 52 fachen des versicherungspflichtigen Grundentgelts (Βασικές Ασφαλιστέες Αποδοχές) von € 213,54 pro Woche (ein Versicherungspunkt).
Es gibt das Konzept einer „vollen Rente“ bei der Grundrente. Eine versicherte Person muss über vollständige Grundversicherungszeiten ab dem Alter von 16 Jahren bis zum Alter von 63 Jahren (47 gezahlte oder gleichgestellte Jahre) oder bis zum Alter von 65 Jahren (49 gezahlte oder gleichgestellte Jahre) verfügen, um die „volle Grundrente“ zu beziehen.
Zusatzrente (Συμπληρωματική Σύνταξη):
Kein Konzept einer „vollen Rente“.
Für die Definition von versicherungspflichtigem Entgelt siehe Tabelle I zu Finanzierung – Allgemeine Sozialbeitragssätze.</t>
  </si>
  <si>
    <t>Es kann eine vorzeitige Rente unter den folgenden Bedingungen bezogen werden:
   * ab 63 Jahren (mit 42 Jahren Erwerbstätigkeit 
   * ab 62 Jahren mit 43 Jahren Erwerbstätigkeitab
   * 61 Jahren mit 43 Jahren Erwerbstätigkeit 
   * ab 60 Jahren mit 44 Jahren Erwerbstätigkeit. </t>
  </si>
  <si>
    <t>Bei ausreichenden Versicherungszeiten besteht die Möglichkeit, ein Jahr vor dem Rentenalter in den Ruhestand zu gehen.
Auch Lehrer haben einen Pensionsanspruch ab einem Alter von 59 Jahren und 4 Monaten bei Frauen (mit einem Versicherungszeitraum von 25 Jahren und 8 Monaten) und 61 Jahren und 8 Monaten bei Männern (mit einem Versicherungszeitraum von 30 Jahren und 8 Monaten).
Für die Anhebung des Rentenalters siehe Bedingungen – Rentenalter.</t>
  </si>
  <si>
    <t>1. Säule:
Frührente (Tidlig Pension):
Die Person muss zwischen dem 15. Lebensjahr und dem Rentenalter mindestens drei Jahre in Dänemark wohnsitzansässig gewesen sein (9 oder 10 Jahre Wohnsitz für den Bezug der vollen Rente). Darüber hinaus muss die Person das Rentenalter in weniger als 3 Jahren erreichen und eine langfristige Beteiligung am Arbeitsmarkt belegen können.</t>
  </si>
  <si>
    <t>Folgende verschiedene vorgezogene Renten gibt es:
Vorgezogene Altersrente für langjährig Versicherte: kann ab 63 Jahren mit dauerhaften Abschlägen auf die Rente von 0,3 % pro Monat bei vorzeitiger Inanspruchnahme bezogen werden, wenn mindestens 35 Jahre rentenrechtliche Zeiten vorliegen.
Vorgezogene Altersrente ohne Abschläge für besonders langjährig Versicherte: Voraussetzung sind mindestens 45 Jahre an Pflichtbeiträgen aus Beschäftigung, selbstständiger Tätigkeit und Pflege sowie Zeiten der Kindererziehung bis zum 10. Lebensjahr des Kindes. Auch Zeiten der freiwilligen Beitragszahlung können berücksichtigt werden, wenn für mindestens 18 Jahre Pflichtbeiträge vorliegen. Um besondere Härten aufgrund kurzzeitiger, arbeitslosigkeitsbedingter Unterbrechungen in der Erwerbsbiografie zu vermeiden, werden Zeiten des Bezugs von Arbeitslosengeld sowie die übrigen Entgeltersatzleistungen der Arbeitsförderung berücksichtigt. Zeiten des Bezugs von Entgeltersatzleistungen der Arbeitsförderung werden nicht berücksichtigt, wenn sie in den letzten zwei Jahren vor Rentenbeginn liegen, es sei denn sie sind durch Insolvenz oder vollständige Geschäftsaufgabe des Arbeitgebers bedingt. Die Altersgrenze bei der vorgezogenen Rente wird entsprechend der Regelaltersgrenze stufenweise von 63 auf 65 Jahre angehoben. Die Anhebung begann 2016 für den Geburtsjahrgang 1953 mit einem Anstieg um 2 Monate. Für jeden nachfolgenden Geburtsjahrgang wird die Altersgrenze um 2 weitere Monate angehoben. Für den Geburtsjahrgang 1964 ist die Altersgrenze von 65 Jahren erreicht.
Vorgezogene Altersrente für schwerbehinderte Menschen: Während die Altersgrenze für die Altersrente für schwerbehinderte Menschen stufenweise von 63 auf 65 Jahre angehoben wird, kann auch diese Rente vorzeitig mit dauerhaften Abschlägen von monatlich 0,3 Prozent in Anspruch genommen werden, wenn eine Schwerbehinderung und 35 Jahre rentenrechtliche Zeiten vorliegen. Die Altersgrenze für den vorzeitigen Bezug einer Altersrente für schwerbehinderte Menschen wird für Geburtsjahrgänge ab 1952 - parallel zur Anhebung der Regelaltersgrenze - stufenweise von 60 auf 62 Jahre erhöht.
Als Ausgleich für den längeren Rentenbezug werden nicht abschlagsfreie Renten für jeden Monat, in dem sie vorzeitig, d.h. vor dem regulären Rentenbeginn bezogen werden, um einen Abschlag von 0,3% (jährlich 3,6 %) gemindert.</t>
  </si>
  <si>
    <t>Flexible Altersrente (paindlik vanaduspension):
Bis zu fünf Jahre vor dem gesetzlichen Rentenalter möglich.
Das Recht auf vorgezogene Altersrente ist wie folgt mit der bestehenden Dienstdauer verknüpft: 1) beträgt die Mindestrentenversicherungszeit mindestens 20 Jahre: bis zu einem Jahr vor Erreichen des Rentenalters; 2) 25 Jahre: bis zu zwei Jahre; 3) 30 Jahre: bis zu drei Jahre; 4) 35 Jahre: bis zu vier Jahre; 5) 40 Jahre: bis zu fünf Jahre.
Vorgezogene Altersrente (ennetähtaegne vanaduspension):
Bis zu drei Jahre vor dem gesetzlichen Rentenalter möglich (verfügbar bis zum 31.12.2025).
Altersrente unter günstigen Bedingungen (soodustingimustel vanaduspension):
Nach mindestens 15 Beitragsjahren und 5 Jahre vor dem Rentenalter für:
   * einen Elternteil, Pflegeelternteil oder Vormund, der ein Kind mit einer mindestens mittelschweren Behinderung 8 Jahre lang erzogen hat,
   * einen Elternteil, Pflegeelternteil oder Vormund, der 5 oder mehr Kinder mindestens 8 Jahre lang erzogen hat,
   * eine Person, die an den Aufräumarbeiten in Tschernobyl beteiligt war,
   * eine Person, die mindestens 5 Jahre widerrechtlich inhaftiert oder im Exil war. Bei weniger als 5 Jahren wird das Renteneintrittsalter um je ein Jahr pro Haft oder Exiljahr reduziert.
Ein Elternteil, Pflegeelternteil oder Vormund, der mindestens 4 Kinder 8 oder mehr Jahre lang erzogen hat, kann 3 Jahre vor dem gesetzlichen Rentenalter Altersrente unter günstigen Bedingungen beziehen.
Ein um ein Jahr früherer Bezug ist für einen Elternteil, Pflegeelternteil oder Vormund, der mindestens 3 Kinder 8 Jahre lang erzogen hat, möglich.
Rente ab 45 Jahre möglich für Personen mit hypophysiärem Kleinwuchs.
Altersrente unter günstigen Bedingungen wird auch Personen gewährt, die unter harten oder gefährlichen Bedingungen arbeiten (z. B. in der chemischen, Metall-, Glas- oder Zellstoffindustrie, im Bergbau usw.); diese Personen können unter bestimmten gesetzlich festgelegten Bedingungen (zwischen 15 und 25 Beitragsjahren, davon mindestens die Hälfte im genannten Beruf) 5 oder 10 Jahre vor der gesetzlichen Altersgrenze in Rente gehen.
Altersrente bei Erreichen besonderer Altersgrenzen (väljateenitud aastate pension): Vorgezogene Altersrente für bestimmte Berufsgruppen (z. B. Piloten, Seeleute, Bergleute, bestimmte Gruppen von Künstlern), deren berufliche Fähigkeiten vor Erreichen des normalen Renteneintrittsalters nachlassen, unter bestimmten Bedingungen (15 bis 25 Beitragsjahre, abhängig vom jeweiligen Beruf).
2. Säule:
Keine vorgezogene Rente möglich, es sei denn, es liegt ein Austritt aus dem System vor.</t>
  </si>
  <si>
    <t>Volksrente (Kansaneläke): Vorgezogene Rente ab dem Alter von 64 Jahren für Personen, die vor 1962 geboren wurden. Keine vorgezogene Rente für Personen, die 1962 oder später geboren wurden.
Gesetzliche einkommensbezogene Rente (Työeläke): keine vorgezogene Rente.
Dienstaltersrente (Työuraeläke): ab 63 Jahren unabhängig vom Geburtsjahr nach 38 Jahren beschwerlicher Arbeit (siehe Tabelle VI, „Beschwerliche und gefährliche Arbeit“).</t>
  </si>
  <si>
    <t>1. Säule (Basissystem):
   * lange Karriere: Ab dem Alter von 58 Jahren, entsprechend dem Geburtsjahr; Alter bei Beschäftigungsaufnahme; die Versicherungsdauer; und Beitragsdauer;
   * Behinderung (mindestens 50%): Ab dem Alter von 55 Jahren, anhängig von der Vervollständigung der Beitragszeiten;
   * Arbeitsschwere: im Rahmen des beruflichen Arbeitsvorsorgekontos bis zu 2 Jahre vor dem gesetzlichen Alter, wenn der Versicherte die erforderliche Punktezahl erreicht hat;
   * Permanente berufsbedingte Arbeitsunfähigkeit (von mindestens 20%): ab 60 Jahre; oder zwischen 10% und 20% zwei Jahre vor dem gesetzlichen Rentenalter.
2. Säule (Zusatzrentensysteme (Agirc-Arrco)):
Mit Abschlag ab 57 Jahren.</t>
  </si>
  <si>
    <t>1. Säule (Hauptrente der e-EFKA):
Versicherungsbeginn vor 01.01.1993:
Gekürzter Betrag ab:
   * 62 Jahren für Männer und Frauen, wenn 15 Versicherungsjahre oder 4.500 Versicherungstage vorliegen (von denen 100 Tage in den letzten 5 Jahren gearbeitet wurde),
   * 62 Jahren für Mütter und verwitwete Väter minderjähriger Kinder nach 18 Versicherungsjahren oder 5.500 Arbeitstagen,
   * 50 Jahren für Mütter oder verwitwete Väter eines Kindes, das zu keinerlei Erwerbstätigkeit befähigt ist, sofern 5.500 Versicherungstage vorliegen.
Versicherungsbeginn ab 01.01.1993:
Gekürzter Betrag ab:
   * 62 Jahren mit 4.500 Versicherungstagen, davon 750 Arbeitstage in den letzten 5 Jahren vor Eintritt in den Ruhestand,
   * 62 Jahren für Mütter von minderjährigen Kindern mit 6.000 Versicherungstagen oder 20 Jahren,
   * 50 Jahren für Mütter und verwitwete Väter eines Kindes, das zu keinerlei Erwerbstätigkeit befähigt ist, sofern 6.000 Versicherungstage vorliegen.
Anspruch auf vorgezogene Altersrente ist möglich für Beschäftigte in beschwerlichen und gefährlichen Berufen (für nähere Informationen siehe Tabelle VI zu Alter „Bedingungen, Beschwerliche und gefährliche Arbeiten“).</t>
  </si>
  <si>
    <t>Keine vorgezogene Altersrente.</t>
  </si>
  <si>
    <t>Volksrente (lífeyrir almannatrygginga):
Bezug von Altersrente ab dem 65. Lebensjahr möglich.
60 Jahre für Seeleute, die für mindestens 25 Jahre mit einem Jahresdurchschnitt von mindestens 180 Tagen an Bord eines isländischen Schiffs registriert waren. Ebenso für Seeleute, die mindestens 25 Jahre auf einem offenen Schiff oder auf einem Schiff unter 12 Bruttoregistertonnen gearbeitet haben, wenn dies ihre Hauptbeschäftigung war.
Zur früheren Verrentung aus Gesundheitsgründen siehe Tabelle V "Invalidität".
Arbeitsrente (lögbundnir lífeyrissjóðir):
Ein früherer Renteneintritt ist gemäß den Regeln der einzelnen Rentenfonds (mit frühestens 60 Jahren) möglich.</t>
  </si>
  <si>
    <t>Erstmals ab 1. Januar 1996 Versicherte mit einer Arbeitsversicherung von mindestens 20 Jahren können ab einem Alter von 64 Jahren in den Ruhestand gehen, wenn der Rentenbetrag, auf welchen sie Anspruch hätten, dem 3-fachen der monatlichen Sozialhilfeleistung (assegno sociale) entspricht (gleich €1.616,07,41 im Jahr 2025 für Männer und Frauen ohne Kinder: das 2,8-fache (€1.508,33) des genannten Betrags für berufstätige Mütter mit 1 Kind; das 2,6-fache (€1.400,59)  für berufstätige Mütter mit 2 oder mehr Kindern.
Der Betrag der vorgezogenen Rente unter den oben genannten Bedingungen darf nicht das 5-fache des Betrags der gesetzlichen Mindestrente überschreiten (entsprechend €603,40 monatlich im Jahr 2025) bis der Leistungsempfänger das gesetzliche Altersrentenalter (67 Jahre im Jahr 2025) erreicht, bis der Leistungsempfänger das gesetzliche Altersrentenalter (67 Jahre im Jahr 2025) erreicht.
Die Rentenzahlung wird gestundet (so genannte “Fenster”), wodurch die Rentenzahlung um 3 Monate über den Zeitpunkt der Anspruchsberechtigung hinaus verzögert wird.
Vorruhestand für Frauen (sogenannte „opzione donna“): die, obwohl sie unter das Hybridsystem fallen, akzeptieren, Leistungen zu erhalten, die gänzlich entsprechend dem beitrags-bezogenen Berechnungssystem errechnet werden. Folgende Bedingungen müssen erfüllt werden: 35 Jahre Arbeitsversicherung + Erreichen eines Alters von 61 Jahren bis Dezember 2023, zudem Erfüllen einer der folgenden weiteren Bedingungen:
   * gekündigt worden sein oder Risiko einer Entlassung durch Unternehmen, die von der aktuellen Industriekrise betroffen sind (in diesen Fällen wird Zugang zu diesem System ab 59 Jahren gewährt);
   * eine um 74% oder mehr verringerte Erwerbsfähigkeit;
   * mindestens 6 Monate lang eine Pflegeperson für ein Familienmitglied mit Behinderung gewesen sein.
Versicherte Mütter, die sich für dieses System entscheiden, haben Anspruch auf eine Altersreduzierung um 1 Jahr pro Kind (aber auf maximal 2 Jahre).
Sobald ie Voraussetzung erfüllt sind, gilt ab dem Fälligkeitsdatum der ersten Rentenzahlung eine Aufschubregelung von 12 Monaten.
Vorruhestandsbeihilfe (A.PE Sociale - Anticipo Pensionistico): diese versuchsweise gewährte Maßnahme, verlängert bis zum 31. Dezember 2025, die ein vorgezogenes Rentenalter vorsieht:
   * Mindestalter von 63 Jahren und 5 Monaten;
   * Beitragszahlungen über einen Zeitraum von mindestens 30 Jahren für effektive Beschäftigung (36 Jahre für Arbeitnehmer, die beschwerliche Arbeiten ausgeführt haben); günstigere Voraussetzung gelten für Frauen, d.h. es werden pro Kind 1 Jahr (bis höchstens 2 Jahre) der fiktiven Beiträge gutgeschrieben;
   * Einstellung der Erwerbstätigkeit entweder als Beschäftigter oder Selbstständiger in Italien und im Ausland bei Beantragung der Leistung. Kumulierung mit dem Bezug von Vorruhestandsbeihilfe ist möglich, wenn das jährliche Erwerbseinkommen einzig aus gelegentlicher Selbstständigkeit höchstens €5.000 beträgt;
   * kein Bezug eigener Rentenleistung.
   * Zudem muss eine der folgenden Voraussetzungen erfüllt sein:
   * Langzeitarbeitslosigkeit mit geringen Chancen für die Wiedereingliederung in den Arbeitsmarkt (siehe auch Tabelle X „Arbeitslosigkeit“);
   * Einzahlung von Leistungen über einen Zeitraum von mindestens 18 Monaten in den 36 Monaten vor dem Arbeitsplatzverlust, selbst wenn der arbeitslose Antragssteller im Rahmen eines festen Arbeitsvertrags beschäftigt war;
   * Einstufung als Person mit Behinderungen und einem Grad der Invalidität von mindestens 74% (siehe auch Tabelle XI „Mindestsicherung“);
   * Unterstützung einer Person mit Behinderungen über einen Zeitraum von mindestens 6 Monaten vor Geltendmachung des Anspruchs, die im Haushalt wohnt und ein Verwandter 1. Grades (z.B. Ehegatte, Eltern, Kind) oder 2. Grades ist, wenn Ehegatte oder Eltern selbst eine Behinderung haben oder älter als 70 Jahre oder verstorben sind (siehe auch Tabelle IX „Familienleistungen“).
Flexible Vorruhestandsrente, die so genannte "Pensione anticipata flessibile" or “Quota 103”: eine experimentelle Maßnahme, die für das Jahr 2025 gilt unter den folgenden Voraussetzungen: 62 Lebensjahre und 41 Beitragsjahre (35 davon bezogen auf die tatsächliche Arbeit, d.h. es werden keine fiktiven Beiträge berücksichtigt). Sie gilt nicht für: Fachkräfte, Geistliche, Militärpersonal, Journalisten, Zollbeamte. Für Arbeitnehmer und Beamte gelten zwei unterschiedliche Stundungssysteme von 7 bzw. 9 Monaten, sobald sie die Anspruchsvoraussetzungen bis Dezember 2025 erfüllt haben. Beamte werden gebeten, eine Kündigungsfrist von 6 Monaten bei der öffentlichen Stelle einzuhalten, für die sie tätig sind. Der entsprechende Antrag muss bis spätestens November 2025 eingereicht werden.
Der Leistungsbetrag wird gemäß dem beitragsbezogenen Berechnungssystem (Defined Contribution System) berechnet: der monatliche Betrag darf das 4-fache des Mindestrentenbetrags nicht überschreiten, bis Leistungsempfänger das gesetzliche Rentenalter von 67 Jahren erreichen; ab diesem Zeitpunkt erhalten sie den Gesamtbetrag ihrer Altersrente.
Als Anreiz für aktives Altern werden versicherte Arbeiternehmer, die sich, obwohl sie anspruchsberechtigt sind für die “Quota 103”, für eine Fortsetzung ihrer Erwerbstätigkeit entscheiden, von der Zahlung ihres Beitragssatzes von 9,19% ausgenommen (8,80% für Beamte), was eine Erhöhung ihres Monatsgehalts zur Folge hätte.</t>
  </si>
  <si>
    <t>Männer: 60 Jahre bei einer Versicherungszeit von 35 Jahren.
Frauen: 58 Jahre und 9 Monate und eine Versicherungszeit von 33 Jahren und 9 Monaten im Jahr 2025.
Bei den Frauen werden Alter und Versicherungszeit von 2020 bis 2029 schrittweise um 3 Monate pro Kalenderjahr angehoben, bis 2030 60 Jahre bzw. 35 Versicherungsjahre erreicht sind.
Die gleichen Bedingungen gelten für Personen, die aufgrund von Unternehmenskonkurs mindestens zwei Jahre arbeitslos sind, bevor sie die Voraussetzungen für eine vorzeitige Rente erfüllen.</t>
  </si>
  <si>
    <t>1. Säule:
Ein vorzeitiger Rentenbezug bis zu zwei Jahre vor dem normalen Rentenalter, d.h. im Jahr 2025 im Alter von 63 Jahren, ist möglich, wenn mindestens 30 Versicherungsjahre (Männer und Frauen) erfüllt sind.
Folgende Personengruppen haben Anspruch auf einen vorzeitigen Rentenbezug bis zu fünf Jahre vor dem normalen Rentenalter, d.h. 2025 im Alter von 60 Jahren:
   * Politisch unterdrückte Personen mit einer Versicherungsdauer von mindestens 30 Jahren;
   * Personen mit einer Versicherungsdauer von mindestens 25 Jahren, wenn sie für die Erziehung von fünf oder mehr Kindern oder einem Kind mit Behinderung, während eines Zeitraums von mindestens 8 Jahren, bis das Kind das Alter von 18 Jahren erreicht hat, zuständig waren und wenn ihnen das Recht auf Pflege oder das Sorgerecht nicht genommen wurde.
Folgende Personengruppen können Anspruch auf Rentenbezug vor dem Erreichen des Regelrentenalters erheben:
   * Personen, die bis 1996 unter besonders gefährlichen und schwierigen Bedingungen oder unter gefährlichen und harten Bedingungen gearbeitet haben (siehe nähere Informationen in Tabelle VI „Bedingungen, Beschwerliche und gefährliche Arbeiten“);
   * Personen mit Kleinwuchs und Blinde Personen können im Alter von 55 Jahren und 6 Monaten (Frauen mit einer Versicherungsdauer von mindestens 15 Jahren) und 60 Jahren und 6 Monaten (Männer mit einer Versicherungsdauer von mindestens 20 Jahren) in den Ruhestand gehen;
   * Personen, die Teil des Tschernobyl NPS Reinigungsteams waren, mit einer Versicherungsdauer von mindestens 20 Jahren können im Alter von 60 Jahren Rente beziehen.
2. Säule:
Teilnehmer des kapitalgedeckten Rentensystems nutzen das angesparte Rentenkapital, wenn ihnen eine vorgezogene Altersrente aus der 1. Säule gewährt wird.</t>
  </si>
  <si>
    <t>1. Säule: Vorbezug ist ab dem vollendeten 60. Altersjahr auf jeden folgenden Kalendermonat hin möglich. Eine versicherte Person muss zumindest ein Beitragsjahr einbezahlt haben.
2. Säule: Personen, die eine Altersrente nach AHVG vorbeziehen, können die ganze oder halbe Rente nach diesem Gesetz (BPVG) auf jeden Monat hin ebenfalls vorbeziehen. Weitergehende Regelung im Reglement der jeweiligen Vorsorgeeinrichtung möglich (z.B. Vorsorgeeinrichtungen können reglementarisch auch ein anderes (unter anderem früheres) Rentenalter festlegen).</t>
  </si>
  <si>
    <t>Vorzeitiger Rentenbezug (išankstinė senatvės pensija) ist möglich, wenn Personen folgende Bedingungen erfüllen:
   * sie können die erforderliche Pflichtversicherungszeit für die Altersrente vorweisen, wirksam im Jahr des Renteneintritts;
   * sie stehen weniger als 5 Jahre vor dem Rentenalter;
   * sie haben kein anderes Einkommen, und erhalten keine andere Rente oder Leistungen;
   * sie sind kein Landwirt oder Partner eines Landwirts und beziehen kein Einkommen aus einem Arbeitsverhältnis in einem anderen Staat.
Die vorgezogene Altersrente kann auch gewährt werden:
   * Mütttern, die mindestens fünf Kinder geboren und bis zum Alter von 8 Jahren aufgezogen haben sowie Eltern (einschließlich Adoptiveltern), die mindestens 15 Jahre lang Kinder mit Behinderung gepflegt oder adoptierte Kinder zu Hause aufgezogen haben;
   * Personen, die mindestens 15 Jahre lang eine Person mit Behinderung (für die ein Bedarf an Rückerstattung der Kosten für individuelle Unterstützung festgestellt wurde, d.h. eine Person mit vollständiger Behinderung) zu Hause gepflegt haben, vorausgesetzt, die Person erfüllt beim Antrag der vorgezogenen Altersrente alle anderen oben genannten Bedingungen und kann mindestens die Hälfte der erforderlichen Pflichtversicherungsjahre für eine vorgezogene Altersrente vorweisen.</t>
  </si>
  <si>
    <t>1. Säule:
Vorgezogene Altersrente (pension de vieillesse anticipée):
   * Ab vollendetem 60. Lebensjahr: bei Nachweis von 480 obligatorischen Versicherungsmonaten oder zusätzlichen Zeiten, davon mindestens 120 effektive Versicherungsmonate.
   * Ab vollendetem 57. Lebensjahr: bei Nachweis von 480 obligatorischen Versicherungsmonaten.</t>
  </si>
  <si>
    <t>Keine vorgezogene Altersrente im engeren Sinne.
Versicherte können sich jedoch mit 61 Jahren für den vollen Ruhestand qualifizieren, wenn sie 40, 41 oder 42 Jahre bezahlte/angerechnete Beiträge (je nach Geburtsjahrgang) und mindestens 35 Jahre bezahlte Beiträge vorweisen können. Dabei handelt es sich nicht um eine versicherungsmathematisch gekürzte vorzeitige Rente, sondern um eine langfristige Altersvorsorge.</t>
  </si>
  <si>
    <t>Keine vorgezogene Rente möglich.</t>
  </si>
  <si>
    <t>Rentenbezug ab dem 62. Lebensjahr ist möglich. Für einen Anspruch gelten jedoch bestimmte Bedingungen, d.h. es muss bei Vollendung des 67. Lebensjahres mindestens ein Anspruch auf die Mindestrente für Personen mit einem Versicherungszeitraum von 40 Jahren bestehen.</t>
  </si>
  <si>
    <t>Dauerrecht:
Korridorrente: 62 Jahre für Männer und Frauen (für Frauen wird diese Regelung erst ab 2028 relevant – siehe Tabelle VI, Rentenalter).
Schwerarbeitsrente: Frühestens 60 Jahre für Schwerarbeiter:innen, wenn mind. 10 Jahre Schwerarbeit innerhalb der letzten 20 Jahre vor dem Stichtag geleistet wurden und insgesamt 45 Versicherungsjahre erworben wurden.
Für bestimmte Jahrgänge, gibt es vorzeitige Altersrenten für Personen mit sehr langen Versicherungskarrieren bzw. besonders belastenden Arbeitsvoraussetzungen.</t>
  </si>
  <si>
    <t>Seit 31. Dezember 2008: Vorgezogene Rente (Wcześniejsza emerytura) nur für Personen, die zwischen 1949 und 1968 geboren wurden und folgende Bedingungen erfüllen:
   * Erreichung eines Rentenalters, das niedriger ist als das reguläre, welches abhängig ist von Geschlecht und Art der Beschäftigung (z.B. 55 oder 50 Jahre für Minenarbeiter);
   * Mindestanzahl von 25 Beitragsjahren und beitragsfreien Zeiten für Männer und 20 für Frauen;
   * Ausübung eines beschwerlichen oder gefährlichen Berufs (siehe Kategorie „Beschwerliche oder gefährliche Berufe“).</t>
  </si>
  <si>
    <t>Versicherte ab dem Alter von 60 Jahren, die die Mindestversicherungszeit erfüllt haben und eine Beitragsperiode von 40 Jahren und mehr aufweisen, haben Anspruch auf eine vorzeitige Rente (System der Flexibilisierung).
Erst nach vorheriger Annahme der ihm mitgeteilten Rentenhöhe wird dem Begünstigten die vorzeitige Rente bewilligt.
Vorzeitge Rente bei langen Beitragszeiten:
wenn der Leistungsempfänger mindestens 60 Jahre alt ist und eine Beitragszeit von mindestens:
   * 48 Kalenderjahren mit entgeltbezogenen Leistungen, die in die Rentenberechnung einfließen, belegen kann; oder
   * 46 Kalenderjahren mit entgeltbezogenen Leistungen, die in die Rentenberechnung einfließen, belegen kann und vor dem 17. Lebensjahr Beiträge in das allgemeine Sozialversicherungssystem oder in die Allgemeine Rentenkasse einzahlt.
Arbeitslose: Vorzeitige Rente ab 62 Jahren, sofern sie zu Beginn der Arbeitslosigkeit mindestens 57 Jahre alt waren und die erforderliche Beitragszeit für die Gewährung der Altersrente (15 aufeinanderfolgende oder nicht aufeinanderfolgende Kalenderjahre mit gemeldeten Vergütungen) erfüllt haben. Tritt die Arbeitslosigkeit im Alter von 52 oder mehr Jahren ein und sind 22 Kalenderjahre Versicherungszeit erfüllt, ist eine Verrentung ab 57 Jahren möglich.
Bei schwerer oder gefährlicher Arbeit: in der Regel ab 55,1 Jahren (gilt nur für gesetzlich vorgesehene Berufe).
Ab 55 Jahren im Rahmen besonderer konjunktureller Maßnahmen zum Schutz von Aktivitäten oder Unternehmen.
Menschen mit Behinderungen können die vorzeitige Altersrente in Anspruch nehmen, wenn sie mindestens 60 Jahre alt sind, einen Grad der Behinderung von 80% oder mehr haben und mindestens 15 Jahre lang eine beitragspflichtige Laufbahn mit einem Behinderungsgrad von mindestens 80% aufweisen. Die vorzeitige Altersrente ist nicht an die Entwicklung der Lebenserwartung gekoppelt.</t>
  </si>
  <si>
    <t>Erste Säule:
Altersrente mit reduziertem Ruhestandsalter (pensie pentru limita de varsta cu reducerea varstelor standard de pensionare):
Das Regelpensionsalter wird herabgesetzt für:
   * Personen, die unter besonderen, schwierigen oder anderen bestimmten Bedingungen arbeiteten,
   * Personen, die während der Arbeitsunfähigkeit Beiträge in das Rentensystem gezahlt haben,
   * Personen, die von dem ab dem 6. März 1945 herrschenden Regime aus politischen Gründen verfolgt, deportiert oder als Kriegsgefangene inhaftiert wurden,
   * Erblindete Personen,
   * Personen, die den vollständigen beitragsabhängigen Versicherungszeitraum um mindestens 5 Jahre überschreiten,
   * Frauen, die den vollständigen beitragsabhängigen Versicherungszeitraum erfüllt haben und die Kinder geboren und bis zum Alter von 16 Jahren großgezogen haben,
   * andere, gesetzlich besonders festgelegte Personengruppen.
Vorgezogene Ruhestandsrente (pensie anticipata):
Bewilligt bis zu 5 Jahre vor dem gesetzlichen Renteneintrittsalter für Personen, die den vollständigen beitragsabhängigen Versicherungszeitraum um höchstens 5 Jahre überschreiten.
Vollständiger beitragsabhängiger Versicherungszeitraum:
Männer: 35 Jahre
Frauen: 33 Jahre, bis 1. Januar 2030 stufenweise angehoben auf 35 Jahre.
Zweite Säule:
Altersrente mit reduziertem Ruhestandsalter (pensie pentru limita de varsta cu reducerea varstelor standard de pensionare) aus dem Umlagesystem (erste Säule) wird Personen mit ausreichendem persönlichem Pensionsvermögen gewährt.</t>
  </si>
  <si>
    <t>Keine vorgezogene Altersente.</t>
  </si>
  <si>
    <t>1. Säule (Grundsystem):
Versicherte können ab 63 Jahren die gesamte Rente oder einen Prozentsatz zwischen 20% und 80% vorbeziehen.
Frauen, die zwischen 1961 und 1969 geboren wurden, können ihre Rente ab 62 Jahren vorbeziehen.
Keine besonderen Bedingungen.
2. Säule (obligatorische Mindestvorsorge):
Versicherte können die Altersleistung ab dem 63. Lebensjahr ganz oder teilweise vorbeziehen.
Außerdem können Personen über 60 Jahre, die ihr Arbeitslosengeld ausgeschöpft haben, bis zum Erreichen des Referenzalters (Rentenalter) Überbrückungsleistungen für ältere Arbeitslose (Vorruhestandsleistungen) beziehen, um ihren Lebensunterhalt zu decken (siehe Tabelle XI „Mindestsicherung“).</t>
  </si>
  <si>
    <t>1. Säule:
Die folgenden Bedingungen müssen erfüllt sein, um Anspruch auf eine Vorgezogene Altersrente (Predčasný starobný dôchodok) zu haben:
   * eine Leistung beziehen, welche mehr als das 1,6-fache des Existenzminimums beträgt;
   * sich im Zeitraum der 2 Jahre vor Erreichen des Rentenalters befinden oder dieses erreicht haben oder die erforderliche Dauer der Erwerbsbiografie erreicht haben;
   * über die die erforderliche Erwerbszeit verfügen, die durch Abzug von 23 Jahren von dem für das Geburtsjahr der Person geltenden allgemeinen Rentenalter bestimmt wird;
   * nicht in einer regelmäßigen Beschäftigung arbeitstätig sein (mit beitragspflichtigem Einkommen von maximal €2.400 pro Jahr).
2. Säule:
Der Bezug einer vorgezogenen Rente ist möglich, wenn eine vorgezogene Rente der 1. Säule bezogen wird oder eine Mindesthöhe der Leistung aus beiden Säulen (das 1,6-fache des Existenzminimums) erreicht wurde.</t>
  </si>
  <si>
    <t>Versicherte Personen haben Anspruch auf eine vorgezogene Rente (predčasna pokojnina) im Alter von 60 Jahren, wenn sie eine Mindestversicherungszeit von 40 Jahren (pokojninska doba) (einschließlich erworbener Zeiträume) vorweisen können.</t>
  </si>
  <si>
    <t xml:space="preserve">60 Jahre für bestimmte Personen, die bereits unter dem zum 1. Januar 1967 abgeschafften System versichert waren.
Maximal zwei Jahre vor Erreichen der Regelaltersgrenze im Fall von:
   * freiwilligem Vorruhestand,
   * 35 Beitragsjahren, und
   * eine höhere Rente als die Mindestrente.
Maximal vier Jahre vor Erreichen der Regelaltersgrenze im Fall von:
   * unfreiwilligem Ruhestand aufgrund verschiedener Umstände,
   * 33 Beitragsjahren und
   * seit 6 Monaten arbeitslos gemeldet sein.
Die Regelaltersgrenze kann für bestimmte Arbeitnehmer, die schwere körperliche, gefährliche oder gesundheitsschädliche Arbeiten verrichten, vorauskalkuliert werden.
   * 56 Jahre für Arbeiter mit einer Erwerbsminderung von 45%;
   * 52 Jahre für Arbeiter mit einer Erwerbsminderung von 65%.
</t>
  </si>
  <si>
    <t>Vorzeitige Rente möglich bis zu drei Jahre vor dem gesetzlichen Renteneintrittsalter. Der Anspruchsberechtigte muss über eine Versicherungszeit von mindestens 40 Jahren verfügen (einschließlich beitragsfreie Zeiten).</t>
  </si>
  <si>
    <t>Erste Säule:
Altersrente für Frauen mit einem Anwartschaftszeitraum von 40 Jahren (Öregségi nyugdíj nők számára 40 év jogosultsági idővel) ungeachtet ihres Alters.
Der Anwartschaftszeitraum bezieht sich auf jede Versicherungszeit der Erwerbstätigkeit oder den Bezug von Leistung bei Schwangerschaft und Geburt (Terhességi- gyermekágyi segély) (bis 31. Dezember 2014), Mutterschaftsgeld (Csecsemőgondozási díj), Kinderbetreuungsgeld (Gyermekgondozási díj), Geld für die Kinderbetreuung zuhause (Gyermekgondozási segély) (bis zum 31. Dezember 2015), Erziehungsgeld (Gyermekgondozást segítő ellátás) (ab dem 1. Januar 2016) und Erziehungsgeld für kinderreiche Familien (Gyermeknevelési támogatás), oder Beihilfe für Pflegepersonen bei Pflege eines Kindes mit Behinderung (Ápolási díj), Beihilfe für häusliche Kinderpflege (Gyermekek otthongondozási díja), Adoptionsbeihilfe (Örökbefogadói díj) (ab 1. Januar 2020). Zusätzlich zu den Bezugszeiträumen der oben genannten Mutterschafts- /Familienleistungen wird ein Mindestbeschäftigungszeitraum von 32 Jahren benötigt oder bei Bezug von Beihilfe für Pflegepersonen (Ápolási díj), festgelegt auf der Grundlage des Rechts des Kindes oder Beihilfe für häusliche Kinderpflege (Gyermekek otthongondozási díja) ein Beschäftigungszeitraum von mindestens 30 Jahren. Der Anspruchszeitraum wird um ein Jahr pro Kind im Haushalt gekürzt, für Mutter mit fünf oder mehr Kindern und einer maximalen Verringerung von 7 Jahren.
Zusätzlich können einige Leistungen vor Erreichen des Rentenalters gewährt werden, bei denen es sich nicht um Altersrenten handelt:
   * Leistung vor dem Rentenalter (Korhatár előtti ellátás) für Personen, die das Rentenalter noch nicht erreicht haben und eine vorgezogene Altersrente bezogen haben (Korkedvezményes öregségi nyugdíj), Rente für Bergleute (Bányásznyugdíj) oder Rente für Künstler (Művésznyugdíj) am 31. Dezember 2011;
   * Übergangsrente für Bergleute (Átmeneti bányászjáradék) für Personen, die mindestens 25 Versicherungsjahre und 5.000 Schichten in Bergwerken geleistet haben;
   * Leibrente für Tanzkünstler (Táncművészeti életjáradék) für Personen, die mindestens 25 Versicherungsjahre als Tänzer in einer im Gesetz aufgeführten Kompagnie geleistet haben;
   * Leistungen für das Militär (Szolgálati járandóság) für Personen, die aufgrund von Invalidität Anspruch auf Dienstrenten für Angehörige der Streitkräfte hatten (Szolgálati nyugdíj) und bis 31. Dezember 2011 25 Versicherungsjahre geleistet hatten.</t>
  </si>
  <si>
    <t>63 Jahre für Männer und Frauen, wenn die versicherte Person:
   *              alle Versicherungsbedingungen erfüllt und die Anzahl der Versicherungspunkte der gezahlten und gleichgestellten Grundversicherung muss mindestens 70 % anstatt 30 % der in diesem Zeitraum umfassten Jahre entsprechen (siehe Tabelle VI zu Alter - Mindestversicherungszeit und sonstige Kriterien für den Bezug einer Altersrente); 
   *              oder unmittelbar vor Vollendung des 63. Lebensjahres Anspruch auf Invaliditätsrente (Σύνταξη Ανικανότητας) erlangt hat. 
Zwischen 63 und 65 Jahren alt ist, wenn sie Anspruch auf Invaliditätsrente hätte, aber nicht das Höchstalter (63 Jahre) überschritten hatte.
50 Jahre für Männer und Frauen mit Thalassämie.
Ein Empfänger von Altersrente, der zwischen dem vorzeitigen Rentenbeginn und der Vollendung des 65. Lebensjahres Beiträge vom versicherungspflichtigen Entgelt entrichtet hat, hat Anspruch auf eine wöchentliche Erhöhung der Rente um 1/52 von 1,5 % dieses versicherungspflichtigen Entgelts.</t>
  </si>
  <si>
    <t>Keine spezifischen Bestimmungen für beschwerliche und gefährliche Arbeit.</t>
  </si>
  <si>
    <t>Es gibt drei Kategorien von Arbeit, die in einer konkreten Verordnung aufgelistet sind:
   * Kategorie I und II beinhalten die beschwerlichsten und gefährlichsten Tätigkeiten (Minenarbieter, Piloten, Berufskraftfahrer von LKW mit eine Tragfähigkeit von 12 Tonnen und mehr; Arbeiter in der Metallindustrie etc.).
   * Kategorie III umfasst alle anderen Arbeiten.
Drei Jahre in Kategorie I oder vier Jahre in Kategorie II entsprechen fünf Jahren in Kategorie III.
Personen, die in einem Berufsrentenfonds versichert waren und ihre Mittel nicht in die öffentliche Rentenkasse (Erste Säule) übertragen haben, sind anspruchsberechtigt auf befristete Zusatzberufsrente, die vom beruflichen Rentenfonds unter folgenden Bedingungen gezahlt wird:
   * mindestens 10 Versicherungsjahre unter Kategorie I nach dem 31.12.1999 und noch 10 verbleibende Jahre vor dem Rentenalter;
   * mindestens 15 Versicherungsjahre unter Kategorie I oder II nach dem 31.12.1999 und noch 10 verbleibende Jahre vor dem Rentenalter.
Die befristete Zusatzberufsrente wird gezahlt, bis die Person das reguläre Rentenalter erreicht.
Personen, die keinen Anspruch auf eine Rente aus einem beruflichen Rentenfonds erworben oder ihre Mittel in die öffentliche Rentenkasse (Erste Säule) übertragen haben, sind anspruchsberechtigt auf eine lebenslange Rente, die vom Staatlichen Institut für Soziale Sicherheit unter folgenden Bedingungen gezahlt wird:
   * mindestens 10 Versicherungsjahre der Kategorie I und 51 Jahre bei Frauen und 54 Jahre und 4 Monate  bei Männern, sofern die Summe von Versicherungszeiten und Alter 94 Jahren für Frauen und 100 Jahren für Männer entspricht. Das Rentenalter wird für Männer pro Kalenderjahr um 2 Monate und für Frauen pro Kalenderjahr um 4 Monate angehoben, bis es 55 Jahre erreicht;
   * mindestens 15 Versicherungsjahre der Kategorie II und 56 Jahre bei Frauen und 59 Jahre und 4 Monate bei Männern, sofern die Summe von Versicherungszeiten und Alter 94 Jahren für Frauen und 100 Jahren für Männer entspricht. Das Rentenalter wird um 2 Monate pro Kalenderjahr für Männer und 4 Monate für Frauen angehoben, bis es 60 Jahre erreicht.
Für bestimmte Berufe existieren konkrete Bestimmungen:
   * Normale Soldaten, Offiziere und Beamte des Innenministeriums und der Staatlichen Agentur für nationale Sicherheit, Beamte, die in der Durchführung von Strafen, Sicherheit, Brandschutz und Schutz tätig sind: 54 Jahre und 4 Monate, wenn sie 27 Jahre Beschäftigung vorweisen können, von denen zwei Drittel tatsächlich in diesen Berufen geleistet wurden.
   * Flugbesatzung, Fallschirmspringer, Besatzung von Unterwasserschiffen und Unterwassertauchmannschaften mit mindestens 15 Dienstjahren und Balletttänzer mit mindestens 25 Dienstjahren: 44 Jahre und 4 Monate.
Das Rentenalter für diese Berufe wird um 2 Monate pro Kalenderjahr angehoben, bis es 55 oder 45 Jahre für Arbeiter erreicht.</t>
  </si>
  <si>
    <t>1. Säule:
Keine besonderen Bestimmungen für beschwerliche und gefährliche Berufe.</t>
  </si>
  <si>
    <t>Die Altersrente für langfristig unter Tage beschäftigte Bergleute ermöglicht einen Renteneintritt mit 62 Jahren für die ab 1964 Geborenen, wenn eine Wartezeit von 25 Jahren vorliegt. Für Versicherte, die nach dem 31. Dezember 1951 geboren sind, wird die Altersgrenze schrittweise von 60 auf 62 Jahre angehoben.</t>
  </si>
  <si>
    <t>Keine besonderen Bestimmungen zu beschwerlichen und gefährlichen Tätigkeiten.</t>
  </si>
  <si>
    <t xml:space="preserve">Dienstaltersrente (Työuraeläke): ab 63 Jahren unabhängig vom Geburtsjahr nach 38 Jahren beschwerlicher Arbeit.
Um Anspruch auf eine Rente zu haben, muss die Arbeit signifikante mentale und physische Anstrengungen erfordert haben und einen oder mehrere der folgenden Faktoren eingeschlossen haben:
   * Bewegungsabläufe, die große Muskelkraft erfordern oder eine Langzeitbelastung für die Muskulatur darstellen;
   * eine besonders schwere Belastung der Atemwegs- und Blutgefäßsysteme;
   * belastende und schwierige Arbeitspositionen;
   * sich wiederholende Bewegungen oder Bewegungsabläufe, die Kraft oder Schnelligkeit erfordern;
   * interaktive Arbeit, die besonders anstrengend ist und außerordentliche mentale Anstrengung erfordert sowie;
   * Arbeit, die permanente geistige Präsenz oder Umsicht erfordert und die hohe Risiken birgt oder die durch Bedrohung durch Gewalt gekennzeichnet ist.
</t>
  </si>
  <si>
    <t>1. Säule (Basissystem) und 2. Säule (Zusatzrentensysteme (Agirc-Arrco)):
Keine amtliche Definition von beschwerlicher und gefährlicher Arbeit.
Berücksichtigung bestimmter Faktoren der Arbeitsschwere (Nachtarbeit, extreme Temperaturen, Gefährdung durch Lärm usw.), bemessen in Punkten, für die Versicherungszeit (höchstens 8 angerechnete Versicherungsquartale).</t>
  </si>
  <si>
    <t xml:space="preserve">1. Säule (Hauptrente der e-EFKA):
Definition:
Beschwerliche und ungesunde Berufe sind in Ministerialentscheidung Nr. F10221/oik.26816/929/2011 aufgeführt. Die Entscheidung enthält Arbeitsplätze, an denen bestimmte Tätigkeiten unter dem Beschwerliche und ungesunde Berufe-Programm versichert sind. (z.B. Minen, Baustellen, Gerbereien, Eisen- und Stahlindustrie, Zementindutrie, Textilfabriken, Chemieindustrie, Waschmittelindustrie, Pflanzenschutzherstellung, Grubenausbau, Marmorverarbeitung, Lack- und Farbenindustrie, Chemiedüngerindustrie, Glasfabriken, Sprengstoffindustrie und Raffinerien).
Bedingungen zum Zugang zu beitrags-abhängiger Rente (ΑΝΤΑΠΟΔΟΤΙΚΗ ΣΥΝΤΑΞΗ):
Diejenigen, die unter den oben genannten Bedingungen versichert sind, gehen im Alter von 62 Jahren (mit weniger als 40 Beitragsjahren) in den Ruhestand und erhalten den vollen Rentenbetrag.
Bedingungen zum Zugang zu vorzeitiger Rente:
Versicherungsbeginn vor 01.01.1993:
   * Gesamtbetrag: ab 62 Jahren für Männer und Frauen, wenn sie 10.500 Versicherungstage absolviert haben (von denen an 7.500 unter beschwerlichen und ungesunden Bedingungen gearbeitet worden sein muss),
   * Gesamtbetrag: ab dem Alter von 62 Jahren für Männer und Frauen, wenn sie 4.500 Arbeitstage geleistet haben (davon 3.600 in beschwerlichen und gefährlichen Berufen – und von diesen 1.000 Tage in den letzten 17 Jahren vor dem Erreichen des Alters von 62),
   * Reduzierter Betrag: ab dem Alter von 60 Jahren für Männer und Frauen, wenn sie 35 Arbeitsjahre geleistet haben oder 10.500 Versicherungstage vorliegen (von denen 7.500 Tage unter beschwerlichen oder ungesunden Bedingungen gearbeitet worden sein müssen).
Versicherungsbeginn ab 01.01.1993:
   * Gesamtbetrag: ab dem Alter von 62 Jahren für Männer und Frauen, wenn sie 4.500 Arbeitstage geleistet haben, von diesen 3.375 in in beschwerlichen und gefährlichen Berufen.
</t>
  </si>
  <si>
    <t>Keine besonderen Bestimmungen zu beschwerlichen und gefährlichen Berufen.</t>
  </si>
  <si>
    <t>Keine besonderen Bestimmungen.</t>
  </si>
  <si>
    <t>Beschwerliche Arbeiten:
Definition und Kategorien von beschwerlichen Arbeiten (lavori usuranti): Bergarbeiter, Arbeitnehmer, die in der Asbestentfernung eingesetzt werden, Nachtschichtarbeiter, Fahrer (eingestuft in drei Kategorien entsprechend der Anzahl der Arbeitsstunden pro Nacht) schwerer Fahrzeuge im öffentlichen Personenverkehr etc. wie in der gesetzgebenden Verordnung Nr. 67 vom 21. April 2011 festgelegt.
Vorteilhaftere Bedingungen gelten für Arbeitnehmer, die beschwerliche Arbeiten ausführen:
   * keine Anwendung des Stundungssystems;
   * Verkürzung des Rentenalters um 12 bis 18 Monate gegenüber dem normalen Rentenalter (d.h. 35-jährige Beitragszahlungen + 61 Jahre und 7 Monate, die die aktuelle Quote von 97,60 erklären, die bis Dezember 2026 gilt);
   * keine weiteren Anpassungen an Lebenserwartung.
Der Anspruch ist abhängig von der Ausführung einer beschwerlichen Arbeit über einen Zeitraum von mindestens 7 Jahren in den letzten 10 Jahren des Erwerbslebens des Arbeitnehmers oder, alternativ, über die Hälfte des gesamten Erwerbslebens. Eine auf der Lebenserwartung basierende Verlängerung des Rentenalters für den Zeitraum 2019-2026 kommt nicht zur Anwendung.
Beschwerliche Arbeiten (lavori gravosi):
Arbeiternehmer, die beschwerliche Arbeiten mindestens 6 Jahre in den letzten 7 Jahren des Erwerbslebens oder 7 Jahre in den letzten 10 Jahren ausgeführt haben, können zudem Anspruch auf eine Vorruhestandsbeihilfe (A. PE Sociale - Anticipo Pensionistico) haben, sofern die Voraussetzungen erfüllt sind. Kategorien beschwerlicher Arbeiten sind im Stabilitätsgesetz für 2017 aufgeführt (Anhänge C und E) und wurden im Jahr 2018 (Anhang B des „Haushaltsgesetzes“ des Jahres 2018) erweitert, eingeschlossen sind z.B. Seefahrer, Beschäftigte in der Stahlindustrie, Fischer und Beschäftigte in der Landwirtschaftsindustrie) sowie im Jahr 2022 (Haushaltsgesetz einschließlich 23 neue Kategorien). Zudem gelten vorteilhaftere Konditionen für Angestellte der Bauindustrie hinsichtlich des Anspruchs auf die Vorruhestandsbeihilfe (A. PE Sociale - Anticipo Pensionistico): 63 Jahre und 5 Monate und 32 Beitragsjahre (anstelle der gesetzlich festgelegten 36 Jahre).</t>
  </si>
  <si>
    <t xml:space="preserve">Das Gesetz über zu berücksichtigende Versicherungszeiten mit erhöhter Dauer definiert beschwerliche und gefährliche Arbeiten als Tätigkeiten, die an „Arbeitsplätzen ausgeübt werden, an denen negative Auswirkungen auf die Gesundheit und die Arbeitsfähigkeit der Arbeitnehmer auftreten, obwohl allgemeine und spezielle Gesundheits- und Sicherheitsmaßnahmen getroffen wurden“.
Zugang zu Altersruhegeld in einem jüngeren Alter (eine Art risikospezifische vorzeitige Rente) entsprechend der in solchen Arbeitsstellen verbrachten Jahre und dem Grad der Dienststeigerung (wie zugerechnete Dienstzusatzjahre/-monate).
Das Rentenalter für beschwerliche und gefährliche Arbeiten wird wie folgt herabgesetzt:
   * um ein Jahr pro sechs Jahre in Arbeitsstellen oder Berufen, in denen eine Versicherungszeit von 12 Monaten als 14 Monate angerechnet wird,
   * um ein Jahr pro fünf Jahre in Arbeitsstellen oder Berufen, in denen eine Versicherungszeit von 12 Monaten als 15 Monate angerechnet wird,
   * um ein Jahr pro vier Jahre in Arbeitsstellen oder Berufen, in denen eine Versicherungszeit von 12 Monaten als 16 Monate angerechnet wird,
   * um ein Jahr pro drei Jahre in Arbeitsstellen oder Berufen, in denen eine Versicherungszeit von 12 Monaten als 18 Monate angerechnet wird.
Deutlich geringere Renteneintrittsalter wurden für einige spezifische Arbeiten vorgeschrieben:
   * Schiffbesatzungsmitglieder,
   * Arbeiter, die bei der Minenräumung oder im Heimatkrieg eingesetzt waren,
   * Arbeiter, die direkt oder indirekt Asbest ausgesetzt waren,
   * Feuerwehrleute,
   * Balletttänzer und Tanztheaterdarsteller.
</t>
  </si>
  <si>
    <t>Beschwerliche und gefährliche Arbeiten wurden im Jahr 1956 unter der regierung der UdSSR definiert.
Es gibt zwei Listen von Arbeitsplätzen (Liste Nr. 1 und Liste Nr. 2), die je nach dem Grad der Gefährlichkeit und Beschwerlichkeit variieren und aus denen einen Anspruch auf Ruhestand einige Jahre vor dem normalen Rentenalter entsteht, vorausgesetzt, diese Arbeit wurde vor 1996 durchgeführt:
   * Personen, die bis 1996 unter besonders gefährlichen und schweren Bedingungen gearbeitet haben Liste Nr. 1), können im Alter von 60 Jahren und 6 Monaten in Rente gehen (Frauen mit einer Versicherungszeit von mindestens 15 Jahren sowie 3 Jahren und 9 Monaten der Versicherung unter den betreffenden Bedingungen) und 63 Jahren (Männer mit einer Versicherungszeit von mindestens 20 Jahren sowie 5 Jahren der Versicherung unter den betreffenden Bedingungen);
   * Personen, die bis 1996 unter gefährlichen und schweren Bedingungen (Liste Nr. 2) gearbeitet haben, können im Alter von 63 Jahren in Rente gehen (Frauen mit einer Versicherungszeit von mindestens 20 Jahren sowie 5 Versicherungsjahren unter den betreffenden Bedingungen und Männer mit einer Versicherungszeit von mindestens 25 Jahren sowie 6 Jahren und 6 Monaten der Versicherung unter den betreffenden Bedingungen).</t>
  </si>
  <si>
    <t>Keine besonderen Regelungen zu beschwerlichen und gefährlichen Berufen.</t>
  </si>
  <si>
    <t>Keine besonderen Bestimmungen zu beschwerlichen und gefährlichen Berufen nach 1995. Dennoch wird Personen, die die erforderliche Zahl von Arbeitsjahren in beschwerlicher/gefährlicher Arbeit vor 1995 absolviert hatten, die jedoch noch zu jung waren für den Ruhestand, 5 Jahre vor Erreichen des Rentenalters eine Entschädigung gezahlt (Schutz der erworbenen Ansprüche).</t>
  </si>
  <si>
    <t>1. Säule:
Keine besonderen Bestimmungen für beschwerliche oder gefährliche Arbeit.</t>
  </si>
  <si>
    <t>Keine spezifischen Regelungen zu beschwerlichen und gefährlichen Berufen.</t>
  </si>
  <si>
    <t>Keine besonderen Bedingungen für beschwerliche und gefährliche Berufe.</t>
  </si>
  <si>
    <t>Schwerarbeitsrente:
   * Bei Schwerarbeit wird auf physische und psychische Belastungsmomente abgestellt. Diese Belastungsmomente sind in der sogenannten Schwerarbeitsverordnung festgeschrieben, die grundsätzlich nicht auf konkrete Berufe abstellt, sondern vielmehr berufsbedingt belastende Tätigkeiten normiert (z.B. Schichtdienste während der Nacht, Arbeit unter Hitze oder Kälte oder schwere körperliche Arbeit).
   * Frühestens mit Vollendung des 60. Lebensjahres.
   * Mindestens 540 Versicherungsmonate (45 Jahre), wobei innerhalb der letzten 240 Kalendermonate (20 Jahre) vor dem Stichtag mindestens 120 sogenannte Schwerarbeitsmonate (10 Jahre) vorliegen müssen.</t>
  </si>
  <si>
    <t>Für Personen, die vor dem 1. Januar 1949 geboren wurden:
Es gibt keine Definition von beschwerlichen oder gefährlichen Berufen. Personen, die unter besonderen Umständen oder in Berufen mit besonderen Merkmalen und in Vollzeit arbeiten, haben Anspruch auf Vorgezogene Rente (Wcześniejsza emerytura). Es gibt eine Liste von Berufen und Arbeitsarten, die unter diese Kategorie fallen.
Für Personen, die nach dem 31. Dezember 1948 geboren wurden:
Es gibt eine Definition von Berufen unter besonderen Bedingungen oder Berufen mit besonderen Merkmalen und eine Liste von Arbeitsarten.
Definition:
   * Berufe unter besonderen Bedingungen (praca w szczególnych warunkach) sind verbunden mit Risikofaktoren, die mit zunehmendem Alter mit hoher Wahrscheinlichkeit dauerhafte Gesundheitsschäden verursachen; Berufe müssen unter besonderen Arbeitsbedingungen ausgeübt werden und sind von Naturgewalten oder technologischen Prozessen bestimmt, die – trotz der Verwendung technischer, organisatorischer und medizinischer Präventivmaßnahmen – ein Gesundheitsrisiko darstellen.
   * Berufe mit besonderen Merkmalen (praca o szczególnym charakterze) sind solche, die besondere Verantwortung erfordern sowie hohe psycho-physische Effizienz und die Fähigkeit, die öffentliche Sicherheit nicht zu gefährden inklusive Gesundheit und Leben anderer. Diese Fähigkeiten können mit zunehmendem Alter abnehmen.
Personen, die unter gesundheitsschädlichen Bedingungen arbeiten oder eine bestimmte Art von Arbeit ausführen (enthalten in einer offiziellen Liste): 5 Jahre vor dem normalen Rentenalter, z. B. bei Journalisten, Glasarbeitern, Eisenbahnarbeitern; 10 Jahre z. B. bei Bergarbeitern, Personen beschäftigt im Umgang mit Blei, Kadmium oder Asbest, Stahlarbeitern, Piloten, Tauchern oder 15 Jahre z.B. bei Blasinstrumentenspielern.
Personen, die diese Berufe ausgeübt haben, haben unter bestimmten Bedingungen Anspruch auf die Überbrückungsrente (Emerytura pomostowa), die in Tabelle X – „Arbeitslosigkeit“, „Besondere Vereinbarungen für ältere Arbeitslose, 2. Bedingungen” enthalten sind.</t>
  </si>
  <si>
    <t>In Ermangelung einer konkreten Definition einer schweren oder ungesunden Arbeit sieht das Gesetz besondere Zugangsbedingungen zur Altersrente für Begünstigte vor, die einen besonders schweren Beruf ausgeübt haben;
   * Bergbauarbeiter und Arbeiter der Bergbauindustrie (Förderung und Verarbeitung von Grundstein): Renteneintrittsalter ab dem regulären Alter (2025: 66 Jahre und 7 Monate), gekürzt um ein Jahr pro zwei effektiv geleisteter Dienstjahre, bis zu einer Obergrenze von 50,1 Jahren (die unter außergewöhnlichen Umständen um bis zu 5 weitere Jahre gekürzt werden kann) und Bonus von 2,2% für jeden Zeitraum von 2 Dienstjahren jeweils mit einer Schwelle von 80%)
   * Seeleute: ab 55 Jahren, sofern mindestens 15 Jahre als Seemann tätig (273 Arbeitstage entsprechen einem effektiven Arbeitsjahr)
   * Hochseefischer: ab 55 Jahren, wenn 15 Jahre Beitragszahlungen und mindestens 30 Dienstjahre (150 Arbeitstage entsprechen einem Jahr). Ab 50 Jahren (Rente aufgrund vorzeitigen körperlichen Verschleißes) wenn mindestens 40 Dienstjahre (273 Arbeitstage entsprechen einem effektiven Arbeitsjahr)
   * Fluglotse: 60 Jahre, wenn mindestens 22 Dienstjahre in operativer Funktion
   * Tänzer (klassisches und zeitgenössisches Ballett): 45 Jahre, wenn 20 Jahre Halbtagstätigkeit oder 55 Jahre, wenn 10 Jahre Vollzeittätigkeit;
   * Stickerinnen der Insel Madeira: 60,1 Jahre, wenn 15 Jahre Beitragszahlungen.</t>
  </si>
  <si>
    <t>Erste Säule:
Personen, die den vollständigen beitragsabhängigen Versicherungszeitraum geleistet haben, haben Anspruch auf Altersrente mit reduziertem Ruhestandsalter, wenn sie Mindestversicherungszeiten geleistet haben in:
   * besonderen und schwierigen Arbeitsbedingungen;
   * den früheren Arbeitsgruppen I und II, welche bis 1. April 2011 existierten.
Die maximale Reduzierung des Rentenalters ist für Personen, die unter schwierigen Bedingungen oder im Rahmen der früheren Arbeitsgruppe II gearbeitet haben, auf 7 Jahre und für Personen, die unter besonderen Bedingungen oder unter der früheren Arbeitsgruppe I gearbeitet haben, auf 10 Jahre begrenzt. Besondere Befreiungen gelten jedoch für bestimmte Arbeitsstätten, die als Arbeitsstätten mit besonderen Bedingungen eingestuft sind und an denen das Rentenalter um 11, 13, 18 oder sogar 20 Jahre gesenkt werden kann, sofern die gesetzlich vorgeschriebenen Beitragszeiten erfüllt wurden.
Als Arbeitsplätze mit besonderen Bedingungen sind diejenigen definiert, an denen der Belastungsgrad mit Berufsrisiken oder Bedingungen, die spezifisch für bestimmte Bereiche des öffentlichen Dienstes sind, für die Gesamtdauer der normalen Arbeitszeit langfristig zu Berufskrankheiten oder gefährlichem Arbeitsverhalten führen können mit ernsten Konsequenzen für Sicherheit und Gesundheit von Versicherten bei der Arbeit.
Als Arbeitsplätze mit schwierigen Bedingungen werden diejenigen definiert, an denen der Belastungsgrad mit Berufsrisiken oder Bedingungen, die spezifisch für bestimmte Bereiche des öffentlichen Dienstes sind, für mindestens 50% der normalen Arbeitszeit langfristig zu Berufskrankheiten oder gefährlichem Arbeitsverhalten führen können mit ernsten Konsequenzen für Sicherheit und Gesundheit von Versicherten bei der Arbeit.
Zweite Säule:
Keine formale Anerkennung von Arbeitnehmern in beschwerlichen und gefährlichen Berufen.</t>
  </si>
  <si>
    <t>1. Säule (Grundsystem)/ 2. Säule (obligatorische Mindestvorsorge):
Keine besonderen Regelungen zu beschwerlichen und gefährlichen Berufen.</t>
  </si>
  <si>
    <t>In der Slowakei werden Berufe je nach dem Grad der möglichen Beeinträchtigung der Gesundheit der Arbeitnehmer durch die Arbeit und das Arbeitsumfeld in vier Kategorien eingeteilt. Gefährliche Tätigkeiten fallen in die dritte und vierte Kategorie der Klassifikation und umfassen Berufe, die die Wahrscheinlichkeit von Berufserkrankungen, Vergiftungen oder anderen arbeitsbedingten Gesundheitsproblemen erhöhen.
Die Zahlung von Beiträgen zur Zusatzrente (3. Säule) bei Mitarbeitern der Kategorie 3 und 4 ist verpflichtend für den Arbeitgeber. Hierunter fallen auch Blasinstrumentmusikanten und Tänzern.</t>
  </si>
  <si>
    <t xml:space="preserve">Es gibt keine eindeutige Definition für „beschwerliche oder gefährliche Berufe“. Eine Liste beschwerlicher oder gefährlicher Berufe wurde im Gesetz über die Ausweitung der Erweiterten Rentenbezüge aufgestellt.
Die Berufe werden je nach Höhe des Versicherungsbonus, der wiederum vom Grad der Beschwerlichkeit oder Gefährlichkeit der Berufe abhängt, in fünf Gruppen unterteilt.
Diese Berufe werden von der slowenischen Gesetzgebung im Rahmen gesonderter Rentenregelungen und –systeme anerkannt.
Versicherte Personen, die besonders schwierige Berufe oder Berufe ausüben, die der Gesundheit schaden können, sowie Berufe, die ab einem bestimmten Alter nicht mehr ordnungsgemäß ausgeübt werden können, sind zusätzlich über die betriebliche Altersversorgung (II. Säule) versichert. Wenn die Voraussetzungen erfüllt sind, erhält die versicherte Person die betriebliche Altersversorgung, die in monatlichen Raten gezahlt wird, bis die Voraussetzungen für eine (reguläre) Altersrente erfüllt sind.
Die betriebliche Altersversorgung wird unter den folgenden Voraussetzungen gewährt:
   * Mindestens 42 Jahre und sechs Monate rentenfähige Dienstzeit, einschließlich zusätzlichen Zeitraums und hinreichender Mittel auf dem persönlichen Konto zur Zahlung der betrieblichen Altersversorgung. Der Zeitraum, in dem die betriebliche Altersversorgung erhalten wird, entspricht der Differenz zwischen der tatsächlichen rentenfähigen Dienstzeit ohne den zusätzlichen Wert und 40 Jahren rentenfähiger Dienstzeit. Darüber hinaus wird Versicherten, die mindestens 17 Jahre lang in die Berufsversicherung eingezahlt haben, eine Altersrente gewährt, unabhängig davon, ob sie die Voraussetzung für die reguläre Altersrente nach Ablauf der betrieblichen Altersversorgung erfüllen oder
   * Wenn die Summe der Jahre des rentenfähigen Zeitraums niedriger ist, sollte sie mindestens 40 Jahre, einschließlich Zusatzzeitraum betragen, sofern auf dem persönlichen Konto ausreichende Mittel für die Zahlung der betrieblichen Altersversorgung vorhanden sind und die Altersvoraussetzung je nach Berufsgruppe erfüllt ist.
Wenn es Zeiträume gibt, in denen die versicherten Personen keinen Anspruch auf eine Berufsversicherung haben, sollten sie mindestens 60 Jahre alt sein oder die Altersvoraussetzungen entsprechend der Kategorie erfüllen, der ihr Beruf zugeordnet wird, d. h.:
   * Arbeitsplatz, Klasse 1: 56 Jahre alt;
   * Arbeitsplatz, Klasse 2: 55 Jahre alt;
   * Arbeitsplatz, Klasse 3: 54 Jahre alt;
   * Arbeitsplatz, Klasse 4: 53 Jahre alt;
   * Arbeitsplatz, Klasse 5: 52 Jahre alt.
</t>
  </si>
  <si>
    <t>Keine Definition beschwerlicher oder gefährlicher Arbeitsplätze, es gibt jedoch Berufsgruppen oder Tätigkeiten, deren Arbeitsplätze als besonders beschwerlich, gefährlich, toxisch oder ungesund betrachtet werden und die besonders hohe Sterblichkeits- oder Morbiditätsraten mit sich bringen:
   * Bergbauarbeiter;
   * Flugpersonal;
   * Eisenbahner;
   * Künstler;
   * Stierkämpfer;
   * Feuerwehrleute im öffentlichen Dienst und öffentlichen Einrichtungen;
   * örtliche Polizeibeamte und Mitglieder der baskischen Polizei, der katalanischen Polizei oder der Polizei von Navarra. 
Es gelten besondere Bedingungen für diese Gruppen im Bezug auf Absenkung des normalen Renteneintrittsalters.</t>
  </si>
  <si>
    <t>Ein niedrigeres gesetzliches Renteneintrittsalter gilt für Personen, die in bestimmten Tätigkeiten im Bergbau Minen gearbeitet haben, Sanitäter, Feuerwehrleute und gefährliche Tätigkeiten (4. Beschäftigungskategorie im Rahmen des Gesetzes zum Schutz der öffentlichen Gesundheit).</t>
  </si>
  <si>
    <t>Erste Säule:
Keine besonderen Bestimmungen zu Altersrenten in beschwerlichen und gefährlichen Berufen.
Für Leistung vor dem Rentenalter (Korhatár előtti ellátás) – wobei es sich nicht um eine Altersrente handelt – können Untertagearbeit (für Berg-leute) und professioneller Tanz (für Ballett- und Tanzkünstler) sowie Berufe, die mit spezifischen Berufsbe-zeichnungen verbunden sind (ausgeübt vor dem 1. Januar 2014) als beschwerliche und gefährliche Berufe bezeichnet werden.</t>
  </si>
  <si>
    <t>Keine besonderen Bestimmungen, mit Ausnahme von Bergarbeitern mit mindestens 3 Jahren Tätigkeit im Bergbau, deren Renteneintrittsalter bei 63 Jahren liegt. 
Bergarbeiter, die mindestens drei Jahre im Bergbau beschäftigt waren, haben einen vorzeitigen Anspruch auf gesetzliche Rente (Θεσμοθετημένη Σύνταξη) um jeweils einen Monat je 5 Monate Tätigkeit im Bergbau, falls der Renteneintritt unmittelbar nach dieser Beschäftigung erfolgt. In keinem Fall kann die Rente vor Vollendung des 58. Lebensjahres bezogen werden.</t>
  </si>
  <si>
    <t>Mit dem Einverständnis des Arbeitgebers ist eine unbeschränkte Verlängerung möglich.</t>
  </si>
  <si>
    <t>Unbegrenzter Aufschub möglich.</t>
  </si>
  <si>
    <t>1. Säule:
Altersrente (Folkepension):
Aufschub bis zu 120 Monaten zu jeder Zeit ab dem Ruhestandsalter möglich. Anspruch auf Altersrente muss bestehen und mindestens 750 Arbeitsstunden im Kalenderjahr müssen geleistet werden.
Zusatzrente (arbejdsmarkedets tillægspension, ATP) und obligatorisches Rentensystem (Obligatorisk Pensionsordning):
Aufschub um höchstens 10 Jahre ab Erreichen des Rentenalters möglich. Aufschub ist nicht möglich, wenn die Rente als Pauschalbetrag ausgezahlt wird.</t>
  </si>
  <si>
    <t>Unbegrenzter Aufschub möglich.
Für jeden Monat nach Erreichen der Regelaltersgrenze, den die Rente aufgeschoben wird, erhöht sich die spätere Rente dauerhaft um 0,5% (jährlich 6%).
Nach Erreichen der Regelaltersgrenze kann auf die dann grundsätzlich bestehende Versicherungsfreiheit verzichtet werden. So können Beschäftigte weitere Entgeltpunkte erwerben und ihren Rentenanspruch erhöhen.</t>
  </si>
  <si>
    <t>1. Säule und 2. Säule:
Unbegrenzter Aufschub möglich.</t>
  </si>
  <si>
    <t>1. Säule (Basissystem):
Ab dem Erreichen des gesetzlichen Rentenalters, Erhöhung des Rentenbetrags (Bonus), wenn die Bedingungen für eine Rente zum vollen Satz erfüllt sind.
Ab dem Alter bei dem die Rente automatisch zum vollen Satz ausgezahlt wird (67 Jahre), Erhöhung der angerechneten Versicherungszeit, falls bis dahin die vom Geburtsjahr abhängige erforderliche Versicherungsdauer nicht erreicht ist, um die Auswirkungen der Proratisierung der Rente zu begrenzen.
2. Säule (Zusatzrentensysteme (Agirc-Arrco)):
Der Arbeitnehmer kann über das 67. Lebensjahr hinaus im Beschäftigungsverhältnis bleiben.
Der Arbeitgeber kann jedoch von einem Arbeitnehmer im Alter von 67 bis 69 Jahren verlangen, in den Ruhestand zu gehen. Der Arbeitnehmer muss diesem jedoch zustimmen. Ab dem Alter von 70 Jahren kann der Arbeitnehmer die von dem Arbeitgeber verlangte Versetzung in den Ruhestand nicht mehr ablehnen.</t>
  </si>
  <si>
    <t>1. Säule (Hauptrente der e-EFKA):
Unbegrenzter Aufschub möglich.
Kein Aufschub möglich für Beamte über 67 Jahren.</t>
  </si>
  <si>
    <t>Kein Aufschub des Ruhestands möglich.</t>
  </si>
  <si>
    <t>Volksrente (lífeyrir almannatrygginga):
Aufschub des Rentenantrags bis zum Alter von 80 Jahren mit erhöhten Leistungen (nach versicherungsmathematischer Berechnung) möglich, wenn der Rentner keine Altersrente aus dem Volksrentensystemg oder den Rentenfonds des Arbeitsrentensystems bezogen hat.
Arbeitsrente (lögbundnir lífeyrissjóðir):
Aufschub in der Regel bis zum Alter von 70 Jahren möglich.</t>
  </si>
  <si>
    <t>Aufschub bis zu einem Alter von 70 Jahren und 3 Monaten (angepasst nach Lebenserwartung) möglich für Ärzte, die in öffentlichen Gesundheitszentren/Krankenhäusern tätig sind.</t>
  </si>
  <si>
    <t>1. Säule/2.Säule:
Unbegrenzter Aufschub möglich.</t>
  </si>
  <si>
    <t>1. Säule: Rentenaufschub ist bis zum vollendeten 70. Altersjahr möglich (versicherungsmathematische Rentenerhöhung).
2. Säule: Wird das Vorsorgeverhältnis über das ordentliche Rentenalter nach dem AHVG hinaus verlängert, sind ausschließlich Altersleistungen versichert. Regelung im Reglement der jeweiligen Vorsorgeeinrichtung.</t>
  </si>
  <si>
    <t>Rentenaufschub ist für maximal fünf Jahre möglich.</t>
  </si>
  <si>
    <t>1. Säule:
Kein Aufschub der Rente.</t>
  </si>
  <si>
    <t>Ein Aufschub der Rente ist für Rentner möglich, die die Voraussetzungen für den Bezug einer Rente vor dem Rentenalter erfüllen, sich jedoch dafür entscheiden, mindestens ein volles Jahr weiter ihrer unselbstständigen oder selbstständigen Beschäftigung nachzugehen. Ein Aufschub ist nach dem Alter von 65 Jahren nicht möglich.</t>
  </si>
  <si>
    <t>Kein Rentenaufschub möglich.</t>
  </si>
  <si>
    <t>Der Altersrentenbezug kann bis nach dem 67. Lebensjahr aufgeschoben werden. Es gibt dafür keine Altersobergrenze, der Betrag der Rente steigt jedoch über das 75. Lebensjahr hinaus nicht weiter an.</t>
  </si>
  <si>
    <t>Unbegrenzter Aufschub möglich.
Zur Erhöhung der Rente durch Aufschub siehe Tabelle VI, 13. Aufgeschobene Rente.</t>
  </si>
  <si>
    <t>Erste Säule:
Der individuelle Arbeitsvertrag endet, wenn die Person die Bedingungen für den Erhalt einer Altersrente erfüllt.
Personen, die im staatlichen Rentensystem versichert sind und die Bedingungen erfüllen (übliches Renteneintrittsalter und Mindestbeitragszeit), können wählen zwischen Renteneintritt und der Fortsetzung der Erwerbstätigkeit im Rahmen derselben vertraglichen Vereinbarung (mit alljährlicher Zustimmung des Arbeitgebers) bis zum Alter von 70 Jahren.
Zweite Säule:
Unbegrenzter Aufschub möglich.</t>
  </si>
  <si>
    <t>1. Säule (Grundsystem):
Aufschub zwischen 1 und höchstens 5 Jahren der gesamten Rente oder eines Prozentsatzes zwischen 20 und 80% der Rente. Keine besonderen Bedingungen.
2. Säule (obligatorische Mindestvorsorge):
Versicherte können den Bezug ihrer Altersleistung bis zum Ende der Erwerbstätigkeit aufschieben, höchstens jedoch bis zur Vollendung des 70. Altersjahres.</t>
  </si>
  <si>
    <t>Ein unbegrenzter Aufschub ist möglich, außer für Mitarbeiter des öffentlichen Dienstes.</t>
  </si>
  <si>
    <t>Ein unbefristeter Aufschub ist möglich. Minimum 90 Kalendertage nach dem gesetzlichen Renteneintrittsalter für Rückstellung von zusätzlichen Rentenansprüchen.</t>
  </si>
  <si>
    <t>Erste Säule:
Unbegrenzter Aufschub der Altersrente (Öregségi nyugdíj) ist möglich.</t>
  </si>
  <si>
    <t>Aufschub bis zur Vollendung des 68. Lebensjahrs möglich.
Kein Aufschub möglich: vom Alter von 63 Jahren bis zum Alter von 65 Jahren ab 1. Januar 2016.</t>
  </si>
  <si>
    <t xml:space="preserve">   Leistungen</t>
  </si>
  <si>
    <t>Höhe des anrechnungsfähigen Arbeitsentgelts, Versicherungsdauer und Familienstand.</t>
  </si>
  <si>
    <t>Erste Säule:
   * Bezugslohn,
   * Versicherungszeit,
   * Nationales durchschnittliches monatliches versicherungspflichtiges Einkommen,
   * individueller Koeffizient des Anspruchsberechtigten.
Zweite Säule:
   * Akkumulierte Mittel des individuellen Kontos,
   * offizielle biometrische Tabellen (Berücksichtigung der Lebenserwartung) für lebenslange oder befristete Renten,
   * genehmigter rechnerischer Zinssatz.</t>
  </si>
  <si>
    <t>1. Säule:
Altersrente (Folkepension)/Frührente (Tidlig Pension):
Dauer des Wohnsitzes in Dänemark im Alter von 15 Jahren bis zum Ruhestandsalter.
Zusatzrente (arbejdsmarkedets tillægspension, ATP) und obligatorisches Rentensystem (Obligatorisk Pensionsordning):
Versicherungsdauer und entrichtete Beiträge.</t>
  </si>
  <si>
    <t>Höhe der während des gesamten Versicherungslebens durch Beiträge versicherten Arbeitsentgelte und freiwilliger Beiträge (Beitragszeiten) sowie Kindererziehungszeiten.</t>
  </si>
  <si>
    <t>1. Säule:
Anzahl der Jahre einer versicherten Beschäftigung bis zum 31.12.1998.
Zahlungen von Sozialsteuer (sotsiaalmaks) seit dem 01.01.1999.
2. Säule:
Zahlungen von Sozialsteuer (sotsiaalmaks) und Performance von Pensionsfonds.</t>
  </si>
  <si>
    <t>Gesetzliche einkommensbezogene Rente (Työeläke):
Versicherte Entgelte für jedes Jahr.
Volksrente (Kansaneläke):
Dauer des Wohnsitzes in Finnland, Familienstand und Höhe sonstiger Renteneinkommen aus Finnland und dem Ausland.
Garantierte Rente (Takuueläke):
Die Höhe der garantierten Rente ist abhängig von jedem anderen in Finnland oder im Ausland erworbenen Renteneinkommen.</t>
  </si>
  <si>
    <t>1. Säule (Basissystem):
Die für eine Rente zum vollen Satz erforderliche Versicherungsdauer, das durchschnittliche Jahresbruttoeinkommen und die Relation der tatsächlichen Versicherungsdauer zur maximalen Versicherungsdauer.
2. Säule (Zusatzrentensysteme (Agirc-Arrco)):
Die Anzahl der während des Berufslebens erworbenen Rentenpunkte und der Wert eines Punktes.</t>
  </si>
  <si>
    <t>1. Säule (Hauptrente der e-EFKA):
Höhe des bisherigen rentenberechtigten Einkommens, Anzahl der Versicherungsjahre, Wohnsitz, Alter, Ersatzrate pro Jahr, BIP, Verbraucherpreisindex, Existenzfähigkeit des Pensionsfonds.
Unter besonderen Bedingungen, angerechnete Zeiträume (z. B., Zeiten in Ausbildung, Streiks, Ausbildung, Elternschaft, Wehrdienst und Inhaftierung), für die auf freiwilliger Basis rückwirkend Beiträge gezahlt wurden.
Beiträge gezahlt während desselben Zeitraums an unterschiedliche Versicherungsfonds, eingebunden in die Elektronische Nationale Sozialversicherung (e-EFKA) (parallele Versicherung – παράλληλη ασφάλιση) (bis 31. Dezember 2016) weil unterschiedliche Tätigkeiten ausgeführt wurden.
Versicherungszeit nach Beendigung der Tätigkeit oder Beschäftigung, für die Beiträge (für Arbeitgeber und Arbeitnehmer) freiwillig vom Arbeitnehmer gezahlt werden, um einen Anspruch auf Altersrente zu erwerben (προαιρετική συνέχιση της ασφάλισης).</t>
  </si>
  <si>
    <t>Durchschnittlich (entrichtete oder angerechnete) Anzahl von Beiträgen pro Jahr.
Derzeit wird jeder Antrag nach zwei Methoden beurteilt:
   * jährlich gemeldete durchschnittliche Beitragsanzahl (entrichtet oder angerechnet) – die Beitragsanzahl geteilt durch die Verweildauer im Sozialversicherungssystem);
   * dem vorläufigen Gesamtbeitragsansatz. Alle geleisteten Beiträge und für bis zu zwei Jahre angerechnete Beiträge werden kombiniert.
Für die Zahlung wird die Methode genutzt, die für den Antragsteller vorteilhafter ist.</t>
  </si>
  <si>
    <t>Volksrente (lífeyrir almannatrygginga):
Dauer des Wohnsitzes in Island und Einkommen aus anderen Quellen.
Arbeitsrente (lögbundnir lífeyrissjóðir):
Versicherungsdauer und Höhe der Beiträge.</t>
  </si>
  <si>
    <t>Geleistete Gesamtbeiträge, Alter und Anpassung an die Veränderung der Lebenserwartung.</t>
  </si>
  <si>
    <t xml:space="preserve">1. Säule:
   * früheres Einkommen,
   * Erwerbsbiografie,
   * von der Kroatischen Rentenversicherungsanstalt (Hrvatski zavod za mirovinsko osiguranje) festgelegter Quotient.
2. Säule:
   * individuelle Ansparung,
   * geschlechtsneutrale versicherungsmathematische Tabellen.
</t>
  </si>
  <si>
    <t xml:space="preserve">1. Säule:
   * Versicherungsjahre bis 1996,
   * Höhe der gezahlten Beiträge seit 1996,
   * Alter der versicherten Person.
2. Säule:
   * angesammeltes Rentenkapital,
   * von dem Versicherten gewählter Rentenfonds.
</t>
  </si>
  <si>
    <t>1. Säule: Die Höhe der Rente berechnet sich nach zwei Faktoren:
   * nach der Beitragsdauer (zur Bestimmung der Rentenskala) und
   * nach dem sog. "maßgebenden durchschnittlichen Jahreseinkommen" (zur Bestimmung der Rentenhöhe innerhalb der anwendbaren Rentenskala).
2. Säule: Dauer der Beitragszahlung, Höhe der Beiträge, Höhe des Umwandlungssatzes (allfällige Einkaufsleistungen, um sich höher zu versichern).</t>
  </si>
  <si>
    <t>Höhe des versicherten Einkommens und Anzahl der Versicherungsjahre vor dem Bezug der Altersrente.</t>
  </si>
  <si>
    <t>1. Säule:
Anzahl der Versicherungsjahre, einschließlich der zusätzlichen Zeiten (von der Versicherungsdauer abhängige Pauschalleistung (majorations forfaitaires)) und der Summe der versicherten Einkommen (einkommensabhängiger Rententeilbetrag (majorations proportionnelles)).
Anteilmäßig gestaffelte Erhöhung wenn die Summe der Versicherungszeiten und das Alter die Zahl 94 übersteigt.</t>
  </si>
  <si>
    <t>Höhe des Einkommens aus Erwerbstätigkeit und Anzahl der geleisteten Beiträge, bevor die Rente beantragt wird.</t>
  </si>
  <si>
    <t>Nachweis von Versicherungszeiten, Haushaltstatus.</t>
  </si>
  <si>
    <t>Für alle Leistungen:
   * Renteneintrittsalter (Alter zu Beginn des Rentenbezugs);
   * Lebenserwartung der Altersgruppe.
Einkommensbasierte Rente (inntektspensjon):
   * Einkommen ab dem Alter von 13 Jahren bis zu einem Alter von 75 Jahren.
Einkommensbasierte Zusatzrente (tilleggspensjon):
   * Anzahl der Jahre mit Rentenpunkten (bis zu 40 Jahre);
   * Höhe der Rentenpunkte (pensjonspoeng) während der besten 20 Jahre.
Garantierte Rente (garantipensjon), Grundrente (grunnpensjon) und Mindestrente (minste pensjonsnivå):
   * Anzahl der Jahre des Wohnsitzes in Norwegen (bis zu 40 Jahre);
   * Familienstand.</t>
  </si>
  <si>
    <t>Höhe des Einkommens, Versicherungsdauer und Alter bei Inanspruchnahme.</t>
  </si>
  <si>
    <t>Personen, die vor dem 1. Januar 1949 geboren wurden:
   * Höhe des Bezugsentgelts;
   * Anzahl der Versicherungsjahre;
   * Grundbetrag.
Personen, die nach 31. Dezember 1948 geboren wurden:
   * Beitragspflichtiges Arbeitsentgelt während des gesamten Versicherungszeitraums;
   * Alter des Versicherten zum Zeitpunkt der Zuerkennung der Rente.</t>
  </si>
  <si>
    <t>Die Höhe der zu beziehenden Rente richtet sich nach:
   * Anzahl der Versicherungsjahre.
   * Durchschnittlicher Monatsverdienst im gesamten Beitragszeitraum.
   * Alter der antragstellenden Person.
   * Der Nachhaltigkeitsfaktor (Abschlag auf vorzeitige Renten, die sich aus dem Verhältnis zwischen der mittleren Lebenserwartung im Jahr 2000 und der im Jahr vor dem Rentenantrag ermittelten Lebenserwartung ergeben) wird nur bei der Berechnung der vorzeitigen Rente verwendet.</t>
  </si>
  <si>
    <t>Erste Säule:
Länge der Beitragsdauer, Höhe der Einkünfte.
Zweite Säule:
Nettowert des persönlichen Rentenvermögens, Leistung des Rentenfonds.</t>
  </si>
  <si>
    <t xml:space="preserve">Entgeltbezogene Altersrente, Einkommensrente (inkomstpension):
   * Einkünfte während des gesamten Erwerbslebens;
   * Alter bei Beginn des Ruhestands;
   * Lebenserwartung der Alterskohorte;
   * Entwicklung von Wirtschaft/Einkommen.
Kapitalgedeckte Prämienrente (premiepension):
   * Allgemeine Versicherungsprinzipien und die Wertentwicklung des gewählten Fonds;
   * Einkünfte während des gesamten Erwerbslebens (Beginn im Jahr 1995);
   * Alter bei Beginn des Ruhestands;
   * Lebenserwartung der Alterskohorte.
Entgeltbezogene Zusatzrente (tilläggspension) (altes System):
   * Anzahl der Jahre mit rentenfähigem Einkommen in Schweden (bis zu 30 Jahre);
   * Einkommenshöhe;
   * Alter bei Beginn des Ruhestands;
   * Einkommensentwicklung für Personen über 65 Jahre.
Garantierente (garantipension):
   * Dauer des Wohnsitzes in Schweden (maximal 40 Jahre);
   * Höhe der entgeltbezogenen Renten;
   * Familienstand.
Ergänzung zur Einkommensrente (inkomstpensionstillägg):
   * Anzahl der Jahre rentenfähigen Einkommens in Schweden (die Höchstzahl der Jahre ist abhängig vom Geburtsjahr);
   * Betrag der einkommensbezogenen Renten.
</t>
  </si>
  <si>
    <t>1. Säule (Grundsystem):
Die Höhe der Rente hängt von den Beitragsjahren (zur Bestimmung der Rentenskala) und vom durchschnittlichen Jahreseinkommen (zur Bestimmung der Rentenhöhe innerhalb der anwendbaren Rentenskala) ab.
2. Säule (obligatorische Mindestvorsorge):
Die Rente wird in Prozent des Altersguthabens berechnet (Altersguthaben = Beiträge + Zinsen).</t>
  </si>
  <si>
    <t>Höhe der während des gesamten Versicherungslebens durch Beiträge versicherten Arbeitsentgelte und Dauer des Versicherungszeitraums.</t>
  </si>
  <si>
    <t xml:space="preserve">
   * Früheres Einkommen;
   * Anzahl der Versicherungsjahre;
   * Geschlecht des Leistungsempfängers;
   * Alter zum Zeitpunkt des Rentenantrags (vor oder nach der normalen Altersgrenze).</t>
  </si>
  <si>
    <t>Höhe der vom Bruttoarbeitsentgelt und der Anzahl der Beitragsjahre abhängenden geleisteten Beiträge.</t>
  </si>
  <si>
    <t>Höhe des Einkommens und Anzahl der Versicherungsjahre.</t>
  </si>
  <si>
    <t>Erste Säule:
Altersrente der Sozialversicherung (Öregségi nyugdíj), Leistung vor dem Rentenalter (Korhatár előtti ellátás), und Altersrente für Frauen mit 40 Jahren Anwartschaftszeit (Öregségi nyugdíj nők számára 40 év jogosultsági idővel):
Monatliches Durchschnittsnettoeinkommen und Versicherungsdauer.</t>
  </si>
  <si>
    <t>Höhe des versicherungspflichtigen Einkommens und Anzahl der Versicherungsjahre.
Für die Definition von versicherungspflichtigem Entgelt siehe Tabelle I zu Finanzierung – Allgemeine Sozialbeitragssätze.</t>
  </si>
  <si>
    <t>Für jedes anrechnungsfähige Jahr wird die Rente wie folgt berechnet:
Alleinstehende und Verheiratete ohne unterhaltsberechtigten Ehepartner:
S x 60% x 1/45.
Verheiratete mit unterhaltsberechtigtem Ehepartner:
S x 75% x 1/45.
S = Bezugslohn (siehe unten).
Monatliche Rentenzahlung.
Jährliche Zahlung mit Urlaubsgeld und sehr niedrigen Renten. Die Häufigkeit der Zahlungen ist in der Vorschrift festgelegt.</t>
  </si>
  <si>
    <t>Erste Säule:
Die Bestimmung des Betrags der Altersrente erfolgt über die Multiplikation des Einkommens, das als Grundlage zur Berechnung der Rente fungiert, mit einem Prozentsatz:
1,35% für jedes Versicherungsjahr ohne Umrechnung und ein proportionaler Anteil dieses Prozentsatzes für die Versicherungsmonate ohne Umrechung;
1,2% für jedes Versicherungsjahr und ein proportionaler Anteil dieses Prozentsatzes für die Versicherungsmonate – für die Versicherungszeiten, d.h. die Differenz zwischen der gesamten Versicherungserfahrung, die einer Person gutgeschrieben wird und der Erfahrung gemäß dem oben genannten Punkt.
Die Renten werden auf monatlicher Basis ausgezahlt.
Es gibt Oster- oder Weihnachtsgeld, sofern dies für alle Rentner vorgesehen ist.
Zweite Säule:
Der Betrag der lebenslangen Zusatzrente hängt ab von angesammelten Kapital.</t>
  </si>
  <si>
    <t>1. Säule:
Altersrente (Folkepension):
Grundrente: DKK 7.198 (€965) pro Monat.
Rentenzulage: DKK 8.329 (€1.116) pro Monat für eine Person, DKK 4.262 (€571) pro Monat für Rentner mit Ehepartner bzw. Lebensgefährten. Die Rentenzulage (pensionstillæg) wird um die Einkünfte des Rentners und seines Ehepartners bzw. Lebensgefährten reduziert (die Rentenzulage verringert sich jedoch nicht durch das Arbeitseinkommen).
Sowohl die Grundrente als auch die Rentenzulage werden jeden Monat gezahlt.
Ergänzender Rentenbetrag (Supplerende pensionsydelse): 1/40 des Jahresbetrags von DKK 25.700 (€3.445) pro Jahr des Wohnsitzes zwischen dem Alter von 15 Jahren bis zum Ruhestandsalter bis zu einem Maximum von 40/40. Er wird um die Einkünfte des Rentners und seines Ehepartners bzw. Lebensgefährten reduziert (ausgenommen das Arbeitseinkommen des Ehepartners/Lebenspartners). Alleinlebende Rentner und Paare mit liquiden Vermögenswerten, die DKK 103.100 (€13.818) pro Jahr übersteigen, haben keinen Anspruch auf ergänzende Rentenbeträge.
Mediencheck (mediecheck): DKK 1.085 (€145) pro Jahr. Der Betrag kann nur ausgezahlt werden, wenn das Einkommen (ohne Sozialrente) für einen einzelnen Rentner unter DKK 35.200 (€4.718) pro Jahr oder für einen Empfänger und einen Ehepartner bzw. Lebensgefährten unter DKK 69.700 (€9.341) liegt. Es handelt sich um eine Zulage zur Altersrente (folkepension) und zur Invalidenrente (førtidspension), wenn sie nach dem 1. Januar 2003 gewährt wurden.
Sowohl der ergänzende Rentenbetrag als auch der Mediencheck werden einmal jährlich im Januar gezahlt.
Zusatzrente (arbejdsmarkedets tillægspension, ATP) und obligatorisches Rentensystem (Obligatorisk Pensionsordning):
Jährlich DKK 26.000 (€3.485) ab dem Alter von 67 Jahren, falls der Empfänger seit dem 1975 im Zusatzrentensystem (arbejdsmarkedets tillægspension, ATP) versichert ist und seit diesem Zeitpunkt ununterbrochen einer Vollzeitbeschäftigung nachging.
Zusatzrenten von DKK 3.450 (€462) oder weniger pro Jahr vor Steuern. Gezahlt als Pauschalbetrag.</t>
  </si>
  <si>
    <t>Die Höhe der Rente ergibt sich nach der folgenden Formel:
PEP x RA (1,0) x AR
PEP = persönliche Entgeltpunkte:
Die Summe der Entgeltpunkte ergibt sich aus den jährlich versicherten Entgelten oder Einkommen, geteilt durch das Durchschnittsentgelt im selben Jahr, hinzu kommen Entgeltpunkte für bestimmte beitragsfreie Zeiten und Zuschläge für sogenannte beitragsgeminderte Zeiten. Die Summe der Entgeltpunkte wird multipliziert mit dem Zugangsfaktor. Der Zugangsfaktor bewirkt Rentenabschläge bei vorzeitiger Inanspruchnahme einer Rente oder Zuschläge bei Inanspruchnahme einer Altersrente erst nach Erreichen der Regelaltersgrenze.
RA = Rentenartfaktor:
Ein nach dem jeweiligen Sicherungsziel festgelegter Faktor (für Altersrenten 1,0).
AR: aktueller Rentenwert:
Der aktuelle Rentenwert ist der Betrag, der einer abschlagsfreien monatlichen Rente wegen Alters der allgemeinen Rentenversicherung entspricht, wenn für ein Kalenderjahr Beiträge aufgrund des Durchschnittsentgelts gezahlt worden sind. Er wird jedes Jahr zum 1. Juli neu bestimmt. Die Anpassung orientiert sich grundsätzlich an der Entwicklung der Löhne und Gehälter. Der aktuelle Rentenwert beträgt seit 1. Juli 2025 €40,79.
Die Renten werden monatlich ohne weitere Ermessens- oder Bonusleistungen gezahlt.
Grundrentenzuschlag:
Die Rente wird um einen individuell berechneten Zuschlag erhöht, wenn u.a. mindestens 33 Jahre ‘Grundrentenzeiten’ vorliegen (vor allem Pflichtbeitragszeiten aus Beschäftigung, Kindererziehung und Pflegetätigkeit). Grundlage für die Zuschlagsberechnung sind die Entgeltpunkte (EP), die aus den ‘Grundrentenbewertungszeiten’ erworben wurden. Dazu gehören nur diejenigen Grundrentenzeiten, die mindestens einen Wert von 0,025 EP/Monat (0,3 EP/Jahr) aufweisen. Das entspricht 30 % des Durchschnittsverdiensts aller Versicherten im jeweiligen Jahr. Liegt bei mindestens 35 Jahren Grundrentenzeiten der Durchschnittswert aus allen ‘Grundrentenbewertungszeiten’ unter 80 Prozent des Durchschnittsverdienstes (= 0,8 EP/Jahr), wird für höchstens 35 Jahre Grundrentenbewertungszeiten ein Zuschlag ermittelt. Im Übergangsbereich zwischen 33 und 35 Jahren wird ein aufwachsender Grundrentenzuschlag berechnet.
Der Grundrentenzuschlag wird einkommensabhängig gewährt. Liegt das zu berücksichtigende Einkommen über dem Einkommensfreibetrag von €1.438 (Alleinstehende) bzw. €2.243 (Paare), wird der darüber liegende Betrag zu 60 Prozent auf den Grundrentenzuschlag angerechnet. Der ein Einkommen von €1.840 (Alleinstehende) bzw. €2.646 (Paare) übersteigende Betrag wird dann vollständig auf den Grundrentenzuschlag angerechnet.
Die Einkommensprüfung läuft weitgehend automatisiert ab. Hierzu wurde ein Datenabrufverfahren zwischen der Rentenversicherung und den Finanzbehörden eingerichtet.</t>
  </si>
  <si>
    <t>Altersrente (vanaduspension):
Summe von 4 Komponenten:
   * Grundbetrag,
   * Beschäftigungskomponente (für den Zeitraum bis zum 31.12.1998),
   * Versicherungskomponente(für den Zeitraum ab dem 01.01.1999 bis 31.12.2020);
   * Verbundkomponente (für den Zeitraum ab 01.01.2021).
Ab dem 01.04.2025 beläuft sich der monatliche Grundbetrag auf €377,25.
Die Komponente der Beschäftigungsdauer wird auf der Grundlage einer versicherten Beschäftigung bis zum 31.12.1998 berechnet, multipliziert mit dem Wert eines Beschäftigungsjahres.
Die Versicherungskomponente wird als Summe der jährlichen Rentenkoeffizienten multipliziert mit dem Wert eines Beschäftigungsjahres berechnet. Die Rentenversicherungskoeffizienten ergeben sich aus der Division der Summe der Beträge der für die Person gezahlten Sozialsteuer (sotsiaalmaks) ab dem 01.01.1999 durch den nationalen Durchschnitt der Sozialsteuer des entsprechenden Jahres.
Der Wert eines Beschäftigungsjahres beläuft sich ab dem 01.04.2025 auf €10.000.
Der Anteil der Verbundkomponente besteht aus:
   * einer Versicherungskomponente von 50%. Die Höhe der Versicherungskomponente wird auf Basis der erhaltenen Sozialsteuer berechnet. Sie wird auf gleiche Weise berechnet wie die derzeit akkumulierte Versicherungskomponente. Die Höhe der Versicherungskomponente für eine Person, die in Estland einen Durchschnittsbruttolohn bezieht, ist z.B. 1,0;
   * einer Solidarkomponente von 50%. Die Solidarkomponente beträgt 1,0, wenn die Sozialsteuer für mindestens das 12-fache des Mindestbruttolohns pro Jahr gezahlt wurde. Beträgt die gezahlte Sozialsteuer weniger als den jährlichen Mindestbruttolohn, wird die Solidarkomponente proportional berechnet.
Personen, die vor 2024 eine Vorzugsrente bezogen haben, können diese auch weiterhin bis Ende des Jahres 2030, 2036 oder 2049 beziehen.
Der Grundbetrag und der Wert eines Beschäftigungsjahres werden jährlich angepasst.
Altersrente wird monatlich gezahlt.
Keine zusätzlichen Zahlungen.
2. Säule:
Lebenslange Annuität (ohne Geschlechtsunterschied).
Befristete Rente.
Einmalige Auszahlung.</t>
  </si>
  <si>
    <t>Gesetzliche einkommensbezogene Rente (Työeläke):
Die Höhe der einkommensbezogenen Rente wird berechnet auf der Basis sämtlicher Einkünfte aus Erwerbsarbeit und Selbstständigkeit während des gesamten Erwerbslebens. Die Jahresrate der Rente in Relation zum Einkommen und unbezahlte Perioden: 1,5%.
Der zu zahlende Jahresbetrag wird für das jeweilige Jahr berechnet, indem das Jahreseinkommen mit 1,5% und einem nach Alterskohorten ermittelten Lebenserwartungs-Koeffizient multipliziert werden. Der monatliche Betrag wird berechnet, indem dieses Ergebnis durch 12 geteilt wird.
Der Lebenserwartungs-Koeffizient wird für jede Altersgruppe mit 62 Jahren bestimmt. Er ist 0,94759 für Personen, die 1963 geboren sind; er reduziert die monatlichen Renten der Kohorte beginnend im Jahr 2025 um 5,2%.
Volksrente (Kansaneläke):
Die volle monatliche Rente liegt im Jahr 2025 zwischen €699,42 und €783,41 pro Monat je nach Familienstand. Wenn die Dauer des Wohnsitzes in Finnland weniger als 80% der Zeit im Alter von 16 bis 65 Jahren beträgt, wird die Rente proportional zu der Dauer des Wohnsitzes festgesetzt. Bei Bezug einer Gesetzlichen einkommensbezogenen Rente (Työeläke) oder einer sonstigen finnischen oder ausländischen Rente wird die Volksrente um 50% gekürzt, wenn ein Jahresbetrag von €795 im Jahr 2025 überschritten wird.
Garantierte Rente (Takuueläke):
Der volle Betrag belief sich auf €986,30 pro Monat im Jahr 2025. Anderes Renteneinkommen wird von dem vollen Betrag der garantierten Rente abgezogen.
Alle diese Renten werden einmal monatlich und zwölf Mal im Jahr ausgezahlt. Keine zusätzlichen Zahlungen.</t>
  </si>
  <si>
    <t>1. Säule (Basissystem):
Rentenformel (jährlicher Betrag):
Durchschnittliches Jahresbruttoeinkommen x t x n/entsprechend des Geburtsjahres zwischen 167 und 172.
t = Rentenberechnungssatz. Abhängig vom Alter des Versicherten und der Anzahl der Versicherungsjahre: Voller Satz von 50% bei 167 Versicherungsquartalen für Versicherte, die 1958 geboren sind (erhöht, bis 172 Quartale für Versicherte erreicht werden, die nach 1965 geboren sind).
n = effektive Versicherungszeit
Kürzung des Rentenbetrags, wenn die maximale Versicherungsdauer nicht erreicht ist, und zwar degressiv pro Versicherungsquartal von 1,25%.
Unabhängig von der Versicherungszeit wird für einige Personengruppen (z.B. Personen mit einer Erwerbsminderung von 50%) oder auch für Versicherte, die bei Festsetzung der Rente das Alter, bei dem die Rente automatisch zum vollen Satz ausgezahlt wird (67 Jahre), erreicht haben, der volle Satz zugrunde gelegt. Anderen Personen wird die Rente zum vollen Satz nach einer kürzeren Versicherungszeit ausgezahlt (Arbeiterinnen, die 3 Kinder erzogen haben, können den vollen Satz ab 120 Versicherungsquartalen in Anspruch nehmen).
Monatliche Zahlungen. Keine Zulagen.
2. Säule (Zusatzrentensysteme (Agirc-Arrco)):
Summe der erreichten Rentenpunkte multipliziert mit dem Wert eines Punktes.
Monatliche Zahlungen.</t>
  </si>
  <si>
    <t>1. Säule (Hauptrente der e-EFKA):
Die Hauptrente setzt sich zusammen aus:
(a) der staatlichen Rente (ΕΘΝΙΚΗ ΣΥΝΤΑΞΗ), deren Betrag von der Anzahl der Jahre des Aufenthaltes in Griechenland abhängig ist sowie von der Anzahl der Versicherungsjahre. Wenn der Rentner 40 Jahre Aufenthalt vom Alter von 15 bis zum Renteneintrittsalter und mindestens 20 Versicherungsjahre vorweisen kann, beläuft sich der Betrag auf €436,40 pro Monat.
Dieser Betrag wird um 2% reduziert für jedes Jahr, das für 20 bis 15 Versicherungsjahre fehlt (d.h. der Betrag der staatlichen Rente für 15 Versicherungsjahre ist €392,76 pro Monat).
(b) aus der beitragspflichtigen Rente (ΑΝΤΑΠΟΔΟΤΙΚΗ ΣΥΝΤΑΞΗ), die berechnet abhängend von
   * den Versicherungsjahren, die berücksichtigt werden bei der Anwendung von Ersatzraten pro Jahr (ποσοστά αναπλήρωσης), welche bei 0,77% für 15 Versicherungsjahre beginnen und schrittweise anwachsen auf 2,55% für 40 Versicherungsjahre und 0,50% für jedes Jahr über 40 Versicherungsjahren, und
   * vom durchschnittlichen rentenfähigen Einkommen des Versicherten ab dem Versicherungsjahr 2002 bis zum Tag der Beantragung der Rente.
Zusätzlich werden Beiträge, gezahlt während desselben Zeitraums an unterschiedliche Versicherungsfonds, eingebunden in e-EFKA (Zusatz-/Parallelversicherung – παράλληλη ασφάλιση) (bis 31. Dezember 2016) wie folgt berücktsichtigt beim Betrag der beitragspflichtigen Rente: für jedes Jahr der parallelen oder zusätzlichen Beiträge ist die jährliche Ersatzrate 0,075% für jedes 1% von Zusatzbeiträgen.
Die Hauptrente wird jeden Monat ausgezahlt. Keine zusätzlichen Zahlungen.</t>
  </si>
  <si>
    <t>(Beitragsabhängige) Staatliche Rente (State Pension (Contributory)):
(max.) €289,30 pro Woche. Bei weniger als 48 (aber mindestens 10) geleisteten Beitragswochen pro Jahr wird die Rente wie folgt gekürzt:
Durchschnittsrente pro Woche:
   * 40-47: €283,70
   * 30-39: €260,10
   * 20-29: €246,30
   * 15-19: €188,50
   * 10-14: €115,60
Der Satz, der für diejenigen gezahlt wird, die im Rahmen des vorläufigen Gesamtbeitragsansatzes bewertet werden, ist anteilig für diejenigen, die nicht die für eine volle Rente erforderlichen 2080 Beiträge erreichen.
Es kann Weihnachtsgeld ausbezahlt werden. Dazu ist ein Bescheid der Regierung gegebenenfalls im Rahmen des jährlichen Haushaltsverfahrens erforderlich.</t>
  </si>
  <si>
    <t>Volksrente (lífeyrir almannatrygginga):
Der Rentenanspruch bemisst sich proportional zur Dauer des Wohnsitzes in Island bei einem Minimum von 3 Jahren und einer Obergrenze von 40 Jahren. Die Rente wird monatlich gezahlt.
Die Rente ist ein fester pauschaler Betrag (volle Altersrente für eine Person in einem gemeinsam genutzten Haushalt mit 40 Jahren Wohnsitz in Island ohne weiteres steuerpflichtiges Einkommen: ISK 347.521 (€2.415) pro Monat oder ISK 4.170.252 (€29.980) pro Jahr.  Dieser Betrag wird reduziert oder ausgesetzt, wenn das Einkommen des Rentners aus anderen Quellen eine bestimmte Grenze übersteigt.
Das zu versteuernde Einkommen von Ehegatten, mit Ausnahme von Kapitalerträgen, wirkt sich nicht auf die Berechnung des Rentenbetrags aus.
Berechnungsmethode: Alle zu versteuernden Einkommen über einer bestimmten Grenze wie nachfolgend beschrieben wirken sich auf die Berechnung der Leistungsbeträge aus, mit Ausnahme von Sozialversicherungsleistungen und Sozialhilfe, die diesbezüglich kein Einkommen darstellen.
Nicht berücksichtigte steuerpflichtige Einkommen:
   * allgemeines Jahreseinkommen bis zu ISK 438.000 (€2.085),
   * Jahresverdienst bis zur Grenze von ISK 2.400.000 (€16.678) aus Beschäftigung und
   * 50 % Einkommen aus Kapital bei Paaren.
45 % des Einkommens der Rentner, das diese Grenze übersteigt, reduziert den festen pauschalen Rentenbetrag.
Wenn das theoretische wie oben beschrieben berechnete Einkommen des Rentners ISK 9.705.227 (€67.444) pro Jahr übersteigt, wird die Altersrente ausgesetzt.
Im Juli und Dezember jeden Jahres werden zusätzliche Zahlungen geleistet.
Die Rente wird monatlich ausgezahlt.
Im Falle einer Unterbringung für mindestens 6 Monate in einer Einrichtung, die aus dem Staatshaushalt finanziert wird, werden die Rentenzahlungen eingestellt. Der Rentner erhält stattdessen eine monatliche persönliche Beihilfe von ISK 104.321 (€725).
Arbeitsrente (lögbundnir lífeyrissjóðir):
Die Rente wird nach den Regeln der einzelnen Rentenfonds berechnet. Generell wird ihre Höhe durch die erworbenen Rentenpunkte bestimmt. Bei einem Beitragszeitraum von 40 Jahren ergibt sich eine Mindestrente von 56 % des beitragspflichtigen Monatsbruttoeinkommens.
Monatliche Zahlungen und keine zusätzlichen Zahlungen zu bestimmten Jahreszeiten (z.B. zu Weihnachten oder im Winter für Energiekosten).</t>
  </si>
  <si>
    <t>Für Beitragszeiten, die vor dem 31. Dezember 2011 von vor dem 1. Januar 1996 versicherten Personen geleistet wurden, gilt folgendes einkommensbezogenes Berechnungssystem:
   * Einkommen bis zur Bemessungsgrenze von €55.008,07: 2% x n x E;
   * Einkommensteil zwischen €55.008,07 und €73.160,73 (Bemessungsgrenze x 1,33): 1,6% x n x E;
   * Einkommensteil zwischen €73.160,73 und €91.313,38 (Bemessungsgrenze x 1,66): 1,35% x n x E;
   * Einkommensteil zwischen €91.313,38 und €104,515,33 (Bemessungsgrenze x 1,90): 1,1% x n x E;
   * Einkommen über €104.515,33: 0,9% x n x E.
n = Anzahl der Versicherungsjahre (max. 40).
E = Bezugslohn (siehe unten „3. Referenzeinkommen und Berechnungsgrundlage“).
Für Beitragszeiten, die seit dem 1. Januar 2012 geleistet wurden, werden die relevanten Rentenbeträge entsprechend des beitragsbezogenen Berechnungssystems ermittelt: Der Beitrag wird jährlich entsprechend der durchschnittlichen Steigerung des BIP während der letzten fünf Jahre angepasst. Der Rentenbetrag ergibt sich aus der Multiplikation der Gesamtbeiträge (montante contributivo) mit einem Transformationskoeffizienten (d.h. ein versicherungsmathematischer Koeffizient der je nach Alter variiert und schrittweise entsprechend der Lebenserwartung angehoben wird).
Die Renten werden in 13 monatlichen Teilbeträgen ausgezahlt, wobei der 13. dem Weihnachtsgeld entspricht. Das Sommergeld, das sogenannte „Quattordicesima“ (14. Rentenbetrag), ist eine einkommensunterstützende Maßnahme, die auf dem Einkommen und der Anzahl der geleisteten Beiträge basiert (siehe Kategorie „Leistungen, 7. Besondere Zulagen“).</t>
  </si>
  <si>
    <t>1. Säule:
Personen, die nur Anspruch auf eine Rente der 1. Säule haben: persönliche Entgeltpunkte x Rentenfaktor x aktueller Rentenwert, wobei gilt:
   * Persönliche Entgeltpunkte: durchschnittliche Wertpunkte x gesamte Versicherungszeit.
   * Wertpunkte: das entsprechende Brutto- oder Nettoeinkommen der Person in jedem Kalenderjahr, dividiert durch das durchschnittliche nationale Brutto- oder Netto-Jahreseinkommen (gemäß der in den Jahren geltenden Verordnung, auf denen basierend die Rente berechnet wird) aller Arbeitnehmer in demselben Jahr.
   * Durchschnittliche Wertpunkte: Gesamtzahl der Wertpunkte, dividiert durch den jeweiligen Zeitraum, für den die Wertpunkte angerechnet werden (Erwerbsdauer nach 1970, die kürzer als die gesamte Versicherungszeit sein kann).
Rentenfaktor: 1.
Tatsächlicher Wert der Rente: der Betrag eines persönlichen Punkts bestimmt wird zwei Mal jährlich durch den Vorstand des kroatischen Rentenversicherungsinstituts (Hrvatski zavod za mirovinsko osiguranje) bestimmt.
Personen mit Rentenansprüchen aus der 1. Wie der 2. Säule erhalten die Rente der 1. Säule für die Versicherungszeit, die vor der Einführung der 2. Säule zurückgelegt wurde. Für die Versicherungszeit, die nach der Einführung der 2. Säule zurückgelegt wurde, erhalten sie die Grundrente (osnovna mirovina) der 1. Säule, welche von dem Grundrentenfaktor abhängig ist. Der Grundrentenfaktor beträgt momentan 0,75 und gibt den Anteil des Beitragssatzes für die Beiträge der 1. Säule für in beiden Säulen versicherte Personen (15%), in dem Gesamtbeitragssatz für die 1. Säule für Versicherte, die ausschließlich in der 1. Säule versichert sind (20%), wieder.
Die Rentenzulage (27%) für Personen, denen nur eine Rente aus der 1. Säule gewährt wird, wird in den Rentenbetrag integriert2. Säule:
Die Rente beruht auf den persönlichen Ersparnissen mit den versicherungsmathematischen Berechnungen mit Zahlungsbedingungen, die zwischen dem Rentenversicherungsunternehmen und dem Anspruchsberechtigten in Vertragsform vereinbart wurden.
Zahlungen auf monatlicher Basis.
Rentenempfänger haben Anspruch auf eine jährliche Rentenzulage für jedes Jahr, in dem ihre Rente gezahlt wird. Der Betrag der Zulage entspricht der Anzahl von Versicherungsjahren multipliziert mit einem von der Regierung festgelegten jährlichen Wert (oder 15 Jahren, wenn die Rente nicht auf Versicherungszeiten beruht).</t>
  </si>
  <si>
    <t xml:space="preserve">1. Säule:
Rentenformel (d. h. für Personen mit sozialversicherungspflichtigen Zeiten ab 1996):
P = K / G, wobei
   * P: Jahresrente;
   * K: Rentenkapital der versicherten Person;
   * G: voraussichtliche Dauer (in Jahren) der Rentenzahlung ab dem Jahr der Bewilligung (Lebenserwartung in einem bestimmten Rentenalter).
Rentenformel in der Übergangszeit (d. h. für Personen mit sozialversicherungspflichtigen Zeiten auch vor 1996):
P = Ks + K / G, wobei
   * P, K, G: siehe oben;
   * Ks: (gutgeschriebenes) Anfangskapital, berechnet nach der folgenden Formel: Ks = Vi x As x 0,2 wobei
   * As: Anzahl der Versicherungsjahre bis einschließlich 1995;
   * Vi: Durchschnittsbruttoeinkommen, auf das Beiträge gezahlt wurden (siehe Tabelle VI „Leistungen, 2. Referenzeinkommen bzw. Berechnungsgrundlage").
Monatliche Zahlung. Keine zusätzlichen Zahlungen.
2. Säule:
Zwei Möglichkeiten:
   * Das angesammelte Rentenkapital kann auf das individuelle Konto der ersten Säule übertragen werden und die Rente wird nach obiger Formel berechnet;
   * die versicherte Person kann mit dem angesammelten Kapital eine Annuität bei einer Versicherungsgesellschaft erwerben.
</t>
  </si>
  <si>
    <t>1. Säule:
   * Die Beitragsdauer bestimmt die anwendbare Rentenskala; innerhalb der Rentenskala variiert der Rentenbetrag zwischen dem Höchstbetrag für diese Rentenskala und dem Mindestbetrag für diese Rentenskala, abhängig vom maßgebenden durchschnittlichen Jahreseinkommen (welches sich aus verschiedenen weiteren Faktoren zusammensetzt: Beiträge, Erziehungsgutschriften, Beiträge des Ehegatten usw.).
   * Bei lückenloser Beitragsdauer (zwischen dem 20. Altersjahr und dem Versicherungsfall) besteht Anspruch auf Vollrente (Rentenskala 44): Höchstrente  CHF 2.380 (€2.543) pro Monat und Mindestrente  CHF 1.190 (€1.272) pro Monat. Bei einer nicht lückenlosen Beitragsdauer sinkt der Höchst- und Mindestbetrag mit jedem fehlenden Beitragsjahr um 1/44.
   * Die aufgeschobene Altersrente wird mit folgendem Zuschlag ausbezahlt: bei einem Aufschub bis zum vollendeten 66. Altersjahr um 4,5%; bei einem Aufschub bis zum vollendeten 67. Altersjahr um 9,3%; bei einem Aufschub bis zum vollendeten 68. Altersjahr um 14,4%; bei einem Aufschub bis zum vollendeten 69. Altersjahr um 20,1%; bei einem Auf-schub bis zum vollendeten 70. Al-tersjahr um 26,1%.
Die Rente wird monatlich ausgerichtet (im Dezember zusätzlich das sog. Weihnachtsgeld).
2. Säule:
Die Altersleistung ist entweder von der Beitragsseite oder der Leistungsseite her definiert (Beitragsprimat oder Leistungsprimat). Die Höhe der Altersrente hängt vom individuell angesammelten Alterskapital ab.
Anstelle einer Altersleistung kann die Vorsorgeeinrichtung eine Kapitalabfindung vorsehen.</t>
  </si>
  <si>
    <t>1. Säule - Die monatliche Altersrente (Senatvės pensija) entspricht der Summe der allgemeinen und individuellen Teile.
Der allgemeine Teil wird nach der Formel β × B berechnet, wobei:
   * β das Verhältnis der Versicherungszeit der Person und der Mindestversicherungszeit ist, wirksam im Jahr des Rentenanspruchs. Liegen die Versicherungszeiten einer Person unter den für eine Altersrente vorgeschriebenen, entspricht der Multiplikator ß eins;
   * B die Grundrente ist (in Euro).
Der individuelle Teil der Rente wird nach der Formel V × p berechnet, wobei:
   * V die Anzahl der von der Person gesammelten Rentenpunkte ist;
   * P der Wert des Rentenpunktes ist (in Euro).
Jede versicherte Person erhält eine bestimmte Anzahl von Rentenpunkten für den Betrag von Sozialversicherungsbeiträgen, die während eines Jahres gezahlt wurden. Wenn der Betrag von Beiträgen, der während des Jahres für den individuellen Teil der Rente vom Einkommen der Person abgezogen wurde, dem Betrag der jährlichen Rentenbeiträge entspricht, die auf der Basis des jährlichen Durchschnittsgehalts festgelegt werden, erhält die Person einen Rentenpunkt. Ein größerer oder kleinerer Betrag führt entsprechend zu einer größeren oder kleineren Menge von Rentenpunkten. Die Gesamtanzahl von Rentenpunkten, die während eines Jahres erworben wurde, darf jedoch 5 nicht übersteigen. Um den individuellen Teil der Rente zu bestimmen, werden die erworbenen Rentenpunkte addiert und mit dem Wert des Rentenpunkts multipliziert.
Die Altersrente wird monatlich ausgezahlt.
2. Säule - kapitalgedecktes System, finanziert aus privaten Mitteln (3% des persönlichen Lohns) und Staatszuschüssen (1,5% des nationalen Durchschnittslohns).</t>
  </si>
  <si>
    <t>1. Säule:
Rente bestehend aus einer von der Dauer der Versicherung abhängenden Pauschalleistung (1/40 pro Versicherungsjahr, maximal 40 Jahre) und einer beitrags- bzw. einkommensabhängigen Komponente:
   * Die von der Versicherungsdauer abhängige Pauschalleistung (majorations forfaitaires) beträgt bei 40 Versicherungsjahren €652,06 im Monat (andernfalls anteilmäßige Kürzung).
   * Der einkommensabhängige Rententeilbetrag (majorations proportionnelles) beträgt 1,769% der Summe der beitragspflichtigen Einkommen.
   * Gestaffelte Erhöhung (majoration échelonnée):Wenn die Summe der Versicherungszeiten und das Alter die Zahl 95 übersteigt, wird der Erhöhungssatz um die Summe der Anzahl der Jahre, die diese Zahl um 0,015% übersteigt, angehoben.
Zulage zum Jahresende (allocation de fin d'année): jährlicher Pauschalbetrag in Höhe von €1.004,28 (für 40 Versicherungsjahre, andernfalls anteilig gekürzt).</t>
  </si>
  <si>
    <t>Formel für die Zwei-Drittel-Rente (Pensjoni taz-Zewg terzi):
   *       Für vor dem 24. April 1958 Geborene:
N1/10 + N2/20(*)  x  1/50  x  2/3 x PI
     2
N1 = Anzahl der wöchentlichen Beiträge in den letzten zehn Jahren.
N2 =  Anzahl der wöchentlichen Beiträge in den besten 20 Jahren seit der Vollendung des 19. Lebensjahres.
PI =  Rentenfähiges Einkommen („pensionable income“).
Beispiel:
Zahl der Beiträge in den letzten 10 Jahren: 300
Zahl der Beiträge in den besten 20(*) Jahren: 800
Erster Durchschnitt: 300/10 = 30
Zweiter Durchschnitt: 800/20(*) = 40
Insgesamt: 70/2 = 35
Die Rente beläuft sich somit auf 35/50 von zwei Drittel des rentenfähigen Einkommens. Der wöchentliche Höchstsatz einer Zwei-Drittel-Rente (Pensjoni taz-Zewg terzi) beträgt €301,28.
(*) Statt 20 gilt für zwischen dem 1.1.1952 und dem 31.12.1961 geborene Personen 25.
   *       Für ab dem 24. April 1958 Geborene:
 N  x  1/50  x  2/3 x PI
40
N = Höchste Anzahl der entrichteten oder angerechneten Wochenbeiträge in 40 Jahren ab Vollendung des 18. Lebensjahres bis zum Ruhestandsalter
PI =  Rentenfähiges Einkommen („pensionable income“).
N =  Maximum 50, Minimum 15.
40
Beispiel:
Zahl der Beiträge in den  besten 40 Jahren: 1600.
Durchschnitt pro Jahr: 1600/40 = 40.
Die Rente beläuft sich somit auf 40/50 von zwei Drittel des rentenfähigen Einkommens. Der wöchentliche Höchstsatz einer Zwei-Drittel-Rente (Pensjoni taz-Zewg terzi) beträgt €354,86. Die Rente wird alle 4 Wochen gezahlt, daher gibt es 13 Zahlungen im Jahr.</t>
  </si>
  <si>
    <t>Für jedes Versicherungsjahr erhält man 2% der vollen Rente.
Rente (monatliche Bruttobeträge, ohne Urlaubszulage), seit Juli 2025:
   * Alleinstehende: €1.612,44
   * Verheiratete und unverheiratete im gemeinsamen Haushalt lebende (unabhängig vom Geschlecht) Paare, die beide die Regelaltersgrenze erreicht haben: €1.103,97 pro Person.
Anspruch auf die volle Rente nach 50 Versicherungsjahren. Für jedes fehlende Versicherungsjahr wird der volle Rentensatz um 2% gekürzt.</t>
  </si>
  <si>
    <t>Die volle jährliche Grundrente (grunnpensjon) eines alleinstehenden Rentners entspricht dem vollen Grundbetrag (Grunnbeløpet) von NOK 130.160 (€11.038). Für Personen, die entweder mit einem Rentner oder einer Person mit jährlichen Bruttoeinkünften (einschließlich Kapitaleinkünfte) von mehr als dem Doppelten des Grundbetrags verheiratet sind oder zusammenleben, beläuft sich die volle Grundrente auf 90% des Grundbetrags.
Die Grundrente wird proportional gekürzt, wenn der Rentner weniger als 40 Jahre in Norwegen lebte (oder anders versichert war).
Zusatzrente (tilleggspensjon):
Die jährlichen Rentenpunkte (pensjonspoeng) ergeben sich nach der Formel:
JE - GB
GB
JE = Jahresbruttoeinkommen aus Erwerbstätigkeit
GB = Grundbetrag (Grunnbeløpet).
Jahreseinkommen bis zur Höhe des 6-Fachen des Grundbetrags werden voll berücksichtigt. Der Einkommensteil zwischen dem 6- und dem 12-Fachen des Grundbetrags wird zu 1/3 berücksichtigt, so dass maximal 7,00 (8,33 vor 1992) Rentenpunkte (pensjonspoeng) möglich sind.
Die Zusatzrente (tilleggspensjon) ergibt sich nach der Formel:
GB x DRP x 0,42
DRP= Durchschnitt der Rentenpunkte.
Der Faktor 0,42 (Ersatzrate) gilt für Jahre seit 1992, für Jahre vor 1992 gilt ein Faktor von 0,45.
Hat der Rentner für weniger als 40 Jahre Rentenpunkte, so wird die Zusatzrente proportional gekürzt (zusätzlich wird eine Grundrente in mindestens gleicher Proportion gezahlt). Verfügen Rentner, die berufstätig waren, über ein Jahreseinkommen unterhalb des Grundbetrags, werden keine Rentenpunkte gutgeschrieben.
Eine volle Mindestrente (minste pensjonsnivå) wird an Personen ausgezahlt, die keinen Anspruch auf eine Zusatzrente haben oder eine sehr geringe Zusatzrente beziehen. Die volle Mindestrente ist ein Festbetrag, der je nach Haushaltseinkommen variiert und proportional gekürzt wird, wenn der Rentner weniger als 40 Jahre in Norwegen lebte (oder anders versichert war). Wenn die Summe der Grundrente und der Zusatzrente geringer ist als die Mindestrente, wird der Differenzbetrag als Rentenzulage (pensjonstillegg) gezahlt. Die Mindestsätze für einen alleinstehenden Rentner betragen entsprechend NOK 279.933 (€23.739) und NOK 242.418 (€20.558), vorausgesetzt, der Rentner verfügt über Versicherungszeiten von 40 Jahren. Bei Versicherungszeiten von weniger als 40 Jahren werden die Mindestrente und die garantierte Rente proportional gekürzt.
Die Grundrente, die Zusatzrente und die Rentenzulage unterliegen der Anpassung der Lebenserwartung und der versicherungsmathematischen Neutralität
Einkommensbasierte Rente (inntektspensjon):
Der jährliche Rentenanspruch ergibt sich nach der Formel:
JE x 0,181 = JRB
JE = Jahresbruttoeinkommen aus Erwerbstätigkeit bis zum 7,1-Fachen des durchschnittlichen Grundbetrags
JRB = jährliche Rentensparbeträge
Die Rentensparbeträge werden jährlich an dem Lohnwachstum angepasst.
GRB / T = JR
GRB = gesamte Rentensparbeträge
JR = Jahresrente (100%)
T = Teiler
Renten der Volksversicherung werden monatlich ausgezahlt. Es gibt keine zusätzlichen Zahlungen, im Zusammenhang z.B. mit Sommer oder Weihnachten; von der Dezemberzahlung werden jedoch keine Steuern abgezogen.</t>
  </si>
  <si>
    <t>Für Personen, die ab 1.1.1955 geboren sind:
Für Versicherungszeiten ab dem 1.1.2005 gibt es ein Rentenkontensystem mit jährlicher Festschreibung des erworbenen Rentenanspruchs. 1,78% der Berechnungsgrundlage werden dem Rentenkonto gutgeschrieben und bis zum Rentenantritt jährlich mit der „Aufwertungszahl“ (entspricht dem Prozentsatz des jährlichen Lohnwachstums) aufgewertet.
Für Personen, die ab 1.1.1955 geboren sind und mindestens einen Versicherungsmonat vor dem 1.1.2005 erworben haben, war eine Kontoerstgutschrift zum 1.1.2014 zu errechnen. Diese wurde ab 1.1.2014 mit allen bis zu diesem Zeitpunkt erworbenen Versicherungsmonaten ermittelt. Damit sind die Anwartschaften als Startwert („Sockelrente“) im Rentenkonto gutgeschrieben. Und ab diesem Zeitpunkt fließen Versicherungszeiten jedes Jahr als Teilgutschriften in das Rentenkonto ein und bilden mit den aufgewerteten Teilgutschriften der Vorjahre die Gesamtgutschrift. Aus der Gesamtgutschrift wird bei Rentenantritt die Rentenhöhe berechnet.
Die Rente wird monatlich im Nachhinein ausbezahlt. Zu den Renten für April und Oktober gebührt jeweils eine zusätzliche volle Rentensonderzahlung.</t>
  </si>
  <si>
    <t>Altersrente (Emerytura):
Personen, die vor dem 1. Januar 1949 geboren wurden:
Der Betrag der Altersrente wird nach folgender Formel berechnet:
E = kb x (wpw x os x 1,3% + wpw x on x 0,7% + 24%)
dabei bedeutet:
   * kb: „Grundbetrag" in Höhe des nationalen Durchschnittslohns des Vorjahres abzüglich der Sozialversicherungsbeiträge;
   * wpw: „Bezugslohnkoeffizient“: prozentuales Verhältnis zwischen dem durchschnittlichen Bezugsentgelt der Person im Rentenberechnungszeitraum und dem entsprechenden nationalen Durchschnittslohn;
   * os: Beitragszeiten;
   * on: beitragsfreie Zeiten.
Personen, die nach dem 31. Dezember 1948 geboren wurden:
Der Betrag der Altersrente wird wie folgt berechnet:
Die Höhe der Altersrente ergibt sich aus der Division der Summe der auf dem individuellen Rentenkonto angesammelten Anwartschaften durch die durchschnittliche verbleibende Lebenserwartung bei Stellung des Rentenantrags.
Größe und Zusammensetzung des Haushalts werden nicht bei der Rentenberechnung berücksichtigt.
Eine zusätzliche jährliche Geldleistung (Dodatkowe roczne świadczenie pieniężne) wird wie folgt gezahlt:
   * im April – der Betrag ist derselbe wie der der Mindestaltersrente;
   * im September – der Betrag ist abhängig von der Höhe der Rente, d.h.: 
   * für Personen, deren Rente PLN 2.900 (€684) brutto monatlich nicht überschreitet, ist der Betrag derselbe wie der der Mindestaltersrente;
   * übersteigt die Rente PLN 2.900 (€684) brutto monatlich, wird der Mechanismus namens "Zloty für Zloty" angewendet;
   * liegt die Leistung unter PLN 50 (€12), wird sie nicht ausgezahlt.</t>
  </si>
  <si>
    <t>Monatlicher Betrag der Altersrente (pensão de velhice):
Seit dem 01.01.2002 versicherte Personen:
Der monatliche Rentenbetrag ergibt sich aus dem Produkt des Referenzeinkommens mit dem Rentenprozentsatz, der von der Versicherungsdauer abhängt:
   * bis zu 20 Versicherungsjahre: Rente = 2% x J x RE
J = Anzahl der Versicherungsjahre.
RE = Referenzeinkommen.
   * mehr als 20 Versicherungsjahre: variable degressive Sätze von 2,3% bis 2% für Teilbeträge des Referenzeinkommens (an die Entwicklung des Indexwerts für soziale Unterstützungen IAS (indexante dos apoios sociais = € 522,50) gebunden), zwischen dem 1,1-Fachen und dem 8-Fachen dieses Wertes.
Vor dem 31.12.2001 versicherte Personen:
Monatlicher Betrag bestimmt durch die anteilige Rentenberechnung nach altem Recht und nach neuem Recht für die Beitragszeit.
 Im Fall einer vorzeitigen Rente wird der Nachhaltigkeitsfaktor angewendet, außer im Rahmen des Flexibilisierungssystems, bei langen Beitragszeiten und bei gewährten vorzeitigen Renten aufgrund von gefährlicher oder beschwerlicher Arbeit.
Zusätzliche Zahlungen erfolgen in den Monaten Juli und Dezember - Jährlich erfolgen 14 Zahlungen. Das Urlaubs- und Weihnachtsgeld entspricht jeweils dem Betrag des entsprechenden Monats.</t>
  </si>
  <si>
    <t>Erste Säule:
Das Berechnungsverfahren beruht auf einem Punktesystem. Die Rentenformeln sind für die Alters-, Invaliden- und Hinterbliebenenrente sowie die Renten bei Arbeitsunfällen und Berufskrankheiten ähnlich.
Altersrente (pensie pentru limita de varsta):
AR = RPW*GZP
Wobei
AR  = Altersrente (monatlicher Betrag)
RPW  = Referenzpunktwert = RON 81 (€16)
GZP  = Gesamtzahl Punkte = JP+SP
JP  = Jahrespunkte = Summe (MP/12)
MP  = Monatspunkte = RE/DBE
RE  = Referenzeinkommen:
DBE  = Durchschnittliches monatliches Bruttoentgelt (d.h. der durchschnittliche Bruttolohn, der als Grundlage für die Berechnung des staatlichen Sozialversicherungshaushalts für das jeweilige Jahr herangezogen wird)
SP   = Stabilitätspunkte = 0,5 Punkte für jedes beitragspflichtige Jahr über 25; 0,75 Punkte für jedes beitragspflichtige Jahr über 30; 1 Punkt für jedes beitragspflichtige Jahr über 35.
Die Monatspunkte einer versicherten Person, die auch in die zweite Säule eingezahlt hat, werden an das Verhältnis zwischen dem Beitragssatz bei normalen Arbeitsbedingungen, der in das allgemeine Rentensystem einzuzahlen ist, und dem Beitragssatz bei normalen Arbeitsbedingungen, der sowohl in das allgemeine Rentensystem als auch in die zweite Säule einzuzahlen ist, angepasst.
Monatliche Zahlungen.
Finanzielle Unterstützung in Höhe von RON 800 (€157), ausgezahlt in zwei Raten von RON 400 (€79) jeweils im April und Dezember 2025, für Empfänger von Invalidenrenten, deren monatliches Renteneinkommen insgesamt RON 2.574 (€506) nicht übersteigt. Diese finanzielle Unterstützung ist derzeit nur für das Jahr 2025 vorgesehen.
Zweite Säule:
Altersrente (pensie pentru limita de varsta): basiert auf versicherungsmathematischer Berechnung – für die Formel wurde noch keine Rechtsvorschrift erlassen.</t>
  </si>
  <si>
    <t>Entgeltbezogene Altersrente, Einkommensrente (inkomstpension):
Erworbene Anwartschaftsrechte werden jährlich an die Entwicklung der durchschnittlichen Löhne angepasst.
Die Rentenhöhe ergibt sich aus der Division der Anwartschaftsrechte durch einen Annuitätsfaktor, der von der Lebenserwartung der Alterskohorte, dem individuellen Rentenzugangsalter und einem erwarteten Anstieg der Löhne abhängt.
Der erwartete Anstieg der Durchschnittslöhne beträgt 1,6%. Wird die Einkommensrente zum ersten Mal berechnet, gelten 1,6%. Dieser Satz wird von den nächsten jährlichen Anpassungen abgezogen. Die Zahlungsfrequenz ist monatlich (12 mal/Jahr).
Entgeltbezogene Zusatzrente (tilläggspension):
   * 60% x Grundbetrag x Durchschnittsrentenpunkt x Anzahl der Jahre mit Rentenpunkten und
   * 78,5 oder 96% x Grundbetrag x Anzahl der Jahre mit Rentenpunkten.
Die Entscheidung über das rentenfähige Einkommen liegt bei den Steuerbehörden. Ausgangspunkt ist die Steuererklärung der betroffenen Person. Das Einkommen der einzelnen Einkommensjahre wird in einen Rentenpunkt umgewandelt. Nur die 15 ertragsstärksten Jahre werden in die Berechnung des Durchschnittsrentenpunktes mit einbezogen, es werden jedoch 30 rentenfähige Einkommen benötigt, um eine volle Zusatzrente zu beziehen. Die Zahlungsfrequenz ist monatlich. Der Familienstand einer Person bestimmt den Prozentsatz von Punkt 2 in der Formel: 78,5% bei verheirateten Personenund 96% bei alleinstehenden Personen. Die Zahlungsfrequenz ist monatlich (12 mal/Jahr).
Prämienrente (premiepension):
Es gelten die üblichen Versicherungsprinzipien. Es ist ausschließlich lebenslange Rentenzahlung möglich. Auch diese Renten werden mit einem Annuitätsfaktor, der die verbleibende Lebenserwartung widerspiegelt, berechnet. Beim Eintritt in den Ruhestand besteht die Wahl, das Rentenkapital bei dem Fonds zu belassen und eine Rente zu erhalten, die unter Berücksichtigung der Wertentwicklung des Fonds jährlich neu berechnet wird, oder das Kapital in eine herkömmliche Lebensversicherung einzuzahlen, die bis zum Tode eine festen monatlichen Betrag garantiert. Die Zahlungsfrequenz ist monatlich (12 mal/Jahr).
Garantierente (garantipension):
Eine volle Rente nach 40 Jahren Wohnsitz in Schweden für eine unverheiratete Person, die nach 1938 geboren wurde, beläuft sich 2025 auf das 2,43-Fache des Grundbetrages (prisbasbelopp), d. h. SEK 142.884 (€12.989). Eine volle Rente für eine verheiratete Person beläuft sich 2025 auf das 2,2-Fache Grundbetrages, d h. SEK 129.360 (€11.760). Für jedes fehlende Jahr wird der Betrag um 1/40 gekürzt. Die Garantierente wird ferner proportional zur Höhe der entgeltbezogenen Rente gekürzt. Die Zahlungsfrequenz ist monatlich (12 mal/Jahr). Diese Rente wird als Mindestleistung berechnet.
Ergänzung zur Einkommensrente (inkomstpensionstillägg): wird gezahlt, wenn mindestens ein Jahr rentenfähiges Einkommen in Schweden bezogen wurde und zudem folgende Voraussetzungen erfüllt sind:
   * 30 Jahre rentenfähiges Einkommen für Personen, die im Jahr 1937 oder früher geboren wurden;
   * 35 Jahre rentenfähiges Einkommen für Personen, die 1938-1944 geboren wurden;
   * 40 Jahre rentenfähiges Einkommen für Personen, die im Jahr 1945 oder später geboren wurden.
Der Betrag der Ergänzung basiert auf den entgeltbezogenen Renten, d.h. wenn diese im Jahr 2025 zwischen:
   * SEK 119.674 (€10.879) und SEK 146.268 (€13.297) jährlich betragen, liegt die Ergänzung zwischen SEK 300 (€27) und SEK 6.900 (€627) jährlich;
   * SEK 146.269 (€13.297) und 186.159 (€16.924) jährlich betragen, liegt die Ergänzung bei SEK 7.200 (€655) jährlich;
   * SEK 186.160 (€16.924) und SEK 226.050 (€20.550) jährlich betragen, stuft sich die Ergänzung ab von SEK 6,900 (€627) auf SEK 300 (€27) jährlich.
Für jedes Jahr rentenfähigen Einkommens, das zur oben genannten Anzahl von Jahren fehlt, reduziert sich der Betrag um 1/40, 1/35 oder 1/30.
Staatliche Renten (Einkommensrente, Prämienrente, Zusatzrente, Garantierente und Ergänzung zur Einkommensrente) können auch in Teilen gewährt werden – zu 3/4, ½ oder als ¼ einer vollen (1/1) Rente.</t>
  </si>
  <si>
    <t>1. Säule (Grundsystem):
Die Monatsrente setzt sich aus einem Teil des Mindestbetrages der Altersrente (Festbetrag) und einem Teil des maßgebenden durchschnittlichen Jahreseinkommens (variabler Betrag) zusammen.
Die Größe und Zusammensetzung des Haushalts wird bei der Berechnung der Rente nicht direkt berücksichtigt.
Wenn das maßgebende durchschnittliche Jahreseinkommen niedriger oder gleich CHF45.360 (€48.467) ist, so entspricht der feste Teil der Rente CHF932 (€996) und der variable Teil dem mit 13/600 vervielfachten maßgebenden durchschnittlichen Jahreseinkommen.
Wenn das maßgebende durchschnittliche Jahreseinkommen höher ist als CHF45.360 (€48.467), so entspricht der feste Teil der Rente CHF1.310 (€1.400) und der variable Teil dem mit 8/600 vervielfachten maßgebenden durchschnittlichen Jahreseinkommen.
Die Rente wird monatlich 12 Mal im Jahr ausgezahlt.
2. Säule (obligatorische Mindestvorsorge):
Die jährliche Rente entspricht 6,8% des Altersguthabens des Versicherten bei Erreichen des Rentenalters.
In der Regel wird die Rente monatlich ausgezahlt.</t>
  </si>
  <si>
    <t>1. Säule:
Altersrente (Starobný dôchodok), monatliche Leistung:
Rentenformel: DPE x RVZ x ARW
DPE = Durchschnittlicher persönlicher Entgeltpunkt (Priemerný osobný mzdový bod) wird bestimmt durch Multiplikation der persönlichen Punkte während bestimmter Kalenderjahre (im entscheidenden Zeitraum) mit den Versicherungszeiten in der Rentenversicherung. Der persönliche Entgeltpunkt wird als Verhältnis des jährlichen Bruttoeinkommens des Versicherten zum durchschnittlichen Jahreseinkommen in der Slowakei bestimmt. Der Höchstwert des persönlichen Entgeltpunkts beträgt 3, während der Höchstwert des DPE 2,44 entspricht.
RVZ = Rentenversicherungszeit (Obdobie dôchodkového poistenia) = Anzahl der Versicherungsjahre des Versicherten.
ARW = aktueller Rentenwert (Aktuálna dôchodková hodnota). Der ARW wird jährlich von der Sozialversicherungsanstalt festgelegt. Für die Berechnung der Leistungen für das Jahr 2025 beträgt der ARW €18.7434.
Die Altersrente wird 12 Mal pro Jahr gezahlt.
Eine dreizehnte Rente wird einmal jährlich im Dezember gezahlt mit einem Betrag, der der nationalen monatlichen Durchschnittsaltersrente für das vorige Jahr entspricht, mindestens €300. Die Höhe der dreizehnten Rente wird anteilig gekürzt, wenn der Rentenempfänger nicht mindestens 10 Jahre in der Slowakei rentenversichert war.
2. Säule:
Der Leistungsbetrag hängt von versicherungsmathematischen Grundsätzen ab.
Leistungsempfänger können wählen zwischen einer monatlich gezahlten Leibrente (Doživotný dôchodok), einer temporären Rente (Dočasný dôchodok), die monatlich für 5, 7 oder 10 Jahre gezahlt wird oder einer Option, die die Wahl des Betrags oder des Zeitraums der Rente ermöglicht, einschließlich einer Einmalzahlung.</t>
  </si>
  <si>
    <t>29,5% der Rentenberechnungsbasis bei 15 Versicherungsjahren. Erhöhung um 1,36% der Basis für jedes weitere Jahr der Mindestversicherungszeit.
Altersrente wird monatlich gezahlt.
Keine zusätzlichen Zahlungen.
Größe und Zusammensetzung des Haushalts werden bei der Rentenberechnung nicht berücksichtigt.</t>
  </si>
  <si>
    <t>Die Höhe der Ruhestandsrente (pensión de jubilación) entspricht einem bestimmten Prozentsatz der Berechnungsgrundlage (siehe Tabelle VI, „Leistungen, Referenzeinkommen bzw. Berechnungsgrundlage“).
Der Prozentsatz beginnt bei 50% nach 15 Beitragsjahren und erhöht sich um 0,21 Prozentpunkte für jeden zusätzlichen Beitragsmonat zwischen dem 1. und 49. Monat und um 0,19 Prozentpunkte für die nächsten 209 Monate. Das Maximum von 100% wird nach 36 Jahren und 6 Monaten Beitragszeit erreicht.
Die Rente wird monatlich 14-mal im Jahr gezahlt.</t>
  </si>
  <si>
    <t>Die Rente besteht aus zwei Elementen:
Grundbetrag (Základní složka):
Pauschale (10% des nationalen monatlichen Bruttodurchschnittslohns) von CZK 4.660 (€188) monatlich.
Prozentualer Betrag (Procentní část):
Einkommensabhängiges Element berechnet aufgrund der Persönlichen Bemessungsgrundlage (Osobní vyměřovací základ) und der Anzahl der Versicherungsjahre: 1,5% der Persönlichen Bemessungsgrundlage pro Versicherungsjahr (keine Höchstgrenze).
Der Prozentsatz wird um 503 CZK für jedes Kind erhöht, das der Leistungsempfänger aufzieht.
Zahlungen erfolgen monatlich.
Keine zusätzlichen Zahlungen.</t>
  </si>
  <si>
    <t>Erste Säule:
Der Betrag der Altersrente (Öregségi nyugdíj), Leistung vor dem Rentenalter (Korhatár előtti ellátás) und Altersrente für Frauen mit 40 Jahren Anwartschaftszeit (Öregségi nyugdíj nők számára 40 év jogosultsági idővel) hängt von der Versicherungszeit ab und wird als Prozentsatz des aktualisierten durchschnittlichen monatlichen Nettoentgelts seit 1988 berechnet.
   * 33% für die ersten 10 Versicherungsjahre,
   * + 2% für jedes weitere Versicherungsjahr von 11-25 Jahren,
   * + 1% für jedes weitere Versicherungsjahr von 26-36 Jahren,
   * + 1,5% für jedes weitere Versicherungsjahr zwischen dem 36. und dem 40. Jahr.
   * + 2% für jedes Versicherungsjahr ab dem 40. Jahr.
Für Personen mit 50 Versicherungsjahren entspricht der Rentenbetrag dem oben genannten Durchschnittseinkommen. Der Leistungsbetrag wird nicht durch zusätzliche Versicherungsjahre erhöht.
Die Leistungen werden monatlich gezahlt.
Eine 13. Zahlung wird jedes Jahr im Februar getätigt. Im November wird eine Rentenprämie ausgezahlt, sofern das BIP um mehr als 3,5% gewachsen ist und das im Haushaltsgesetz festgelegte Ziel für den Haushaltsausgleich erreicht wurde.</t>
  </si>
  <si>
    <t>Grundrente (Βασική Σύνταξη) :
60 % des wöchentlichen Wertes des jährlichen Durchschnitts der Versicherungspunkte der gezahlten und gleichgestellten Grundversicherung (siehe „Mindestversicherungszeit und sonstige Bedingungen für den Bezug einer Altersrente“), entsprechend erhöht auf 80 %, 90 % und 100 % für das erste, zweite und dritte abhängige Familienmitglied. Bei Leistungsempfängern ohne unterhaltsberechtigten Ehegatten wird die Grundrente für jedes abhängige Kind um 10 % (Höchstzahl abhängiger Kinder: zwei). 
Abhängige Kinder müssen unter 15 Jahre alt sein (unter 25 bei unverheirateten Söhnen in Vollzeitausbildung oder Wehrdienst und unter 23 bei unverheirateten Töchtern in Vollzeitausbildung); ohne Altersbeschränkung für Kinder, die permanent unfähig sind, sich selbst zu versorgen.
Falls beide Ehepartner eine Rente beziehen, wird die Erhöhung wegen abhängiger Kinder bei demjenigen vorgenommen, der Anspruch auf eine größere Erhöhung hat.
Die Rente wird an 13 Monaten im Jahr ausgezahlt.
Pauschalzahlung in Höhe von 15 % des Wertes der Versicherungspunkte der gezahlten und gleichgestellten Versicherung für Personen, die die Versicherungsbedingungen nicht erfüllen (siehe Mindestversicherungszeit und sonstige Bedingungen für den Bezug einer Altersrente).
Keine weiteren zusätzlichen Zahlungen zu bestimmten Zeiten des Jahres (z.B. an Weihnachten oder im Winter für Kraftstoff).
Zusatzrente (Συμπληρωματική Σύνταξη) :
1,5 % des Gesamtwertes der Versicherungspunkte der gezahlten und gleichgestellten Zusatzversicherung des Anspruchsberechtigten während des gesamten Berufslebens, umgerechnet in wöchentliche Beträge durch Division durch 52.
Gesetzliche Renten werden 13-mal jährlich gezahlt.</t>
  </si>
  <si>
    <t>Berechnung des Bezugslohns:
Für Jahre vor dem 1. Januar 1955:
S = pauschal € 18.413,22 (Jährliches Arbeitsentgelt).
Für die Jahre von 1955 - 1980:
   * Arbeiter: Bruttoarbeitsentgelt ohne Bemessungsgrenze. 
   * Angestellte: Bruttoentgelt ohne Bemessungsgrenze (mit Ausnahme der Jahre 1955-1957: pauschale Beträge pro Tag, an dem für mindestens vier Stunden eine Beschäftigung ausgeübt wurde). 
Für Jahre nach 1980:
Bruttoentgelt bis zur Bemessungsgrenze (2024) von: € 80.485,32
In einigen Fällen (z. B. bestimmte Arten von Arbeitslosigkeit) ist die fiktive Vergütung auf einen Betrag begrenzt, der unter der normalen Obergrenze liegt (d. h. € 72.598,16).
Die Gehälter des gesamten Erwerbslebens werden berücksichtigt und an die aktuellen Lebenshaltungskosten angepasst (mit einem Anpassungskoeffizienten multipliziert).
Die Berechnung erfolgt gemäß dem Prinzip„Einheit der Laufbahn“ (unité de carrière):
Bei einer Versicherungszeit von mehr als 14.040 Tagen werden bei der Berechnung die einkommensmäßig günstigeren Tage berücksichtigt;
   * die tatsächlich geleisteten Tage werden berücksichtigt, um zusätzliche Ansprüche des Arbeitnehmers zu bilden; 
   * bestimmte Tage der Inaktivität (z. B. Arbeitslosigkeit) werden nie berücksichtigt, wenn sie nach dem 14.040. Tag des Vollzeitäquivalents liegen. </t>
  </si>
  <si>
    <t>Erste Säule:
Die Referenzeinkommen ergeben sich aus der Multiplikation des nationalen durchschnittlichen versicherungspflichtigen Einkommens während der 12 Kalendermonate vor der Bewilligung der Rente und dem individuellen Koeffizienten des Antragstellers.
Für vor 2019 gewährte Renten:
Dieser Koeffizient berücksichtigt:
   * für den Zeitraum vor dem 31. Dezember 1996: das Verhältnis zwischen dem durchschnittlichen monatlichen versicherungspflichtigen Bruttoeinkommen des Anwärters über drei selbst gewählte aufeinander folgende Jahre innerhalb der 15 Jahre vor dem 31. Dezember 1996 und dem nationalen monatlichen Durchschnittslohn im selben Zeitraum,
   * für den Zeitraum nach dem 31. Dezember 1996: das Verhältnis zwischen dem durchschnittlichen monatlichen versicherungspflichtigen Bruttoeinkommen des Anwärters seit dem 31. Dezember 1996 und dem nationalen Durchschnittslohn desselben Zeitraums.
Für ab 2019 gewährte Renten:
Der individuelle Koeffizient berücksichtigt das Verhältnis zwischen dem durchschnittlichen monatlichen versicherungspflichtigen Bruttoeinkommen des Anwärters seit dem 31. Dezember 1999 und dem nationalen beitragspflichtigen monatlichen Durchschnittseinkommen desselben Zeitraums.
Zweite Säule:
Die Rente basiert auf dem angesammelten Kapital auf dem individuellen Konto der versicherten Person.</t>
  </si>
  <si>
    <t>1. Säule:
Nicht anwendbar: Leistungen basieren nicht auf früheren Einkommen.</t>
  </si>
  <si>
    <t>Versicherte Arbeitsentgelte (bis zur Beitragsbemessungsgrenze) und freiwillige Beiträge während des gesamten Versicherungsverlaufs. Die monatliche Beitragsbemessungsgrenze beträgt 2025 €8.050 brutto.
Zeiten der Kindererziehung in den ersten 36 Kalendermonaten nach dem Geburtsmonat (30 Kalendermonate für Geburten vor 1992) werden als Beitragszeiten mit Durchschnittsverdienst angerechnet.</t>
  </si>
  <si>
    <t>1. Säule:
Bis zum 31.12.1998: Jahre der versicherten Beschäftigung.
Ab 01.01.1999 gesamte Sozialsteuer (sotsiaalmaks), die auf das gesamte Arbeitsentgelt gezahlt wurden.
Ab 01.01.2021 ist der zusammengesetzte Teil eine Mischung aus Anzahl der ruhegehaltsfähigen Dienstjahre und Sozialsteuer (sotsiaalmaks), die auf Arbeitsentgelt entrichtet wurde.
2. Säule:
Ein Teil der während der Versicherungszeit gezahlten Sozialsteuer.
Keine Obergrenzen.</t>
  </si>
  <si>
    <t>Gesetzliche einkommensbezogene Rente (Työeläke):
   * jährliches Bruttoerwerbseinkommen über die gesamte Laufbahn des Arbeitnehmers, wenn das monatliche Erwerbseinkommen mehr als €70,08 (TyEL) beträgt. Es gibt keine Bemessungsgrenze für Einkommen;
   * Selbständige: Das jährliche versicherungspflichtige Bruttoeinkommen, wenn es zwischen €9.208,43 und €209.125 beträgt;
   * Für Landwirte muss das jährliche versicherungspflichtige Einkommen mindestens €4.605 betragen.
Bei der erstmaligen Rentenbewilligung werden die Einkünfte aus abhängiger und selbstständiger Erwerbstätigkeit des gesamten Arbeitslebens mit einem Index an das Niveau des Jahres des Rentenbeginns angepasst. Dieser Index wird zu 20% mit der Preisentwicklung und zu 80% mit der Lohnentwicklung gewichtet.
Volksrente (Kansaneläke) und garantierte Rente (Takuueläke):
Kein Bezug zum früheren Einkommen.</t>
  </si>
  <si>
    <t>1. Säule (Basissystem):
Durchschnittliches Jahresbruttoeinkommen bis zur jährlichen Bemessungsgrenze (€47.100 im Jahre 2025), die jährlich angepasst wird.
Berechnet auf der Grundlage der 25 besten Jahre.
2. Säule (Zusatzrentensysteme (Agirc-Arrco)):
Wert eines Punktes pro Jahr: €1,4386.</t>
  </si>
  <si>
    <t>1. Säule (Hauptrente der e-EFKA):
Die beitragspflichtige Rente (ΑΝΤΑΠΟΔΟΤΙΚΗ ΣΥΝΤΑΞΗ) hängt von den durchschnittlichen rentenberechtigten Einkommen des Versicherten ab dem Jahr 2002 bis zum Tag der Beantragung der Rente ab. Der Durchschnitt wird als der Quotient der Division der gesamten monatlichen Vergütung des Versicherten durch die Gesamtversicherungszeit berechnet. Die Summe der vom Versicherten erhaltenen Einkommen ist die Summe der monatlichen Vergütung, die während der ganzen Versicherungszeit der Beitragspflicht unterliegen. Die Berechnung der rentenberechtigten Einkünfte berücksichtigt die Bruttoeinkommen des Versicherten in jedem Steuerjahr, erhöht durch die Änderungen des jährlichen Durchschnittsverbraucherpreisindex der griechischen statistischen Behörde für den Zeitraum bis Ende 2025 und von 2026 an durch den Index für Lohnänderungen, berechnet durch die griechische statistische Behörde.
Obergrenze für rentenfähiges Einkommen: €7.572,62 pro Monat, für den Beiträge gezahlt wurden.</t>
  </si>
  <si>
    <t>Nicht anwendbar. Renten basieren nicht auf vorhergehenden Erwerbseinkünften.</t>
  </si>
  <si>
    <t>Volksrente (lífeyrir almannatrygginga):
Nicht zutreffend. Kein Bezug zum früheren Einkommen.
Arbeitsrente (lögbundnir lífeyrissjóðir):
Bruttoeinkommen ohne Bemessungsgrenze.</t>
  </si>
  <si>
    <t>Bezugslohn:
   * Für Personen mit 15 Beschäftigungsjahren vor dem 31. Dezember 1992: Durchschnittseinkommen (mit Obergrenze) der letzten 5 Jahre;
   * Für Personen mit weniger als 15 Beschäftigungsjahren vor dem 31. Dezember 1992: Durchschnittseinkommen (mit Obergrenze) während eines variablen Zeitraums zwischen den letzten 5 und 10 Jahren;
   * Bei erstmaliger Beschäftigung ab dem 1. Januar 1996 erfolgt die Berechnung auf der Grundlage der Beiträge des gesamten Arbeitslebens.
Die oben aufgelisteten Bedingungen des Bezugslohns gelten nur für die Berechnung der anteiligen Rente basierend auf den Beiträgen, die von der vor dem 1. Januar 1996 versicherten Person bis zum 31. Dezember 2011 geleistet wurden.
Die Obergrenzen des Jahreseinkommens für das einkommensbezogene Berechnungssystem belaufen sich im Jahr 2025 auf: von €55.448 bis €105.351,45 (siehe unter Kategorie „Berechnungsmethode, Rentenformel oder Beträge“) für vor dem 1. Januar 1996 Versicherte; €120.607 für erstmals ab dem 1. Januar 1996 Versicherte.
Die Anpassung erfolgt entsprechend dem Verbraucherpreisindex.</t>
  </si>
  <si>
    <t>1. Säule:
Das Jahresbruttoentgelt des Versicherten wird mit dem durchschnittlichen nationalen Jahresbruttoentgelt aller Beschäftigten in Beziehung gesetzt
Das Ergebnis ist ein Wertpunkt für jedes Jahr der Erwerbsbiografie. Alle Wertpunkte werden sodann addiert und durch die Anzahl der Jahre dividiert, für die sie angerechnet wurden. Das Ergebnis ist der durchschnittliche Wertpunkt, der in der Rentenformel angesetzt wird.2. Säule:
Nicht anwendbar. Kein Bezug zum früheren Einkommen.</t>
  </si>
  <si>
    <t>1. Säule:
Sozialversicherungszeitraum ab dem 1. Januar 1996: kumuliertes Kapital der Sozialversicherungsbeiträge.
Eine „Bemessungsgrenze“ gilt für Sozialversicherungsbeiträge (€105.300 pro Kalenderjahr), über die hinaus die Sozialversicherungsbeiträge keinen Teil des Rentenkapitals mehr bilden.
Sozialversicherungszeitraum vor dem 1. Januar 1996: Versicherungsjahre und das durchschnittliche versicherungspflichtige Bruttoentgelt von 1996 bis (einschließlich) 1999, auf das Beiträge gezahlt wurden.
Für Personen, deren Durchschnittslohn im Zeitraum von 1996 bis 1999 weniger betrug als das nationale durchschnittliche versicherungspflichtige Entgelt, die aber über mindestens 30 Versicherungsjahre verfügen (von denen mindestens 5 Jahre nach 1996 kumuliert wurden), ist die Grundlage das nationale durchschnittliche versicherungspflichtige Entgelt im Referenzzeitraum.
2. Säule:
Kumuliertes Kapital aus Beiträgen, die während der Versicherungszeit gezahlt wurden.</t>
  </si>
  <si>
    <t>1. Säule:
   * Erwerbseinkommen der gesamten Versicherungskarriere;
   * Nichterwerbstätigenbeiträge;
   * Erziehungsgutschriften (fiktive Einkommen);
   * Betreuungsgutschriften (fiktive Einkommen).
Diese vier Faktoren des sog. maßgebenden durchschnittlichen Jahreseinkommens werden für Ehegatten während der Ehedauer hälftig aufgeteilt ("Splitting"), sobald beide Ehegatten rentenberechtigt sind (zudem auch bei Scheidung oder wenn eine verwitwete Person eine Alters- oder Invalidenrente bezieht).
Keine Obergrenzen.
2. Säule:
Der für die Versicherung anrechenbare Lohn entspricht dem maßgebenden Lohn. Der maßgebende Jahreslohn (brutto) kann in der Höhe auf CHF 88.200  (€94.241) begrenzt werden.
Der maßgebende Jahreslohn (brutto) muss mindestens  CHF 14.700 (€15.707) betragen und ist bis mindestens  CHF 88.200 (€94.241) zu versichern.</t>
  </si>
  <si>
    <t>Nicht anwendbar.</t>
  </si>
  <si>
    <t>1. Säule:
Als Bemessungsgrundlage wird das Arbeits- bzw. Erwerbseinkommen, das dem Einbehalt für Ruhegehalt unterliegt, der gesamten Versicherungsdauer herangezogen.
Beitragspflichtiger Mindestbetrag: €2.703,74 monatlich.
Beitragspflichtiger Höchstbetrag: €13.518,68 monatlich.</t>
  </si>
  <si>
    <t>Jahrgänge von 1959 bis 1961:
Nettoeinkommen der besten 3 aufeinander folgenden Jahre in den letzten 13 Jahren vor dem Ruhestand, angepasst an den Anstieg der Lebenshaltungskosten.
Selbstständigen/ Freischaffenden: Durchschnitt der Netto-Erwerbseinkünfte der besten 10 aufeinander folgenden Jahre in den letzten 13 Jahren bei Freischaffenden und der Durchschnitt des Nettoeinkommens bei einem Selbstständigen in geringem Umfang.
Jahrgänge von 1962 bis 1968:
Durchschnitt der höchsten Grundvergütungen in beliebigen 10 Jahren während der 40 Jahre vor dem Ruhestand, angepasst an den Anstieg der Lebenshaltungskosten.
Selbstständigen/ Freischaffenden: Durchschnitt der höchsten Netto-Einkünfte aus beliebigen zehn Jahren während der 40 Jahre vor dem Ruhestand.
Personen der Jahrgänge am oder nach 1. Januar 1969:
Durchschnitt der höchsten Grundvergütungen in beliebigen 10 Jahren während der 41 Jahre vor dem Ruhestand, angepasst an den Anstieg der Lebenshaltungskosten.
Selbstständigen/ Freischaffenden: Durchschnitt der höchsten Netto-Einkünfte aus beliebigen zehn Jahren während der 41 Jahre vor dem Ruhestand.
Personen, die am oder nach dem 1. Januar 1976 geboren sind:
Arbeitnehmer: Durchschnitt der höchsten Grundvergütungen in beliebigen 10 Jahren während der 42 Jahre vor dem Ruhestand, angepasst an den Anstieg der Lebenshaltungskosten.Selbstständige/Freischaffende: Durchschnitt der höchsten Netto-Einkünfte aus beliebigen 10 Jahren während der 42 Jahre vor dem Ruhestand.</t>
  </si>
  <si>
    <t>Nicht anwendbar. Kein Bezug zum früheren Einkommen.</t>
  </si>
  <si>
    <t>Einkommensbasierte Rente (inntektspensjon):
Rentensparbeträge werden mit 18,1% des ruhegehaltsfähigen Jahreseinkommens bis zu einem Höchstbetrag des 7,1-Fachen des durchschnittlichen Grundbetrags (Grunnbeløpet) (maximales ruhegehaltsfähiges Einkommen für 2025 beträgt NOK 909.624 (€77.139)) aufgebaut, beginnend mit dem Jahr, in dem Versicherte das 13. Lebensjahr erreichen, und endend, sobald sie das 75. Lebensjahr erreichen.
Zusätzlich gelten einige Sozialleistungen, die einen Einkommensverlust ausgleichen, als ruhegehaltsfähiges Einkommen.
Hinterbliebene Rentner, die vor dem Jahr 2024 eine Hinterbliebenenrente bezogen und Anspruch auf eine Altersrente haben, können aufgrund von Sonderreglungen noch von den Einkünften des Verstorbenen profitieren. Die Rente, die sich aus den Einkünften des Verstorbenen ergibt, ist jedoch nicht weiter geregelt und bleibt nominell.
Einkommensbasierte Zusatzrente (tilleggspensjon):
Die 20 Jahre mit den höchsten Rentenpunkten (pensjonspoeng) bzw. bei kürzerer Erwerbstätigkeit alle Jahre.</t>
  </si>
  <si>
    <t>Recht ab dem 1.1.2005:
Rentenkontensystem mit jährlicher Feststellung der erworbenen Rentenhöhe. Berechnungsgrundlage ist das Erwerbseinkommen im Kalenderjahr bis zur Höchstbeitragsgrundlage (2025: monatlich €6.450 brutto). Die Aufwertung vergangener Beitragsgrundlagen erfolgt anhand der Lohnentwicklung.
Zur Rentenberechnung siehe Tabelle VI, Berechnungsmethode, Rentenformel bzw. Beträge.</t>
  </si>
  <si>
    <t>Personen, die vor dem 1. Januar 1949 geboren wurden:
Das Referenzeinkommen entspricht entweder dem durchschnittlichen Entgelt in 10 aufeinander folgenden Jahren innerhalb der letzten 20 Jahre oder der besten 20 Versicherungsjahre.
Personen, die nach dem 31. Dezember 1948 geboren wurden:
Aus den Beiträgen angesammeltes Kapital.
Bemessungsgrenze: 250% des nationalen Durchschnittslohns.</t>
  </si>
  <si>
    <t>Bezugslohn: Durchschnittlicher Monatsbruttoverdienst in der gesamten Versicherungszeit bis zu max. 40 Jahren. Bei mehr Beitragsjahren wird das Durchschnittseinkommen der besten 40 Jahre zugrunde gelegt.
E/J x 14
E =Summe der versicherungspflichtigen Entgelte
J =Anzahl der Versicherungsjahre.
Die für die Rentenberechnung zugrunde gelegten Entgelte werden nach dem Preisindex des privaten Konsums (ohne Wohnung) aktualisiert.
Diese Regel gilt nicht für die versicherten Entgelte ab dem 01.01.2002. Hier erfolgt eine gewichtete Anpassung an den Verbraucherpreisindex (ohne Wohnung) zu 75% und an den Index der Lohnentwicklung zu 25%. Dabei darf die Anpassung die Entwicklung des Verbraucherpreisindex (ohne Wohnung) nicht um mehr als 0,5% übersteigen.</t>
  </si>
  <si>
    <t>Erste Säule:
Referenzeinkommen: monatliches Bruttoeinkommen über den Beitragszeitraum. Keine Höchstgrenzen.
Zweite Säule:
Abhängig vom persönlichen Nettopensionsvermögen, das sich zusammensetzt aus dem Betrag, der durch Beiträge im Laufe des Beitragszeitraums angesammelt wurde und Investitionen des Rentenfondsverwalters.
Rechtsvorschriften über die Pensionszahlungen stehen noch aus (bis zur Annahme dieser Rechtsvorschriften wird Personen eine Einzelzahlung oder gestaffelte Zahlungen in Raten über einen Zeitraum von höchstens 5 Jahren gewährt).</t>
  </si>
  <si>
    <t>Mit der Beitragszahlung entsteht eine Rentenanwartschaft in Höhe von 18,5% des berücksichtigungsfähigen Einkommens, wobei jede eingezahlte schwedische Krone zu einem entsprechenden Rentenanspruch führt. Zu diesem Einkommen zählen außer Erwerbseinkünften auch bestimmte Lohnersatzleistungen der Sozialversicherung bei Krankheit, Arbeitslosigkeit und Elternzeit.
Die Einkommensobergrenze liegt bei dem 7,5-fachen des Einkommensgrundbetrags.</t>
  </si>
  <si>
    <t>1. Säule (Grundsystem):
Das durchschnittliche Jahreseinkommen setzt sich zusammen aus:
   * den aufgewerteten Erwerbseinkommen (die Beiträge der nichterwerbstätigen Personen werden als Erwerbseinkommen gewertet);
   * den Erziehungsgutschriften und den Betreuungsgutschriften (vgl. Tabelle VI „Alter“, „Leistungen, 4. Anrechenbare oder als Beitragszeiten gewertete Zeiträume).
Die Einkommen der Ehegatten während der Ehedauer werden zwischen den Ehegatten geteilt (Splitting),
   * wenn die beiden Gatten das Referenzalter (Rentenalter) erreicht haben und/oder Anspruch auf eine Invalidenrente haben;
   * wenn die Witwe oder der Witwer das Referenzalter (Rentenalter) erreicht haben oder Anspruch auf eine Invalidenrente haben;
   * oder im Falle einer Scheidung.
Die eingetragene Partnerschaft ist einer Ehe und die gerichtliche Auflösung der Partnerschaft einer Scheidung gleichgestellt.
2. Säule (obligatorische Mindestvorsorge):
Als versicherter Lohn (= koordinierter Lohn) gilt der Teil des Jahreslohnes zwischen CHF26.460 (€28.272) und CHF90.720 (€96.933). Minimaler koordinierter Lohn: CHF3.780 (€4.039).</t>
  </si>
  <si>
    <t>Altersrente (Starobný dôchodok) und Vorgezogene Altersrente (Predčasný starobný dôchodok):
Erwerbseinkommen des Versicherten, von dem Beiträge während der gesamten Versicherungszeit seit 1984 geleistet wurden.</t>
  </si>
  <si>
    <t>Rentenberechnungsbasis (pokojninska osnova): Monatliches Durchschnittseinkommen während eines beliebigen Zeitraums über 24 aufeinander folgende Versicherungsjahre nach dem 1. Januar 1970 (der für die versicherte Person günstigste Zeitraum). Berechnungsgrundlage ist das Nettoeinkommen der Person, von dem Rentenversicherungsbeiträge gezahlt wurden.
Kein gesetzlicher Höchstbetrag, aber de facto besteht ein Höchstbetrag durch die Berechnungsmethode, welche der Höchstrentenberechnungsgundlage in Höhe von €4.879,80 brutto entspricht seit 1. Januar 2025 (d.h. das vier-fache der Mindestrentenberechnungsgrundlage).</t>
  </si>
  <si>
    <t>Die Berechnungsgrundlage ergibt sich durch Division des beitragspflichtigen Arbeitsentgelts während der 350 Monate unmittelbar vor dem Monat des Eintritts in den Ruhestand durch 300.
Die 25 Monate unmittelbar vor dem Ruhestand werden mit ihrem jeweiligen tatsächlichen Wert berücksichtigt, die Werte der übrigen Zeiten werden nach dem Verbraucherpreisindex angepasst.
Monatliche Mindestbeitragsgrundlage: €1.381,20.
Monatliche Höchstbeitragsgrundlage: €4.909,50.</t>
  </si>
  <si>
    <t>Persönliche Bemessungsgrundlage (Osobní vyměřovací základ):
   * basierend auf dem durchschnittlichen Bruttoverdienst über die gesamten Beitragszeit, anfangend mit dem ersten Kalenderjahr nach Vollendung des 17. Lebensjahres und endend mit dem Kalenderjahr vor dem Jahr des Rentenbezugs.Verdienst vor 1986 wird nicht berücksichtigt;
   * alle Einkommen werden entsprechend der Entwicklung des Durchschnittsverdienst-Index angepasst;
   * monatliche Bruttoverdienste werden in der Persönlichen Bemessungsgrundlage wie folgt berücksichtigt: 
   * Bis zu CZK 20.486 (€828): 100% ;
   * von CZK 20.486 (€828) bis CZK 186.228 (€7.525): 26%.
Einkommen von über CZK 186.228 (€7.525) werden nicht berücksichtigt.</t>
  </si>
  <si>
    <t>Erste Säule:
Sozialversicherung Altersrente (Öregségi nyugdíj), Leistung vor dem Rentenalter (Korhatár előtti ellátás) und Altersrente für Frauen mit 40 Jahren Anwartschaftszeit (Öregségi nyugdíj nők számára 40 év jogosultsági idővel): durchschnittliches monatliches Nettoeinkommen der Person seit 1988.
Wenn das durchschnittliche monatliche Nettoeinkommen über HUF372.000 (€933) liegt: 90% des Betrags zwischen HUF372.001 und HUF421.000 und 80% jedes Betrags über HUF421.000 (€1.055) werden berücksichtigt.
Keine Höchstgrenzen.</t>
  </si>
  <si>
    <t>Durchschnittliches versicherungspflichtiges Einkommen seit dem 7 Beginn des Jahres, in dem das 16. Lebensjahr vollendet wurde bis zum Rentenalter oder bis zum Alter von 50 Jahren für Personen mit Thalassämie.
Für die Definition von versicherungspflichtigem Entgelt siehe Tabelle I zu Finanzierung – Allgemeine Sozialbeitragssätze.</t>
  </si>
  <si>
    <t>Unter bestimmten gesetzlichen Bedingungen werden im Allgemeinen folgende Nichterwerbszeiten berücksichtigt: unfreiwillige Arbeitslosigkeit, Arbeitslosigkeit mit Ergänzung durch das Unternehmen (complément d'entreprise/bedrijfstoeslag), bestimmte Zeiträume durch Zeitkredite oder Unterbrechungen der Erwerbstätigkeit, Arbeitsunfähigkeit, Mutterschaftsurlaub, Behinderungen/eingeschränkte Mobilität, Jahresurlaub, Militärdienst, anerkannter Streik, Untersuchungshaft, anerkannte Studienzeiten (anerkannte Studienzeiten werden nur bei der Berechnung der Höhe der Rente und nicht bei der Berechnung der Dauer der Erwerbstätigkeit berücksichtigt), usw.
Die Berechnung der Rente für diese Zeiträume basiert auf einem normalen oder begrenzten fiktiven Arbeitsentgelt:
a) normal, wenn die Berechnung in absteigender Reihenfolge auf dem durchschnittlichen täglichen Arbeitsentgelt insgesamt basiert:
1.Arbeitsentgelt (real, fiktiv und pauschal) für das Jahr vor der gleichgestellten Zeit;
2. mangels 1: Arbeitsentgelt (Ist- und Pauschalbetrag) für das laufende Jahr der gleichgestellten Zeit;
3. mangels 1 und 2: Arbeitsentgelt für das Jahr der ersten, nach der gleichgestellten Zeit ausgeübten Tätigkeit;
4. mangels aller vorgenannten Angaben: das pauschale Arbeitsentgelt für das Jahr 1967.
b) begrenzt, wenn sie in bestimmten Fällen auf dem Mindestanspruch pro Jahr einer vollständigen Berufslaufbahn basiert, d. h. € 32.764,09. Bestimmte gleichgestellte Zeiträume sind beitragsbefreit, für andere können freiwillige Beiträge geleistet werden.
In bestimmten Fällen (beispielsweise bestimmte Zeiträume der Arbeitslosigkeit) besteht eine Obergrenze für das fiktive Entgelt, die unter der normalen Obergrenze liegt.
Generell hängt die Gleichstellung von der Zahlung der mit dem Zeitraum der Arbeitslosigkeit verbundenen Leistung ab.</t>
  </si>
  <si>
    <t>Erste Säule:
Folgende Zeiten werden auch ohne Beitragszahlung als Versicherungszeiten anerkannt:
   * Bezahlter und unbezahlter Erziehungsurlaub,
   * bezahlte oder unbezahlte Beurlaubung wegen vorübergehender Erwerbsunfähigkeit sowie Schwangerschaft und Entbindung,
   * bis zu 30 Arbeitstage unbezahlter Urlaub pro Kalenderjahr;
   * Zeiten des Bezugs von Arbeitslosengeld;
   * Zeiten, in denen eine versicherte Person, die aus medizinischen Gründen einem anderen Arbeitsplatz zugewiesen wurde, nicht arbeitet, da dieser Arbeitsplatz für ihren Gesundheitszustand nicht geeignet ist;
   * Zeiten, in denen ein Elternteil (oder Adoptivelternteil) oder Ehepartner oder ein Großelternteil einer behinderten Person eine behinderte Person mit mindestens 90% dauerhaft verminderter Erwerbsfähigkeit und ständigem Hilfebedarf pflegt;
   * Wehrdienst oder nationaler Militär- oder Zivildienst in Friedenszeiten;
   * Erziehung eines Kindes bis zum Alter von 3 Jahren durch eine nicht-erwerbstätige Mutter.
Zweite Säule:
Keine anrechenbaren bzw. berücksichtigungsfähigen beitragsfreien Zeiten.</t>
  </si>
  <si>
    <t>1. Säule:
Keine anrechenbaren Zeiten.</t>
  </si>
  <si>
    <t>Als Pflichtbeitragszeiten werden sowohl bei der Rentenberechnung als auch für die Wartezeiterfüllung grundsätzlich berücksichtigt:
   * Kindererziehungszeiten bis zu max. drei Jahren je Kind,
   * Zeiten der nicht-erwerbsmäßigen Pflege,
   * Zeiten des gesetzlichen Wehr- oder Zivildienstes,
   * Zeiten des Sozialleistungsbezugs.
Darüber hinaus werden die folgenden Zeiten bei der Rentenberechnung berücksichtigt und je nach Rentenart auf die Wartezeit angerechnet:
   * Anrechnungszeiten: Zeiten der Krankheit, Rehabilitation, Schwangerschaft und des Mutterschutzes der Arbeitslosigkeit oder mit Rentenbezug und nach dem 17. Lebensjahr liegende Zeiten schulischer Ausbildung bis zu acht Jahren.
   * Ersatzzeiten: Zeiten bis 31.12.1991, zum Beispiel Kriegsdienst oder Haftzeiten aufgrund politischer Verfolgung.
   * Berücksichtigungszeiten: Zeiten der Erziehung eines Kindes bis zur Vollendung des 10. Lebensjahres.</t>
  </si>
  <si>
    <t>1. Säule:
Anrechenbare Zeiten bis Ende 31.12.1998 sind:
   * Wehrpflicht oder Zivildienst, wenn die Person in Estland eingezogen wurde oder diese Person vor und nach dem Einzug in den Wehrdienst im Ausland in Estland wohnhaft war,
   * Vollzeitstudium,
   * Zeiten des Bezugs von Arbeitslosenleistungen oder der Teilnahme an Weiterbildungsmaßnahmen,
   * Zeiten der Tätigkeit in der Landwirtschaft,
   * Erziehung eines Kindes mindestens bis zum Alter von 8 Jahren,
   * Zeiten vorübergehender Arbeitsunfähigkeit, usw.
Seit dem 01.01.1999 zahlt der Staat die Sozialsteuer (sotsiaalmaks) für bestimmte Gruppen nicht erwerbstätiger Personen (siehe Tabelle I „Finanzierung").
2. Säule:
Keine Anrechnung beitragsfreier Zeiten, aber siehe Tabelle I „Finanzierung“, „Beteiligung des Staates“, 5. Alter“.</t>
  </si>
  <si>
    <t>Gesetzliche einkommensbezogene Rente (Työeläke):
Berücksichtigungsfähig sind ebenfalls unbezahlte Zeiten (z. B. Zeiten des Bezugs von einkommensbezogenem Mutterschafts-, Vaterschafts- und Elternschaftsgeld, einkommensbezogenem Arbeitslosengeld, Bildungsurlaub, Erwachsenenfortbildungszuschüsse, Krankengeld, Rehabilitationsgelder und Lohnersatzleistungen der Arbeitsunfall-, Militärunfall- und Kraftfahrzeughaftpflichtversicherung). Berechnungsgrundlage sind die Einkommen, auf denen diese Leistungen beruhen. Für Mindestleistungen gilt ebenso wie für Zeiten des Studiums und häuslicher Kinderbetreuung ein fester monatlicher Betrag (im Jahr 2025: €876) als Referenzbasis. Ausbildungszeiten und Kinderbetreuungszeiten gelten als staatliche Anrechnungszeiten.</t>
  </si>
  <si>
    <t>1. Säule (Basissystem):
   * Schule und Studium: Möglichkeit, die Studienzeiten bis zu 3 Beitragsjahren zu kaufen
   * Mutter- und Vaterschaft: 
   * „Mutterschafts-Kredit“: ein Jahr pro Kind für die versicherte Mutter;
   * „Adoptionskredit“: 1 Jahr für einen adoptierten Minderjährigen; wird einem der zwei versicherten Elternteile gewährt oder zwischen beiden aufgeteilt;
   * „Bildungskredit“: 1 Jahr pro Kind, wird einem der zwei versicherten Elternteile gewährt oder zwischen beiden aufgeteilt;
   * Elternschaftsurlaub bis zur effektiven Länge des Urlaubs (kann nicht mit dem Mutterschafts-, Bildungs- oder Adoptionskredit kumuliert werden; günstigste Wahl für den Versicherten);
   * Pflege und Betreuung von Kindern: Zulage „Versicherungsdauer“ für die Erziehung eines schwerbehinderten Kindes bis zu einer Höchstdauer von zwei Jahren;
   * Pflege und Betreuung eines unterhaltsberechtigten Erwachsenen: Zulage „Versicherungsdauer“ für die ständige Betreuung eines behinderten Erwachsenen (Behinderung von mindestens 80%), bis zu einer Höchstdauer von 2 Jahren;
   * Arbeitslosigkeit: Unfreiwillige Arbeitslosigkeit (nicht registrierte Zeiträume seit 1980, die aufgrund bestimmter Bedingungen und bestimmter Grenzen nicht berücksichtigt werden);
   * Krankheit: Bezug von Leistungen wegen Krankheit, Mutterschaft, Invalidität, Berufsunfällen (vorübergehende oder permanente Erwerbsminderung von mindestens 66%) oder beruflicher Rehabilitation;
   * Andere Zeiten: 
   * Militärdienst und Untersuchungshaft
   * vorzeitige Beendigung der Erwerbstätigkeit;
   * bestimmte Zeiten der beruflichen Weiterbildung (für Arbeitssuchende ohne Entschädigung oder Menschen mit einer Behinderung). Zivildienstzeiten können als anerkannte Quartale angerechnet werden, gelten aber nicht als Beitragszeiten.
2. Säule (Zusatzrentensysteme (Agirc-Arrco)):
Zeiten des Bezugs von Leistungen bei Krankheit, Mutterschaft, Arbeitsunfällen, Invalidität, Arbeitslosigkeit und Vorruhestand.</t>
  </si>
  <si>
    <t xml:space="preserve">1. Säule (Hauptrente der e-EFKA):
Zeiten, die nur für den Zweck der Bewertung des Pensionsanspruchs, nicht jedoch für die Berechnung des zahlbaren Rentenbetrags genutzt werden:
   * Zeiten, in denen eine Invalidenrente bezogen wurde,
   * Zeiten des Bezugs von Krankengeld oder Arbeitslosengeld,
   * Zeiten der Teilnahme am Widerstand während des 2. Weltkriegs.
Zeiträume, die sowohl für die Bewertung des Pensionsanspruchs als auch für die Berechnung der zu zahlenden Pension genutzt werden:
   * Fehlzeiten aufgrund der Versorgung eines Kindes werden gutgeschrieben, sofern Elternurlaubszeit zur Kindererziehung (Gesetz 4808) und Elterngeld gewährt wurden.
   * Fehlzeiten aufgrund von Schwangerschaft werden gutgeschrieben, sofern Leistungen bei Schwangerschaft (d.h. Mutterschaftsgeld, ergänzende Mutterschaftsschutzbeihilfe, besondere Mutterschaftsschutzhilfe) gewährt wurden.
Nicht anwendbar:
   * Fehlzeiten aufgrund der Versorgung eines hilfebedürftigen Erwachsenen;
   * Bildungsurlaub.
</t>
  </si>
  <si>
    <t>Beiträge können für die Bestimmung des jährlichen Durchschnitts und somit der gegebenenfalls zahlbaren Rentenhöhe berücksichtigt werden. Sie können nicht zur Abdeckung der grundlegenden Mindestversicherungszeit von 520 Beiträgen verwendet werden.
Vorbehaltlich von Bedingungen können Beiträge angerechnet werden für:
   * Personen im Alter von 16 bis 66 Jahren, die Geldleistungen bei Krankheit, Mutterschaft, dauernder Invalidität, Arbeitslosigkeit, Arbeitsunfall oder Ruhestandsrente erhalten;
   * Versicherte Personen, die arbeitssuchend oder krank gemeldet sind, aber keine Leistung erhalten.
Seit 1994 können bei der Berechnung des jährlichen Durchschnitts und somit der zahlbaren Rentenhöhe bis zu 20 Jahre berücksichtigt werden, in denen die versicherte Person ein Kind unter 12 Jahren erzogen oder eine invalide Person (ohne Altersbeschränkung) gepflegt hat.
Im Rahmen des vorläufigen Gesamtbeitragsansatzes können Zeiträume der häuslichen Pflege von bis zu 20 Jahren für Personen angerechnet werden, die Kinder bis zum Alter von 12 Jahren oder andere Personen mit Vollzeitpflegebedarf betreut haben. Andere Gutschriften sind gemäß der jährlichen Durchschnittsmethode verfügbar, es gilt jedoch ein Gesamtlimit von 20 Jahren (1040 Beiträgen).
Ab Januar 2024 können Personen, die mehr als 20 Jahre lang eine invalide Person in Vollzeit gepflegt haben, Anspruch auf den Gegenwert der gezahlten Beiträge (Beiträge für Pflegebedürftige) für Zeiträume von mehr als 20 Jahren haben, die sie in der Pflege verbracht haben, um Lücken in ihrem Beitragsnachweis zu schließen, die für die Berechnung der (beitragsabhängigen) staatlichen Rente (State Pension (Contributory)) erforderlich sind.</t>
  </si>
  <si>
    <t>Volksrente (lífeyrir almannatrygginga):
Nicht anwendbar.
Arbeitsrente (lögbundnir lífeyrissjóðir):
Nicht anwendbar.
Keine angerechneten oder beitragsabhängigen Zeiträume.</t>
  </si>
  <si>
    <t>Fiktive Beitragszeiten aus Militärdienst oder während des Bezugs von Kranken-, Mutterschafts-, Arbeitslosen- oder Entlassungsgeld werden mit angerechnet.
Fehlzeiten am Arbeitsplatz aufgrund der Kindererziehung oder der Versorgung eines pflegebedürftigen Erwachsenen werden als Beitragszeiten betrachtet.
Ausnahme: fiktive Beiträge werden nicht berücksichtigt, wenn im Alter von 71 Jahren + 3 Monaten Anspruch auf die Rente gemacht wird mithilfe der Mindestversicherungszeit von 5 Jahren (siehe Tabelle VI, „Alter, Bedingungen, 1. Mindestversicherungszeit”).</t>
  </si>
  <si>
    <t xml:space="preserve">Angerechnete anrechenbare Zeiträume nur für die Berechtigung auf eine Rente:
   * für (Adoptiv-) Mütter (oder ausnahmsweise (Adoptiv-) Väter, wenn der Urlaub hauptsächlich von ihnen genommen wird),
   * Zeiten, die Militärangehörige oder Soldaten im Krieg verbracht haben,
   * Zeiten im Krieg und Zeiten der politischen Gefangenschaft nach dem Krieg.
Angerechnete anrechenbare Zeiträume nur für die Berechnung der Rente:
   * Fiktive Zeiträume für die Berechnung einer Behinderten- oder Hinterbliebenenrente, wenn eine Person unter 60 Jahre alt ist;
   * Angerechnete Zeiträume für ein geborenes oder adoptiertes Kind für den Rentenanspruch.
Für eine Mutter oder Adoptivmutter mit Recht auf Pensionierung wird in der Gesamtversicherungszeit für den Rentenanspruch ein Zeitraum von bis zu 12 Monaten für jedes geborene oder adoptierte Kind hinzugefügt (nicht für den Rentenanspruch, sondern zur Bestimmung der Höhe der Rente).
Wenn ausnahmsweise nicht die Mutter oder Adoptivmutter, sondern der Vater oder Adoptivvater den Elternurlaub nutzt, hat er Anspruch auf das oben genannte Recht.
Angerechnete Zeiträume für die Berechtigung und Berechnung einer Rente:
   * Perioden mit Fehlzeiten bei der Arbeit aufgrund der Versorgung von Kindern:
   * Für beschäftige Eltern (Beiträge werden vom Arbeitgeber und aus dem staatlichen Budget – je 12 Monate – gezahlt),
   * Für arbeitslose Eltern im ersten Jahr nach der Geburt des Kindes (Beiträge werden aus dem staatlichen Budget gezahlt).
   * Zeiträume für die Versorgung eines hilfsbedürftigen Erwachsenen mit einem Pflegerstatus nach dem Gesetz über die soziale Wohlfahrt oder nach anderen spezifischen Gesetzen (Beiträge werden aus dem staatlichen Budget gezahlt);
   * Zeiträume, in denen Krankengeld gezahlt wird;
   * Zeiträume, in denen eine Person, die ein Anrecht auf Beihilfe hat und die Altersbedingungen für das Recht auf Altersrente erfüllt, Arbeitslosenhilfe erhält, bis die erste Bedingung über die Dienstjahre für die Pensionierung erfüllt ist, was aber nicht mehr als 5 Jahre beträgt (Beiträge werden aus dem staatlichen Budget gezahlt).
</t>
  </si>
  <si>
    <t>1. Säule:
   * Erziehungszeiten für ein Kind jünger als 1,5 Jahren,
   * Bezugszeitraum von Mutterschaftsgeld (Maternitātes pabalsts) und Vaterschaftsgeld (Paternitātes pabalsts),
   * Bezugszeitraum von Arbeitslosengeld (Bezdarbnieka pabalsts),
   * Bezugszeitraum von Krankengeld (Slimības pabalsts),
   * Zeiten beruflicher Untätigkeit von Menschen mit Behinderung,
   * Zeiten beruflicher Untätigkeit von Ehegatten von im diplomatischen oder konsularischen Dienst stehenden Personen oder aktiven Militärangehörigen, die mit im Ausland leben,
   * Bezugszeitraum von Kinderbetreuungsgeld für ein adoptiertes Kind,
   * Bezugszeitraum von Leistungen für die Erfüllung von Pflichten als Pflegefamilie,
   * Bezugszeitraum von Betreuungsgeld für behinderte Kinder (Bērna ar invaliditāti kopšanas pabalsts),
   * Zeiten, über die entlohnte befristete öffentliche Arbeiten verrichtet wurden.
Bis zum 1. Januar 1991 wurden die folgenden Zeiten angerechnet:
   * Militärdienst,
   * Studium an höheren Bildungseinrichtungen oder an Sekundarschulen für höchstens 5 Jahre (oder 6 Jahre bei einer längeren Ausbildung),
   * Erziehung von Kindern unter 8 Jahren durch die Mutter,
   * Zeiten politischer Unterdrückung etc.
2.Säule:
Keine anrechenbaren oder beitragsfähigen Zeiten.</t>
  </si>
  <si>
    <t>1. Säule: Für die Berechnung der Altersrente können folgende Zeiten berücksichtigt werden:
   * die Beitragsdauer als unselbständig-, selbständig- oder nicht-erwerbstätige Person, soweit die Person beitragspflichtig ist (Art. 36 AHVG);
   * Erziehungsgutschrift für Kalenderjahre, in denen während dieser Zeit die versicherte Personen die elterliche Obsorge über eines oder mehrere Kinder, die das 16. Altersjahr noch nicht vollendet haben, ausüben, und
   * Betreuungsgutschriften für jene Kalenderjahre, a) in denen Versicherte ihre in erheblichem Masse pflege- und hilfsbedürftigen Angehörigen betreuen, sofern sie in einem gemeinsamen Haushalt oder in einem nicht weiter als 30 Kilometer (Wegstrecke) entfernt gelegenen Haushalt wohnen oder b) in denen Versicherte andere in erheblichem Masse pflege- und hilfsbedürftige Personen betreuen, sofern sie in einem gemeinsamen Haushalt wohnen.
2. Säule: Keine anrechenbaren bzw. berücksichtigungsfähigen beitragsfreien Zeiten.</t>
  </si>
  <si>
    <t>Inaktive Zeiten werden als Anrechnungszeiten berücksichtigt, wenn folgende Leistungen bezogen werden: Krankheit, Mutterschaft, Betreuung eines Kindes, berufliche Rehabilitation, Arbeitslosigkeit und Invalidität.
Diese Zeiträume werden bei der Festlegung der Mindestversicherungszeit für eine Rente und auch bei der Berechnung des Rentenbetrags berücksichtigt. Bei der Pflege von pflegebedürftigen Erwachsenen zahlt der Staat für die Pflegenden Beiträge zur Grundrente der staatlichen Sozialversicherung. Daher gelten diese Zeiträume als versicherte und nicht als angerechnete Zeiträume.</t>
  </si>
  <si>
    <t>1. Säule:
Als effektive Versicherungszeiten, die für die Mindestversicherungszeit und die Berechnung der pauschalen und anteiligen Zuschläge berücksichtigt werden, gelten insbesondere folgende:
   * Zeiten, die durch ein Ersatzeinkommen abgedeckt sind, auf das ein Rentenbeitrag einbehalten wird: Arbeitslosigkeit, Krankheit, Mutterschaft, Unfallrente, Elternurlaub;
   * ein Zeitraum von 24 Monaten für die Erziehung eines Kindes („Babyjahre“ (années bébé);
   * Zeiten, in denen ein informeller Helfer eine Person betreut, die nach den Rechtsvorschriften über die Pflegebedürftigkeit pflegebedürftig ist.
Als zusätzliche Zeiten, die für Mindestversicherungszeit und die pauschalen Zuschläge berücksichtigt werden, gelten insbesondere folgende:
   * Ausbildungszeiten zwischen dem 18. und dem 27. Lebensjahr;
   * Zeiten der Erziehung von Kindern unter 6 Jahren (18 Jahre bei Krankheit des Kindes) – Insgesamt: 8 Jahre für 2 Kinder und 10 Jahre für 3 Kinder;
   * Zeiten für die Pflege eines Hilfsbedürftigen;
   * Zeiten, in denen eine Invaliditätsrente gewährt wird.</t>
  </si>
  <si>
    <t>Angerechnet werden Zeiten von:
   * Krankheit, für den Anspruch auf Krankengeld angerechnete Zeiten;
   * Eine Witwe gilt unabhängig von einem Anspruch auf Witwenrente als nicht erwerbstätig, solange sie nicht erneut heiratet und vorausgesetzt, dass ihr verstorbener Ehemann oder Partner vor seinem Tod mindestens 156 Wochenbeiträge geleistet hat;
   * Invalidität: vorausgesetzt, dass die Anzahl der anrechenbaren Beiträge die Anzahl der tatsächlich vom Leistungsempfänger ab 1979 entrichteten Beiträge nicht übersteigt;
   * Anspruch auf Leistungen bei Arbeitslosigkeit;
   * Anspruch auf Leistungen bei Verletzung;
   * für nach dem 1. Januar 1952 geborene Eltern Zeiten der Erziehung eines Kindes, wenn das Kind jünger als 6 Jahre ist (unter 10 Jahren bei einem Kind mit Behinderung).
Studien-Anrechnungszeiten für Studenten, die nach dem 1. Januar 1952 geboren sind.
Besondere Anrechnungszeiten für ehemalige Bedienstete der Polizei, der Streitkräfte und der Abteilung für Katastrophenschutz, Gefängniswärter, Pflegekräfte und ehrenamtlich tätige Personen.</t>
  </si>
  <si>
    <t>Einkommensbasierte Rente (inntektspensjon):
Bestimmte anrechenbare bzw. berücksichtigungsfähige beitragsfreie Zeiten:
   * Einkommen entsprechend 18% eines Betrags entsprechend dem 4,5-Fachen des Grundbetrags (Grunnbeløpet) für jedes Jahr der Kinderbetreuung von Kindern unter 6 Jahren oder der Pflege von behinderten, kranken oder älteren Personen;
   * Einkommen entsprechend dem 2,5-Fachen des Grundbetrags für jedes Jahr des verpflichteten Wehr- oder Zivildienstes;
   * Früheres Einkommen bis zum 7,1-Fachen des Grundbetrags für Empfänger von Leistungen bei Arbeitslosigkeit;
   * Geschätztes zukünftiges Einkommen bis zum 7,1-Fachen des Grundbetrags für Empfänger von Invaliditätsrenten.
Einkommensbasierte Zusatzrente (tilleggspensjon):
   * Invaliditätsrentnern werden für Zurechnungszeiten Rentenpunkte (pensjonspoeng) angerechnet;
   * Jahre der Erziehung eines Kindes unter 6 Jahren oder der Pflege behinderter, kranker oder älterer Menschen. Für solche Jahre werden jeweils mindestens 3,5 Rentenpunkte angerechnet.
Für die Anzahl von Jahren der Nichtarbeitszeit, die gutgeschrieben werden können, gibt es in beiden Systemen keine Obergrenze. Eine Einschränkung besteht aber darin, dass die Bedingungen für eine Gutschrift erfüllt werden müssen. Beispielsweise wird Kinderbetreuung nur für Kinder unter sechs Jahren anerkannt.</t>
  </si>
  <si>
    <t>Ab 1.1.2005:
Beitragszeiten, für die Beiträge aus öffentlichen Mitteln entrichtet werden (keine Arbeitnehmer:innenbeiträge, beispielhafte Aufzählung):
   * Kindererziehungszeiten (maximal 4 Jahre pro Kind, im Falle einer Mehrlingsgeburt 5 Jahre), jeweils gezählt ab der Geburt des Kindes.
   * Militär- bzw. Kriegsdienstzeiten sowie gleichgestellte Zeiten (z.B. Zivildienstzeiten).
   * Zeiten des Bezuges von Wochengeld (Zeiten des Mutterschaftsurlaubes).
   * Zeiten des Bezuges von Arbeitslosengeld bzw. Notstandshilfe sowie Krankengeld.
   * Zeiten der Pflege eines behinderten Kindes (bis zur Vollendung des 40. Lebensjahres), für das erhöhte Familienbeihilfe gewährt wird, unter überwiegender Beanspruchung der Arbeitskraft in häuslicher Umgebung.
   * Zeiten der Pflege eines nahen Angehörigen mit Anspruch auf Pflegegeld zumindest der Stufe 3 unter erheblicher Beanspruchung der Arbeitskraft der pflegenden Person in häuslicher Umgebung.
Für Versicherungszeiten, die vor dem 1.1.2005 erworben wurden, sowie für Personen, die am 1.1.2005 das 50. Lebensjahr schon vollendet haben (unbegrenzt) werden die oben genannten Zeiten beitragsfrei als gleichgestellte Zeiten angerechnet.
Für Zeiten der Kindererziehung, der Pflege eines nahen Angehörigen oder eines behinderten Kindes gebührt eine fixe Bemessungsgrundlage in der Höhe von €2.300,10 (2025).
Für Personen, die vor dem 1.1.1955 geboren sind, beträgt die Bemessungsgrundlage für Kindererziehungszeiten €1.834,55 (2025).</t>
  </si>
  <si>
    <t xml:space="preserve">
   * Krankengeld (Zasilek chorobowy);
   * Vorruhestandsleistungen (Świadczenie przedemerytalne);
   * Zuschüsse für Pflegepersonen (zasiłek opiekuńczy);
   * Rehabilitationsbeihilfe (Świadczenie rehabilitacyjne);
   * Zeitraum der nachgewiesenen Erwerbsunfähigkeit, für die Arbeitslosengeld (Zasiłek dla bezrobotnych) gezahlt wurde;
   * Studium.
Für vor dem 1. Januar 1949 geborene Personen werden die oben genannten Zeiträume für die Bewertung eines Rentenanspruchs berücksichtigt, sie sind aber auf ein Drittel des Beitragszeitraums für die Berechnung des zu zahlenden Rentenbetrags beschränkt: 0,7% der Bemessungsgrundlage für jedes Jahr.
Für nach dem 31. Dezember 1948 geborene Personen werden die oben genannten Zeiträume nicht für den Anspruch auf Altersrente und für die Berechnung des zahlbaren Betrags berücksichtigt.</t>
  </si>
  <si>
    <t>Zeiten der Krankheit, Mutterschaft, Arbeitslosigkeit, des Militärdienstes, Zeiten, in denen Leistungen für berufliche Risiken bezogen oder die Aufgaben eines Geschworenen wahrgenommen wurden, Zeiten einer verringerten Erwerbstätigkeit oder der Aussetzung des Arbeitsvertrags in wirtschaftlichen Krisensituationen und Urlaubszeiten für die Kinderbetreuung.
Die betreffenden Zeiten werden als Zeiten der effektiven Erwerbstätigkeit anerkannt und bei der Ermittlung der Mindestversicherungsdauer sowie bei der Berechnung der Rentenhöhe berücksichtigt; Der Urlaub für die Betreuung von Kindern (Licença para assistência a filho), obwohl dieser nicht in den Bereich der Sozialversicherung fällt, wird beim Rentenprozentsatz berücksichtigt, wenn die Elternzeit ausgeschöpft ist.
Keine zu berücksichtigende Höchstdauer.</t>
  </si>
  <si>
    <t>Erste Säule:
Für den Anspruch auf Altersrente (pensie pentru limita de varsta) und Altersrente mit reduziertem Ruhestandsalter (pensie pentru limita de varsta cu reducerea varstelor standard de pensionare) werden folgende beitragsunabhängige Anrechnungszeiten berücksichtigt:
   * Zeiträume, in denen nach dem 1. Januar 2006 Erziehungsurlaub und -Leistungen (concediu și indemnizatie pentru cresterea copilului) bezogen werden;
   * Zeiten der Arbeitslosigkeit nach dem 1. April 2001, in denen Personen Arbeitslosengeld bezogen haben.
Folgende beitragsfreie Zeiträume werden bei der Berechnung der zu zahlenden Altersrente (pensie pentru limita de varsta) und Altersrente mit reduziertem Ruhestandsalter (pensie pentru limita de varsta cu reducerea varstelor standard de pensionare) berücksichtigt:
   * Zeiten des Bezugs befristeter Leistungen seit dem 1. Januar 2005: d. h Geldleistung bei vorübergehender Arbeitsunfähigkeit (indemnizatie pentru incapacitate temporara de munca) aufgrund eines Arbeitsunfalls oder einer Berufskrankheit;
   *  Zeiten des Bezugs befristeter Leistungen seit dem 1. Januar 2006 für Erziehungsurlaub und -Leistungen (concediu și indemnizatie pentru cresterea copilului), gewährt für das Aufziehen eines Kindes bis 2 Jahre oder, bei Kindern mit Behinderung, bis 3 Jahre;
   * Zeiten der Arbeitslosigkeit nach dem 1. April 2001, während denen Leistungen bei Arbeitslosigkeit bezogen wurden;
   * Zeiten eines mit einem Diplom, Bachelor-, Master- oder Doktortitel abgeschlossenen Vollzeit-Universitätsstudiums;
   * Wehrdienst oder Zeiträume, in denen der Betroffene einberufen oder dienstverpflichtet war oder sich in Kriegsgefangenschaft befand.
Zweite Säule:
Nicht anwendbar.</t>
  </si>
  <si>
    <t xml:space="preserve">Die einbezogenen, nicht beitragspflichtigen Zeiten sind:
   * Kindererziehung gilt für das Elternteil, das am wenigsten verdient während der ersten vier Lebensjahre des Kindes oder der ersten vier Jahre der Adoption, aber nicht über das 10. Lebensjahr des Kindes hinaus).
   * Studium für Universitätsstudenten oder Berufsschüler, die Studienförderung der schwedischen Zentralstelle für Studienförderung (CSN) erhalten (oder Studenten über 20 Jahre, die die Pflichtstufe oder die obere Sekundarstufe der Volkshochschule besuchen).
   * Bezug anspruchsberechtigender Einkünfte von Beziehern des einkommensbezogenen Aktivitäts-/ Krankheitsausgleichs (aktivitets-/sjukersättning). Für die angeführten Zeiten ist ein Beitrag zu entrichten, wobei der Staat jeweils den Differenzbetrag bis zu einem Sa tz von 18,5% zahlt.
   * Militärdienst oder andere Pflichtdienste. Die Person muss an mindestens 120 aufeinanderfolgenden Tagen gedient haben um Rentenansprüche zu erwerben.
</t>
  </si>
  <si>
    <t>1. Säule (Grundsystem):
Erziehungsgutschriften: Berücksichtigung eines fiktiven Einkommens (bei Berechnung der Rente) für die Jahre, während denen die Versicherten die elterliche Sorge über ein oder mehrere weniger als 16 Jahre alte Kinder innehaben.
Betreuungsgutschriften: das Gleiche gilt für Jahre, während denen die Versicherten hilflose Verwandte in auf- oder absteigender Linie oder Geschwister betreuen, die die Versicherten leicht erreichen können. Verwandten gleichgestellt sind Ehegatten, Schwiegereltern und Stiefkinder sowie die Lebenspartnerin oder der Lebenspartner, die oder der seit mindestens fünf Jahren ununterbrochen mit der versicherten Person einen gemeinsamen Haushalt führt.
Bei nichterwerbstätigen Ehegatten von erwerbstätigen Versicherten sowie Personen, die im Betrieb ihres Ehegatten ohne Barlohn mitarbeiten, gelten die eigenen Beiträge als bezahlt, sofern der Ehegatte Beiträge von mindestens der doppelten Höhe des Mindestbeitrages bezahlt hat.
Die eingetragene Partnerschaft ist einer Ehe gleichgestellt.
2. Säule (obligatorische Mindestvorsorge):
Keine anrechenbaren bzw. berücksichtigungsfähigen beitragsfreien Zeiten.</t>
  </si>
  <si>
    <t>Folgende Zeiten werden vom Staat für den Rentenanspruch und die Berechnung des zahlbaren Betrags angerechnet:
   * Zeiten des Bezugs von Mutterschaftsgeld (Materské);
   * Zeiten von krankheitsbedingter Arbeitsunterbrechung sowie Zeiten des Bezugs von Pflegegeld für die Pflege eines kranken Angehörigen (Ošetrovné);
   * Zeiten der Betreuung von Kindern bis zum Alter von 6 Jahren;
   * Zeiten der Betreuung eines langfristig schwer behinderten Kindes bis zum Alter von 18 Jahren oder einer erwachsenen Person oder Zeiten der persönlichen Unterstützung (Osobná asistencia) für mindestens 140 Stunden monatlich);
   * Zeiten des Bezugs der Invailiditätsrente bis zum Erreichen des Ruhestandsalters oder bis zum Bezug der vorgezogenen Altersrente;
   * Zeiten des Bezugs der Unfallrente (Úrazovú rentu) oder
   * Zeiten des Bezugs früherer Bergleute von Ausgleichsbeitrag für Bergleute (Kompenzačný príspevok baníkom) oder
   * Zeiten der gefährdeten oder geschützten Zeugenschaft oder der freiwilligen militärischen Ausbildung.
Für Zeiten des Bezugs der Unfallrente (Úrazová renta) vor dem Ruhestandsalter oder vor dem Bezug von Frührente werden Beiträge von der Sozialversicherungsanstalt, (Sociálna poisťovňa) gezahlt.
Für Personen, die vor 2004 versichert waren, werden auch andere beitragsfreie Zeiten (wie z.B. Zeiten des Besuchs von Bildungseinrichtungen, Grundwehrdienst und Zeiten des Bezugs von Arbeitslosengeld) angerechnet.</t>
  </si>
  <si>
    <t>Folgende inaktive Zeiten der Abwesenheit vom Arbeitsplatz werden für den Anspruch auf Altersrente und die Berechnung des Rentenbetrags berücksichtigt:
   * Zeiten des Bezugs von Krankengeld;
   * Zeiten des Bezugs von Leistungen während Mutterschaft (Mutterschaftsgeld (materinsko nadomestilo)), Vaterschaft (Vaterschaftsgeld (očetovsko nadomestilo)) und Elternurlaub (Elterngeld (starševsko nadomestilo));
   * Zeiten des Bezugs von Arbeitslosengeld;
   * Zeiten der subventionierten Beiträge für die Renten- und Invaliditätsversicherung für Langzeitarbeitslose gegen Ende ihrer Laufbahn (ein Jahr vor dem Ruhestand);
   * Zeiten der Kindererziehung, d.h.:
   * Zeiten der Teilzeitarbeit aufgrund längerer Kindererziehungszeiten (der Staat garantiert die Zahlung eines proportionalen Anteils der Beiträge bis zum Pflichtbeitrag bei Vollzeitbeschäftigung (für ein Kind bis zum Alter von 3 Jahren und für mindestens zwei Kinder bis zum Abschluss des ersten Schuljahres des jüngsten Kindes);
   * Zeiten der Erziehung von vier oder mehr Kindern (das Elternteil hat Anspruch auf vom Staat gezahlte Sozialversicherungsbeiträge bis das jüngste Kind die erste Klasse vollendet hat).</t>
  </si>
  <si>
    <t>Folgende Zeiten werden angerechnet: Arbeitslosigkeit, Krankenstand, Geburt und Erziehungsurlaub, Risiko während Schwangerschaft und Stillzeit, die ersten drei Jahre des Erziehungsurlaubs (Excedencia por cuidado de hijo) zur Erziehung eines Kindes und maximal die ersten drei Jahre der Beurlaubung um Verwandte zu pflegen (excedencia para el cuidado de familiares), die aufgrund von Alter, Krankheit oder Arbeitsunfähigkeit dauerhafte Unterstützung benötigen, um die meisten grundlegenden Aktivitäten des täglichen Lebens auszuführen, wird ebenfalls angerechnet.
Sie werden bei der Bewertung des Anspruchs auf eine Altersrente und bei der Berechnung der Höhe dieser Altersrente berücksichtigt, wenn die Geburt während des Berechnungszeitraums stattgefunden hat.
Angepasste Zeiträume bei Geburt (periodos asimilados por parto): Im Falle einer Geburt werden insgesamt 112 Kalendertage der Beitragszahlung für jedes einzelne Kind und im Falle einer Mehrlingsgeburt 14 zusätzliche Kalendertage für jedes Kind nach dem zweiten Kind berechnet, falls die Frau während dieses Zeitraums nicht gearbeitet hat.
Sie werden bei der Bewertung des Anspruchs auf eine Altersrente und bei der Berechnung der Höhe dieser Altersrente durch Anhebung des auf die Berechnungsgrundlage anzuwendenden Prozentsatzes berücksichtigt, wenn die Geburt während des Berechnungszeitraums stattgefunden hat.
Anzurechnende Zeiträume für die Betreuung von Pflegekindern oder Minderjährigen in einem Pflegeverhältnis (periodos computables por cuidado de hijos o menores acogidos) Im Falle einer Beendigung des Arbeitsverhältnisses oder dem Auslaufen von Arbeitslosenleistungen innerhalb des Zeitraums von neun Monaten vor der Geburt eines Kindes oder drei Monaten vor einer dauerhaften Adoption oder dem Beginn eines Pflegeverhältnisses und dem Ende des sechsten Jahrs nach der Geburt, Adoption oder des Pflegeverhältnisses wird ein bestimmter Zeitraum ununterbrochener Beiträge als Beitragszeitraum betrachtet, und zwar 270 Kalendertage pro Kind.
Nur ein Elternteil erwirbt diesen Zeitraum für alle Zwecke, außer für den erforderlichen Mindestbeitragszeitraum. Die gutgeschriebenen Tage steigern den auf die Berechnungsgrundlage anzuwendenden Prozentsatz.
Anzurechnende Zeiträume für die Betreuung von Kindern oder Pflegekindern sind mit angepassten Zeiträumen bei Geburt kompatibel und können mit diesen kumuliert werden.
sie sind ebenfalls mit effektiven Beitragszeiträumen kompatibel und können mit diesem kumuliert werden, welche aus Erziehungsurlaub zur Kindererziehung abgeleitet werden, dürfen jedoch zum Zweck der Bestimmung der Rentenleistungen oder des Renteneintrittsalters insgesamt fünf Jahre pro Leistungsempfänger nicht übersteigen.</t>
  </si>
  <si>
    <t>Ersatzzeiträume, die zur Berechnung der Mindestversicherungszeit und des Rentenbetrags vollständig (100%) berücksichtigt werden:
   * Wehrdienstzeiten bis 30.06.2016;
   * Zeiträume, in denen ein Kind bis zum Alter von 4 Jahren versorgt wurde (bis 10 Jahre, wenn das Kind zu Kategorie I gehört (leichte Pflegebedürftigkeit));
   * Zeiten unvermittelter Pflegeunterbringung (nach gesetzlich vorgeschriebenen Bedingungen);
   * Pflegezeiten für pflegebedürftige Personen (Kategorie II – mittlere Pflegebedürftigkeit, Kategorie III – schwere Pflegebedürftigkeit und Kategorie IV – vollständige Pflegebedürftigkeit).
Ersatzzeiträume, die zur Berechnung der Mindestversicherungszeit und des Rentenbetrags zu 80 % berücksichtigt werden:
   * Zeiträume des Vollzeitstudiums (zwischen 18 und 26 Jahren) an weiterführenden Schulen oder Universitätsstudenten vor 2010 (höchstens 6 Jahre ab dem Alter von 18 Jahren);
   * Zeiträume, während der Arbeitslosengeld erhalten wurde und dazu max. drei weitere Jahre, während der man als arbeitslos gemeldet war und kein Arbeitslosengeld oder keine Umschulungsleistungen erhalten hatte, jedoch nur ein Jahr für Zeiträume vor Erreichen des 55. Lebensjahres;
   * Zeiträume, in denen Personen mit verringerter Arbeitsfähigkeit an Ausbildungsmaßnahmen teilnehmen;
   * Zeiträume des Bezugs von Invaliditätsrente dritten Grades (Invalidní důchod třetího stupně) bis zum gesetzlichen Renteneintrittsalter;
   * Zivildienstzeiten bis 31.12.2004;
   * Zeiten, in denen Personen im Zeugenschutz nicht erwerbstätig sind.
Diese Zeiträume werden bei der Berechnung der Persönlichen Bemessungsgrundlage nicht berücksichtigt.
Zeiten der Erwerbsunfähigkeit und Zeiten des Bezugs von Leistungen der Krankenversicherung werden grundsätzlich als Versicherungszeiten (100%) oder nach Beendigung der Erwerbstätigkeit als Ersatzzeiten (80%) berücksichtigt. Diese Zeiten sind von der Berechnung der Persönlichen Bemessungsgrundlage ausgenommen.
Es gibt keine Obergrenze für den Zeitraum.</t>
  </si>
  <si>
    <t>Erste Säule:
   * nationaler Militärdienst (öffentlicher Dienst);
   * Zeiten des Anspruchs auf Leistung bei Schwangerschaft und Geburt (Terhességi-gyermekágyi segély) (bis 31. Dezember 2014), Mutterschaftsgeld (Csecsemőgondozási díj), Krankengeld (Táppénz), Arbeitsunfallkrankengeld (Baleseti táppénz), Kinderbetreuungsgeld (Gyermekgondozási díj), Adoptionsbeihilfe (Örökbefogadói díj) (ab 1. Januar 2020), Geld für die Kinderbetreuung zuhause (Gyermekgondozási segély) (bis 31. Dezember 2015), Erziehungsgeld (Gyermekgondozást segítő ellátás) (ab 1. Januar 2016) und Erziehungsgeld für kinderreiche Familien (Gyermeknevelési támogatás), Beihilfe für Pflegepersonen (Ápolási díj);
   * Zahlungszeiträume von Arbeitslosengeld (Álláskeresési járadék), Arbeitslosenhilfe vor der Rente (Nyugdíj előtti álláskeresési segély) und frühere Leistungen bei Arbeitslosigkeit, wenn der Beitrag geleistet wurde;
   * Zeiten der höheren Bildung vor 1, Januar 1998 (und danach, sofern es sich um eine Vollzeitausbildung handelt und Beiträge als Teil der Vereinbarung gezahlt wurden);
   * Rehabilitationsrente (Rehabilitációs járadék), die aufgrund verminderter Erwerbsfähigkeit von 2008 bis 31. Dezember 2011 für die Gesamtdauer der Rehabilitationsleistung (Rehabilitációs ellátás) gezahlt wurde (nach 31. Dezember 2011).</t>
  </si>
  <si>
    <t>Gleichgestelltes versichertes Einkommen für Zeiten von:
   *              Arbeitslosigkeit, 
   *              Arbeitsunfähigkeit, 
   *              Mutterschaft, 
   *              Vaterschaft, 
   *              Invalidität, 
   *              Militärdienst, 
   *              Ausbildung, 
   *              Erziehungsurlaub (bis zu 6 Jahren) , 
   *              Anrechnung der Erziehung eines Kindes von bis zu 156 Wochen pro Kind für Frauen, die nach dem 31.12.1992 Anspruch auf Rente erlangt haben und aufgrund der Erziehung eines Kindes unter 12 Jahren keine Beiträge entrichten konnten. 
Für die Definition von versicherungspflichtigem Entgelt siehe Tabelle I zu Finanzierung – Allgemeine Sozialbeitragssätze.</t>
  </si>
  <si>
    <t>Folgende beitragsfreie Zeiten können bei der Rentenberechnung angerechnet werden:
Studienzeiten:
Kostenpflichtige Regularisierung für Beamte, Arbeitnehmer und Selbstständige;
Für Arbeitnehmer: Zeitlich nicht beschränkte Regularisierung (Pauschalbetrag von €1.902,39 bei Abbfindung in den 10 Jahren nach Studiumabschluss; ansonsten versicherungsmathematische Berechnung. Die regularisierten Studienjahre werden hinsichtlich der vorgeschriebenen Versicherungszeit nicht berücksichtigt).
können regularisiert werden:
   * Zeiträume von einem Jahr der universitären und außeruniversitären Hochschulbildung in Vollzeit einer vollwertigen technischen, beruflichen, maritimen oder künstlerischen Hochschulausbildung, im Rahmen derer der Studiengang vollständig absolviert und ein Abschluss erworben wurde (die Höchstdauer der Abfindung entspricht der Mindestanzahl an Studienjahren, die für einen Studienabschluss zu absolvieren sind); 
   * Zeiträume für die Doktorarbeit, sofern der akademische Doktorgrad erlangt wurde (höchstens 2 Jahre); 
   * Berufspraktika (unter bestimmten Bedingungen) (der maximale Zeitraum, der abgefunden werden kann, ist auf den Mindestzeitraum beschränkt, der für den Erwerb der Berufsqualifikation erforderlich ist) ; 
   * Zeiträume ab dem Jahr des 18. Geburtstags, in denen ein Ausbildungsvertrag abgeschlossen wurde und die bei der Rentenberechnung in einem belgischen oder ausländischen Sozialversicherungssystem nicht berücksichtigt werden (maximal 1 Jahr);;
   * Die einjährigenGesamtzeiträume, in denen die Jahre der Sekundarstufe II nach dem 6. Sekundarjahr verfolgt werden (der maximale Zeitraum, der abgefunden werden kann, entspricht der Mindestanzahl der Studienjahre (nach dem 6. Sekundarjahr), die für den Erwerb des Diploms erforderlich sind). 
   *  Wenn der Arbeitgeber in einem bestimmten Zeitraum keine Rentenbeiträge gezahlt hat, kann weiterhin bescheinigt werden, dass in diesem Zeitraum eine unselbstständige Tätigkeit ausgeübt wurde. Die betroffene Person hat dann die Möglichkeit, die geschuldeten Beiträge zu entrichten. 
   *  Zeiten der Erwerbstätigkeit, für die keine Rentenbeiträge einbehalten wurden:  
   * die Erwerbstätigkeit muss nachgewiesen werden; 
   * Zahlung der Arbeitgeberbeiträge und der Eigenbeiträge für Rentenzwecke berechnet anhand des garantierten durchschnittlichen monatlichen Mindesteinkommens, Rente wird auf der Basis dieses Einkommens berechnet. </t>
  </si>
  <si>
    <t>Die folgenden Zeiträume können rückwirkend gezahlt werden:
   * Personen, die das gesetzliche Rentenalter erreicht haben, denen aber bis zu 5 Jahren Versicherungszeit fehlt, um einen Rentensanspruch zu haben, können den fehlenden Zeitraum (bis zu 5 Jahren) bezahlen
Und wenn nicht aus anderen Gründen anerkannt:
   * die Studienjahre in einer höheren oder postsekundären, nicht tertiären Ausbildung, die aber nicht die regulären Zeiten der verfolgten Studien überschreiten;
   * die Dauer eines PhD-Studiums, wenn der PhD erworben wurde.
Versicherungsbeiträge, die für diese Zeiträume zahlbar sind, werden auf der Grundlage des Mindestbetrags des versicherungspflichtigen Einkommens berechnet, wie im Gesetz über den Haushalt der Sozialversicherung festgelegt. Beide werden für den Anspruch auf Altersrente und die Berechnung des Betrags verwendet.</t>
  </si>
  <si>
    <t>1. Säule:
Rückkauf nicht möglich.</t>
  </si>
  <si>
    <t>Nachzahlung für Ausbildungszeiten: Für Zeiten einer schulischen Ausbildung nach dem vollendeten 16. Lebensjahr, die nicht als Anrechnungszeiten berücksichtigt werden, können Versicherte auf Antrag freiwillige Beiträge nachzahlen, sofern diese Zeiten nicht bereits mit Beiträgen belegt sind und der Antrag auf Nachzahlung bis zur Vollendung des 45. Lebensjahres gestellt wird.
Nachzahlung nach Erreichen der Regelaltersgrenze: Vor dem 1. Januar 1955 geborene Elternteile, denen Kindererziehungszeiten anzurechnen sind und die bis zum Erreichen der Regelaltersgrenze die allgemeine Wartezeit nicht erfüllt haben, können auf Antrag freiwillige Beiträge für so viele Monate nachzahlen, wie zur Erfüllung der allgemeinen Wartezeit noch erforderlich sind. Beiträge können nur für Zeiten nachgezahlt werden, die noch nicht mit Beiträgen belegt sind.
Zahlung von Beiträgen bei vorzeitiger Inanspruchnahme einer Rente wegen Alters: Bis zum Erreichen der Regelaltersgrenze können Rentenminderungen aufgrund einer vorzeitigen Inanspruchnahme einer Altersrente ganz oder teilweise durch Zahlung von Beiträgen ausgeglichen werden. Die vorzeitige Inanspruchnahme einer Altersrente ist mit Abschlägen verbunden. Es kann maximal die Rentenminderung aufgrund dieser Abschläge ausgeglichen werden. Der Versicherte muss erklären, dass er beabsichtigt, eine Altersrente vorzeitig zu beanspruchen.
Unter bestimmten Voraussetzungen bestehen noch Nachzahlungsmöglichkeiten für bestimmte Personenkreise:
   * Deutsche, die unversorgt aus einer internationalen Organisation ausscheiden,
   * Versicherte, für die ein Anspruch auf Entschädigung für Zeiten von Strafverfolgungsmaßnahmen rechtskräftig festgestellt ist,
   * Geistliche und Ordensleute, die als Vertriebene anerkannt sind, sofern sie eine gleichartige Beschäftigung oder Tätigkeit, die nach § 5 Absatz 1 Satz 1 Nr. 2 oder 3 SGB VI versicherungsfrei ist, im Inland nicht wieder aufgenommen haben,
   * Versicherte, die bis zum Erreichen der Regelaltersgrenze die allgemeine Wartezeit nicht erfüllt haben und bis zum 10. August 2010 nicht das Recht zur freiwilligen Versicherung hatten,
   * Soldaten und Beamte, die aufgrund des Bundeswehrreform-Begleitgesetzes vom 21.07.2012 beurlaubt worden sind und bis zum Erreichen der Regelaltersgrenze die allgemeine Wartezeit nicht erfüllt haben.</t>
  </si>
  <si>
    <t>Keine Möglichkeit des nachträglichen Erwerbs einer Versicherungsdauer.</t>
  </si>
  <si>
    <t>Keine Möglichkeit des nachträglichen Erwerbs von Versicherungszeiten.</t>
  </si>
  <si>
    <t>1. Säule (Basissystem):
Haben Versicherte im allgemeinen System rückblickend nicht genügend Beitragszahlungen geleistet, können sie unter bestimmten Voraussetzungen in ihre Rente einzahlen, indem sie Beitragstrimester kaufen:
   * für Studienzeiten; das entsprechende Studium muss durch ein Abschlusszeugnis nachgewiesen werden.
   * für unvollständige Jahre, in denen der Versicherte weniger als 4 Trimester geltend gemacht hat.
Es gibt zwei Möglichkeiten des Kaufs:
   * nur bezogen auf den Satz. Der Kauf erhöht den Berechnungssatz für die Rente;
   * bezogen auf Satz und Versicherungsdauer. Der Kauf erhöht den Satz und die Anzahl der Trimester, die bei der Rentenberechnung berücksichtigt werden.
In beiden Fällen kann der Versicherte maximal 12 Trimester kaufen.
Voraussetzungen:
   * Alter zwischen 20 und einschließlich 66 Jahre, 
   * kein Bezug von Altersrente.
Der Betrag der Zahlungen richtet sich nach:
   * dem Alter des Antragstellers, 
   * der gewählten Option (nur Satz oder Satz und Versicherungsdauer), 
   * Einkünfte der letzten 3 Jahre.
Es ist möglich, aufgrund eines bezahlten Praktikums im Rahmen eines Universitätsstudiums maximal 2 Quartale zu kaufen.
2. Säule (Zusatzrentensysteme (Agirc-Arrco)): Hat der Versicherte Zeiten (Hochschulausbildung oder unvollständige Jahre) im Rahmen des Basissystems zurückgekauft, kann er auch Punkte im Zusatzrentensystem zurückkaufen (maximal 140 Punkte pro Jahr, bis zu einer Höchstdauer von 3 Jahren). Der Kaufpreis wird auf der Grundlage des aktuellen Wert des Punktes und des Alters des Leistungsempfängers berechnet.</t>
  </si>
  <si>
    <t>1. Säule (Hauptrente der e-EFKA):
Beitragsfreie Zeiten, die regularisiert und zurückgekauft werden können sowohl zum Zweck des Rentenanspruchs als auch zu dessen Berechnung: Zeiten für die Anzahl der Kinder (300 Tage, die für das erste Kind bezogen werden können, 600 Tage für jedes weitere Kind mit bis zu 1.500 Tagen für maximal drei Kinder), Elternurlaubszeit zur Kindererziehung, Zeit des Militärdienstes, Zeit des Bildungsurlaubs, Studienzeit, Unterbrechungszeit der beruflichen Laufbahn, Streikzeit und Ausbildungszeit.
Beitragsfreie Zeiten, die nur zum Zweck des Rentenanspruchs regularisiert und zurückgekauft werden können, sind Bezugszeiten von Krankengeld oder Arbeitslosengeld oder Fehlzeiten wegen Schwangerschaft und Mutterschaft.
Um die oben genannten Zeiträume zurückzukaufen, müssen folgende Bedingungen erfüllt sein: Anspruch auf Altersrente unter den ab 1.1.2011 geltenden Bedingungen und Vollendung von mindestens 3.600 Arbeitstagen oder 12 Versicherungsjahren.
Es kann mindestens 1 Monat bis höchstens 84 Versicherungsmonate gekauft werden abhängig von den Ruhestandsbedingungen. Jeder sonstige bereits gekaufte Zeitraum wird berücksichtigt.</t>
  </si>
  <si>
    <t>(Beitragsabhängige) Staatliche Rente (State Pension (Contributory)) für freiwillig Versicherte:
Der Rückkauf von bis zu 60 Versicherungsmonaten ist möglich.</t>
  </si>
  <si>
    <t>Volksrente (lífeyrir almannatrygginga):
Nicht zutreffend.
Arbeitsrente (lögbundnir lífeyrissjóðir):
Rückkauf von Versicherungszeiten nicht möglich.</t>
  </si>
  <si>
    <t>Möglichkeit zum Rückkauf der folgenden Versicherungszeiten sowohl im Hinblick auf den Rentenanspruch als auch die Berechnung der entsprechenden Beträge:
   * die rechtlich vorgesehene Dauer des Universitätsstudiums;
   * Zeiten der Arbeit im Ausland in Ländern, die kein Sozialversicherungsabkommen mit Italien unterzeichnet haben;
   * Zeiten des freiwilligen Mutterschaftsurlaubs, der nicht im Arbeitsvertrag geregelt ist;
   * Arbeitnehmer mit koordinierter und fortgesetzter Tätigkeit („Quasi-Mitarbeiter“), die unter dem gesonderten Rentensystem (Gestione Separata) versichert sind, mit Tätigkeit vor dem 1. April 1996.</t>
  </si>
  <si>
    <t>Rückkauf von Versicherungszeiten ist nicht möglich.</t>
  </si>
  <si>
    <t>1. Säule/2.Säule:
Rückkauf von Versicherungszeiten nicht möglich.</t>
  </si>
  <si>
    <t>1. Säule: Keine Möglichkeit des Rückkaufs von Versicherungszeiten
2. Säule: Kein eigentlicher Rückkauf von Versicherungszeiten; es besteht jedoch die Möglichkeit, eine bestehende Vorsorgelücke durch freiwillige und zusätzliche Beiträge in die Vorsorgeeinrichtung aufzufüllen.</t>
  </si>
  <si>
    <t>Rückkauf von Versicherungszeiten nicht möglich.</t>
  </si>
  <si>
    <t>1. Säule:
Ein rückwirkender Erwerb von Anrechnungszeiten ist für Personen möglich, die entweder aus familiären Gründen ihre Berufstätigkeit aufgegeben oder reduziert haben oder ein nicht unter ein bi- oder multilaterales Instrument der sozialen Sicherheit fallendes ausländisches Rentensystem oder ein Rentensystem einer internationalen Organisation mit einem pauschalen Rückkaufwert oder einem versicherungsmathematischen Gegenwert verlassen haben. Wohnsitz in Luxemburg, Pflichtmitgliedschaft in der gesetzlichen Rentenversicherung für mindestens 12 Monate, Höchstalter 65 Jahre oder Anspruch auf Bezug einer persönlichen Rente zum Zeitpunkt des Antrags.
Diese Zeiten werden nicht für die Mindestversicherungszeit und die Berechnung der pauschalen und anteiligen Zuschläge berücksichtigt.</t>
  </si>
  <si>
    <t>Beiträge können rückwirkend entrichtet werden. Sie werden bei der Beurteilung des Rentenanspruchs und der Berechnung des Betrags unter folgenden Umständen berücksichtigt:
   * Für alleinstehende (unverheiratete) Personen im Fall von fehlenden Beiträgen innerhalb der vorhergehenden 5 Jahre vor dem Datum des Antrags. Ebenfalls anwendbar für Versicherte, die an einem von der Regierung genehmigten Vorruhestandsprogramm teilgenommen haben.
   * Für Selbstständige im Fall von fehlenden Beiträgen innerhalb der vorhergehenden 5 Jahre vor dem Datum des Antrags und die zu diesem Zeitpunkt einer Erwerbstätigkeit nachgingen (entweder als Arbeitnehmer oder Selbstständige) , jedoch die fristgerechte Zahlung der Versicherungsbeiträge versäumt haben. Ebenfalls anwendbar für Versicherte gemäß Artikel 13(1) des Sozialversicherungsgesetzes (Malta) – Im Ausland beschäftigte maltesische Saatsangehörige.
   * für Personen im Alter zwischen 59 und 64 Jahren, die aktuell einer Erwerbstätigkeit nachgehen im Fall von lückenhaften Versicherungszeiten mit Wohnsitz in Malta, vorausgesetzt, dass die Gesamtzahl von rückgekauften Jahren fünf Jahre nicht überschreitet im Alter zwischen 18 Jahren und dem Rentenalter. Dies gilt ebenfalls für Personen, die im maltesischen System versichert sind und in deren Versicherungszeiten für Beschäftigungszeiträume in Libyen zwischen den Jahren 1990 und 2018 Beitragslücken entstanden.
   * Für Personen, die im Rahmen des maltesischen Sozialversicherungsgesetzes versichert sind und eine Unfallrente aus dem gleichen System beziehen und in deren Versicherungszeiten eine Beitragslücke von besteht, vorausgesetzt, dass die Gesamtzahl von rückgekauften Jahren fünf Jahre zwischen dem Alter von 18 Jahren und dem Rentenalter nicht überschreitet. Dies gilt ebenfalls für Personen, die gemäß dem maltesischen Sozialversicherungsgesetz versichert sind und unter diesem System eine Rente für Pflegepersonen beziehen.
   * Für Personen, deren offizielle Beschäftigungszeiten bei der staatlichen Arbeitsvermittlung (Jobsplus) Beschäftigungszeiträume von vor 1990 (dem Jahr der Einführung von Jobsplus) angeben, die aber offiziell durch keine Beitragszahlungen abgedeckt sind.
Rückkauf von Beiträgen gilt sowohl für den Anspruch auf Altersrente als auch der Berechnung des Altersrentenbetrags.</t>
  </si>
  <si>
    <t>Ein Rückkauf der Versicherungszeiten ist nicht möglich.</t>
  </si>
  <si>
    <t>Schul-, Studien- oder Ausbildungszeiten werden in der Regel dann anspruchs- oder leistungswirksam, wenn für diese Zeiten ein entsprechender Beitrag (nach)entrichtet wird, wobei man die Zahlung vor dem Rentenstichtag leisten muss. Der Rückkauf bezieht sich sowohl auf den Anspruch auf eine Altersrente als auf deren Berechnung.
Berücksichtigt wird jedes volle Schuljahr, angefangen ab dem Kalenderjahr der Vollendung des 15. Lebensjahres begonnen hat und zwar
   * für jedes anrechenbare Schuljahr 12 Monate
   * für jedes anrechenbare Hochschulsemester 6 Monate und
   * Ausbildungsmonate mit der gesamten Dauer
Abhängig vom Schultyp ist folgendes Höchstausmaß vorgesehen:
   * Mittlere Schule - 24 Monate
   * Höhere Schule oder Akademie – 36 Monate
   * Hochschule/Kunstakademie/Ausbildungszeiten - 72 Monate
Wenn infolge rentenrechtlicher Änderungen die Situation entsteht, dass die nachgekauften Schul-, Studien- oder Ausbildungszeiten weder anspruchs- noch leistungswirksam werden, müssen die bereits entrichteten Beiträge für Renten mit einem Stichtag ab 1. Jänner 2004 von Amts wegen zurückbezahlt werden.</t>
  </si>
  <si>
    <t>Rückkauf von Versicherungszeiten nicht möglich</t>
  </si>
  <si>
    <t>Erste Säule:
Nachkauf von Versicherungszeiten ist möglich (sowohl für den Anspruch auf Altersrente als auch für die Berechnung des Betrags) für Personen, die einen Versicherungsvertrag abschließen. Nur Versicherungszeiten, die dem normalen Rentenalter vorausgehen, können rückwirkend gekauft werden mit einer Höchstdauer von 6 Jahren vor der Unterzeichnung des Vertrags.
Für den Nachkauf von Beiträgen müssen verschiedene Bedingungen erfüllt sein. Die Person:
   *  war zum Zeitpunkt des Abschlusses des Sozialversicherungsvertrags kein Rentner;
   * hatte während des Zeitraums, für den die Versicherung beantragt wurde, keinen Beitragszeitraum oder einen dem Beitragszeitraum gleichgestellten Zeitraum im staatlichen Rentensystem oder in einem darin integrierten Sozialversicherungssystem abgeschlossen;
   * unterlag während des Zeitraums, für den die Versicherung beantragt wurde, keiner Versicherungspflicht im staatlichen Rentensystem.
Zweite Säule:
Nachkauf von Versicherungszeiten ist nicht möglich.</t>
  </si>
  <si>
    <t>1. Säule (Grundsystem):
Rückkauf von Versicherungszeiten nicht möglich.
2. Säule (obligatorische Mindestvorsorge):
Einkauf der Sparbeiträge der Jahre vor Eintritt in die Vorsorgeeinrichtung möglich.
Der Rückkauf dient zur Berechnung der Höhe der Leistungen.</t>
  </si>
  <si>
    <t>Der Rückkauf von Versicherungszeiten ist beispielsweise für folgende Zeiten möglich: Elternurlaub, unbezahlter Urlaub, Angebot von Tagesbetreuung, geringes Einkommen im Rahmen des Rabattsystems für die Sozialversicherung (weniger als 67% des monatlichen nationalen Durchschnittseinkommens), als arbeitslos registriert sein und sich ab dem 16. Lebensjahr in Ausbildung befinden.
Für die Entrichtung von zusätzlichen Versicherungsbeiträgen durch die versicherte Person besteht keine Altersgrenze. Die Beiträge werden wie Beiträge „freiwillig Versicherter“ behandelt – d. h. die Bewertungsgrundlage wird direkt vom Versicherten selbst angegeben und sie beträgt mindestens die Höhe der Mindestbewertungsgrundlage (d.h. 50% des monatlichen nationalen Durchschnittslohns in dem Kalenderjahr, das dem Kalenderjahr zwei Jahre vorausging, für das der Versicherungsbeitrag gezahlt wurde), bis zur Höchstbewertungsgrundlage, die in dem Kalenderjahr gültig war, für das der Versicherungsbeitrag gezahlt wurde). Der Satz wird für die Alterssicherung und Invaliditätsversicherung zusammen festgelegt (24%).</t>
  </si>
  <si>
    <t>Eine versicherte Person oder ein Leistungsempfänger kann eine Beitragszeit von bis zu fünf Jahren erwerben, um die Bedingungen zu erfüllen oder um eine günstigere Beurteilung zu erhalten. Die Beitragszeiten sind nicht genau festgelegt. Die Person muss lediglich eine versicherte Person oder ein Leistungsempfänger sein.
Rückkauf dient ausschließlich dem Erwerb eines Anspruchs auf Altersrente, der Berechnung des Rentenbetrags oder beidem.</t>
  </si>
  <si>
    <t>Ein Nachkauf von Versicherungszeiten ist möglich.
Jeder Bürger ab 18 Jahren mit mindestens einem Beitragsjahr kann Versicherungszeiten bis zu 1 Jahr rückwirkend nachkaufen, solange die Zeiten der freiwilligen Teilnahme insgesamt 15 Jahre nicht übersteigen.
Personen, die im Ausland beschäftigt waren, Freiwillige und Arbeitnehmer, die in der Tschechischen Republik für einen ausländischen Arbeitgeber tätig waren, können Versicherungszeiten bis zu 2 Jahre rückwirkend und ohne Einschränkung der Gesamtzahl der Jahre nachkaufen.
Ein Nachkauf ohne Einschränkung der Gesamtzahl der Jahre ist in bestimmten Fällen jederzeit möglich, beispielsweise für:
   * Beim Arbeitsamt gemeldete Arbeitssuchende für Zeiten, in denen sie keine Arbeitslosenleistungen erhalten haben;
   * Vollzeitschüler an weiterführenden Schulen oder Universitätsstudenten;
   * in der Tschechischen Republik gewählte Mitglieder des Europäischen Parlaments für deren Amtszeit;
   * Ehepartner oder Lebenspartner von Personen, die im Ausland im diplomatischen Dienst oder sonstigem Staatsdienst arbeiten.
Nachkauf beeinflusst sowohl den Anspruch auf Altersrente als auch die Berechnung des Betrags.</t>
  </si>
  <si>
    <t>Erste Säule:
Jede volljährige Person kann eine Vereinbarung schließen zum Zweck des Erwerbs von Einkommen als Rentenbasis und zum Erhalt von Versicherungszeit, die einer Verpflichtung zur Zahlung der (individuellen) Rentenbeiträge von Arbeitgebern und Arbeitnehmern unterliegt, welche basierend auf dem Mindestlohn berechnet werden, der am Tag des Abschlusses der Vereinbarung maßgeblich ist.
Der Rückkauf von Versicherungszeit hilft bei der Gewinnung von Versicherungsjahren, wodurch die Berechnung des Rentenbetrags beeinflusst wird. Dies ist anwendbar auf:
   * Zeiten eines Vollzeitstudiums an einer Hochschuleinrichtung (einschließlich Promotionsstudium);
   * die Versicherungszeit, die nötig ist, um die 20 Versicherungsjahre zu erreichen, welche für die vollen Altersleistungen des Sozialversicherungssystems erforderlich sind (oder die 15 Jahre, die für die Teilruhestandsrente nötig sind), kann höchstens 5 Kalenderjahre betragen;
   * Erziehungszeiträume, im Jahr 1998, in denen Geld für die Kinderbetreuung zuhause (Gyermekgondozási segély) erbracht wurde.</t>
  </si>
  <si>
    <t>Ehepartner:
Keine Zulagen. Familienzusammenstellung wird in Kategorie 2 berücksichtigt. Berechnungsmethode bzw. Rentenformel oder Betrag“.
Kinder:
Keine Zulagen für unterhaltsberechtigte Kinder.</t>
  </si>
  <si>
    <t>Keine Zulagen für Unterhaltsberechtigte.</t>
  </si>
  <si>
    <t>1. Säule:
Altersrente (Folkepension)/Frührente (Tidlig Pension):
Keine Zulage für Unterhaltsberechtigte.
Zusatzrente (arbejdsmarkedets tillægspension, ATP) und obligatorisches Rentensystem (Obligatorisk Pensionsordning): Keine Zulage für Unterhaltsberechtigte.</t>
  </si>
  <si>
    <t>Keine Rentenzulagen.</t>
  </si>
  <si>
    <t>Keine Familienzulagen.</t>
  </si>
  <si>
    <t>Gesetzliche einkommensbezogene Rente (Työeläke):
Keine Rentenzulagen.
Volksrente (Kansaneläke):
Monatliche Kinderzulage (lapsikorotus) in Höhe von €26,18 im Jahr 2025 pro Monat und Kind unter 16 Jahren. Diese Leistung erhalten auch solche Rentner, die aufgrund der Höhe sonstiger Renteneinkünfte keine Volksrente beziehen.
Garantierte Rente (Takuueläke):
Keine Zulagen.</t>
  </si>
  <si>
    <t>Ehepartner:
   * Säule (Basissystem): Für Renten, die ab 2011 festgesetzt werden, gibt es keine Zulagen für den unterhaltsberechtigten Ehepartner.
   * Säule (Zusatzrentensysteme (Agirc-Arrco)): Keine Rentenzulage für den unterhaltsberechtigten Ehepartner.
Kinder:
   * Säule (Basissystem): Keine Zulage für unterhaltsberechtigte Kinder.
   * Säule (Zusatzrentensysteme (Agirc-Arrco)): 5% der Ansprüche der gesamten Karriere für jedes unterhaltsberechtigte Kind.</t>
  </si>
  <si>
    <t>1. Säule (Hauptrente der e-EFKA):
Personen, die ab dem 12.05.2016 in Rente gingen:
Keine Zulagen für Unterhaltsberechtigte. Aber Bezieher von Altersrente können Kindergeld (ΕΠΙΔΟΜΑ ΠΑΙΔΙΟΥ) beantragen.</t>
  </si>
  <si>
    <t>(Beitragsabhängige) Staatliche Rente (State Pension (Contributory)):
Für unterhaltsberechtigte Erwachsene werden erhöhte Beträge von €104,20 bis €259,40 pro Woche je nach Alter des Unterhaltsberechtigten und der durchschnittlichen Anzahl von Beiträgen, die der Rentner in seinem Arbeitsleben geleistet hat, gezahlt.
Die Zulagen für Unterhaltsberechtigte umfassen:
   * €50 pro Woche für jedes unterhaltsberechtigte Kind unter 12 Jahren.
   * €62 pro Woche für jedes unterhaltsberechtigte Kind ab 12 Jahren.</t>
  </si>
  <si>
    <t>Kinder:
Volksrente (lífeyrir almannatrygginga):
Kinderrente (barnalífeyrir) von ISK 48.131 (€334) pro Kind und Monat wird an unterhaltsberechtigte Kinder unter 18 Jahren gezahlt.
Arbeitsrente (lögbundnir lífeyrissjóðir):
Der Rentenfonds kann eine Zulage für unterhaltsberechtigte Kinder unter 18 Jahren vorsehen, die Höhe ist je nach Rentenfonds unterschiedlich.</t>
  </si>
  <si>
    <t>Keine Zulagen.</t>
  </si>
  <si>
    <t>1. Säule/2.Säule:
Keine Zulagen für Unterhaltsberechtigte.</t>
  </si>
  <si>
    <t>1. Säule:
   * Ehepartner: Keine Zulage für Ehepartner
   * Kinder: 40% des Mindestbetrags der für den Vater oder die Mutter anwendbaren Rentenskala.
2. Säule: Keine gesetzlichen Zulagen. Reglement der Vorsorgeeinrichtung kann Zulagen für Kinder vorsehen.</t>
  </si>
  <si>
    <t>1. Säule:
Keine Rentenzulagen für unterhaltsberechtigte Personen.</t>
  </si>
  <si>
    <t>Ehepartner:
Spezifischer Leistungssatz für verheiratete Personen, deren Ehepartner keine eigene Rente bezieht (mit Ausnahme der Zwei-Drittel-Rente, Pensjoni taz-Zewg terzi).</t>
  </si>
  <si>
    <t>Ehepartner:
Seit 2015 gilt ein Übergangsgesetz: Personen, die vor dem Jahr 2015 Anspruch auf eine Rentenzulage für ihren Ehepartner (partnertoeslag) hatten, erhalten weiterhin den Zuschlag, bis der Ehepartner die Regelaltersgrenze erreicht hat.
Seit Juli 2025 darf das monatliche Bruttoeinkommen des Partners, um Anspruch auf die Rentenzulage zu haben, den Betrag von €1.992,83 nicht übersteigen. Falls das Gesamteinkommen beider Partner den Betrag von €3.929,26 übersteigt, wird die Leistung um höchstens 10% gekürzt.
Kinder:
Keine Rentenzulage.</t>
  </si>
  <si>
    <t>Ehepartner:innen:
Keine Zulage zur Rente. Hinsichtlich der Erhöhung des Richtsatzes für die Ausgleichszulage für im gemeinsamen Haushalt lebende:n Ehepartner:innen siehe Tabelle VI, Mindestrente und bedürftigkeitsabhängige Leistung.
Kinder:
€29,07 pro Monat für jedes Kind bis zur Vollendung des 18. Lebensjahres bzw. bis zur Vollendung des 27. Lebensjahres bei Studium oder Berufsausbildung; kein Alterslimit bei Behinderung des Kindes.
Hinsichtlich der Erhöhung des Richtsatzes für die Ausgleichszulage für Kinder siehe Tabelle VI, Mindestrente und bedürftigkeitsabhängige Leistung.</t>
  </si>
  <si>
    <t>Keine Rentenzulagen für Angehörige.</t>
  </si>
  <si>
    <t>Ehepartner: € 46,61 pro Monat (lediglich für die vor dem 1. Januar 1994 gezahlten Renten).</t>
  </si>
  <si>
    <t>Erste Säule/Zweite Säule:
Keine Rentenzulagen.</t>
  </si>
  <si>
    <t>Ehegatte/eingetragener Partner:
Keine Zulagen.
Kinder:
Der Bezüger einer Altersrente hat Anspruch auf eine Rente für jedes seiner Kinder, das bei seinem Tod Anspruch auf eine Waisenrente hätte.
   * Säule (Grundsystem): 40% der Altersrente.
   * Säule (obligatorische Mindestvorsorge): 20% der Altersrente.</t>
  </si>
  <si>
    <t>Keine Rentenzulagen für Rentner mit abhängigen Ehepartnern. Abhängige Ehepartner werden jedoch bei der Berechnung der Mindestrente (pensión mínima) berücksichtigt, die für Rentner mit abhängigem Ehepartner höher ausfällt.</t>
  </si>
  <si>
    <t>Keine Rentenzulagen für Unterhaltsberechtigte.</t>
  </si>
  <si>
    <t>Erste Säule:
Keine Zulagen für unterhaltsberechtigte Personen.</t>
  </si>
  <si>
    <t>Es werden keine zusätzlichen Beträge gezahlt.</t>
  </si>
  <si>
    <t xml:space="preserve">Einem Arbeitnehmer, der seine Berufstätigkeit nach dem Erfüllen bestimmter Bedingungen in Bezug auf Alter oder Berufslaufbahn bis zum Renteneintritt fortsetzt, wird ein Rentenbonus gewährt.
Früherer Bonus: Für Renten, die ab dem 1.1.2015 gewährt werden, wird der Bonus nur bei Arbeitnehmern angewendet, die vor dem 1.12.2014 vorzeitig in Rente gehen konnten oder das Alter von 65 Jahren erreicht und 40 Arbeitsjahre hinter sich haben.
Neuer Bonus: FürRenten, die ab dem 01.01.2025 gewährt werden, kann ein Rentenbonus ab dem 01.07.2024 erworben werden. Wenn der Arbeitnehmer – der die Bedingungen für den vorzeitigen Ruhestand erfüllt oder ansonsten Anspruch auf eine gesetzliche Rente erworben hat – weiter berufstätig ist, anstatt in den Ruhestand zu gehen, kann er für jeden Arbeitstag in Belgien einen zusätzlichen Nettobonus erwerben. Dieser Bonus kann höchstens für eine Dauer von 3 Jahren kumuliert werden und wird als Einmalzahlung oder als Monatsrente, je nach Wahl des Arbeitnehmers, ausgezahlt.
Höchstbetrag des Rentenbonus:
   * die berufliche Laufbahn beträgt zu Beginn des Rentenanspruchs weniger als 43 Jahre: 
   * Einmalzahlung: € 24.036,18 
   * Monatszahlung: € 99,32
   * die berufliche Laufbahn beträgt zu Beginn des Rentenanspruchs 43 Jahre oder mehr: 
   * Einmalzahlung: € 36.054,27
   * Monatszahlung: € 148,98
</t>
  </si>
  <si>
    <t>Zulage (Добавка от пенсията на починал съпруг):
Hinterbliebene Rentner haben nach dem Tod des Ehepartners Anspruch auf eine Zulage in Höhe von 30 % der Rente oder der Rentensumme des/der Verstorbenen.
Diese Leistung wird lebenslang gezahlt, jedoch bei Wiederheirat eingestellt. Sie kann nicht mit einer Hinterbliebenenrente (Наследствена пенсия) desselben Verstorbenen kombiniert werden.</t>
  </si>
  <si>
    <t>1. Säule:
Altersrente (Folkepension):
   * Gesundheitszulage (helbredstillæg): Rentnern mit Einkünften unter einer bestimmten Schwelle wird eine Zulage gewährt, die bis zu 85% der Kosten der Selbstbeteiligung deckt: 
   * für Kosten im Zusammenhang mit Sachleistungen der öffentlichen Krankenversicherung. Gewährung im Falle von Rentnern mit begrenzten Barmitteln;
   * für Kosten im Zusammenhang mit Zahnprothesen, Brillen und Fußpflege, falls die Gemeinde die Notwendigkeit der Ausgaben anerkennt. Gewährung im Falle von Rentnern mit begrenzten Barmitteln.
   * Einkommensabhängige Heizungszulage (varmetillæg);
   * Persönliche Zulage (personligt tillæg) kann Rentnern in einer schwierigen Lage gewährt werden, z. B. um Kosten für Arzneimittel zu decken u.Ä.</t>
  </si>
  <si>
    <t>Keine besonderen Zulagen.</t>
  </si>
  <si>
    <t>1. Säule:
Rentenzulagen (pensionilisad) für:
   * Teilnehmer des estnischen Unabhängigkeitskrieges und deren Witwen bzw. Witwer: 100% des Volksrentenbetrags (rahvapensioni määr) €393,26 pro Monat),
   * Personen, die infolge einer Nuklearkatastrophe, eines Atomtests oder eines Unfalls in einem Atomkraftwerk zu mindestens 40% arbeitsunfähig sind: 10% des Volksrentenbetrags,
   * Teilnehmer des Zweiten Weltkrieges oder Mitglieder der Selbstverteidigungsmacht: 10% des Volksrentenbetrags,
   * einer der Elternteile, der Ehegatte einer der Elternteile, Vormund oder Pflegeperson; für jedes Kind das zwischen dem 31. Dezember 1980 und dem 31. Dezember 2012 geboren und das für mindestens acht Jahre aufgezogen wurde: eine Zulage gleichbedeutend mit zwei Jahren einer versicherten Beschäftigung,
   * einer der Elternteile, der Ehegatte eines der Elternteile, Vormund oder Pflegeperson; für jedes Kind, das vor dem 1. Januar 2013 geboren und für mindestens acht Jahre aufgezogen wurde; eine Zulage gleichbedeutend mit einem Jahr einer versicherten Beschäftigung.
2. Säule:
Vom Staat bezahlte zusätzliche monatliche Beiträge von 4% des Durchschnittseinkommens in Estland für Personen, die ein Kind im Alter von bis zu drei Jahren aufziehen für jedes Kind, das ab dem 1. Januar 2013 geboren wurde.</t>
  </si>
  <si>
    <t xml:space="preserve">Volksrente (Kansaneläke):
   * Pflegebeihilfe für Rentner (Eläkettä saavan hoitotuki): 3 Kategorien von Beträgen, welche im Jahr 2025 bei €84,17, €183,36 und €387,73 pro Monat liegen, zahlbar entsprechend der Bedürftigkeit oder bei Kosten für die häusliche Pflege oder bei Sonderausgaben aufgrund von Krankheit oder Unfall;
   * Wohngeld für Rentner (Eläkkeensaajan asumistuki): Wird u.U. Rentenempfängern mit Wohnsitz in Finnland gewährt; die Höhe des Wohngeldes richtet sich nach dem Einkommen des Rentenempfängers und Ehepartners, des Einkommens aus Vermögen und den Wohnkosten.
</t>
  </si>
  <si>
    <t>1. Säule (Basissystem):
Kinderzulage (majoration pour enfant): Zulage von 10% der Höhe der Rente für Rentner, die mindestens 3 Kinder gehabt haben (oder für Kinder, die sie mindestens 9 Jahre lang vor Vollendung des 16.Lebensjahres aufgezogen haben). Die Zulage wird jedem Elternteil mit einer Grundrente (pension de base) gewährt.
Die Zulage für Pflege durch Dritte (majoration pour tierce personne) wird dem Bezieher einer Altersrente wegen mangelnder gesundheitlicher Eignung gewährt, der die Hilfe von Dritten in Anspruch nehmen muss. Betrag: €1.288,13 pro Monat (d.h. €15.457,56 pro Jahr).
Zuschlag in Verbindung mit einer Behinderung: Die Höhe des Zuschlags hängt von der Dauer der Beitragszahlung als Person mit Behinderung und der Versicherungsdauer im allgemeinen Sozialversicherungssystem ab. Dieser Zuschlag findet keine Anwendung auf die Renten zum vollen Satz.
2. Säule (Zusatzrentensysteme (Agirc-Arrco)):
Zulage von 10% ab dem 1. Januar 2012 für Personen, die 3 oder mehr Kinder erzogen haben. Für frühere Karriereabschnitte variiert der Satz entsprechend der Abschnitte und Systeme. Die Summe der Zulagen darf eine bestimmte Bemessungsgrenze nicht übersteigen.
Nicht kumulierbar mit der Zulage für unterhaltsberechtigte Kinder.</t>
  </si>
  <si>
    <t>1. Säule (Hauptrente der e-EFKA):
Keine sonstigen Zulagen für Rentner. Bezug ist aber möglich von:
   * Leistung für nicht-stationäre Pflege (ΕΞΩΙΔΡΥΜΑΤΙΚΟ ΕΠΙΔΟΜΑ);
   * Invaliditätsleistung (ΕΠΙΔΟΜΑ ΑΠΟΛΥΤΟΥ ΑΝΑΠΗΡΙΑΣ) bei vollständiger Blindheit;
   * Sonderbeihilfen bei Invalidität;
   * Unterhaltskosten für mittellose und unversicherte Personen mit Behinderung, die in Einrichtungen des betreuten Wohnens leben(Στέγες Υποστηριζόμενης Διαβίωσης).</t>
  </si>
  <si>
    <t xml:space="preserve">
   * Zulage für Alleinlebende (Living Alone Allowance): wird an alleinlebende Rentner und Menschen mit Behinderung gezahlt: €22 pro Woche;
   * Zulage für über 80-Jährige (Over 80 Allowance): €10 pro Woche für Rentner ab 80 Jahren;
   * Unentgeltliche Nutzung von Verkehrsmitteln;
   * Rentner über 70 Jahren haben Anspruch auf Strom- oder Gasbeihilfe (Electricity or Gas Allowance) (€35 pro Monat) und auf Befreiung von Fehrnsehgebühren (Television Licence) (€160 pro Jahr). Rentner zwischen 66 und 70 Jahren haben Anspruch auf diese Leistungen, sofern eine Bedürftigkeit festgestellt wurde und die Anforderungen and die Haushaltzusammensetzung erfüllt sind; Rentner können gegebenenfalls auch Anspruch auf Brennstoffbeihilfe (Fuel Allowance) (€33 pro Woche für 28 Wochen in der Heizperiode) haben.</t>
  </si>
  <si>
    <t>Volksrente (lífeyrir almannatrygginga):
Nach dem Sozialhilfegesetz (Lög um félagslega aðstoð) können in besonderen Situationen neben den Renten verschiedene Hilfen gewährt werden.Beispiele:
   * Haushaltszulage für Alleinstehende (heimilisuppbót) bis zu ISK 87.817 (€610) pro Monat;
   * Zulagen zur Deckung von Aufwendungen (uppbót vegna kostnaðar), zwischen 70 % und 120 % des Altersrentenbetrags unter besonderen Umständen ohne dass die tatsächlichen Kosten überstiegen werden.
Arbeitsrente (lögbundnir lífeyrissjóðir):
Keine sonstigen Zulagen.</t>
  </si>
  <si>
    <t xml:space="preserve">Zuschläge:
Bezieher des sozialen Zuschusses (maggiorazione sociale) erhalten einen Zuschuss:
   * ab dem Alter von 70 Jahren und in Abhängigkeit von der Anzahl der angesparten Beiträge ist eine Reduktion dieser Altersgrenze (bis auf 65 Jahre) möglich;
   * im Falle der Invalidität liegt sie bei 60 Jahren.
Das persönliche Jahreseinkommen kann höchstens €9.721,92 (€16.724,89 für Familieneinkommen) betragen. Die soziale Aufstockung auf die Sozialhilfe beträgt €209,15 im Monat (13 Monatssätze pro Jahr).
Einmalige, im Juli an Rentner im Alter von über 64 Jahren gezahlte Zusatzrente (sog. „quattordicesima") die als einkommensabhängiger „Sommerzuschlag" gewährt wird, dessen Betrag nach den Jahren der angesammelten Beiträgen und Einkommen unterschiedlich sein kann (siehe auch unter der Kategorie „Leistungen 2. Berechnungsmethode bzw. Rentenformel oder Beträge“).
Wenn das persönliche Jahreseinkommen eines Rentners den Betrag von €11.766,30 nicht überschreitet (entspricht dem 1,5-fachen der Mindesteinkommenszuschlags für 2025), beträgt der monatliche Zuschlag:
   * bis zu 15 Beitragsjahre: €437
   * zwischen 15 und 25: €546
   * bis zu 25 Jahre: €655
Wenn das persönliche Jahreseinkommen des Rentners zwischen €11.766,30 und €15.688,40 beträgt (entspricht jeweils dem 1,5 und 2-fachen der Mindesteinkommenszuschlags für 2025), beträgt der monatliche Zuschlag:
   * bis zu 15 Beitragsjahre: €336
   * zwischen 15 und 25 Jahre: €420
   * bis zu 25 Jahren: €504.
</t>
  </si>
  <si>
    <t>1. Säule:
Für Rentner, die zwischen 1997 und 2012 in den Ruhestand gegangen sind, zahlt der Staat einen monatlichen Zuschlag von €1,62 zu ihrer Altersrente, für jedes geleistete Arbeitsjahr bis 1995 (einschließlich). Der Zuschlag beträgt €2,43 für jedes geleistete Arbeitsjahr bis 1995 (einschließlich), wenn der Person Altersrente gewährt wurde und sie das gesetzliche Rentenalter vor dem 31. Dezember 1996 erreicht hat.
2. Säule:
Keine besonderen Zulagen.</t>
  </si>
  <si>
    <t>Beihilfe für Kosten von Heizung und Wasser (Būsto šildymo išlaidų, geriamojo vandens ir karšto vandens išlaidų kompensacijos): siehe Tabelle XI „Zulagen, 3. Sonstige Zulagen - Geldleistungen“.</t>
  </si>
  <si>
    <t>1. Säule:
Keine sonstigen Zulagen für Rentner.</t>
  </si>
  <si>
    <t>Alle Rentner, die keiner Erwerbstätigkeit nachgehen, haben Anspruch auf eine staatliche Bonuszahlung von €135,10 im Juni und Dezember und auf einen zusätzlichen Bonus von €3,12 pro Woche.
Rentner haben auch Anspruch auf einen wöchentlichen Lebenskostenbonus, dessen Höhe vom Jahr ihres Rentenbeginns abhängig ist und der zwischen €21,53 für Renten, bewilligt im Jahr 2008 oder früher und €15,96 für Renten aus dem Jahr 2025 liegt.
Personen im Alter von 62 Jahren und älter, die mindestens ein Jahr in das maltesische System einbezahlt haben, aber nicht eigenständig die Mindestanforderungen für eine Rente erfüllen, erhalten einen jährlichen Bonus in Höhe von €500 bis €700 (abhängig von der Anzahl der geleisteten Jahre).
Personen im Alter von 75 oder darüber, die im eigenen Zuhause oder bei Familienangehörigen leben, erhalten eine Jahreszahlung von €350, bekannt als Senior Citizen Grant (Seniorenzuschuss). Bei Erreichen des 80, Lebensjahres wird der Zuschuss um €450 erhöht.</t>
  </si>
  <si>
    <t>Eine Urlaubszulage (vakantie-uitkering) wird ebenfalls gewährt, welche 6,5% bis 7,0% der monatlichen Rentenbeträge (siehe oben „1. Berechnungsmethode, Rentenformel oder Beträge’) entspricht.
Seit 2025 wurde die „AOW-Unterstützung“ (inkomensondersteuning AOW) abgeschafft.</t>
  </si>
  <si>
    <t>Bei ständigem Betreuungs- und Hilfsbedarf aufgrund einer körperlichen, geistigen oder psychischen Behinderung oder einer Sinnesbehinderung besteht Anspruch auf Pflegegeld als Zusatz zur Rente. Siehe Tabelle XII.</t>
  </si>
  <si>
    <t>Pflegezulage (Dodatek pielęgnacyjny):
Leistung an Personen mit Anspruch auf eine Alters-, Invaliditäts- oder Hinterbliebenenrente, die vollständig erwerbsunfähig und auf fremde Hilfe angewiesen sind oder die das 75. Lebensjahr vollendet haben. Betrag: Die Zulage beträgt monatlich PLN 348,22 (€82) (Anpassung wie bei Renten).
Bestattungsbeihilfe (Zasiłek pogrzebowy):
Pauschale für Personen, die die Bestattungskosten für einen Rentner oder einen Familienangehörigen tragen. Betrag: PLN 4.000 (€944).
Ehrenleistung (Świadczenie honorowe) für polnische Bürger, die den 100. Geburtstag erreicht haben. Höhe PLN 6.589,67 (€1.555) pro Monat (auf gleiche Weise angepasst wie Renten).</t>
  </si>
  <si>
    <t>Es liegt keine konkrete Definition für schwere oder ungesunde Berufe vor, aber gesetzlich sind Sonderbedingungen für den Anspruch auf Altersrente für Personen vorgesehen, die einen besonders schweren oder ungesunden Beruf ausgeübt haben:
   * Bergbauarbeiter und Arbeiter der Bergbauindustrie (Förderung und Verarbeitung von Grundstein) - Anspruch auf Rente im gesetzlich geregelten Alter (66 Jahre und 7 Monate im Jahr 2025), Kürzung um ein Jahr pro 2 Jahre effektiver Erwerbstätigkeit bis zu einer Obergrenze von 50 Jahren (die unter außergewöhnlichen Umständen um bis zu 5 Jahre gekürzt werden kann) und Erhöhung um 2,2% für jeden Zeitraum von 2 Jahren der Erwerbstätigkeit bis zu einer Obergrenze von 80%);
   * Seeleute - ab 55 Jahren, wenn sie mindestens 15 Jahre als Seemann erwerbstätig waren (273 Arbeitstage gelten als ein effektives Arbeitsjahr).
   * Hochseefischer - ab 55 Jahren, wenn 15 Beitragsjahre und mindestens 30 Erwerbsjahre vorliegen (150 Arbeitstage gelten als ein Jahr).
Ab 50 Jahren (Rente für vorzeitigen körperlichen Verschleiß): bei mindestens 40 Erwerbsjahren (273 Tage gelten als ein effektives Arbeitsjahr).
   * Fluglotsen - 60 Jahre bei mindestens 22 Erwerbsjahren in operativen Funktionen;
   * Tänzer (klassisches und zeitgenössisches Ballett) - 45 Jahre bei 20 Jahren Halbtagstätigkeit oder 55 Jahre bei 10 Jahren Vollzeittätigkeit;
   * Stickerinnen auf Madeira - 60 Jahre im Fall von 15 Beitragsjahren.</t>
  </si>
  <si>
    <t>Erste Säule/Zweite Säule:
Keine weiteren Zulagen für Rentner.</t>
  </si>
  <si>
    <t>Wohnzulage (bostadstillägg): Die Obergrenze ist beläuft sich auf SEK 7.500 (€682) pro Monat für alleinstehende Leistungsempfänger und SEK 3.750 (€341) für verheiratete Leistungsempfänger. Somit werden die Wohnkosten wie folgt erstattet:
   * 100% bis zu SEK 3.000 (€273)
   * 90% zwischen SEK 3.001(€273) und SEK 5.000 (€455)
   * 70% zwischen SEK 5.001 (€455) und SEK 7.000 (€636)
   * 50% zwischen SEK 7.001 (€636) und SEK 7.500 (€682).
Für verheiratete Leistungsempfänger gilt nur die Hälfte für jede Stufe der oben dargestellten Wohnkosten bis SEK 3.750 (€341), während die Prozentsätze gleich bleiben.
Zusätzlich werden SEK 840 (€76) pro Monat für alleinstehende Leistungsempfänger zu den Wohnkosten hinzugefügt und SEK 420 (€38) für verheiratete Leistungsempfänger.
Die Zulage unterliegt einer Einkommensprüfung.
Einkommenshilfe für ältere Menschen (äldreförsörjningsstöd): umfasst eine Unterstützung für Wohnkosten bis SEK 7.500 (€682) monatlich für alleinstehende Leistungsempfänger und SEK 3.750 (€341) für Verheiratete. Hilfe für weitere Unterhaltskosten bis SEK 7.525 (€684) monatlich für alleinstehende Leistungsempfänger und SEK 6.053 (€550) für Verheiratete. Die Leistung unterliegt einer Bedürftigkeitsprüfung.</t>
  </si>
  <si>
    <t>Seit 2025 erhalten Frauen, die zwischen 1961 und 1969 geboren sind und ihre Rente nicht vorbeziehen, eine lebenslange Rentenzuschlag, der je nach Geburtsjahr und Einkommen zwischen CHF13 (€14) und CHF160 (€171) pro Monat beträgt.</t>
  </si>
  <si>
    <t>Elternrente (Rodičovský dôchodok) für Bezieher einer Altersrente (oder, nach Erreichen des Rentenalters, auch für Bezieher von Invalidenrente, Altersrente und Invalidenrenten für Dienstjahre von Soldaten und Polizisten) wird durch Steuern finanziert. Der Leistungsbetrag ist 2% (für jeden lebenden Elternteil) der für das Vorjahr gezahlten Einkommensteuer des Kindes, wenn das Kind dies in der Steuererklärung angibt.</t>
  </si>
  <si>
    <t>Pflegegeld (dodatek za pomoč in postrežbo): Siehe Tabelle V „Invalidität, „Leistungen, 8. Sonstige Leistungen“.</t>
  </si>
  <si>
    <t>Zulage zur Verringerung des Lohngefälles zwischen den Geschlechtern (complemento para la reducción de la brecha de género) von €35,90/monatlich pro Kind im Jahr 2025 (mit einer Obergrenze von 4 Kindern).</t>
  </si>
  <si>
    <t>Grundsätzlich keine sonstigen Zulagen für Rentner.
Sonderzulagen zu den Renten von Mitgliedern der Widerstandsbewegung während des 1. und 2. Weltkriegs sowie politischen Gefangenen des kommunistischen Regimes.</t>
  </si>
  <si>
    <t>Erste Säule:
Die Beihilfe für ältere Menschen, die Langzeitpflege erbringen (Tartós ápolást végzők időskori támogatása): für Rentenempfänger, die ihre Kinder mit schweren Behinderungen mindestens 20 Jahre vor dem Anspruch auf Altersrente gepflegt haben. Es handelt sich um eine beitragsunabhängige Beihilfe in Höhe von HUF50.000 (€125) pro Monat.</t>
  </si>
  <si>
    <t>System zur Unterstützung von Rentnerhaushalten mit niedrigem Einkommen (Σχέδιο ενίσχυσης νοικοκυριών συνταξιούχων με χαμηλά εισοδήματα).
Geldleistungen an den Haushalt eines Rentners, dessen jährliches Gesamteinkommen unter der Armutsgrenze liegt. Für weitere Informationen siehe Tabelle XI „Mindestsicherung“.</t>
  </si>
  <si>
    <t>Betrag der garantierten Mindestrente (pension minimale garantie/gewaarborgd minimumpensioen) bei einem Versicherungsverlauf von mindestens 2/3 des vollständigen Versicherungsverlaufs (anteilig von folgenden Jahressätzen):
   * Haushaltssatz: € 27.123,07 
   * Satz für Alleinstehende: € 21.705,29. 
   * Garantierter gesetzlicher Mindestlohn (Mindestanspruch pro Berufsjahr): 
Ein Mindestrentenbetrag wird unter bestimmten Bedingungen garantiert, je nach Dauer und Art des Versicherungsverlaufs.
Eine Person, deren Versicherungsverlauf im Sicherungssystem für Arbeitnehmer mindestens 15 Jahre und 104 Tage beträgt, hat für jedes Jahr der Erwerbstätigkeit Anspruch auf ein Minimum, das auf der Basis eines garantierten Mindesteinkommens von € 32.764,09 (jährlich) für ein volles Erwerbsleben berechnet wird, wenn ihre Rente für einen vollständigen Versicherungsverlauf jährlich nicht folgende Beträge übersteigt:
   * € 22.900,17 (jährlicher Betrag) für Alleinstehende 
   * € 28.625,23 (jährlicher Betrag) für einen Haushalt 
2. Garantierte Mindestrente (Anspruch nur bei einem Mindestversicherungsverlauf (Arbeitnehmer + Selbständiger)
Der Anspruch auf eine garantierte Mindestrenteist Personen mit einem ausreichenden Versicherungsverlauf vorbehalten, wobei zwischen Vollzeit- und Teilzeitbeschäftigung unterschieden wird:
Garantierte Mindestrente bei Vollzeitbeschäftigung :
   * Mindestens 2/3 eines vollständigen Versicherungsverlaufs nachweisen.
   * Mindestens über 208 vollzeitäquivalente Tage pro Kalenderjahr verfügen.
Garantierte Mindestrente bei Teilzeitbeschäftigung:
   * Mindestens 2/3 eines vollständigen Versicherungsverlaufs nachweisen.
   * Mindestens über 156 vollzeitäquivalente Tage pro Kalenderjahr verfügen.
Ab dem 1. Januar 2025: Neben der Bedingung eines Mindestversicherungsverlaufs wird eine zusätzliche Bedingung für die effektive Erwerbstätigkeit eingeführt. Um diese Bedingung zu erfüllen, muss eine Person mindestens eine Erwerbstätigkeit wie folgt nachweisen:
   * Für eine Vollzeit-Mindestrente: 5.000 effektiv geleistete vollzeitäquivalente Arbeitstage als Arbeitnehmer; 
   * Für eine Teilzeit-Mindestrente als Arbeitnehmer: 3.120 effektiv geleistete vollzeitäquivalente Arbeitstage als Arbeitnehmer oder in einer gemischten Berufslaufbahn (Arbeitnehmer, Selbstständiger, Beamter).
Ausnahmen:
Bestimmte Zeiten der Inaktivität werden mit effektiv geleisteten Arbeitstagen gleichgesetzt. Um zu vermeiden, dass Personen aufgrund ihres Gesundheitszustands den Anspruch auf eine Mindestrente verlieren, werden außerdem bestimmte Zeiten längerer Abwesenheit aus medizinischen Gründen (teilweise) von der Anzahl der effektiven Arbeitstage in Abzug gebracht, die nachzuweisen sind.
Außerdem wird bei der Berechnung berücksichtigt, dass Teilzeitarbeit vor 2002 als abhängige Beschäftigung anerkannt wurde.
Nach Beendigung der Berufslaufbahn darf die Rente einen festen Mindestbetrag nicht unterschreiten:
   * Jahressatz für einen Haushalt: € 27.123,07 
   * ahressatz für Alleinstehende: € 21.705,29 
Wenn der Versicherungsverlauf nicht vollständig ist, aber mindestens einem Zeitraum von 2/3 eines vollständigen Versicherungsverlaufs entspricht, wird eine Mindestrente anteillig zur Berufslaufbahn eines Arbeitnehmers garantiert:
   * Garantiere Mindestrente auf der Grundlage einer Vollzeitbeschäftigung: Der Betrag wird für einen vollständigen Versicherungsverlauf mit dem Bruchteil des Versicherungsverlaufs eines Arbeitnehmers in Berufsjahren multipliziert. Der Zähler des Bruchteils berücksichtigt nur die Jahre, die mindestens 52 Tage Vollzeitäquivalente umfassen. 
   * Garantierte Mindestrente auf der Grundlage einer Teilzeitbeschäftigung: Der Betrag wird für einen vollständigen Versicherungsverlauf mit dem Bruchteil des Versicherungsverlaufs eines Arbeitsnehmers in Tagen multipliziert. Dabei werden alle Tage des Arbeitnehmers berücksichtigt, d. h. Arbeitstage und gleichgestellte Tage während der Erwerbstätigkeit. 
Betrag der garantierten Mindestrente (pension minimale garantie/gewaarborgd minimumpensioen) bei einem Versicherungsverlauf von mindestens 2/3 des vollständigen Versicherungsverlaufs (anteilig von folgenden Jahressätzen):
   * Haushaltssatz: € 27.123,07 
   * Satz für Alleinstehende: € 21.705,29 </t>
  </si>
  <si>
    <t>Erste Säule:
Der Mindestbetrag der beitragsabhängigen Altersrente berechnet sich nach dem Gesetz über den Haushalt der Sozialversicherung. Der Mindestbetrag der Altersrenten aus Versicherung beläuft sich seit 1.07.2025 auf BGN 630,50 (€ 322) monatlich.
Zweite Säule:
Keine gesetzliche Mindestrente, aber wenn die Höhe des Guthabens auf dem individuellen Konto weniger als das Dreifache der Mindestaltersrente beträgt, wird der Gesamtbetrag einmalig als Pauschalbetrag ausgezahlt.</t>
  </si>
  <si>
    <t>1. Säule:
Altersrente (Folkepension)/Frührente (Tidlig Pension): Keine Mindestbetrag.
Zusatzrente (arbejdsmarkedets tillægspension, ATP) und obligatorisches Rentensystem (Obligatorisk Pensionsordning): DKK 288 (€38) pro Monat.</t>
  </si>
  <si>
    <t>Keine gesetzliche Mindestrente.</t>
  </si>
  <si>
    <t>1. Säule:
100% des Volksrentenbetrags (rahvapensioni määr): €393,26 monatlich.
2. Säule:
Keine gesetzliche Mindestrente.</t>
  </si>
  <si>
    <t>Die Garantierte Rente (Takuueläke) garantiert Personen mit Wohnsitz in Finnland mit einer geringen Rente oder keiner anderen Rente eine Mindestrente.
Der volle zahlbare Betrag im Jahr 2025 ist €986,30 im Monat. Andere Renteneinkommen haben Einfluss auf den Betrag. Der Anspruch wird ausschließlich auf der Grundlage des eigenen Bruttorenteneinkommens des Antragstellers bestimmt, nicht auf der Grundlage des Einkommens oder des Vermögens des Haushalts. Andere Arten von Einkünften oder Vermögenswerten (z. B. Spareinlagen, Immobilien) werden nicht berücksichtigt.
Anspruchsvoraussetzungen:
   * Wohnsitz in Finnland;
   * 3 Jahre wohnhaft in Finnland gewesen sein nach der Erreichen eines Alters von 16 Jahren;
   * Beantragung sämtlicher Renten, die der Person in Finnland und dem Ausland zustehen könnten.
Einwohner, die Altersrente beziehen, sind anspruchsberechtigt, wenn ihr gesamtes Rentenbruttoeinkommen im Jahr 2025 weniger als €978,33 im Monat beträgt. Migranten, die keine Volksrente beziehen, sind ab 65 Jahren anspruchsberechtigt.</t>
  </si>
  <si>
    <t>1. Säule (Basissystem):
Mindestleistung: €747,69 (brutto) pro Monat, wenn ein Anspruch auf eine volle Rente besteht. Dieser Betrag wird erhöht, wenn mindestens 120 Quartale lang Beiträge entrichtet wurden, bis €893,66 (brutto) erreicht sind, wenn für alle berücksichtigten Quartale Beiträge gezahlt wurden. Liegt die Versicherungsdauer unter der vom Geburtsjahr des Versicherten abhängenden erforderlichen Dauer, so wird ein anteiliger Betrag gewährt.
Die Mindestleistung wird nur dann gewährt, wenn die Summe der bezogenen Renten (französische und ausländische Grund- und Zusatzrenten) weniger oder gleich €1.394,86 pro Monat beträgt.
2. Säule (Zusatzrentensysteme (Agirc-Arrco)):
Keine Mindestleistung.</t>
  </si>
  <si>
    <t>1. Säule (Hauptrente der e-EFKA):
Keine Mindestbetrag.</t>
  </si>
  <si>
    <t>(Beitragsabhängige) Staatliche Rente (State Pension (Contributory):
Gesetzliche Mindestrente: €115,60.</t>
  </si>
  <si>
    <t>Volksrente (lífeyrir almannatrygginga):
Keine gesetzliche Mindestrente. Die Rente ist bedarfsorientiert am eigenen Einkommen, siehe Berechnungsmethode in Tabelle VI, „Berechnungsmethode, Rentenformel oder Beträge“.
Arbeitsrente (lögbundnir lífeyrissjóðir):
Keine gesetzliche Mindestrente.</t>
  </si>
  <si>
    <t>Vor dem 1. Januar 1996 Versicherte:
Höhe der Mindestrente (pensione minima): €7.844,20 (€8.016,71 = €616,67x13, wenn der Leistungsempfänger über 75 Jahre alt ist, gültig im Jahr 2025). Die Altersrente (pensione di vecchiaia) wird bis zur Höhe der Mindestrente aufgestockt, wenn das steuerpflichtige Jahreseinkommen des Berechtigten weniger als das Doppelte der eigentlichen Mindestrente beträgt.
Ist der Empfänger verheiratet, so wird die Rente bis zur Höhe der Mindestrente aufgestockt, falls das jährliche Familieneinkommen nicht das Vierfache der jährlichen Mindestrente, also den Betrag von €31.376,80, überschreitet. Bei einem Familieneinkommen zwischen €31.376,80 und €39.221 erfolgt eine Aufstockung um 70%; bei einem Einnkommen über diesem Betrag erfolgt keine Aufrstockung.
Keine gesetzliche Mindestrente im Fall von Renten, die durch das beitragsorientierte System berechnet wurden.</t>
  </si>
  <si>
    <t>1. Säule:
Die Mindestrente wird gemäß dem Rentenversicherungsgesetz bestimmt. Sie ist ein Festbetrag pro Versicherungsjahr entsprechend 106% des jeweils aktuellen Rentenwertes zum Zeitpunkt des Beginns des Rentenanspruchs, ermittelt durch die Multiplikation mit dem Ausgangsfaktor und dem Rentenfaktor. Seit 1. Juli 2025 beträgt die Mindestrente für jedes Versicherungsjahr €15,32 pro Monat.
2. Säule:
Keine gesetzliche Mindestrente.</t>
  </si>
  <si>
    <t>1. Säule:
Die Höhe der Mindestaltersrente wird bestimmt durch Anwendung eines Koeffizienten von 1.1 auf die Berechnungsgrundlage der Mindesaltersrente (€189; €226 für Personen mit Behinderungen seit Kindesalter) und der anschließenden Addition von 2% der gleichen Basis für jedes zusätzliche Jahr, das über die erforderliche Versicherungszeit zur Gewährung einer Altersrente (d.h. 20 Jahre) hinausgeht. Daher variieren die monatlichen Mindestbeträge zwischen €226,80 bei 20 Versicherungsjahren und €344 bei 51 Versicherungsjahren.
Für Personen mit Behinderungen seit Kindesalter variieren die monatlichen Beträge zwischen €271,20 bei 20 Versicherungsjahren und €411,30 bei 51 Versicherungsjahren.
2. Säule:
Entscheidet sich der Teilnehmer des kapitalgedeckten Rentensystems, das angesparte Rentenkapital zur Rente der 1. Säule hinzuzufügen, gilt der Mindestbetrag der Rente der 1. Säule.
Entscheidet sich der Teilnehmer des kapitalgedeckten Rentensystems, mit dem angesparten Rentenkapital eine Lebensversicherungspolice zu erwerben (lebenslange Rente), gilt kein Mindestbetrag.</t>
  </si>
  <si>
    <t>Keine Mindestrente (es gibt aber steuerfinanzierte, wohnsitzgebundene einkommens- und vermögensabhängige Ergänzungsleistungen).
1. Säule: Bei einer lückenlosen Beitragsdauer beträgt die Stammrente mindestens  CHF 1.190 (€1.272) pro Monat (13 x im Jahr).
2. Säule: Keine gesetzliche Mindestrente.</t>
  </si>
  <si>
    <t>Keine gesetzliche Mindestrente, eine de-facto-Mindestrente resultiert jedoch aus der Berechnungsmethode.Für Personen, die das Rentenalter mit 15 Versicherungsjahren erreichen, darf die Rente nicht niedriger sein als die volle Grundrente, d.h. €298,45 im Jahr 2025.
Verfügt die Person nicht über 15 Jahre Sozialversicherungsbeiträge, wird die Altersleistung der Sozialhilfe gezahlt (siehe Tabelle XI, „Mindestsicherung“).</t>
  </si>
  <si>
    <t>1. Säule:
Bei einer Mindestversicherungszeit von 40 Jahren erreicht die Rente mindestens 90% des Referenzbetrages: Daher gilt eine monatliche Mindestrente von €2.350,89. Falls der Versicherte die oben genannte Anwartschaftszeit nicht erfüllt, aber mindestens 20 Versicherungsjahre belegen kann, wird die Mindestrente (pension minimale) um 1/40 je fehlendes Jahr gekürzt.</t>
  </si>
  <si>
    <t>Die garantierte Mindestrente beträgt €206,50 pro Woche für verheiratete Personen und €202,50 pro Woche für alleinstehende Personen, die durchschnittlich für 50 Wochen pro Jahr Beiträge geleistet haben. Für Personen mit einem geringeren Beitragsdurchschnitt wird die Rente anteilig gekürzt.</t>
  </si>
  <si>
    <t>Nicht anwendbar, Pauschalrente.</t>
  </si>
  <si>
    <t>Es gibt keine gesetzliche Mindestrente, jedoch de facto eine Mindesthöhe, die sich aus der Berechnungsmethode ergibt.
Mindestrente (minste pensjonsnivå) gemäß den alten Regeln:
Für einen alleinstehenden Rentner mit 40 (allein auf dem Wohnsitz beruhenden) Versicherungsjahren beträgt die jährliche Mindestrente NOK 279.933 (€23.739). Sie wird an Rentner ausgezahlt, deren Grundrente und Zusatzrente zusammen weniger betragen als die Mindestrente.
Garantierte Rente (garantipensjon) gemäß den neuen Regeln:
Für einen alleinstehenden Rentner mit 40 Versicherungsjahren (ausschließlich wohnsitzbasiert) beträgt die jährliche Mindestrente NOK 242.418 (€20.558).</t>
  </si>
  <si>
    <t>Sofern die monatliche Rente bzw. Renten einschließlich sonstiger Einkünfte (auch jener des:der im gemeinsamen Haushalt lebenden Ehepartner:in) die folgenden Beträge nicht erreichen, gebührt eine Ausgleichszulage in der Höhe des Differenzbetrages:
   * Einzelrichtsatz für alleinstehende:n Rentenbezieher:in: €1.273,99 (2025) pro Monat.
   * Familienrichtsatz für Rentenbezieher:in, der:die mit Ehepartner:in im gemeinsamen Haushalt lebt: €2.009,85 (2025) pro Monat.
   * Erhöhung der Ausgleichszulage für jedes Kind bis zur Vollendung des 18. Lebensjahres bzw. des 27. Lebensjahres bei Studium oder Berufsausbildung; kein Alterslimit bei Behinderung des Kindes: €196,57 (2025) pro Monat.
Ausgleichszulagen/Rentenbonus
Bei Vorliegen einer bestimmten Anzahl an Versicherungsmonaten gebührt
   * ein Ausgleichszulagenbonus, wenn eine Ausgleichszulage zu einer Eigen(Direkt)rente bezogen wird oder
   * ein Rentenbonus zur Eigen(Direkt)rente, wenn keine Ausgleichszulage bezogen wird
und wenn das Gesamteinkommen unter einem bestimmten Grenzbetrag liegt.
   * Einzelrichtsatz mind. 360 Beitragsmonate (inklusive Kindererziehungszeiten und Präsenz- und Zivildienstzeiten)Grenzwert für Gesamteinkommen: €1.386,20 (2025)Maximale Höhe: €188,60 (2025)
   * Einzelrichtsatz mind. 480 Beitragsmonate (inklusive Kindererziehungszeiten und Präsenz- und Zivildienstzeiten)Grenzwert für Gesamteinkommen: €1.656,05 (2025)Maximale Höhe: €481,00 (2025)
   * Familienrichtsatz mind. 480 Beitragsmonate (inklusive Kindererziehungszeiten und Präsenz- und Zivildienstzeiten) bei einem oder beiden Partner:innenGesamteinkommen: €2.235,34 (2025)Maximale Höhe: €480,49 (2025)</t>
  </si>
  <si>
    <t>PLN 1.878,91 (€443) pro Monat. Die Mindestrente ist nur garantiert, wenn die betroffene Person:
   * 25 Jahre für Männer;
   * 20 Jahre für Frauen
beitrags- und beitragsfreie Zeiten hat.
Die Mindestrente unterliegt keiner Bedürftigkeitsprüfung.</t>
  </si>
  <si>
    <t>30% des durchschnittlichen Monatseinkommens (siehe „Berechnungsmethode bzw. Rentenformel“). Der Betrag darf jedoch bestimmte gesetzliche monatliche Mindestwerte nicht unterschreiten, die an den Indexwert für soziale Unterstützungen IAS (indexante dos apoios sociais) = € 522,50 gekoppelt sind. Dabei gelten je nach Beitragsdauer folgende Prozentsätze:
   * Minimum für Rentner mit mehr als 15 Beitragsjahren:€ 331,79.
   * Minimum für Rentner mit 15 bis 20 Beitragsjahren: € 348,05.
   * Minimum für Rentner mit 21 bis 30 Beitragsjahren: € 384,07.
   * Minimum für Rentner mit mehr als 30 Beitragsjahren: € 480,08.
Sonderzulage für die Mindestrente ((complemento extraordinário para pensões de mínimos de velhice): für Rentner mit einer Mindestrente, die ab dem 1. Januar 2019 oder zwischen dem 1. Januar 2017 und dem 31. Dezember 2018 gezahlt wird und deren Gesamtbetrag 1,5xIAS (€ 783,75) oder weniger beträgt.
Rentner des allgemeinen Systems mit Rentenbezug ab 2017, 2018 oder nach 2019: Monatliche Leistung in Höhe von € 5,68 bis € 23,18, je nach dem Jahr des Renteneintritts (2017, 2018 oder ab 2019) und der Dauer der beitragspflichtigen Erwerbstätigkeit.</t>
  </si>
  <si>
    <t>Erste Säule:
Rentner erhalten die Sozialbeihilfe für Rentner (indemnizatie sociala pentru pensionari), die sich auf RON 1.281 (€252) monatlich beläuft, wenn ihre Altersrente unterhalb dieses Betrags liegt.
Diese Beihilfe ist einkommensabhängig. Sie basiert auf den gesamten rentenbezogenen Ansprüchen (nur eigene Einkünfte): staatliche Renten, Renten aus nicht integrierten Systemen und Sonderrechtsansprüche. Andere Einkünfte oder Vermögenswerte werden nicht berücksichtigt.
Zweite Säule:
Keine gesetzlichen Bestimmungen.</t>
  </si>
  <si>
    <t>Keine gesetzliche Mindestrente.
Jedoch gibt es eine Garantierente (garantipension) für diejenigen ohne oder mit nur geringem Rentenanspruch. 2025 beläuft sich eine volle Garantierente auf das 2,43-Fache des Grundbetrags, d. h. auf SEK 142.884 (€12.989) pro Jahr für eine alleinstehende Person und auf das 1,951-Fache des Grundbetrags, d.h. SEK 129.360 (€11.760) für eine verheiratete Person.
Für jene, welche die Voraussetzungen für die Garantierente nicht erfüllen, gibt es über 66 eine Einkomenshilfe für Ältere (äldreförsörjningsstöd). Dies bietet einen angemessenen Lebensstandard nach Zahlung der Haushaltskosten. Ein angemessener Lebensstandard wird mit SEK 7.525 (€684) monatlich veranschlagt für eine alleinstehende Person und SEK 6.053 (€550) für verheiratete Personen oder Personen, die im Jahr 2025 in einer nicht-ehelichen Lebensgemeinschaft zusammenleben. Die Unterstützung unterliegt einer Bedürftigkeitsprüfung.</t>
  </si>
  <si>
    <t>1. Säule (Grundsystem):
Vollrenten:
CHF1.260 (€1.346) pro Monat.
Kinderrente:
CHF504 (€538) pro Monat.
2. Säule (obligatorische Mindestvorsorge):
Keine Mindestrente, jedoch ein de facto Mindestbetrag resultierend aus der Berechnungsmethode.</t>
  </si>
  <si>
    <t>1. Säule:
Die Mindestrente beträgt 145% des Betrags des Existenzminimums, wenn der Versicherte über mindestens 30 Versicherungsjahre verfügt. Dieser Betrag wird bei zusätzlichen Versicherungszeiten schrittweise angehoben (2,5% für das 31. bis 39. Jahr, 3% für das 40. bis 49. Jahr, 5% für das 50. bis 59. Jahr, 7,5% für das 60. und jedes weitere verdiente Rentenversicherungsjahr).
Der Betrag der Mindestaltersrente darf nicht höher sein als die Summe der Renten aller Versicherten.
2. Säule:
Keine gesetzliche Mindestrente.</t>
  </si>
  <si>
    <t>Eine versicherte Person mit Anspruch auf Altersrente (starostna pokojnina) erhält eine Mindestrente in Höhe von 29,5% der Mindest-Rentenberechnungsbasis (pokojninska osnova) von €1.947,67 (brutto) (dieser Betrag muss jährlich angepasst werden, wobei die Mindestrentengrundlage im Jahr 2025 bei €1.219,95 liegt), d. h. €352,58 pro Monat. Die Mindest-Rentenberechnungsbasis wird durch die Renten- und Invaliditätsversicherungsanstalt Sloweniens (Zavod za pokojninsko in invalidsko zavarovanje Slovenije) festgelegt. Hauptanspruchsbedingung sind 15 Versicherungsjahre.
Die garantierte Mindestrente (zagotovljena pokojnina) für alle Empfänger einer Alters- oder Invaliditätsrente, die Beiträge in das Rentensystem (1. Säule) für den zum Erhalt einer Vollrente erforderlichen Zeitraum leisten, darf nicht weniger als €781,94 pro Monat betragen.</t>
  </si>
  <si>
    <t xml:space="preserve">Gesetzliche Mindestrente mit Bedürftigkeitsprüfung.
Mindestrente (Pensión mínima): abhängig vom Wohnsitz.
Monatsbeträge (14 Zahlungen im Jahr):
   * +65 Jahre: €874,40 für Ein-Personen-Haushalte; €1.127,60 oder €830 für verheiratete Leistungsempfänger, abhängig davon, ob der Ehepartner unterhaltsberechtigt ist oder nicht.;
   * -65 Jahre: €818 für Ein-Personen-Haushalte; €1.127,60 oder €773,20 für verheiratete Leistungsempfänger, abhängig davon, ob der Ehepartner unterhaltsberechtigt ist oder nicht.
Folgendes Vermögen wird berücksichtigt: Arbeitseinkommen, Kapital, oder wirtschaftliche Aktivitäten, und Kapitaleinkünfte laut dem für solche Einkommen im Einkommensteuergesetz geregelten Konzept. Folgendes ist vom Bruttoeinkommen des Rentners laut Steuergesetz ausgenommen:
   * abzugsfähige Aufwendungen für Brutto-Arbeitseinkommen;
   * abzugsfähige Aufwendungen für Brutto-Einkommen aus wirtschaftlichen Aktivitäten;
   * abzugsfähige Aufwendungen für Brutto-Einkommen aus Immobilienvermögen.
</t>
  </si>
  <si>
    <t>Keine gesetzliche Mindestrente.
   * Grundbetrag (Základní složka): Grundpauschale für Pension (10% des nationalen monatlichen Durchschnittslohns) von CZK 4.660 (€188) monatlich.
   * Prozentualer Betrag (Procentní část): Mindestbetrag: CZK 770 (€31) monatlich.
Die de facto Mindest(Grund-)pension ist nicht bedürftigkeitsabhängig.</t>
  </si>
  <si>
    <t>Erste Säule:
Mindestbetrag der Altersrente der Sozialversicherung (Öregségi nyugdíj): HUF28.500 (€71) monatlich. Kein Mindestbetrag, falls der Versicherungszeitraum weniger als 20 Jahre beträgt.</t>
  </si>
  <si>
    <t>85 % der vollen Grundrente (Βασική Σύνταξη) basierend auf dem versicherungspflichtigen Grundentgelt (Βασικές Ασφαλιστέες Αποδοχές).
   *              Für eine alleinstehende Person beläuft sich die Mindestrente auf € 108,91 pro Woche (85 % x 60 % x € 213,54),  
   *              für eine Person mit einer unterhaltsberechtigten Person auf € 145,21 pro Woche (85 % x 80 % x € 213,54) ,  
   *              für eine Person mit zwei unterhaltsberechtigten Personen auf € 163,36 pro Woche (85 % x 90 % x € 213,54) und  
   *              für eine Person mit drei unterhaltsberechtigten Personen auf € 181,51 pro Woche (85 % x 100 % x € 213,54). </t>
  </si>
  <si>
    <t>Keine Obergrenze, jedoch ein Höchstbetrag, der sich de facto aus der Berechnungsmethode ergibt.
Für eine Berufslaufbahn 45/45 (entspricht 14.040/14.040 Tage) und ein Arbeitsentgelt, das die Obergrenze der Rentenberechnung erreicht, beträgt der Bruttobetrag für den Monat Juli 2025 maximal € 4.096,02 pro Monat (Haushaltssatz) oder € 3.276,82 pro Monat (Satz für Alleinstehende).
Der Rentenbetrag kann jedoch über den angegebenen Höchstbeträgen liegen und zwar unter Berücksichtigung der „Einheit der Laufbahn“ (unité de carrière) (siehe Referenzgehalt oder Berechnungsgrundlage).</t>
  </si>
  <si>
    <t>1. Säule:
Altersrente (Folkepension):
   * 40/40 vom Grundbetrag (grundbeløb) = DKK 7.198 (€965) pro Monat;
   * 40/40 der Rentenzulage (pensionstillæg) = DKK 8.329 (€1.116) pro Monat für eine Person und DKK 4.262 (€571) pro Monat für einen Empfänger mit Ehepartner bzw. Lebensgefährten;
   * 40/40 des ergänzenden Rentenbetrags (supplerende pensionsydelse) = DKK 25.700 (€3.444) pro Jahr.
   * 40/40 des Betrags Mediacheck = DKK 1.087 (€146) pro Jahr.
Zusatzrente (arbejdsmarkedets tillægspension, ATP) und obligatorisches Rentensystem (Obligatorisk Pensionsordning):
DKK 26.000 (€3.467) pro Jahr ab dem Alter von 67 Jahren.</t>
  </si>
  <si>
    <t>Keine gesetzliche Höchstrente.</t>
  </si>
  <si>
    <t>1. und 2. Säule:
Keine gesetzliche Höchstrente.</t>
  </si>
  <si>
    <t>Gesetzliche einkommensbezogene Rente (Työeläke):
Keine Höchstrente.
Volksrente (Kansaneläke):
Voller Betrag: €699,42 oder €783,41 im Monat je nach Personenstand und der Dauer des Wohnsitzes in Finnland.
Garantierte Rente (Takuueläke):
Voller Betrag: €986,30 im Monat.</t>
  </si>
  <si>
    <t>1. Säule (Basissystem):
50% der Bemessungsgrenze der Sozialversicherung, also €1.962,50 pro Monat. Dieser Betrag wird um eventuelle Zuschläge (zurückgestellte Ruhegehaltszahlung, Behinderung, die die Hilfe eines Dritten erforderlich macht, Kindererziehung usw.) erhöht.
2. Säule (Zusatzrentensysteme (Agirc-Arrco)): Kein gesetzlicher Höchstbetrag, sondern ein de facto Höchstbetrag, der sich aus der Berechnungsmethode ergibt (Punkte werden bis zu einer Grenze zugewiesen, die dem Achtfachen der Bemessungsgrenze der Sozialversicherung entspricht).</t>
  </si>
  <si>
    <t>1. Säule (Hauptrente der e-EFKA):
€5.236,80 pro Monat (entsprechend zwölf Mal die volle staatliche Rente, 12*€436,40).</t>
  </si>
  <si>
    <t>(Beitragsabhängige) Staatliche Rente (State Pension (Contributory):
Maximum: €289,30 pro Woche.</t>
  </si>
  <si>
    <t>Volksrente (lífeyrir almannatrygginga):
Der maximale Rentenbetrag aus dem Volksrentensystem ist die Rente mit vollem Anspruch, beruhend auf 40 Jahren Wohnsitz und ohne sonstiges versteuerbares Einkommen wie erwähnt in Tabelle VI „Berechnungsmethode, Rentenformel oder Beträge“.
Arbeitsrente (lögbundnir lífeyrissjóðir):
Keine gesetzliche Höchstrente.</t>
  </si>
  <si>
    <t>1. Säule:
Kein Höchstbetrag, sondern ein De-facto-Höchstbetrag, der aus der Berechnungsmethode resultiert.
Der Rentenhöchstbetrag entspricht der Rente, die auf der Grundlage von 380% des Durchschnittsbruttogehalts über den gesamten Versicherungszeitraum berechnet wird (ist gedeckelt bei 3,8 Punkten pro Versicherungsjahr).
2. Säule:
Keine gesetzliche Höchstrente.</t>
  </si>
  <si>
    <t>1. Säule/2.Säule:
Kein Höchstbetrag.</t>
  </si>
  <si>
    <t>1. Säule: Bei einer lückenlosen Beitragsdauer beträgt die Stammrente von  CHF 2.380 (€2.543) pro Monat (13 x im Jahr).
2. Säule: Keine gesetzliche Höchstrente.</t>
  </si>
  <si>
    <t>Keine gesetzliche Höchstrente, 5 Rentenpunkte sind jedoch das Höchste, das in einem Kalenderjahr verdient werden kann.</t>
  </si>
  <si>
    <t>1. Säule:
Die Rente darf höchstens 5/6 des fünffachen Richtwerts betragen, nämlich €10.883,74 pro Monat.</t>
  </si>
  <si>
    <t>€282,05 pro Woche für Verheiratete und alleinstehende Personen, die vor dem 1. Januar 1962 geboren sind und €354,86 für Personen, die nach 1962 geboren sind bei Bewilligung der Rente. Der Betrag wird jährlich nach der Bewilligung der Rente entsprechend der Entwicklung der Lebenshaltungskosten angepasst.</t>
  </si>
  <si>
    <t>Kein Höchstbetrag.</t>
  </si>
  <si>
    <t>Keine gesetzliche Höchstrente.
Es gibt ein de facto Maximum resultierend aus der Berechnungsmethode.
Die für die Pensionshöhe relevanten Beiträge ergeben sich aus den monatlichen Beitragsgrundlagen. Diese sind mit der Höchstbeitragsgrundlage (2025: €6.450 brutto) gedeckelt.</t>
  </si>
  <si>
    <t>Keine gesetzliche Höchstrente, aber de facto besteht eine Höchstrente durch die Berechnungsmethode.</t>
  </si>
  <si>
    <t>Erste Säule:
Keine gesetzliche Höchstrente.
Zweite Säule:
Keine gesetzlichen Bestimmungen.</t>
  </si>
  <si>
    <t>1. Säule (Grundsystem):
CHF2.520 (€2.692) pro Monat. Die Summe der zwei Altersrenten (oder der Invaliden- und der Altersrente) für ein Ehepaar oder für eingetragene Partner darf 150% des Höchstbetrages der Altersrente nicht übersteigen, i.e. CHF3.780 (€4.039). Kinderrente: CHF1.008 (€1.077) pro Monat.
2. Säule (obligatorische Mindestvorsorge):
Keine Höchstrente, jedoch ein de facto Maximum resultierend aus der Berechnungsmethode.</t>
  </si>
  <si>
    <t>Keine gesetzliche Höchstrente, de facto jedoch der sich aus der Berechnungsmethode ergebende Höchstbetrag.</t>
  </si>
  <si>
    <t>Keine gesetzliche Höchstrente vorgesehen, ergibt sich aber aus dem durch die Berechnungsmethode erhaltenen Höchstbetrag.
Die maximale Rentenberechnungsbasis von €4.879,80 (brutto) (seit 1. Januar 2025) ist das 4-Fache der Mindest-Rentenberechnungsbasis.</t>
  </si>
  <si>
    <t>€3.267,60 pro Monat.</t>
  </si>
  <si>
    <t>Keine gesetzliche Höchstrente, aber de facto besteht eine Höchstrente, die aus der Berechnungsmethode resultiert. (siehe oben “3. Referenzeinkommen oder Berechnungsgrundlage).</t>
  </si>
  <si>
    <t>Erste Säule:
Kein Höchstbetrag.</t>
  </si>
  <si>
    <t>Grundrente (Βασική Σύνταξη) :
100 % des versicherungspflichtigen Grundentgelts (einschließlich der Zulagen für maximal 3 abhängige Familienmitglieder).
Zusatzrente (Συμπληρωματική Σύνταξη) :
Keine gesetzliche Höchstrente.
Basierend auf der Beitragsbemessungsgrenze beträgt der Höchstbetrag der Zusatzrente € 2.620,71 pro Monat (für Personen, die im Jahr 2025 berechtigt werden).
Für die Definition von versicherungspflichtigem Entgelt siehe Finanzierung – Allgemeine Sozialbeitragssätze.</t>
  </si>
  <si>
    <t>Berechnungsmethode wie bei der normalen Ruhestandspension; siehe oben "Berechnungsmethode bzw. Rentenformel". Die Höhe der vorgezogenen Rente ist proportional zur Dauer des Erwerbslebens.</t>
  </si>
  <si>
    <t>Die Rente wird ab dem Datum des Antrags gewährt und lebenslang gezahlt, aber mit einem Abzug von 0,4% für jeden Monat bis zum Erreichen des Rentenalters.</t>
  </si>
  <si>
    <t>1. Säule:
Frührente (Tidlig Pension):
Höchstbetrag: DKK 14.976 (€2.007) pro Monat. Die Rente wird um das Arbeitseinkommen und ähnliche Einkünfte des Empfängers gekürzt. Die Rente wird auch gekürzt, wenn der Empfänger Anspruch auf eine private Rentenversicherung hat.
Zahlung für 1 bis 3 Jahre (bis zum Erreichen des Rentenalters), abhängig von der Beschäftigungsdauer des Empfängers.</t>
  </si>
  <si>
    <t>Bei vorzeitigem Rentenbeginn (Bedingungen siehe Tabelle VI, ‘Anspruchsvoraussetzungen 3. Vorruhestand’) Berechnung nach der allgemeinen Rentenformel (siehe Zugangsfaktor).
Mit Ausnahme der ‘Rente für besonders langjährig Versicherte’ (nach 45 Beitragsjahren) beträgt die Rentenminderung 0,3% der Rente für jeden Monat, den die Rente vorzeitig in Anspruch genommen wird. Die Reduzierung um die Abschläge ist permanent.</t>
  </si>
  <si>
    <t>Vorgezogene Altersrente (ennetähtaegne vanaduspension):
Für jeden Monat vorzeitigen Renteneintritts wird der nach der Rentenformel berechnete Betrag um 0,4% reduziert (bis 31.12.2025).
Flexible Altersrente (paindlik vanaduspension):
Flexible Altersrente wird abhängig vom Zeitpunkt der Pensionierung vermindert (bis zu 5 Jahre früher als altersrentenfähiges Alter) (siehe vorgezogene Altersrente).
Altersrente unter günstigen Bedingungen (soodustingimustel vanaduspension):
Renten nach dem Gesetz über die staatliche Rentenversicherung (Riikliku pensionikindlustuse seadus) werden nicht reduziert. Bei Renten, die nach dem Gesetz über Altersrenten unter günstigen Bedingungen (Soodustingimustel vanaduspensionide seadus) gezahlt werden, steigt der Wert eines versicherten Beschäftigungsjahres mit jedem Jahr des Rentenanspruchs um 3,1% (21,9% bei Bergarbeitern).
Altersrente bei Erreichen besonderer Altersgrenzen (väljateenitud aastate pension):
Der Wert eines versicherten Beschäftigungsjahres wird um 9,6% reduziert. Erreicht die Person das normale Renteneintrittsalter, kann die Rente in eine normale Altersrente umgewandelt werden.</t>
  </si>
  <si>
    <t>Volksrente (Kansaneläke):
Vorgezogene Rente ab dem Alter von 64 Jahren für Personen, die vor 1962 geboren sind, mit dauerhaften Abschlägen von 0,4% für jeden Monat der Inanspruchnahme vor dem Alter von 65 Jahren.</t>
  </si>
  <si>
    <t>1. Säule (Basissystem) und 2. Säule (Zusatzrentensysteme (Agirc-Arrco)):
Die Rente wird dauerhaft zu einem reduzierten Satz berechnet. Die Minderung wird entsprechend des Alters und der Versicherungsdauer festgelegt.</t>
  </si>
  <si>
    <t>1. Säule (Hauptrente der e-EFKA):
Ab dem 62. Lebensjahr für Männer und Frauen: Kürzung des nationalen Rentenbetrags um 1/200 für jeden fehlenden Monat bis zur Vollendung des 67. Lebensjahres. Die Kürzung um 1/200 ist dauerhaft. Die Rente wird 12 Mal im Jahr gezahlt.</t>
  </si>
  <si>
    <t>Kein Vorruhestand möglich.</t>
  </si>
  <si>
    <t>Volksrente (lífeyrir almannatrygginga):
Eine Frührente ist ab dem Alter von 65 Jahren mit gekürzten Leistungen (nach versicherungsmathematischer Berechnung) möglich.
Keine Kürzung der Rente für Seeleute ab dem Alter von 60 Jahren.
Zur Frührente aus Gesundheitsgründen siehe Tabelle V. "Invalidität".
Arbeitsrente (lögbundnir lífeyrissjóðir):
Die erworbenen Rentenrechte werden auf Dauer um einen versicherungsmathematischen Abschlag reduziert.</t>
  </si>
  <si>
    <t>Renten, die anhand des beitragsbasierten Systems berechnet werden, können im Alter von 64 Jahren unter der Bedingung beansprucht werden, dass der Rentenbetrag, der dem Begünstigten zusteht, wenigstens dem 3-fachen Monatsbetrag der Sozialhilfe (assegno sociale) entspricht, die im Jahr 2025 €538,69 beträgt (€538,69 x 3 = €1.616,07) für Männer und Frauen ohne Kinder: das 2,8-fache des genannten Betrags für berufstätige Mütter mit 1 Kind; das 2,6-fache für berufstätige Mütter mit 2 oder mehr Kindern. Der Betrag der vorgezogenen Rente unter den oben genannten Bedingungen darf nicht das 5-fache des Betrags der gesetzlichen Mindestrente überschreiten (entsprechend €603,40 monatlich im Jahr 2025).
Flexible Vorruhestandsrente (sogenannte „Quota 103“): Bruttorentenbetrag mit einer Obergrenze von €2.413,60 (entspricht dem 4-fachen der Mindestrente), welcher unverändert bleibt, bis das gesetzliche Renteneintrittsalter von 67 Jahren erreicht wurde. Er darf sich nicht mit Bruttoerwerbseinkommen über €5.000 aus abhängiger oder gelegentlicher selbstständiger Tätigkeit überschneiden.
Vorruhestandsbeihilfe (A.PE - sociale Anticipo Pensionistico): wird monatlich in 12 Teilbeträgen pro Jahr ausgezahlt. Der betreffende Betrag wird auf der Grundlage der geleisteten Beiträge berechnet gemäß der gesetzlich festgelegten Formel für die Altersrente und kann sich auf höchstens €1.500 brutto pro Monat belaufen. Um eine Frührverrentung zu ermöglichen, werden die fehlenden Beiträge im Rahmen eines staatlich gewährten Bankdarlehens geleistet, das die Rentenempfänger erst zurückzahlen müssen, wenn sie das gesetzliche Rentenalter erreicht haben und den endgültigen Betrag der Altersrente beziehen.
Die Leistung ist nicht jährlich indexgebunden und kann nicht auf den Mindestrentenbetrag aufgestockt werden. Es werden keine fiktiven Beiträge für den Zeitraum gutgeschrieben, in dem der Empfänger A.PE Sociale bezieht.</t>
  </si>
  <si>
    <t>1. Säule:
Die Rente wird um 0,2% für jeden Monat des Rentenbezugs vor Erreichen der Regelaltersgrenze gemindert.
Keine Minderung der Höhe der vorzeitigen Rente bei Personen, die mindestens zwei Jahre arbeitslos waren, bevor sie die Voraussetzungen für eine vorzeitige Rente aufgrund von Unternehmenskonkurs erfüllen.</t>
  </si>
  <si>
    <t>1. Säule:
Der Betrag der vorgezogenen Altersrente wird anhand der üblichen Altersrentenformel berechnet. 50% der normalen Altersrente werden jedoch gezahlt, bis die Person das gesetzliche Rentenalter erreicht. Danach wird die Rente wieder auf den normalen Satz angehoben.
2. Säule:
Entscheidet sich der Teilnehmer des kapitalgedeckten Rentensystems, das angesparte Rentenkapital zur Rente der 1. Säule hinzuzufügen, gilt die Berechnungsmethode der 1. Säule.
Entscheidet sich der Teilnehmer des kapitalgedeckten Rentensystems, mit dem angesparten Rentenkapital eine Lebensversicherungspolice zu erwerben (lebenslange Rente), wird der volle Betrag ausgezahlt und es gibt keine Obergrenze für den Betrag aus der 2. Säule.</t>
  </si>
  <si>
    <t>1. Säule: Keine besonderen Voraussetzungen. Die lebenslange Rentenkürzung hängt von der Vorbezugsdauer und vom Alter ab (für Personen mit Jahrgang 1958 und jünger: 0,42% bei Vorbezug um einen Monat, 21,8% bei Vorbezug um 5 Jahre).
2. Säule: Personen die eine Altersrente nach dem AHVG vorbeziehen, können die ganze oder die halbe Rente nach diesem Gesetz (BPVG) auf jeden Monat hin ebenfalls vorbeziehen. Allenfalls Regelung im Reglement der jeweiligen Vorsorgeeinrichtung.</t>
  </si>
  <si>
    <t>Für jeden Monat der vorgezogenen Rente erfolgt ein Abschlag von der Rente um 0,32%. Nach Erreichen des Regelrentenalters wird die Minderung der Altersrente auf der Grundlage der Anzahl der Monate, in denen die vorgezogene Rente gezahlt wurde, neu berechnet. Ihr Betrag wird um 0,32% für jeden vollen Monat des Bezugs der vorgezogenen Rente verringert. Der Betrag der Altersrente wird nicht verringert, wenn die vorgezogene Altersrente höchstens 3 Jahre lang bezogen wurde und bei Antrag der vorgezogenen Altersrente 2025 mindestens 41 Jahre Rentenversicherungszeiten vorlagen (seit 2022 werden die erforderlichen Rentenversicherungszeiten jährlich um 3 Monate erhöht, bis im Jahr 2031 42 Jahre und 6 Monate erreicht sein werden).</t>
  </si>
  <si>
    <t>1. Säule:
Keine besonderen Bedingungen für die Berechnung und keine Kürzung der vorzeitigen Altersrente (bei kürzerer Beitragszahlung wird jedoch ein geringerer einkommensabhängiger Rententeilbetrag angerechnet).</t>
  </si>
  <si>
    <t>Keine rentenmathematisch verringerte vorgezogene gesetzliche Rente.
Personen, die die Voraussetzung einer langen Erwerbstätigkeit erfüllen (40 bis 42 Jahre bezahlte oder angerechnete Beiträge, je nach Geburtsjahr), können ab dem Alter von 61 Jahren die volle Rente beziehen. Die Rente wird auf der Grundlage des Einkommens zum Zeitpunkt des Anspruchs berechnet und bleibt danach unverändert, was eher einer langfristigen Altersvorsorge als einer Vorruhestandsregelung gleichkommt.</t>
  </si>
  <si>
    <t>Keine vorgezogene Rente.</t>
  </si>
  <si>
    <t>Berechnung grundsätzlich wie die normale Altersrente.
Für jedes Jahr des früheren Rentenantritts erfolgt ein Abschlag in der Höhe von 4,2% von der Leistung (bei der Korridorrente 5,1%, bei Schwerarbeitern 1,8%), max. 12,6 % (vorz. Altersrente aufgrund langer Versicherungsdauer) bzw. 15,3 % (Korridorrente) bzw. 9 % (Schwerarbeitsrente). Diese Reduzierung ist permanent.
„Frühstarterbonus“: Dadurch erhalten Personen, die zumindest 25 Beitragsjahre auf Grund einer Erwerbstätigkeit und davon mindestens 12 Erwerbstätigkeitsmonate vor dem 20. Geburtstag erworben haben, einen besonderen Zuschuss.</t>
  </si>
  <si>
    <t>Personen, die vor dem 1. Januar 1949 geboren wurden:
Vorgezogene Renten werden anhand der allgemeinen Rentenformel berechnet. Der Betrag hängt von der Anzahl der Versicherungsjahre ab.</t>
  </si>
  <si>
    <t>Berechnung nach der allgemeinen Formel. Der Betrag wird durch die Anwendung eines Reduktionsfaktors (1 - x) gesenkt.
x = Reduktionsfaktor, entsprechend dem Produkt aus dem monatlichen Betrag von 0,5% und der Anzahl der Monate der vorzeitigen Renten.
Berücksichtigt werden die vollen Monate des vorzeitigen Rentenbeginns zwischen dem Rentenantragsdatum und dem geltenden regulären Renteneintrittsalter. Die Reduktion gilt dauerhaft.
Falls die Beitragsdauer des Leistungsempfängers zum Zeitpunkt des Antrags auf vorzeitige Rente mehr als 40 Jahre beträgt, wird die Anzahl der Monate des vorzeitigen Rentenbeginns, die für die Bestimmung des Reduktionsfaktors für die Rente zu berücksichtigen ist, um 4 Monate für jedes Jahr über 40 Jahre verringert.
Keine Reduktion findet Anwendung, wenn der Leistungsempfänger 60 Jahre alt ist und mindestens Folgendes geleistet hat:
   * 48 Kalenderjahren mit entgeltbezogenen Leistungen, die in die Rentenberechnung einfließen, belegen kann; oder
   * 46 Kalenderjahren mit entgeltbezogenen Leistungen, die in die Rentenberechnung einfließen, belegen kann und vor dem 17. Lebensjahr Beiträge in das allgemeine Sozialversicherungssystem oder in die Allgemeine Rentenkasse einzahlt.
Die Kürzung des Rentenbetrags entfällt für Arbeitslose, die die Rente ab dem Alter von 62 Jahren beantragen und für solche vorzeitige Renten, die aufgrund belastender oder gefährlicher Tätigkeiten gewährt werden sowie für Menschen mit Behinderungen, die die vorzeitige Rente ab dem 60. Lebensjahr beantragen.</t>
  </si>
  <si>
    <t>Erste Säule:
Altersrente mit reduziertem Ruhestandsalter (pensie pentru limita de varsta cu reducerea varstelor standard de pensionare): Berechnung nach der Formel für die Altersrente (pensie pentru limita de varsta).
Vorgezogene Ruhestandsrente (pensie anticipata): Berechnung nach der Formel für die Altersrente.
Sie wird jedoch um verschiedene Prozent-sätze reduziert, abhängig von der Anzahl der Jahre, die über den vollständigen beitragsabhängigen Versicherungszeitraum hinausgehen und der Anzahl der Monate der Vorwegnahme, wie im Folgenden:
Jahre                                    % pro Monat der Vorwegnahme
- weniger als 1 Jahr                                 0,40
- zwischen 1 und 2 Jahren                      0,35            
- zwischen 2 und 3 Jahren                      0,30                      
- zwischen 3 und 4 Jahren                       0,25                          - zwischen 4 und 5 Jahren                       0,20
Die Reduzierung erfolgt vorübergehend, bis zum Erreichen des Renteneintrittsalters/vorgezogenen Ruhestandsalters.
Zweite Säule:
Altersrente mit reduziertem Ruhestandsalter (pensie pentru limita de varsta cu reducerea varstelor standard de pensionare) aus dem Umlagesystem (erste Säule) wird Personen mit ausreichendem persönlichem Rentenvermögen gewährt.
Der zu zahlende Betrag basiert auf versicherungsmathematischer Berechnung (für die Formel wurde jedoch noch keine Rechtsvorschrift erlassen).</t>
  </si>
  <si>
    <t>1. Säule (Grundsystem):
Kürzung des Betrags um 0,6% bis 13,6% je nach Anzahl der vorgezogenen Monate. Die Kürzung ist dauerhaft.
Wenn das massgebliche durchschnittliche Jahreseinkommen CHF60.480 (€64.622) oder weniger beträgt, wird der Kürzungssatz um 40% reduziert.
Seit 2025 erhalten Frauen, die zwischen 1961 und 1969 geboren wurden, lebenslang geringere Kürzungssätze, die von ihrem Alter und ihrem Einkommen abhängig sind.
2. Säule (obligatorische Mindestvorsorge):
Der Umwandlungssatz der vorgezogenen (Teil-)Rente wird entsprechend angepasst, wodurch die Rentenhöhe dauerhaft reduziert wird.
Überbrückungsleistungen für ältere Arbeitslose (Vorruhestandsleistungen, vgl. Tabelle XI „Mindestsicherungt“).</t>
  </si>
  <si>
    <t>Vorgezogene Altersrente (Predčasný starobný dôchodok):
Kürzung um 0,5% für jeweils 30 Tage, die bis zum Erreichen des Ruhestandsalters fehlen.</t>
  </si>
  <si>
    <t>Ähnlich wie die Altersrente (starostna pokojnina) wird die vorgezogenen Rente (predčasna pokojnina) entsprechend der Rentenberechnungsbasis (pokojninska osnova) der Mindestversicherung bemessen. Dauerhafte Kürzung von 0,3% für jeden am Alter von 65 Jahren fehlenden Monat.</t>
  </si>
  <si>
    <t>Für Arbeitnehmer, die gemäß dem am 1. Januar 1967 abgeschafften System versichert waren und die mit 60 Jahren in Rente gegangen sind gilt eine Minderung um 8% pro Jahr unter 65. Gehen diese Arbeitnehmer nicht freiwillig in Rente, beträgt die Minderung zwischen 7,5% für 30 Beitragsjahre und 6% für 40 Beitragsjahre.
Bei Ruhestand zwei oder vier Jahre vor Erreichen der Regelaltersgrenze wird der Rentenbetrag durch Kürzungen vermindert, abhängig von der noch verbleibenden Zeit (Monate) bis zum Erreichen der Regelaltersgrenze und den Beitragsjahren.
Diese Verringerung ist dauerhaft.</t>
  </si>
  <si>
    <t>Kürzung der einkommensbezogenen Renten (prozentualer Anteil) um 1,5% für jeweils 90 Kalendertage des Rentenbezugs vor dem Renteneintrittsalter.
Diese Kürzungen sind dauerhaft und bleiben auch nach Erreichen des normalen Renteneintrittsalters bestehen.</t>
  </si>
  <si>
    <t>Erste Säule:
Gleiche Berechnungsmethode für die Leistung vor dem Rentenalter (Korhatár előtti ellátás), Altersrente für Frauen mit 40 Jahren Anwartschaftszeit (Öregségi nyugdíj nők számára 40 év jogosultsági idővel) und Altersrente. Für nähere Informationen siehe Tabelle VI „Leistungen, 1. Berechnungsmethode, Rentenformel und Beträge“.</t>
  </si>
  <si>
    <t>Der Rentenbetrag wird versicherungsmathematisch um 0,5 % gekürzt für jeden Monat des Zeitraums zwischen dem Datum, an dem die Person beschließt die Rente zu beanspruchen, (in einem Alter von über 63 Jahren) und dem Alter von 65 Jahren.
Diese versicherungsmathematischeVerringerung ist dauerhaft und gilt auch für jede Witwenrente und Waisenrente, die daraus bezogen wird.
Siehe „Bedingungen, 2. Vorzeitiger Rentenbezug“.</t>
  </si>
  <si>
    <t>Keine spezifischen Bestimmungen bezüglich der Leistungen.</t>
  </si>
  <si>
    <t>Keine besonderen Bestimmungen bezüglich der Höhe der Leistung; die Versicherungsdauer wird jedoch angepasst, je nachdem, ob sie als Arbeit der Kategorie 1 oder 2 ausgeübt wurde (für die Anpassungsmethode siehe Bedingungen – beschwerliche und gefährliche Berufe).</t>
  </si>
  <si>
    <t>1. Säule:
Nicht anwendbar: keine besonderen Be-stimmungen für beschwerliche und gefährlich Berufe.</t>
  </si>
  <si>
    <t>Keine besonderen Regelungen.</t>
  </si>
  <si>
    <t>Keine besonderen Bestimmungen bezüglich der Höhe der Leistung.</t>
  </si>
  <si>
    <t>1. Säule (Basissystem) und 2. Säule (Zusatzrentensysteme (Agirc-Arrco)):
Keine amtliche Definition für beschwerliche oder gefährliche Arbeit.
Die Berücksichtigung der Arbeitsschwere wirkt sich nicht auf den Rentenbetrag, sondern nur auf die Versicherungszeit aus (es werden bis zu 8 Quartale angerechnet).</t>
  </si>
  <si>
    <t>1. Säule (Hauptrente der e-EFKA):
Keine besonderen Bestimmungen bezüglich dem Leistungsniveau.</t>
  </si>
  <si>
    <t>Keine besonderen Bestimmungen in Bezug auf die Leistungshöhe.</t>
  </si>
  <si>
    <t>Keine spezifischen Bestimmungen bezüglich der Höhe der Leistungen.</t>
  </si>
  <si>
    <t>Für beschwerliche und gefährliche Arbeiten werden je nach ausgeübter Tätigkeit und vorgefundenen Arbeitsbedingungen für jeden Beitragszeitraum von 12 Monaten entweder 14, 15, 16 oder 18 Monate angerechnet (anhand eines Koeffizienten von 1,1666; 1,25; 1,333 oder 1,5). Eine anteilige Erhöhung (d. h. zusätzliche Dienstjahre bzw. -monate werden dazugerechnet) gilt für kürzere Dienstzeiten. Diese Steigerungsrate führt zu einer höheren Rente für jeden Beitragszeitraum, da die Höhe des Altersruhegelds auch auf der Grundlage der Rentenversicherungszeit berechnet wird.</t>
  </si>
  <si>
    <t>1. Säule/2.Säule:
Keine spezifische Höhe von Renten für solche Arbeiten. Personen haben Anspruch auf vollständige Rente.</t>
  </si>
  <si>
    <t>Keine besonderen Bestimmungen zu beschwerlichen und gefährlichen Berufen nach 1995. Personen, die die erforderliche Anzahl von Versicherungsjahren in beschwerlichen/gefährlichen Berufen vor 1995 vorweisen konnten, wird eine vorübergehende Einmal-Entschädigung in Höhe von 136,4% der Grundrente gezahlt (im Juni 2025 - €407,09).
Die Grundrente (bazinė pensija) beträgt im Jahr 2025 298,45 €.</t>
  </si>
  <si>
    <t>1. Säule:
Keine Sonderregeln hinsichtlich der Höhe der Leistungen.</t>
  </si>
  <si>
    <t>Keine spezifischen Regelungen bezüglich der Höhe der Leistung.</t>
  </si>
  <si>
    <t>Keine besonderen Bedingungen bezüglich des Leistungsbetrags.</t>
  </si>
  <si>
    <t>Für Personen, die ab dem 1. Jänner 1955 geboren sind, gilt Folgendes: Grundlage für die Berechnung ist die auf dem Rentenkonto zum Stichtag aufscheinende Gesamt­gutschrift. Dieser Wert geteilt durch 14 ergibt die Rentenhöhe ohne Zu- und Abschläge. Ist das Regelrentenalter erreicht, ist dieser Betrag die Rentenhöhe.
Wird eine Schwerarbeitsrente oder eine Langzeitversicherungsrente für Schwerarbeiter:innen in Anspruch genommen, beträgt der Abschlag 1,8% für je 12 Monate (bzw 0,15% pro Monat) vor Erreichung des Regelrentenalters.</t>
  </si>
  <si>
    <t>Für Personen, die vor dem 1. Januar 1949 geboren wurden.
Vorgezogene Rente (Wcześniejsza emerytura): Keine besonderen Bestimmungen bezüglich der Höhe der Leistung.
Für Personen, die nach dem 31. Dezember 1948 geboren wurden.
Überbrückungsrente (Emerytura pomostowa): Zahlbar ab dem Eintrittsalter der (vorgezogenen) Rente (wie per Gesetz definiert) bis zum regulären Rentenalter. Mit erreichtem Rentenalter wird eine Altersrente berechnet und gemäß den allgemeinen Regeln ausgezahlt.</t>
  </si>
  <si>
    <t>Für einige schwere Arbeiten gelten spezifische Bedingungen bezüglich der Altersrente.
Bergbauarbeiter und Arbeiter der Bergbauindustrie (Förderung und Verarbeitung von Grundstein)– Der globale Rentensatz, der nach denselben Regeln berechnet wird, die für das allgemeine Sozialversicherungssystem gelten, steigt um 2,2% für jeden Zeitraum von 2 Jahren tatsächlich geleisteter Dienstjahre, gefolgt von oder im Wechsel mit Arbeiten im Untertagebau. Der gesamte Rentenbetrag darf 80% der Referenzentlohnung nicht übersteigen.
Hochseefischer – Für Begünstigte mit mindestens 15 Dienstjahren wird die Altersrente berechnet, durch Multiplizieren der Anzahl Dienstjahre als Fischer mit 0,33.
Tänzer – (klassisches oder zeitgenössisches Ballett): bei vorgezogener Rente ab 45 verringert sich die statutarische Rente um einen Faktor, der von der Anzahl Jahre der verfrühten Inanspruchnahme dem Alter von 55 Jahren gegenüber abhängt.</t>
  </si>
  <si>
    <t>Erste Säule:
Personen, die in schwierigen oder gefährlichen Berufen beschäftigt sind, wird die Altersrente mit reduziertem Ruhestandsalter (pensie pentru limita de varsta cu reducerea varstelor standard de pensionare) gewährt und sie sammeln eine zusätzliche Anzahl von Punkten (0,25 oder 0,50 monatlich je nach Berufskategorie) als Mittel, um die potenziellen Verluste aufgrund der kürzeren Beitragszeit auszugleichen.
Es wird auch ein Bonus für die Beitragszeit gewährt (6 Monaten für jedes Jahr, das an Arbeitsplätzen unter schwierigen Bedingungen verbracht wurde und 4 Monaten für jedes Jahr, das an Arbeitsplätzen unter schwierigen Bedingungen verbracht wurde).
Zweite Säule:
Keine spezifischen Bestimmungen bezüglich der Höhe der Leistung.</t>
  </si>
  <si>
    <t>Der Arbeitgeber ist verpflichtet, Beiträge für die Zusatzrentensparkonten von Arbeitnehmern zu zahlen, die an risikobehafteten Arbeitsplätzen arbeiten, welche nach der Pensionierung ausgezahlt werden.</t>
  </si>
  <si>
    <t>Die betriebliche Altersversorgung wird in Höhe der auf dem persönlichen Konto der versicherten Person akkumulierten Mittel gewährt und liegt zwischen:
   * der Höhe der Altersrente, die versicherte Personen erhalten hätten, sofern sie einen Versicherungszeitraum von 40 Jahren erlangt hätten, erhöht durch den Beitrag zur Krankenversicherung und die Kosten des Fondsmanagers;
   * der Höhe der maximalen Altersrente, erhöht durch den Beitrag zur Krankenversicherung und die Kosten des Fondsmanagers, sofern auf dem persönlichen Konto hinreichende Mittel vorhanden sind.</t>
  </si>
  <si>
    <t>Für manche Berufsgruppen (d.h. Flugpersonal, Feuerwehrleute) wird der Zeitraum, um den das Renteneintrittsalter abgesenkt wird, nur als beitragspflichtig betrachtet, um den Prozentsatz festzulegen, der auf die Berechnungsgrundlage der Altersrente angewendet wird.</t>
  </si>
  <si>
    <t>Wie beim allgemeinen gesetzlichen Altersrentensystem besteht die Rente für Minenarbeiter aus einem pauschalen Grundbetrag und einem prozentualen Anteil.
Der pauschale Grundbetrag ist für alle Rentner auf denselben Betrag festgelegt (derzeit CZK 4.660 (€188) pro Monat).
Eine besondere Bestimmung besteht im Zusammenhang mit der Berechnung des prozentualen Anteils der Altersrente für Minenarbeiter, welcher gemäß den allgemeinen Regeln errechnet wird, aber wenn der errechnete Betrag nicht den sogenannten “Höchstbetrag für Minenarbeiter” erreicht, wird eine Anpassung auf diesen Höchstbetrag vorgenommen. Der “Höchstbetrag für Minenarbeiter” wird berechnet durch die Erhöhung des Nominalbetrags von CZK 5.100 (€206) pro Monat mit all den Erhöhungen der Indexierung, die zwischen 1996 und dem Jahr, ab dem dem Rentner Altersrente gewährt wird, stattgefunden haben (derzeit CZK 21.382 (€864) pro Monat).
Wenn der prozentuale Anteil der Altersrente für Bergarbeiter, der gemäß den allgemeinen Regeln berechnet wurde, höher ist als der “Höchstbetrag für Bergarbeiter”, wird die Altersrente zum höheren Betrag gewährt, der gemäß den allgemeinen Regeln berechnet wurde.</t>
  </si>
  <si>
    <t>Erste Säule:
Keine besonderen Bestimmungen bezüglich der Höhe der Leistung.</t>
  </si>
  <si>
    <t>Keine besonderen Bestimmungen in Verbindung mit der Höhe der Leistung. </t>
  </si>
  <si>
    <t>Keine Teilzeitrente.</t>
  </si>
  <si>
    <t>Keine Teil (ruhestands)rente.</t>
  </si>
  <si>
    <t>1. Säule:
Bedingungen für Teilrente (delpension):
   * Geboren vor dem 1. Januar 1959 (das Programm wird für diejenigen, die später geboren wurden, abgeschafft);
   * Alter von 63 Jahren;
   * Wohnhaft in Dänemark;
   * Verkürzung der Arbeitszeit auf eine wöchentliche Arbeitszeit zwischen 12 und 30 Stunden;
   * Arbeitnehmerversicherung bei einer Arbeitszeit von mindestens 30 Wochenstunden mit dem Zusatzrentensystem (ATP-pension) über einen Zeitraum von mindestens 10 Jahren in den letzten 20 Jahren und mindestens 18 Monaten in den letzten 24 Arbeitsmonaten in Dänemark;
   * Selbstständige: während der letzten fünf Jahre Ausübung einer Ganztagstätigkeit; davon mindestens 4 Jahre und darüber hinaus während der letzten 12 Monate mindestens 9 Monate Ausübung einer selbstständigen Tätigkeit; Einkünfte aus selbstständiger Tätigkeit in bestimmter Höhe; Verkürzung der Wochenarbeitszeit auf durchschnittlich 18,5 Stunden;
   * Arbeitnehmer und Selbstständige: ein „Vorruhestandszertifikat“ darf nicht ausgestellt sein und ein detaillierter Nachweis der Ansprüche auf Ruhestandsleistungen muss vorgelegt werden;
   * Eine Person kann nur dann eine Teilrente erhalten, wenn sie keinen Anspruch auf eine vorgezogene Rente hat.
Betrag: 1/37 eines Grundbetrages (grundbeløb) pro Stunde, um die sich die Wochenarbeitszeit verringert, oder DKK 5.606,59 (€751) pro Jahr und gekürzte Stunde. Der Betrag entspricht 82% des Krankengeldhöchstsatzes und wird einmal jährlich angepasst. Für Selbstständige beträgt die Teilrente DKK 103.728 (€13.902) pro Jahr (entspricht einer durchschnittlichen Wochenarbeitszeit von 18,5 Stunden). Die Teilrente wird gekürzt, wenn Personen über eine private Alterssicherung verfügen oder Leistungen aus einem Altersrentensystem beziehen.
Finanzierung: Die Teilrente wird aus Steuermitteln finanziert. Die Gemeinden erhalten vom Staat eine Kostenerstattung in Höhe von 100%.
Kündigung: Durch konsolidiertes Gesetz Nr. 1120 (vom 17.9.2015) ist dieses System für ab dem 1. Januar 1959 geborene Personen nicht mehr anwendbar. Das bedeutet, das es zum Ende des Jahres 2025 auslaufen wird.</t>
  </si>
  <si>
    <t>Teilrenten können von allen Altersrentenbezieherinnen und Altersrentenbeziehern in Anspruch genommen werden.</t>
  </si>
  <si>
    <t>Keine Teil (ruhestands) rente.
1. Säule
Seit 1. Januar 2021 ist es möglich, jeden Monat zwischen 100% oder 50% Rentenzahlung zu entscheiden oder die Zahlung auszusetzen. Der nicht beanspruchte Teil der Rente erhöht sich fortlaufend, aktualisiert durch Koeffizienten, die die Lebenserwartung und Zinssätze widerspiegeln.
Keine besonderen Anforderungen.</t>
  </si>
  <si>
    <t>Gesetzliche einkommensbezogene Rente (Työeläke):
Bezug einer Teil(ruhestands)rente (25% oder 50%) ab dem 62. Lebensalter möglich. Der entnommene Teil der Rente wird für jeden Monat dauerhaft um 0,4% gekürzt, den die Rente vorzeitig genommen wird. Die Anzahl von Arbeitsstunden oder die Höhe des Arbeitslohns sind nicht begrenzt.
Volksrente (Kansaneläke) und garantierte Rente (Takuueläke):
Keine Teil(ruhestands)rente.</t>
  </si>
  <si>
    <t>1. Säule (Basissystem) und 2. Säule (Zusatzrentensysteme (Agirc-Arrco)):
Stufenweiser Eintritt in den Ruhestand: 2 Jahre vor dem gesetzlichen Rentenalter. Der Versicherte, der 150 Versicherungsquartale vollendet hat und seine Tätigkeit in Teilzeit fortsetzt, kann eine Teilrente beanspruchen, die der Differenz zwischen 100% und dem Anteil der Teilzeitbeschäftigung in Gegenüberstellung mit der Dauer der Vollzeitbeschäftigung im Unternehmen entspricht. Die Arbeitszeit muss zwischen 40% und 80% einer Vollzeitbeschäftigung liegen.
Ab dem 1. September 2025 ist eine schrittweise Verrentung ab dem 60. Lebensjahr möglich.</t>
  </si>
  <si>
    <t>1. Säule (Hauptrente der e-EFKA):
Keine Teilpensionierung.</t>
  </si>
  <si>
    <t>Keine Teil(ruhestands)rente.</t>
  </si>
  <si>
    <t>Volksrente (lífeyrir almannatryg-ginga):
Bezug einer Teilrente (50%) ab dem 65. Lebensalter möglich, wenn der Antragsteller aktuell und weiterhin in einem Teilzeitjob aktiv auf dem Arbeitsmarkt ist, der 50% nicht übersteigt. Einem Antrag auf Teilrente muss von allen betreffenden Rentenkassen in dem Arbeitsrentensystem zugestimmt und ein Beginn der Zahlungen bestätigt worden sein. Diese Bedingung gilt nur für Rentenkassen, die Teilrenten genehmigen. Der Teil der Altersrente, der vor der Regelaltersgrenze in Anspruch genommen wird (Teilrente), wird dauerhaft reduziert, siehe Vorzeitige Altersrente.
Jährliches Einkommen aus anderen Quellen von bis zu ISK 3.900.000 (€27.102) und aus Erwerbstätigkeit von bis zu ISK 2.400.000 (€16.678)  wirkt sich nicht auf die Berechnung dieser Teilrente aus.</t>
  </si>
  <si>
    <t>Teil(ruhestands)rente (sogenannte part-time agevolato) für Arbeitnehmer im Privatsektor ab einem Alter von 63 Jahren und 7 Monaten (Männer) und ab einem Alter von 62 Jahren und 7 Monaten (Frauen), die sich für eine Verringerung der Vollarbeitszeit um 40% entscheiden, vorausgesetzt, der Arbeitgeber stimmt diesem zu. Der Arbeitgeber vergütet Teilzeitkräfte in Höhe des Betrags, der zur Begleichung der Nettobeiträge erforderlich ist. Fiktive Beiträge werden den Arbeitnehmern gutgeschrieben, bis sie die gesetzlich festgelegten Bedingungen in Bezug auf Alter erfüllen.</t>
  </si>
  <si>
    <t>Keine Teilrente möglich.</t>
  </si>
  <si>
    <t>1. Säule/2.Säule:
Kein Teilruhestand.</t>
  </si>
  <si>
    <t>1. Säule: Es ist möglich, anstelle einer ganzen Altersrente einen Teil der Altersrente vorzubeziehen. Der zweite Teil kann später abgerufen werden (als Vorbezugsrente, als Rente mit ordentlichem Rentenalter 65 oder als aufgeschobene Rente). Der Bezug einer Teilrente ist ab dem vollendeten 60. Altersjahr (Vorbe-zug) möglich, unabhängig vom Ausmaß der Beschäftigung. Eine Zustimmung des Arbeitgebers ist nicht notwendig.
2. Säule: Personen die eine Altersrente nach dem AHVG vorbeziehen, können die ganze oder die halbe Rente nach diesem Gesetz (BPVG) auf jeden Monat hin ebenfalls vorbeziehen.</t>
  </si>
  <si>
    <t>1. Säule:
Keine Teil(ruhestands)rente.</t>
  </si>
  <si>
    <t>Keine Teilruhestand.</t>
  </si>
  <si>
    <t>Der Bezug einer Teilaltersrente aus der Volksversicherung ist ab dem 62. Lebensjahr möglich, vorausgesetzt, der Rentner verfügt mit Erreichen des 67. Lebensjahres mindestens über einen Anspruch auf die Mindestrente für Personen mit Versicherungszeiten von 40 Jahren.
Teilaltersrente aus der Volksversicherung kann in Höhe von 20%, 40%, 50%, 60% oder 80% der vollen (100%) Altersrente bezogen werden. Die Höhe des Bezugssatzes kann erstmalig ein Jahr nach dem Erstbezug verändert werden.
Arbeit und Rente können kombiniert werden und eine Reduzierung der Arbeitszeit hat keine Auswirkungen auf den Bezug einer möglichen Teilrente. Letztendlich erwirbt ein Rentenempfänger, der nach Beginn des Rentenbezugs weiterhin berufstätig ist, zukünftige Ansprüche.</t>
  </si>
  <si>
    <t>Keine Teil(ruhestands)rente.
Ab 1.1.2026 kann eine Alterspension als Teilpension beansprucht werden, wenn die versicherte Person
   * die Voraussetzungen für eine (vorzeitige) Alterspension mit Ausnahme der Voraussetzung des Fehlens einer die Pflichtversicherung in der Pensionsversicherung begründenden Erwerbstätigkeit am Stichtag erfüllt und
   * das Ausmaß der vereinbarten Normalarbeitszeit in der die Pflichtversicherung in der Pensionsversicherung begründenden Beschäftigung nachweislich um zumindest 25%, jedoch höchstens 75% reduziert. Das Ausmaß der monatlichen Bruttoleistung beträgt bei einer Arbeitszeitreduktion 
   * um mindestens 25% bis höchstens 40% 25%,
   * um mindestens 41% bis höchstens 60% 50%,
   * 3. um mindestens 61 % bis höchstens 75% 75% der Gesamtgutschrift.</t>
  </si>
  <si>
    <t>Pas de retraite partielle.</t>
  </si>
  <si>
    <t>Keine Teilruhestandsrente.</t>
  </si>
  <si>
    <t>Erste Säule/Zweite Säule:
Kein Teilruhestand.</t>
  </si>
  <si>
    <t>Keine Altersteilzeit.</t>
  </si>
  <si>
    <t>1. Säule (Grundsystem)
Bei einem gestaffelten Rückzug aus dem Erwerbsleben kann frühestens ab 63 Jahren ein Prozentsatz der Altersrente zwischen 20% und 80% bezogen werden. Keine besonderen Bedingungen.
2. Säule (obligatorische Mindestvorsorge):
Der Rückzug aus dem Erwerbsleben kann ab 63 Jahren mit Zustimmung des Arbeitgebers gestaffelt erfolgen. Versicherte können die Altersleistung als Rente abgestuft in bis zu drei Schritten beziehen. Der erste Teilbezug muss mindestens 20 Prozent der Altersleistung betragen.</t>
  </si>
  <si>
    <t>Versicherte Personen, die die Anspruchsvoraussetzungen für eine vorgezogene Rente (predčasna pokojnina) oder Altersrente (starostna pokojnina) erfüllen, können ein Anrecht auf eine Teilrente (delna pokojnina) erhalten, wenn sie in der Pflichtversicherung bleiben, entsprechend der Versicherungsabdeckung oder Arbeitsstunden von nicht weniger als 2 Stunden pro Tag oder 10 Stunden pro Woche.
Die Teilrente wird auf der Basis der vorgezogenen Rente oder Altersrente wie am Gewährungstag festgelegt und proportional zur Kürzung der Arbeitszeit berechnet.</t>
  </si>
  <si>
    <t>Eine Teilruhestandsrente (pensión de jubilación parcial) kann ab 63 Jahren und 8 Monaten gewährt werden, wenn mindestens 33 Jahre lang Beiträge gezahlt wurden. Die Arbeitszeit wird um 25% und 75% reduziert unter bestimmten Bedingungen wie z.B. einem Nachfolgevertrag eines arbeitslosen Arbeitnehmers oder eines Arbeitnehmers, der einem befristeten Vertrag in der Firma angenommen hat. Der Nachfolgevertrag ist verpflichtend, wenn der in Rente gegangene Arbeiter die Regelaltersgrenze noch nicht erreicht hat.
Der Rentenbetrag verringert sich proportional zur Verringerung der Arbeitszeit.</t>
  </si>
  <si>
    <t>Erste Säule:
Keine Teil(ruhestands)rente.</t>
  </si>
  <si>
    <t>Keine Teilrente.</t>
  </si>
  <si>
    <t>Es gelten die gewöhnlichen Berechnungsregeln, siehe Berechnungsmethode bzw. Rentenformel und Bezugslohn bzw. Berechnungsgrundlage.</t>
  </si>
  <si>
    <t>In Fällen, wo die Personen die benötigten Bedingungen für den Anspruch auf eine Altersrente aus Versicherung erfüllt haben und weiterarbeiten ohne eine Rente zu bekommen, wird die Berechnungsgrundlage mit 4 % für jedes Versicherungsjahr und dem entsprechenden Anteil dieses Prozentsatzes für die weiteren Versicherungsmonate multipliziert.</t>
  </si>
  <si>
    <t>1. Säule:
Altersrente (Folkepension):
Aufschub möglich. Der Betrag der Rente erhöht sich um einen Prozentsatz, der ausgehend von der Dauer des Aufschubs und von der durchschnittlichen Lebenserwartung in dem Alter, wenn der Aufschub endet, berechnet wird.
Zusatzrente (arbejdsmarkedets tillægspension, ATP) und obligatorisches Rentensystem (Obligatorisk Pensionsordning):
Aufschub möglich. Der Betrag der Rente erhöht sich nach versicherungsmathematischen Prinzipien um einen von der Dauer des Aufschubs abhängenden Prozentsatz ab dem Rentenalter bis zu 10 Jahren ab diesem Datum. Aufschub ist nicht möglich, wenn die Rente als Pauschalbetrag ausgezahlt wird.</t>
  </si>
  <si>
    <t>Bei aufgeschobenem Rentenbeginn Berechnung nach der allgemeinen Rentenformel (siehe Zugangsfaktor). Für jeden Monat nach Erreichen der Regelaltersgrenze, den die Rente aufgeschoben wird, erhöht sich die spätere Rente um 0,5% (jährlich 6%).
Nach Erreichen der Regelaltersgrenze kann zudem auf die dann bestehende Versicherungsfreiheit verzichtet werden. So können Beschäftigte weitere Entgeltpunkte erwerben und ihren Rentenanspruch erhöhen.</t>
  </si>
  <si>
    <t>1. Säule:
Die Höhe der aufgeschobenen Altersrente (vanaduspension) wird um 0,9% für jeden Monat des Rentenaufschubs erhöht.
Personen, die das Rentenalter vor 1. Januar 2021 erreicht haben, haben das Recht, zwischen der flexiblen Altersrente auf der Basis des Gesetzes über die staatliche Rentenversicherung (in Kraft seit 1. Januar 2021) oder der aufgeschobenen Altersrente auf der Basis des gleichen Gesetzes (in Kraft vor Januar 2021) zu wählen.
Flexible Altersrente (paindlik vanaduspension):
Flexible Altersrente wird abhängig von dem Zeitpunkt der Pensionierung, der Lebenserwartung und dem Zinssatz nach Berechnung des Statistischen Amt Estlands erhöht.
2. Säule:
Keine besonderen Bestimmungen.</t>
  </si>
  <si>
    <t>Gesetzliche einkommensbezogene Rente (Työeläke):
Die Rente erhöht sich um 0,4% je Monat ab Vollendung des niedrigsten Ruhestandsalters.
Volksrente (Kansaneläke): Der Betrag erhöht sich pro Monat um 0,6% ab Vollendung des 65. Lebensjahres, wenn die Person vor 1962 geboren ist, und um 0,4%, ab dem niedrigsten Rentenalter, wenn die Person 1962 oder später geboren ist.</t>
  </si>
  <si>
    <t>1. Säule (Basissystem):
Bei Erreichen des gesetzlichen Rentenalters führt der Beschäftigungszeitraum über die Erfüllung der Bedingungen einer vollen Rente hinaus zu einer Erhöhung der Rente (Bonus) entsprechend der Anzahl der zusätzlichen Beschäftigungsquartale (1,25% pro Quartal).
Der Versicherte, der bei Erreichen des Alters, ab dem eine volle Rente bezogen werden kann (67 Jahre), nicht die von seinem Geburtsjahr abhängende erforderliche Versicherungsdauer erreicht hat, wird für jedes weitere Quartal, für das ab diesem Alter Beiträge entrichtet wurden, eine Erhöhung der zu berücksichtigenden Versicherungszeit um 2,5% gewährt.
2. Säule (Zusatzrentensysteme (Agirc-Arrco)):
Keine besonderen Bestimmungen bezüglich der Berechnung. Der Versicherte erwirbt gemäß den gleichen Modalitäten wie zuvor weiter Rentenpunkte.</t>
  </si>
  <si>
    <t>1. Säule (Hauptrente der e-EFKA):
Der Betrag der Beitragspflichtigen Rente (ΑΝΤΑΠΟΔΟΤΙΚΗ ΣΥΝΤΑΞΗ) wird erhöht: Die Ersatzrate, die für jedes Jahr über 40 Versicherungsjahre angewendet wird, ist 0,5%.
Kein Aufschub möglich für Beamte über 67 Jahren.</t>
  </si>
  <si>
    <t>Es ist möglich, die (beitragsabhängige) staatliche Rente (State Pension (Contributory)) jederzeit zwischen dem 66. und 70. Lebensjahr in Anspruch zu nehmen.
Während des Aufschubs ist es möglich, weiter zu arbeiten und Sozialversicherungsbeiträge zu zahlen, um den persönlichen   Zahlungssatz zu erhöhen oder die Anspruchsbedingung von 520 Beitragswochen (10 Jahren) für die (beitragsabhängige) staatliche Rente (State Pension (Contributory)) zu erfüllen.</t>
  </si>
  <si>
    <t>Volksrente (lífeyrir almannatrygginga):
Aufschub bis zum Alter von 80 Jahren mit erhöhten Leistungen nach versicherungsmathematischer Berechnung.
Arbeitsrente (lögbundnir lífeyrissjóðir):
Die Höhe der Rente wird durch die erworbenen Rentenpunkte bestimmt.</t>
  </si>
  <si>
    <t>Anreize für einen Aufschub werden in Form von Belohnungen für aktives Altern (bessere Transformationskoeffizienten bei der Berechnung des Rentenbetrags) gesetzt, um den Rentenantrag zu verzögern.
Arbeitnehmer, die sich für eine Fortsetzung ihrer Erwerbstätigkeit entscheiden, obwohl sie die maßgeblichen Anspruchsvoraussetzungen für den Ruhestand erfüllen, erhalte eine 10%ige Verringerung ihrer Beitragszahlungen.</t>
  </si>
  <si>
    <t>1. Säule:
Anhebung um 0,45% für jeden Monat des Rentenaufschubs.</t>
  </si>
  <si>
    <t>1. Säule/2.Säule:
Keine besonderen Bedingungen für die Berechnung der Rente, jedoch wird Erwerbstätigkeit nach Erreichen des Rentenalters in der Rentenformel berücksichtigt, siehe Tabelle VI „Leistungen, Berechnungsmethode bzw. Rentenformel oder Beträge".</t>
  </si>
  <si>
    <t>1. Säule: Versicherungsmathematische Zuschlag auf die aufgeschobene der Rente (zwischen 4,50% bei Aufschub um 1 Jahr und 26,10% bei Aufschub um 5 Jahre).
2. Säule: Allfällige Regelungen im Reglement der jeweiligen Vorsorgeeinrichtung.</t>
  </si>
  <si>
    <t>Die Rente wird für jedes volle Jahr des Aufschubs (höchstens für 5 Jahre) nach Erreichen des Rentenalters um 8% des zum Zeitpunkt des Antrags berechneten Rentenbetrags erhöht.</t>
  </si>
  <si>
    <t>1. Säule:
Kein Aufschub der Rente.
Aber durch die Formel für die Rentenberechnung (anteiligmäßig gestaffelte Erhöhung) werden Anreize geschaffen, länger zu arbeiten.</t>
  </si>
  <si>
    <t>Es gibt eine Erhöhung von 6,5% des Rentenbetrags, wenn die Rentenzahlung um 1 Jahr aufgeschoben wird, 13,5% für 2 Jahre, 21% für 3 Jahre und 29% für 4 Jahre.</t>
  </si>
  <si>
    <t>Rentenaufschub nicht möglich.</t>
  </si>
  <si>
    <t>Flexibles System und keine Festlegung einer Altersobergrenze; der Betrag der Rente steigt über das Alter von 75 Jahren nicht weiter an.</t>
  </si>
  <si>
    <t>Erhöhung der Rente um 5,1% pro Jahr des Aufschubs, maximal 15,3%.
Besondere Bestimmungen für die knappschaftliche Rentenversicherung.</t>
  </si>
  <si>
    <t>Personen, die vor dem 1. Januar 1949 geboren wurden:
Ein längerer Beschäftigungszeitraum wird in der Rentenformel berücksichtigt:
   * 1,3% der Bemessungsgrundlage für jedes zusätzliche Beitragsjahr
   * 0,7% der Bemessungsgrundlage für jedes beitragsfreie Jahr
Personen, die nach dem 31. Dezember 1948 geboren wurden:
Erhöhung des aus den Beiträgen angesammelten Kapitals.</t>
  </si>
  <si>
    <t>Rentenerhöhung durch die Anwendung eines Bonus auf den Betrag nach der allgemeinen Formel: 1 + y.
Y ist der globale Bonussatz, der durch die Multiplikation der Monatsrate mit der Anzahl der Beitragsjahre in den Jahren zwischen 66 Jahren und dem Monat des Rentenbeginns errechnet wird. Hierbei liegt die Altersobergrenze bei 70 Jahren.
Der anzuwendende Monatssatz variiert je nach Anzahl der Beitragsjahre bis zum Renteneintritt zwischen 0,33% und 1%.</t>
  </si>
  <si>
    <t>Erste Säule:
Für lange Beitragszeiten gibt es Bonuspunkte: 0,50 Punkte für jedes Beitragsjahr über 25, 0,75 Punkte für jedes Beitragsjahr über 30 und 1 Punkt für jedes Beitragsjahr über 35. Diese Punkte werden bei der Ermittlung der Gesamtpunktzahl berücksichtigt (siehe Tabelle VI, „Leistungen, Berechnungsmethode, Rentenformel oder -beträge"), sofern die Personen ihre Rente nicht mit Einkünften aus Arbeit oder selbständiger Erwerbstätigkeit kombiniert haben. Die Höhe der Altersrente wird dann erhöht.
Zweite Säule:
Kein Aufschub möglich.</t>
  </si>
  <si>
    <t>Für die entgeltbezogene Altersrente, Einkommensrente (inkomstpension) ist unbegrenzter Aufschub möglich. Der Betrag wird mit einem Annuitätsfaktor berechnet, der abhängig ist von der Lebenserwartung einer Kohorte sowie vom Renteneintrittsalter einer Person, wobei die Rente umso höher ist, je älter die Person ist.
Die jährliche Zusatzrente (tilläggspension) erhöht sich nach Vollendung des 65. Lebensjahres und bis zur Vollendung des 70. Lebensjahres um 0,7% je Kalendermonat.</t>
  </si>
  <si>
    <t>1. Säule (Grundsystem):
Erhöhung der Rente um 5,2 bis 31,5% je nach Anzahl der Monate des Rentenaufschubs.
2. Säule (obligatorische Mindestvorsorge):
Der Umwandlungssatz der aufgeschobenen (Teil-)Rente wird entsprechend angepasst, wodurch sich der Rentenbetrag dauerhaft erhöht.</t>
  </si>
  <si>
    <t>Aufgeschobene Altersrente (Odložený starobný dôchodok):
Erhöhung der Rente um 0,5% für jeweils 30 Tage des Aufschubs nach Erreichen des Rentenalters.</t>
  </si>
  <si>
    <t>Jedes zusätzliche Jahr (aber meistens für drei Jahre) an Mindestversicherungszeit ohne erworbene Beitragszeiten (pokojninska doba brez dokupa) der Pflichtversicherung einer versicherten Person, die in der Pflichtversicherung bleibt nachdem die Anspruchsbedingungen von einem Alter von 60 Jahren und einer Mindestversicherungszeit von 40 Jahren erfüllt wurden, wird so evaluiert, dass sechs Monate Mindestversicherungszeit ohne erworbene Beitragszeiten 1,5% betragen.</t>
  </si>
  <si>
    <t xml:space="preserve">Aufschub möglich. Für Arbeitnehmer über dem gesetzlichen Ruhestandsalter mit mehr als 15 Beitragsjahren, die weiterhin arbeiten, haben einen Anspruch auf:
   * eine Erhöhung des Rentenbetrags für jedes zusätzliche Beitragsjahr zwischen der Regelaltersgrenze und dem tatsächlichen Renteneintritt um 4 Prozentpunkte;
   * oder eine Pauschalleistung, bestimmt durch die Anzahl der vollständig angerechneten Beitragsjahre zwischen der Regelaltersgrenze und dem tatsächlichen Renteneintritt;
   * oder eine gemischte Option abhängig von der Anzahl der Beitragsjahre.
</t>
  </si>
  <si>
    <t>Der einkommensbezogene Betrag (prozentualer Anteil) wird um 1,5% erhöht für jeden Zeitraum des Aufschubs von 90 Kalendertagen.
Der einkommensbezogene Betrag (prozentualer Anteil) wird für jeden 180-tägigen Zeitraum des Aufschubs um 1,5% erhöht, wenn nur die halbe Rente beansprucht wird.</t>
  </si>
  <si>
    <t>Erste Säule:
Die Altersrente (Öregségi nyugdíj) erhöht sich um 0,5% für jeweils 30 Kalendertage zusätzlicher Versicherungsdauer. Die Rente kann somit letztlich das monatliche Durchschnittsnettoeinkommen, auf dessen Grundlage die Altersrente (Öregségi nyugdíj) berechnet wird, übersteigen, wenn eine ausreichende Versicherungszeit vorliegt und das gesetzliche Renteneintrittsalter erreicht ist.</t>
  </si>
  <si>
    <t>Bei einem Aufschub erhöht sich die Gesetzliche Rente (Θεσμοθετημένη Σύνταξη) um 0,5 % pro Monat des Aufschubs. Siehe auch „Bedingungen, 3. Rentenaufschub“.</t>
  </si>
  <si>
    <t>Die Sozialleistungen (einschließlich Renten) werden automatisch um 2% erhöht, sobald der Gesundheitsindex ein bestimmtes Niveau („Verbraucherpreisindex“) übersteigt.
Der geglättete Gesundheitsindex ist der arithmetische Mittelwert der Gesundheitsindizes des betreffenden Monats und der drei vorhergehende Monate. Die Sozialleistungen werden ab dem Monat angepasst, der auf den Monat folgt, in dem der Stand des Verbraucherpreisindex erreicht wurde.
Hinweis: Zusätzlich zur automatischen Indexanpassung existiert zudem ein Mechanismus zur Verbindung des Wohlbefindens mit den Renten von Arbeitnehmern und Selbstständigen, dementsprechend die Renten wie die Arbeitsentgelte ansteigen, um zu verhindern, dass die Ersatzleistungsquote der Altersrenten abgesenkt wird.</t>
  </si>
  <si>
    <t>Siehe Tabelle V „Invalidität”.</t>
  </si>
  <si>
    <t>1. Säule:
Altersrente (Folkepension)/Frührente (Tidlig Pension):
Der Anpassungssatz (satsreguleringsprocenten) für Volksrenten und andere Transfereinkommen (overførselsindkomster) wird einmal jährlich festgelegt. Er wird nur auf Basis der Lohnentwicklung bestimmt.
Zusatzrente (arbejdsmarkedets tillægspension, ATP) und obligatorisches Rentensystem (Obligatorisk Pensionsordning):
Anpassung nur bei ausreichenden Rücklagen.</t>
  </si>
  <si>
    <t>Die Renten werden jährlich zum 1. Juli angepasst. Dies geschieht, indem die Rente mit dem dann gültigen neuen aktuellen Rentenwert berechnet wird.
Da der aktuelle Rentenwert zum 1. Juli 2024 aufgrund der Niveauschutzklausel nach Mindestsi-cherungsniveau festgesetzt wurde, erfolgt die Rentenanpassung in den Jahren ab 2025 bis zum Ende des Geltens der Haltelinie für das Rentenniveau nach dem Mindestsicherungsniveau.
Das bedeutet, dass die Rentenanpassung in die-ser Zeit so erfolgt, dass mit dem aktuellen Renten-wert das Mindestsicherungsniveau – also das Ver-hältnis von verfügbarer Standardrente (d.h. durch-schnittlicher Verdienst und 45 Beitragsjahre) zum verfügbaren Durchschnittsentgelt von 48 Prozent – erreicht wird. Damit folgt die Rentenanpassung nur noch der anpassungsrelevanten Lohnentwicklung unter Berücksichtigung der Entwicklung der Sozial-abgaben auf Löhne und Renten.
Der aktuelle Rentenwert wird dabei durch die so-genannte anpassungsrelevante Lohnentwicklung grundsätzlich entsprechend der Entwicklung der Bruttolöhne und -gehälter je Arbeitnehmer im vergangenen Kalenderjahr fortgeschrieben, Maßstab ist die Bruttolohnentwicklung gemäß Volkswirt-schaftlichen Gesamtrechnungen (ohne Mehrauf-wandsentschädigungen für Bezieher von Bürger-geld in Arbeitsgelegenheiten). Zusätzlich wird die Entwicklung der beitragspflichtigen Entgelte bei der Ermittlung der für die Rentenanpassung relevanten Lohnentwicklung berücksichtigt.
Auch bei der Rentenanpassung nach Mindestsi-cherungsniveau gilt - wie bisher auch - die soge-nannte Rentengarantie. Das heißt, eine Minderung des aktuellen Rentenwerts ist ausgeschlossen.
Der aktuelle Rentenwert wurde zum 1. Juli 2025 auf €40,79 angehoben.</t>
  </si>
  <si>
    <t>1. Säule:
Renten werden jährlich zum 1. April angepasst. Der Anpassungsindex ist abhängig vom Anstieg der Verbraucherpreise und der Einnahmen aus der Sozialsteuer (sotsiaalmaks) (im Verhältnis von 20:80).
2. Säule:
Renten werden als lebenslange Annuitäten kalkuliert. Keine Anpassung.</t>
  </si>
  <si>
    <t>Volksrente (Kansaneläke) und garantierte Rente (Takuueläke):
Jährlich nach der Entwicklung des Preisindex für die Lebenshaltung.
Gesetzliche einkommensbezogene Rente (Työeläke):
Renten werden Anfang Januar jeden Jahres durch eine Gewichtung von 80% für Änderungen beim Index der Lebenshaltungskosten und von 20% für die Einkommensentwicklung angepasst.</t>
  </si>
  <si>
    <t>1. Säule (Basissystem):
Jährliche Anpassung zum 1. Januar (Preisentwicklung für den privaten Verbrauch mit Ausnahme von Tabakerzeugnissen).
Der Mindestbeitrag wird ebenfalls jedes Jahr zum 1. Januar neu festgesetzt, jedoch entsprechend der Entwicklung des Mindestlohns (salaire minimum interprofessionnel de croissance, SMIC).
2. Säule (Zusatzrentensysteme (Agirc-Arrco)):
Jährliche Anpassung der Zusatzrenten zum 1. November (gemäß der Entwicklung des mittleren Gehalts der Versicherten, gegebenenfalls angepasst an die wirtschaftliche und demografische Lage).</t>
  </si>
  <si>
    <t>1. Säule (Hauptrente der e-EFKA):
Jährliche Anpassung durch gemeinsame Entscheidung des Ministers für Wirtschaft und Finanzen, Arbeit und soziale Sicherheit, basierend auf einem Koeffizienten, der festgelegt wird durch die Summe der Änderungen des BIP und die Änderungen des Verbraucherpreisindex des vorangegangenen Jahres geteilt durch 2. Die jährliche durchschnittliche Veränderung des Verbraucherpreisindexes darf dabei nicht überschritten werden. (Art. 25 Par. 4a von Gesetz Nr. 4670/2020).
Für das Jahr 2025 ist der Anpassungskoeffizient von Renten 2,4% (Ministerialentscheidung Nr. 53457/12. Dezember 2024/ (Β’ 6865/16. Dezember 2024)).
Zusätzlich werden Renten alle drei Jahre gemäß einem besonderen Gesetz angepasst, um die langfristige Tragfähigkeit des Sozialversicherungssystems sicherzustellen (Art. 25 Par. 5 von Gesetz Nr. 4670/2020).</t>
  </si>
  <si>
    <t>Im Rahmen der staatlichen Rentenreformen wird das Ministerium für Sozialschutz jedes Jahr im September einen Bench-mark-/indexierten Auszahlungssatz für die staatliche Rente für das folgende Jahr berechnen, der auf einem geglätteten Einkommensansatz basiert.
Die Berechnung führt nicht zu einer automatischen Satzanpassung, sondern muss im Rahmen von Haushaltsentscheidungen berücksichtigt werden.</t>
  </si>
  <si>
    <t>Volksrente (lífeyrir almannatrygginga):
Die Leistungen werden jährlich nach der Haushaltslage angepasst. Die Anpassung soll die Lohnentwicklung berücksichtigen, die Leistung soll aber auf keinen Fall niedriger als der Anstieg des Lebenshaltungskostenindex sein.
Arbeitsrente (lögbundnir lífeyrissjóðir):
Die Leistungen werden aufgrund von Entscheidungen der Rentenfonds unter Berücksichtigung versicherungsmathematischer Aspekte angepasst.</t>
  </si>
  <si>
    <t xml:space="preserve">
   * Altersleistungen werden normalerweise entsprechend der Inflation automatisch angepasst, gemäß Rechtsvorschriften zur Indexierung:
   * für monatliche Renten bis zu €2.394,44 (4 x €603,40, entsprechend der Mindestrente, die im Jahr 2025 gezahlt wurde): vollständig angepasst um 0,80% (offizielle Indexierungsrate, veröffentlicht vom Ministerium für Wirtschaft und Finanzen für das Jahr 2025);
   * monatliche Renten von €2.394,45 bis €2.993,05 (dem 5-fachen der Mindestrente) werden um 0,720% angepasst;
   * monatliche Renten von €2.993,06 und darüber werden um 0,600% angepasst.</t>
  </si>
  <si>
    <t>1. Säule:
Halbjährliche Anpassung gemäß einer variablen Formel, die von Preis- und Lohnentwicklungen abhängig ist.
2. Säule:
Halbjährliche Anpassung. Dieselbe Anpassung wie für die 1. Säule.</t>
  </si>
  <si>
    <t>1. Säule:
Rente oder Teil der Rente – die nicht das nationale Durchschnittsbruttoentgelt des Vorjahres überschreitet, auf das Beiträge gezahlt wurden - wird am 1. Oktober angepasst,
   * gemäß dem Preisindex und 50% des Lohnindexes für einen Versicherungszeitraum von weniger als 30 Jahren;
   * oder der Preisindex und 60% des Lohnindexes für einen Versicherungszeitraum von 30-39 Jahren, sowie für Altersrenten, die für Arbeiten unter gefährlichen und schwierigen Bedingungen/besonders gefährlichen und schwierigen Bedingungen gewährt werden;
   * oder der Preisindex und 70% des Lohnindexes für einen Versicherungszeitraum von 40-44 Jahren;
   * oder der Preisindex und 80% des Lohnindexes für einen Versicherungszeitraum von 45 Jahren oder länger.
Bei politisch unterdrückten Personen, Personen mit Behinderungen der Gruppe I, Beteiligten bei der Beseitigung der Folgen des Unfalls im Kernkraftwerk Tschernobyl, Personen, denen eine Altersrente zu gekürzten Konditionen gewährt wurde wegen Pflege und Erziehung von einem Kind mit Behinderungen oder fünf oder mehr Kindern, wurde die Anpassung auf alle Renten angewandt, unabhängig von deren Betrag.
Der Rentenzuschlag, der für den Versicherungszeitraum bis 1996 zuerkannt wird, wird indexiert mit dem Preisindex und 50% der prozentualen Erhöhung der sozialversicherungspflichtigen Lohnsumme.
2.Säule:
Entscheidet sich der Teilnehmer des kapitalgedeckten Rentensystems, das angesparte Rentenkapital zum Rentenkapital der 1. Säule hinzuzufügen, ist das Verfahren der Rentenindexierung das gleiche wie für die 1. Säule.
Entscheidet sich der Teilnehmer des kapitalgedeckten Rentensystems, mit dem angesparten Rentenkapital eine Lebensversicherungspolice zu erwerben (lebenslange Rente), ist das Versicherungsunternehmen berechtigt, einmal jährlich einen Bonus zu gewähren, basierend auf ihrer finanziellen Leistung. Dieser Bonus wird in einer separaten Zahlung innerhalb von sechs Monaten nach seiner Gewährung ausgeschüttet.</t>
  </si>
  <si>
    <t>1. Säule: In der Regel werden die Renten alle zwei Jahre auf Beginn des Kalenderjahres der Lohn- und Preisentwicklung angepasst. Die Regierung kann die Renten früher anpassen, wenn der Landesindex der Konsumentenpreise innerhalb eines Jahres um mehr als 4 % angestiegen ist; sie kann sie später anpassen, wenn dieser Index innerhalb von zwei Jahren um weniger als 5 % angestiegen ist.
2. Säule: Regelung im Reglement der jeweiligen Vorsorgeeinrichtung.</t>
  </si>
  <si>
    <t>Der Wert der Grundrente und der Wert der Rentenpunkte, die zur Gewährung und Festlegung der Renten genutzt werden, werden jährlich indexiert basierend auf einer 7-jährigen durchschnittlichen Lohnfonds-Wachstumsrate.
Der Indexierungskoeffizient (IK) wird auf der Basis der Veränderung im Lohnfonds während der letzten drei Jahre, des Jahres, für das der IK berechnet wird sowie der drei kommenden Jahre berechnet.
Diese Rate wird so lange angewendet, wie die entstehenden Rentenkosten für das aktuelle Jahr die Sozialversicherungseinnahmen nicht übersteigen und die geschätzten Kosten für das kommende Jahr ebenfalls die geschätzten Einnahmen nicht übersteigen.
Wenn die Einnahmen der Sozialversicherungsrenten vor der Indexierung die Rentenkosten übersteigen, wird die Indexierungsrate so berechnet, dass die entstehenden Kosten 75% des Überschusses ohne Indexierung nicht übersteigen.
Renten werden nicht indexiert, wenn die berechnete Steigerungsrate unter 1% oder das BIP bei konstanten Preisen liegen oder der Lohnfonds abgenommen hat oder eine Abnahme für das aktuelle Jahr geschätzt wurde.
Der Wert des Rentenpunktes, der zur Berechnung des persönlichen Anteils an der Sozialversicherungsrente dient, wird zusätzlich angepasst, wenn die Armutsgefährdungsquote der Menschen ab 65 Jahren, die von der staatlichen Datenagentur veröffentlicht wird, über 25% liegt und/oder die hochgerechnete Durchschnittsaltersrente weniger als 50% des Durchschnittsnettolohns beträgt. Der Ergänzungsindex wird derart berechnet, dass die zusätzlichen Mittel, die für die Anpassung des persönlichen Anteils der Sozialversicherungsrente genutzt werden, 75% des geplanten staatlichen Sozialversicherungshaushalts nicht übersteigen.
Es wird keine zusätzliche Anpassung des persönlichen Rentenanteils durchgeführt, wenn ein Defizit des staatlichen Sozialversicherungshaushalts vorhergesagt wird oder wenn die berechnete zusätzliche Anpassung weniger als 1,01 beträgt.
Der Koeffizient der Indexierung für die Grundrente ist 1,1063 und der zusätzliche Koeffizient der Indexierung für den persönlichen Anteil der Sozialversicherungsrente ist 1,014.</t>
  </si>
  <si>
    <t>1. Säule:
Anpassung der Renten an die Preisentwicklung, sobald sich der Index gegenüber dem Stand bei der letzten Anpassung um 2,5% ändert.
Jährliche Anpassung der Rente an die Entwicklung des Lohnniveaus (Neuanpassung), jeweils entsprechend der finanziellen Situation des Rentensystems.</t>
  </si>
  <si>
    <t>Jährliche Anpassung - gewichtet nach dem prozentualen Anstieg des Nationalen Durchschnittslohns (70%) und der Preissteigerungsrate (30%).</t>
  </si>
  <si>
    <t>Automatische Anpassung entsprechend der durchschnittlichen Entwicklung der Tariflöhne jeweils zum 1.1. und 1.7.</t>
  </si>
  <si>
    <t>Einkommensbasierte Rente (inntektspensjon):
   * Jährliche Anpassung an das Lohnwachstum der Rentensparbeträge während der Kumulation;
   * Jährliche Anpassung an die durchschnittliche Lohn- und Preissteigerung während der Auszahlung.
Die Sätze des Grundbetrags (Grunnbeløpet), der Mindestrente (minste pensjonsnivå) und der garantierten Rente (garantipensjon) werden jährlich durch den am 1. Mai in Kraft getretenen königlichen Erlass an die allgemeine Einkommensentwicklung sowie für die beiden letzteren Renten an der Erhöhung des Lebensstandards angepasst. Mindestrente und Garantierte Rente werden an die durchschnittliche Lohn- und Preissteigerung angepasst.</t>
  </si>
  <si>
    <t>Renten werden mit Wirksamkeit ab dem 1. Jänner eines jeden Jahres grundsätzlich mit dem Anpassungsfaktor, der die Inflationsrate berücksichtigt, angepasst: Die jährliche Inflationsrate ist der Preis des gesamten fiktiven Warenkorbs in einem bestimmten Monat im Vergleich zum Preis des Warenkorbs im selben Monat des Vorjahrs. Mittels Beschluss eines "Pensionsanpassungsgesetzes" kann der Gesetzgeber davon jedoch abweichen.
Die Höhe wird für jedes Jahr neu festgesetzt. Für das Jahr 2025 erfolgt, abhängig vom monatlichen Gesamtrenteneinkommen* (brutto), die Rentenerhöhung wie folgt:
   * bis €6.060 mit 4,6% des Gesamtrenteneinkommens (entspricht dem Anpassungsfaktor für das Jahr 2025)
   * ab €6.060,01 mit einem Fixbetrag in Höhe von €278,76.
*Zum Gesamtrenteneinkommen zählen die Renten aus der gesetzlichen Rentenversicherung, alle Sonderrenten nach dem Sonderpensionenbegrenzungsgesetz sowie die Ruhe- und Versorgungsbezüge nach dem Bundestheaterpensionsgesetz und dem Bundesbahn-Pensionsgesetz, auf die am 31. Dezember 2024 Anspruch besteht.
Die Ausgleichszulagenrichtsätze werden im Jahr 2025 um 4,6% erhöht.</t>
  </si>
  <si>
    <t>Jährliche Anpassung am 1. März jedes Jahres entsprechend des festgelegten Indexierungssatzes. Der Indexierungssatz ist der durchschnittliche Verbraucherpreisindex des Vorjahres, erhöht um mindestens 20% des realen Wachstums des durchschnittlichen monatlichen Einkommens des Vorjahres.</t>
  </si>
  <si>
    <t>Eine Anpassung erfolgt einmal im Jahr (außerordentliche Anpassungen möglich) unter Berücksichtigung der Entwicklung des Bruttoinlandsprodukts und des Index der Verbraucherpreise (ohne Wohnung); für die niedrigsten Renten wird die günstigste Berechnung angewendet.
Außerordentliche Aktualisierungen für die niedrigsten Renten seit 2017.</t>
  </si>
  <si>
    <t>Erste Säule:
Der Referenzpunktwert wird jährlich auf der Grundlage der durchschnittlichen jährlichen Inflationsrate angepasst, ergänzt um 50% des realen Wachstums des durchschnittlichen Bruttolohns (anwendbar ab 2026). Die Anpassung darf jedoch weder den prozentualen Anstieg der Einnahmen aus den Sozialbeiträgen noch die durchschnittliche jährliche Inflationsrate der letzten 2 Jahre übersteigen.
Zweite Säule:
Keine Inflationsanpassung.</t>
  </si>
  <si>
    <t>Die entgeltbezogene Altersrente, Einkommensrente (inkomstpension) und die Zusatzrenten (tilläggs-pension) werden an die durchschnittliche Einkommensentwicklung angepasst (Einkommensindex), nach Abzug von 1,6 Prozentpunkten (was dem Satz entspricht, der vorab gewährt wird, wenn die Rente zum ersten Mal berechnet wird).
Für die Garantierente (garantipension) wird die Anpassungsrate jedes Jahr entsprechend der Preisentwicklung festgesetzt (Grundbetrag, prisbasbelopp).
Der Leistungsbetrag der Ergänzung zur Einkommensrente (inkomstpensionstillägg) ist nominal fixiert, die Einkommensabstände, die die Zielgruppenbeträge definieren, folgen der durchschnittlichen Einkommensentwicklung (Einkommensindex).
Die Einkommenshilfe für Ältere (äldreförsörjningsstöd) ist an den Preisindex gekoppelt.</t>
  </si>
  <si>
    <t>1. Säule (Grundsystem):
Grundsätzlich alle zwei Jahre Anpassung der Renten an die Entwicklung der Löhne und Preise (im Grundsatz arithmetisches Mittel des Lohnindexes und des Landesindexes der Konsumentenpreise). Vorgezogene Anpassung, wenn der Konsumentenpreisindex in einem Jahr um mehr als 4% gestiegen ist.
2. Säule (obligatorische Mindestvorsorge):
Anpassungen an die Preisentwicklung gemäß den finanziellen Möglichkeiten der Vorsorgeeinrichtung.</t>
  </si>
  <si>
    <t>Jährliche Anpassung (1. Januar) des aktuellen Rentenwertes gemäß der durchschnittlichen Entwicklung der Bruttolöhne und -gehälter (das 0,95-fache des Anteils des Einkommens im dritten Quartal des Vorjahres im Vergleich zum Einkommen im dritten Quartal des dem Vorjahr vorausgehenden Jahres).
Jährliche Anpassung (zum 1. Januar) von „Rentenleistungen“ entsprechend der Entwicklung der Verbraucherpreise von Rentnerhaushalten in den ersten 9 Monaten des vergangenen Kalenderjahres. Außerordentliche Anpassung der Rentenleistungen: wenn der kumulative Anstieg der Verbraucherpreise für Rentnerhaushalte bis Ende Juni seit der letzten Erhöhung der Rentenleistungen mehr als 5% übersteigt.
Jährliche Anpassung (zum 1. Januar) der Mindestaltersrente entsprechend der Erhöhung des Existenzminimums.</t>
  </si>
  <si>
    <t>Renten werden regelmäßig einmal pro Jahr (im Februar) auf der Grundlage einer staatlichen Entscheidung je nach der Wirtschaftslage (d. h. dies berücksichtigt die Gehaltsentwicklung (60%) und die Inflation (40%)) angepasst. Im Januar 2025 lag der Index bei 4,5%.</t>
  </si>
  <si>
    <t>Anpassung zu Beginn eines jeden Jahres bei Inkrafttreten des jährlichen allgemeinen Staatshaushaltsgesetzes entsprechend der jährlichen Schwankung des Verbraucherpreisindexes.</t>
  </si>
  <si>
    <t>Rentenanpassung erfolgt automatisch jeden Januar entsprechend 100% der Veränderung des Verbraucherpreisindexes für Rentner um ein Drittel der Steigerung des durchschnittlichen Reallohns. Weitere Anpassungen werden vorgenommen, wenn die Änderung des Preisindexes 5% übersteigt.
Der Prozentuale Anteil (Procentní část) von Renten kann weiter erhöht werden, so dass die Erhöhung der Durchschnittsrente 2.7% beträgt, wenn die automatische Inflationsbereinigung für Preise und Löhne niedriger ist.
Renten werden darüber hinaus automatisch angepasst, wenn Rentner ein Alter zwischen 85 und 100 Jahren erreichen.
Die Grenzwerte für die Persönliche Bemessungsgrundlage (Osobní vyměřovací základ) werden ebenfalls jährlich entsprechend des Durchschnittslohns angepasst.</t>
  </si>
  <si>
    <t>Erste Säule:
Jährliche Anpassung von Altersrente (Öregségi nyugdíj), Leistung vor dem Rentenalter (korhatár előtti ellátás) und Altersrente für Frauen mit 40 Jahren Anwartschaftszeit (Öregségi nyugdíj nők számára 40 év jogosultsági idővel) entsprechend des voraussichtlichen Anstiegs der Verbraucherpreise (Inflation) im Januar. 3,2% Anstieg im Januar 2025.
Im November werden Korrekturen gemäß der vorhergesagten jährlichen Erhöhung der Verbraucherpreise vorgenommen (berechnet auf Grundlage der für die ersten acht Monate erhältlichen Daten) und dem Verbraucherpreisindex für Rentner.</t>
  </si>
  <si>
    <t xml:space="preserve">
   *              Versicherungspflichtiges Grundentgelt (Βασικές Ασφαλιστέες Αποδοχές) : jährliche Anpassung entsprechend den Löhnen und Gehältern. 
   *              Grundrenten (Βασική Σύνταξη) werden jeweils zum Jahresanfang entsprechend der Steigerung des versicherungspflichtigen Grundentgelts angepasst. Die Zusatzrente (Συμπληρωματική Σύνταξη) wird am gleichen Tag an die Steigerung des Lebenshaltungsindex angepasst (Vergleich zwischen den zweiten Halbjahren der letzten beiden Jahre). Die Steigerung der Zusatzrente kann die Steigerung der Grundrente nicht überschreiten. 
   *              Die Renten (Grund- und Zusatzrente) werden zusätzlich jeden Juli an die Steigerung des Lebenshaltungsindex (Vergleich des ersten Halbjahrs eines Jahres mit dem zweiten Halbjahr des vorangegangenen Jahres) angepasst, wenn diese mindestens 1 % beträgt. Diese Steigerung wird bei der Rentenanpassung zu Beginn des Folgejahres berücksichtigt. 
Für die Definition von versicherungspflichtigem Entgelt siehe Tabelle I zu Finanzierung – Allgemeine Sozialbeitragssätze.</t>
  </si>
  <si>
    <t>Die Kumulierung ist gestattet, sofern das Erwerbseinkommen 2025 die folgenden Obergrenzen nicht übersteigt:
Empfänger, die nicht das 65. Lebensjahr erreicht haben bzw. die nicht 45 Versicherungsjahre belegen können:
Für den Empfänger einer Rente zum Satz für Alleinstehende, der keine Erwerbstätigkeit von 45 Jahren aufweist, oder den Ehepartner des Empfängers einer Rente zum Haushaltssatz, die das gesetzliche Renteneintrittsalter nicht erreicht haben:
   * für eine Tätigkeit als Arbeitnehmer (berücksichtigt wird das Bruttoeinkommen): € 10.117,00 pro Jahr (ohne unterhaltsberechtigtes Kind) oder € 15.175,00 (mit unterhaltsberechtigtem Kind) 
   * für eine Tätigkeit als Selbstständiger oder eine kombinierte Tätigkeit (Nettoeinkommen als Selbstständiger + 80% des Bruttoentgelts): € 8.093,00 pro Jahr (ohne unterhaltsberechtigtes Kind) oder € 12.140,00 (mit unterhaltsberechtigtem Kind). 
   * Für eine Flexi-Job-Tätigkeit (berücksichtigtes Bruttoeinkommen): zusätzliche Obergrenze von € 7.876,00 zusätzlich zu den allgemeinen Obergrenzen (mit oder ohne unterhaltsberechtigtes Kind) 
Für den Empfänger einer Rente zum Satz für Alleinstehende, der das gesetzliche Renteneintrittsalter erreicht hat, aber weder das 65. Lebensjahr erreicht hat (möglich im Fall von Sonderregelungen, z.B. Seeleute, Bergwergleute oder Flugpersonal der zivilen Luftfahrt) noch eine Erwerbstätigkeit von 45 Jahren belegen kann, oder den Ehepartner des Empfängers einer Rente zum Haushaltssatz, der das gesetzliche Renteneintrittsalter erreicht hat:
   *  für eine Tätigkeit als Arbeitnehmer: € 29.221,00 (ohne unterhaltsberechtigtes Kind) oder € 35.544,00 (mit unterhaltsberechtigtem Kind);
   * für eine Tätigkeit als Selbstständiger oder eine kombinierte Tätigkeit: € 23.377,00 (ohne unterhaltsberechtigtes Kind) oder € 28.435,00 (mit unterhaltsberechtigtem Kind). 
Unbegrenzte Kumulierung mit Erwerbseinkommen ab dem gesetzlichen Rentenalter oder vorausgesetzt, dass die betreffende Person zum Renteneintritt 45 Jahre Erwerbstätigkeit nachweisen kann.
Liegt das Erwerbseinkommen über diesen Grenzen:
   * wird die Rente um den Prozentsatz der Überschreitung gekürzt.
   * Flexi-Job: Die Rente wird um den Prozentsatz gekürzt, der der Hälfte der Überschreitung entspricht. 
   * Möglichkeit der Verhängung einer Sanktion bei Überschreitung der allgemeinen Obergrenzen, kombiniert mit einer Sanktion im Fall der Überschreitung der Obergrenze für einen Flexi-Job 
   * Aussetzung der Rente: Wenn sich die Überschreitung auf 100% beläuft, wird die Rente für das volle Kalenderjahr ausgesetzt und muss zurückgezahlt werden.
   * Kürzung der Rente: Übersteigt das Erwerbseinkommen des Ehegatten eines Empfängers einer Rente zum Haushaltssatz die oben genannten Beträge, wird die Rente zum Haushaltssatz für die betreffenden Monate auf den Satz für Alleinstehende gekürzt. 
 Das – kumulativ mit einer Rente – bezogene Erwerbseinkommen berechtigt nicht zu einer Überprüfung der Rentenberechnung.</t>
  </si>
  <si>
    <t>Kumulierung ohne Einschränkung zulässig. Der Betrag der Altersrente wird nicht gekürzt.</t>
  </si>
  <si>
    <t>1. Säule:
Altersrente (Folkepension):
Kumulierung mit Arbeitseinkommen möglich.
Der zahlbare Grundbetrag (grundbeløb) ist unabhängig vom Arbeitseinkommen.
Die zahlbare Rentenzulage (pensionstillæg) verringert sich nicht durch das Arbeitseinkommen. Der Betrag wird jedoch um einen bestimmten Prozentsatz gekürzt, wenn die anderen Einkünfte (sowohl des Rentners als auch seines Partners) DKK 192.000 (€25.733) pro Jahr bei Paaren bzw. DKK 95.800 (€12.839) pro Jahr bei Alleinstehenden überschreiten.
Frührente (Tidlig Pension):
Kumulierung mit Arbeitseinkommen möglich. Die Rentenhöhe wird um 64% für Arbeitseinkommen über DKK 27.100 (€3.633) pro Jahr gekürzt.
Zusatzrente (arbejdsmarkedets tillægspension, ATP) und obligatorisches Rentensystem (Obligatorisk Pensionsordning):
Kumulierung ohne Einschränkung mit Arbeitseinkommen möglich. Keine Kürzung des Rentenbetrags.</t>
  </si>
  <si>
    <t>Kumulation ist bei Altersrenten unbegrenzt möglich. Dies gilt seit 1.1.2023 auch für vorgezogene Altersrenten Ab Erreichen der Regelaltersgrenze kann ohnehin unbegrenzt hinzuverdient werden.
Die Hinzuverdienstgrenzen für Erwerbsminderungsrenten wurden zum 1.1.2023 angepasst, s. Tabelle V, ‚Kumulation mit Erwerbseinkommen‘.</t>
  </si>
  <si>
    <t>Altersrente (vanaduspension):
Kumulierung mit Erwerbseinkommen ohne Einschränkung möglich.
Flexible Altersrente (paindlik vanaduspension):
Möglichkeit der vollständigen Kumulierung mit Einkommen
Vorgezogene Altersrente (ennetähtaegne vanaduspension):
Bis zum Erreichen des normalen Ruhestandsalters ist keine Kumulierung möglich.
Altersrente unter günstigen Bedingungen (soodustingimustel vanaduspension):
Kumulierung ist nicht möglich, falls der Antragsteller noch in dem Beruf arbeitet, der Anlass für den Anspruch auf eine Altersrente unter günstigen Bedingungen war; andernfalls ist eine Kumulierung möglich.
Altersrente bei Erreichen besonderer Altersgrenzen (väljateenitud aastate pension):
Kumulierung ist nicht möglich, falls der Antragsteller noch in dem Beruf arbeitet, der Anlass für den Anspruch auf Rente bei Erreichen einer besonderen Altersgrenze war; andernfalls ist eine Kumulierung möglich.</t>
  </si>
  <si>
    <t>Volksrente (Kansaneläke) und garantierte Rente (Takuueläke):
Keine Begrenzung von Erwerbseinkommen nach Erreichen des gesetzlichen Renteneintrittsalters. Wird durch die neue Beschäftigung eine neue einkommensbezogene Rente angesammelt, wird diese als Einkommen bei der Auszahlung der Volksrente und der garantierten Rente berücksichtigt.
Gesetzliche einkommensbezogene Rente (Työeläke):
Kumulierung möglich. Nach Erreichen des gesetzlichen Renteneintrittsalters keine Beschränkungen in Bezug auf das Einkommen. Dennoch muss eine Person für einen Anspruch auf Altersrente ihre normale Beschäftigung beenden und kann eine neue Beschäftigung zu erneuerten Bedingungen nur nach Inanspruchnahme der Rente ohne Einkunftsgrenzen beginnen.</t>
  </si>
  <si>
    <t>1. Säule (Basissystem) und 2. Säule (Zusatzrenten (Agirc-Arrco)):
Vollständige Kumulierung ist möglich, wenn der Versicherte alle seine französischen und ausländischen gesetzlichen Rentenansprüche geltend gemacht hat, das gesetzliche Rentenalter erreicht hat und eine Vollrente beziehen kann.
Die integrale Kumulierung von Beschäftigung und Ruhestand begründet neue Rentenansprüche. Am Ende eines Zeitraums, in dem Beschäftigung und Ruhestand kumuliert wurden, ist es unter bestimmten Bedingungen möglich, eine „zweite Rente“ zu beantragen, deren Berechnung auf derselben Grundlage wie die erste Rente beruht (ohne Zuschläge). Der Betrag dieser 2. Pension ist auf einen Höchstbetrag begrenzt.
Eingeschränkte Kumulierung, wenn diese Bedingungen nicht erfüllt sind. In diesem Fall führt die Wiederaufnahme oder Fortsetzung der Erwerbstätigkeit nicht zur Bildung einer zweiten Pension.</t>
  </si>
  <si>
    <t>1. Säule (Hauptrente der e-EFKA):
Bei Rentnern, die eine Beschäftigung ausüben (als Arbeitnehmer oder selbständig), die der Pflichtversicherung der Elektronischen Nationalen Sozialversicherung (e-EFKA) unterliegt, werden die Haupt- oder Zusatzrenten während der Beschäftigungszeit vollständig ausgezahlt, es werden jedoch beitragsunabhängige Mittel für die e-EFKA einbehalten.
Bei Rentnern, die Stellen in allgemeinen Regierungsbehörden zugeteilt wurden, wird die Zahlung der Hauptrente ausgesetzt, wenn sie jünger sind als 62 Jahre. Nach Vollendung des 62. Lebensjahres erhalten diese Rentner den vollen Betrag ihrer Renten (Haupt- oder Zusatzrente), sind jedoch verpflichtet, die beitragsunabhängigen Mittel zu zahlen.</t>
  </si>
  <si>
    <t>Beitragsabhängige) Staatliche Rente (State Pension (Contributory)):
Kumulation mit Arbeitseinkommen ist zulässig. Einkünfte wirken sich nicht auf die ausgezahlte Rentenhöhe aus.</t>
  </si>
  <si>
    <t>Volksrente (lífeyrir almannatrygginga):
Rentenbezüge können mit Erwerbseinkommen kombiniert werden, die Rente wird aber gekürzt, wenn das jährliche Bruttoerwerbseinkommen den Betrag von ISK 2.400.000 (€16.678) überschreitet, der nicht berücksichtigt wird, siehe oben "Leistungen, 1. Berechnungsmethode bzw. Rentenformel, Beträge und Zahlungshäufigkeit".
Arbeitsrente (lögbundnir lífeyrissjóðir):
Kumulierung mit Erwerbseinkommen möglich.</t>
  </si>
  <si>
    <t>Kumulierung mit Einkünften aus abhängiger oder selbstständiger Tätigkeit.
Vorruhestandsbeihilfe (A.PE sociale - Anticipo Pensionistico):
Kumulierung möglich, sofern das Jahreseinkommen, einzig aus gelegentlicher Selbstständigkeit, €5.000 oder weniger beträgt, während gleichzeitigen Bezugs der Beihilfe.
Vorruhestandsrente (Pensione anticipata flessibile, sogenannte “Quota 103”): keine Kumulierung mit einem zusätzlichen Jahreseinkommen über €5.000 möglich.</t>
  </si>
  <si>
    <t>Eine Kumulierung ohne Kürzung der Alterspension, vorgezogene Alterspension und vorzeitige Rente aufgrund Unternehmenskonkurs ist möglich für Leistungsempfänger, die das gesetzliche Rentenalter erreicht haben und weiterhin Teilzeit (bis zur Hälfte der Arbeitsstunden einer Vollzeitstelle) arbeiten.
Sie ist ferner möglich für Personen, die gelegentliche Tätigkeiten ausüben, welche nicht auf einem Arbeitsvertrag, sondern auf einem Dienstleistungsvertrag basieren.</t>
  </si>
  <si>
    <t>1. Säule:
Altersrente (Vecuma pensija): volle Kumulierung mit Erwerbseinkommen möglich ohne Bedingungen.
Empfänger von Altersrente können einmal jährliche eine Neuberechnung der Rente beantragen, wenn Sozialversicherungsbeiträge nach der Gewährung der Rente geleistet wurden. (Neuberechnung nach der Formel für Personen, deren Sozialversicherungszeit nach 1996 liegt).
Vorgezogene Altersrente: Kumulierung nicht möglich.
2.Säule:
Volle Kumulierung ohne Bedingungen mit Erwerbseinkommen.
Beiträge zum System der 2. Säule werden jedoch nicht mehr gleistet.</t>
  </si>
  <si>
    <t>1. Säule: Kumulierung mit jeglichem Einkommen ist unbeschränkt möglich, auch bei Rentenvorbezug.
2. Säule: Kumulierung mit jeglichem Einkommen ist unbeschränkt möglich, auch bei Rentenvorbezug.</t>
  </si>
  <si>
    <t>Kumulierung der Pension mit dem Einkommen aus einer Beschäftigung und sonstige Leistungen ab dem Erreichen des Regelrentenalters möglich.
Renten werden jährlich unter Berücksichtigung zusätzlich erworbener Versicherungszeiträume und Rentenpunkte neu berechnet.</t>
  </si>
  <si>
    <t>1. Säule:
Normale Altersrente (pension de vieillesse):
Kumulierung ohne Einschränkung möglich.
Vorgezogene Altersrente (pension de vieillesse anticipée):
Kumulierung mit einem Erwerbseinkommen oder mit Einkommen aus selbstständiger Tätigkeit möglich, sofern das Monatseinkommen höchstens ein Drittel des sozialen Mindestlohns beträgt.
Bei Kumulierung mit einem Einkommen aus unselbstständiger Tätigkeit: wenn das Monatseinkommen auf ein Jahr verteilt ein Drittel des sozialen Mindestlohns übersteigt, aber unter dem Durchschnitt der 5 höchsten Jahreseinkommen während der gesamten Versicherungszeit bleibt, und wenn die Summe aus Rente und Einkommen den Durchschnitt der 5 höchsten Jahreseinkommen während der gesamten Versicherungszeit übersteigt, wird die vorgezogene Altersrente um die Differenz zwischen diesen beiden Beträgen gekürzt.
Wenn das Monatseinkommen über ein Jahr verteilt den Durchschnitt der 5 höchsten beitragspflichtigen Jahreslöhne oder -einkommen während der gesamten Versicherungszeit übersteigt, wird die vorgezogene Altersrente gestrichen.</t>
  </si>
  <si>
    <t>Personen, die vor dem 1. Januar 1952 geboren sind, können ihre Rente in Anspruch nehmen, wenn sie das gesetzliche Ruhestandsalter erreichen und können unabhängig vom Erwerbseinkommen weiterarbeiten. Es werden keine Rentenabzüge angewendet.
Personen, die am oder nach dem 1. Januar 1952 geboren sind, dürfen bis zum Erreichen des gesetzlichen Ruhestandsalters nicht mehr weiterarbeiten und eine vorgezogene Rente erhalten. Danach können sie ihre Rente erhalten und ohne Einkommensgrenzen oder Rentenabzüge arbeiten.</t>
  </si>
  <si>
    <t>Der Anspruch auf die gesetzliche Altersrente ändert sich nicht, wenn man als Arbeitnehmer oder Selbstständiger nach dem gesetzlichen Rentenalter ein Einkommen bezieht. Der Betrag wird nicht gekürzt.</t>
  </si>
  <si>
    <t>Kumulation mit Erwerbseinkommen ist möglich (siehe Tabelle VI, „Alter – Aufschub“).</t>
  </si>
  <si>
    <t>Vorruhestandsrenten:
Bei Aufnahme einer unselbstständigen oder selbstständigen Erwerbstätigkeit mit Einkommen (vor Abzug von Steuern und Sozialabgaben) über der monatlichen Geringfügigkeitsgrenze von €551,10 (2025) wird die Rente eingestellt. Dies gilt jedoch nicht für Zeiträume, in denen die Summe der die Geringfügigkeitsgrenze übersteigenden Beträge im Kalenderjahr 40% der Geringfügigkeitsgrenze (2025: €220,44) nicht überschreiten.
Die Pensionsleistung fällt erst ab dem Monat weg, ab dem der die Geringfügigkeitsgrenze übersteigende Betrag des Entgelts die Grenze bzw. den jährlichen „Freibetrag“ von €220,44 (Wert 2025) erstmalig überschritten hat.
Altersrente:
Kumulierung unbeschränkt möglich. Seit dem Jahr 2004 werden entrichtete Beiträge als Beiträge zu einer besonderen Höherversicherung gewertet.</t>
  </si>
  <si>
    <t>Kumulierung der Altersrente (Emerytura) mit Einkünften aus Erwerbsarbeit ist möglich, wenn der Rentner das gesetzliche Rentenalter erreicht und sein Arbeitsverhältnis beendet hat, bevor er den Anspruch auf Altersrente erworben hat (ein neuer Arbeitsvertrag kann später mit demselben Arbeitgeber abgeschlossen werden). Kumulierung ist nicht möglich und die Rente wird ausgesetzt, wenn das Arbeitsverhältnis mit demselben Arbeitgeber im Ruhestand ohne Unterbrechung fortgeführt wird.
Vorgezogene Rente (Wcześniejsza emerytura) wird eingestellt oder gekürzt, wenn die monatlichen Einkünfte des Rentners über den folgenden Grenzwerten liegen:
   * zwischen 70% und 130% des nationalen Durchschnittslohns: Kürzung des Grundbetrags der Rente um 24%;
   * mehr als 130% des nationalen Durchschnittslohns: Rente wird eingestellt.</t>
  </si>
  <si>
    <t>Kumulierung ohne Einschränkung möglich. Arbeitsentgelte sind beitragspflichtig.
Die Rente erhöht sich um 1/14 von 2% des Betrags, der dem gemeldeten Jahresarbeitsentgelt entspricht.
Vorzeitige Altersrenten, die im Rahmen des Flexibilitätssystems bei langen Beitragszeiten und Langzeitarbeitslosigkeit gewährt werden, können innerhalb von drei Jahren nach dem Renteneintritt nicht mit einem Erwerbseinkommen kombiniert werden, wenn das Einkommen aus einer Tätigkeit in demselben Unternehmen oder derselben Unternehmensgruppe stammt, in dem bzw. der der Leistungsempfänger gearbeitet hat.</t>
  </si>
  <si>
    <t>Erste Säule:
Kumulation mit Erwerbseinkommen:
   * Rentner mit einer Altersrente (pensie pentru limita de varsta) und Altersrente mit reduziertem Ruhestandsalter (pensie pentru limita de varsta cu reducerea varstelor standard de pensionare): Kumulation möglich. Der Betrag der Altersrenten wird nicht gekürzt.
   * Rentner mit einer vorgezogenen Ruhestandsrente (pensie anticipata): Kumulation nicht möglich.
Kumulation mit Einkommen aus Selbstständigkeit:
   * Rentner mit einer Altersrente, Altersrente mit reduziertem Ruhestandsalter und vorgezogene Ruhestandsrente: Kumulation möglich.
Die Neuberechnung der Rente ist einmal jährlich möglich, basierend auf der Altersrentenformel unter Aktualisierung der Gesamtzahl der Punkte.
Zweite Säule:
Kumulation mit Erwerbseinkommen möglich. Keine Kürzung des Leistungsbetrags.</t>
  </si>
  <si>
    <t>Volle Kumulierung von Einkommen aus Erwerbstätigkeit ist möglich für Einkommensrente (inkomstpension), Zusatzrente (tilläggspension), Prämienrente (premiepension) und Ergänzung zur Einkommensrente (inkomstpensionstillägg). Der Betrag dieser Renten wird nicht gekürzt.
Kumulierung von Einkommen aus Erwerbstätigkeit ist auch möglich für Garantierente (garantipension), in welchem Fall der Betrag der Garantierente nicht gekürzt wird.
Einkommenshilfe für Ältere (äldreförsörjningsstöd): Volle Kumulierung mit Einkommen aus Ewerbstätigkeit ist nur unter SEK 24.000 (€2.182) jährlich möglich.</t>
  </si>
  <si>
    <t>1. Säule (Grundsystem):
Kumulation mit Erwerbseinkommen erlaubt, ohne Kürzung der Rente.
Bei Ausübung einer Erwerbstätigkeit im Referenzalter (Rentenalter) gilt ein Freibetrag von CHF1.400 (€1.496) pro Monat (CHF16.800 (€17.950) pro Jahr). Versicherte können auf diesen Freibetrag verzichten und Beiträge auf dem gesamten Einkommen zahlen. Beiträge, die nach Erreichen des Referenzalters (Rentenalter) bezahlt werden, werden unter bestimmten Voraussetzungen und sofern die Maximalrente von CHF2.520 (CHF3.780 für Ehepaare) nicht bereits erreicht ist, bei der Rentenberechnung berücksichtigt.
2. Säule (obligatorische Mindestvorsorge):
Kumulation mit Erwerbseinkommen erlaubt, ohne Kürzung der Rente.</t>
  </si>
  <si>
    <t>Kumulation der Altersrente (Starobný dôchodok) mit Einkommen ist ohne Rentenkürzung möglich. Die Kumulation einer vorgezogenen Altersrente (Predčasný starobný dôchodok) mit Einkommen ist für ein Jahreshöchsteinkommen von €2.400 außerhalb der regelmäßigen Beschäftigung möglich.</t>
  </si>
  <si>
    <t>Es ist möglich, eine Rente mit Einkünften aus Erwerbstätigkeit zu kombinieren, wenn die Person nach der Erfüllung der Bedingungen für den Renteneintritt (60 Jahre alt und 40 Jahre Mindestversicherungszeit) weiterhin erwerbstätig und versichert bleibt oder nach dem Renteneintritt wieder aktiv wird. In beiden Fällen kann die versicherte Person zusätzlich zum Einkommen aus Erwerbstätigkeit oder anderen Aktivitäten 40% der Rente beziehen (in den ersten 3 Jahren) oder 20% (ab dem 4. Jahr fortlaufend).</t>
  </si>
  <si>
    <t>Vollruhestand:
Die Rente wird ausgesetzt, wenn Einkommen aus einer sozialversicherungspflichtigen beruflichen Tätigkeit bezogen wird.
Kumulierung mit selbstständiger Tätigkeit bei jährlichem Bruttoeinkommen unterhalb des jährlichen Mindesbruttotlohns möglich. Es wurden keine Beiträge gezahlt und keine neuen Ansprüche erworben.
Nach Erreichung des gesetzlichen Rentenalters ist die Kumulierung einer gekürzten Rente mit den Einnahmen aus einer Teilzeitbeschäftigung möglich. In diesem Fall ist der Abschluss eines Nachfolgevertrags (ein Vertrag, der mit einer Person abgeschlossen wird, die arbeitslos ist oder bereits einen befristeten Vertrag mit dem Unternehmen geschlossen hatte, um die im Falle eines Teilruhestands des Arbeitsnehmers offenen Arbeitsstunden zu ersetzen) nicht notwendig. Beiträge werden gezahlt und neue Ansprüche erworben.
Kumulierung mit Teilzeitbeschäftigung oder Vollzeitbeschäftigung oder selbstständiger Tätigkeit möglich. In diesem Fall gibt es eine Karenzfrist von einem Jahr nach Erreichen des Renteneintrittsalters. Die Rente wird anhand einer Staffelung gekürzt, die von 45% (1. Jahr) bis 100% (5. Jahr oder länger) reicht. Beiträge für gewisse Risiken werden gezahlt, jedoch keine neuen Rentenansprüche erworben.</t>
  </si>
  <si>
    <t>Altersrente: Kumulation mit Einkommen aus Arbeit möglich. Es gelten keine zusätzlichen Bedingungen zur Kumulation mit Erwerbseinkommen. Die Rente wird nicht reduziert und es gibt keine Einkommensgrenze.
Seit 2025 zahlen erwerbstätige Rentner niedrigere Sozialversicherungsbeiträge, aber ihre Rente wird nicht neu berechnet (d. h. sie erwerben keine weiteren Rentenansprüche mehr).
Vorzeitige Rente: Kumulierung mit Erwerbseinkommen ist nur möglich, wenn das monatliche Bruttoeinkommen unter CZK 4.500 (€182) (oder CZK 11.500 im Fall von „Übereinkommen zur Beendigung eines Auftrags“) liegt.</t>
  </si>
  <si>
    <t>Erste Säule:
Möglichkeit der Kumulierung mit Erwerbseinkommen unter bestimmten Bedingungen.
Nach Erreichen des Rentenalters bedarf es für die fortgesetzte Beschäftigung im öffentlichen Sektor einer besonderen Genehmigung. In diesem Fall kann die Rente erst mit Beendigung des Beschäftigungsverhältnisses ausgezahlt werden. Diese besondere Genehmigung ist nicht erforderlich und die Aussetzung nicht anwendbar für Personen, die Dienstleistungen für Kinder erbringen, im Bildungswesen oder in sozialen Einrichtungen beschäftigt sind.
Für Empfänger von Leistung vor dem Rentenalter (Korhatár előtti ellátás), Leistungen für das Militär (Szolgálati járandóság), Leibrente für Tanzkünstler (Táncművészeti életjáradék) oder Übergangsrente für Bergleute (Átmeneti bányászjáradék) wird die Leistung bis Ende des Kalenderjahres eingestellt, wenn ein Empfänger nicht das entsprechende Rentenalter erreicht hat, und ein jährliches Einkommen hat, das höher als das 18-fache des Mindestlohns ist (d.h. HUF5.234.400).</t>
  </si>
  <si>
    <t>Kumulierung mit Erwerbseinkommen ohne jegliche Leistungskürzung möglich.
Bezieher einer vorgezogenen gesetzlichen Rente oder Begünstigte von besonderen Leistungen für Personen mit Thalassämie, die weiter erwerbstätig sind, haben bis zur Vollendung des 65. Lebensjahres Sozialversicherungsbeiträge zu entrichten. Diese Beiträge erhöhen die Rente, die im Alter von 65 Jahren bezogen wird. Die Berechnung der Erhöhung, die auf der Grundlage der in diesem Zeitraum erworbenen Punkte erfolgt, entspricht der Berechnung des ergänzenden Teils der gesetzlichen Rente.</t>
  </si>
  <si>
    <t>Eine Ruhestandspension kann nicht mit Leistungen bei Krankheit oder Invalidität, bei Arbeitslosigkeit, Zeitguthaben, Unterbrechung der Erwerbstätigkeit, reduzierten Leistungen oder Arbeitslosengeld mit Betriebszulage (RCC) oder Vorruhestandsrente auf tarifvertraglicher Basis kumuliert werden. Der Rentenempfänger oder sein Ehepartner (bei einer Ruhestandspension zum Haushaltssatz) muss zwischen der Rente und der Sozialleistung wählen.</t>
  </si>
  <si>
    <t>Siehe Tabelle V „Invalidität”. „Die Kumulation mit anderen Sozialleistungen ist möglich.”</t>
  </si>
  <si>
    <t>1. Säule:
Altersrente (Folkepension):
Kumulierung von Altersrente mit anderen Sozialleistungen möglich. Keine Kürzung des Rentenbetrags.
Frührente (Tidlig Pension):
Kumulierung mit anderen Sozialleistungen möglich. Keine Kürzung des Rentenbetrags, ausgenommen bei Bezug von Urlaubsgeld (Feriegodtgørelse).
Zusatzrente (arbejdsmarkedets tillægspension, ATP) und obligatorisches Rentensystem (Obligatorisk Pensionsordning):
Kumulierung ohne Einschränkung zulässig. Keine Kürzung des Rentenbetrags.</t>
  </si>
  <si>
    <t>Kumulation möglich. Renten aus der gesetzlichen Renten- und Unfallversicherung werden insoweit nebeneinander gezahlt als die Summe der Renten einen maßgebenden individuellen Grenzbetrag nicht übersteigt.</t>
  </si>
  <si>
    <t>Altersrente (vanaduspension):
Vollständige Kumulierung mit anderen Sozialversicherungsleistungen ist möglich, ausgenommen Leistung zur Arbeitsfähigkeit, da diese bis zum Rentenalter gezahlt wird.
Flexible Altersrente (paindlik vanaduspension)
Vollständige Kumulierung möglich; bezüglich der Leistung zur Arbeitsfähigkeit besteht die Wahlmöglichkeit zwischen Leistung und Rente.
Vorgezogene Altersrente (ennetähtaegne vanaduspension):
Bis zum Rentenalter nur Kumulierung möglich mit Familienleistungen und Sozialleistungen für Menschen mit Beinträchtigung. Bei Erreichen des Rentenalters ist Kumulierung möglich zu gleichen Bedingungen wie bei Altersrente.
Altersrente unter günstigen Bedingungen (soodustingimustel vanaduspension) und Altersrente bei Erreichen besonderer Altersgrenzen (väljateenitud aastate pension):
Kumulierung möglich zu gleichen Be-dingungen wie bei Altersrente.</t>
  </si>
  <si>
    <t>Volksrente (Kansaneläke) und garantierte Rente (Takuueläke):
Es kann nur eine Rente aus dem Volksrentensystem (Kansaneläke) ausgezahlt werden. Jedes weitere Renteneinkommen wird vom vollen Betrag der garantierten Rente (Takuueläke) abgezogen.
Bei Kumulierung beispielsweise mit einer gesetzlichen einkommensbezogenen Rente (Työeläke) oder Renten bei Berufserkrankungen oder Arbeitsunfällen, wird die Volksrente (Kansaneläke) gekürzt.</t>
  </si>
  <si>
    <t>1. Säule (Basissystem) und 2. Säule (Zusatzrentensysteme (Agirc-Arrco)):
Kumulierung mit den folgenden Sozialversicherungsleistungen möglich:
   * Beihilfe für behinderte Erwachsene (allocation aux adultes handicapés, AAH) in Form einer Beihilfe zur Differenz: Die gezahlte Beihilfe für behinderte Erwachsene (AAH) entspricht der Differenz zwischen dem Betrag der Rente und dem Höchstbetrag der Beihilfe für behinderte Erwachsene (€1.033,32 pro Monat);
   * Hinterbliebenenrente (pension de réversion).
Die Höhe der Rente ändert sich nicht.</t>
  </si>
  <si>
    <t>1. Säule (Hauptrente der e-EFKA):
Kumulation mit anderen Leistungen der sozialen Sicherheit möglich. Der Rentenbetrag wird nicht gekürzt.</t>
  </si>
  <si>
    <t>Beitragsabhängige) Staatliche Rente (State Pension (Contributory)):
Kumulation mit bestimmten anderen Leistungen, wie Beihilfe für Pflegepersonen (Carer's Allowance) (zur Hälfte des Satzes) und Behindertengeld (Disablement Benefit) ist möglich.</t>
  </si>
  <si>
    <t>Volksrente (lífeyrir almannatrygginga):
Die Grundregel besagt, dass laut dem Gesetz über soziale Sicherheit niemand gleichzeitig Leistungen aus mehreren Kategorien beziehen darf bezüglich desselben Anlasses oder für denselben Zeitraum. Bei Anspruch auf Leistungen aus mehreren Kategorien besteht die Möglichkeit, die vorteilhafteste zu wählen. Beziehen Rentner Leistungen gemäß anderen Gesetzen, werden diese Zahlungen als Einkommen bei der Berechnung der Leistungsbeträge berücksichtigt.</t>
  </si>
  <si>
    <t>Vorruhestandsbeihilfe (A.PE sociale - Anticipo Pensionistico):
Keine Kumulierung möglich mit direktem Bezug von Rente oder Arbeitslosengeld.</t>
  </si>
  <si>
    <t>Die Kumulierung mit anderen Sozialversicherungsleistungen ist möglich.</t>
  </si>
  <si>
    <t>1. Säule/2. Säule:
Kumulierung möglich mit Krankengeld, Elterngeld, Mutterschaftsgeld, Vaterschaftsgeld und Kinderbetreuungsgeld. Die Höhe der Altersrente wird nicht reduziert.
Sind die Dienstrente oder die Entschädigung für den Verlust der Arbeitsfähigkeit höher als die Altersrente (Vecuma pensija), erhält der Leistungsempfänger die Differenz zwischen den beiden Leistungen.
Kumulierung ist nicht möglich mit Invalidenrente, Hinterbliebenenrente, Arbeitslosengeld und staatlicher Sozialhilfe.</t>
  </si>
  <si>
    <t>1. Säule: Kumulierung mit Leistungen anderer Sozialversicherungsträgern ist möglich (z.B. 1. Säule, Unfall), aber nicht mit Leistungen der Invalidenversicherung.
2. Säule: Kumulierung mit jeglichem Einkommen ist unbeschränkt möglich, auch bei Rentenvorbezug.
Bei kumulativen Leistungen der sozialen Sicherheit (z.B. Unfallversicherung) erfolgt keine Kürzung der Altersrente</t>
  </si>
  <si>
    <t>Kumulierung der Pension mit sonstigen Leistungen (d.h. Witwen-/Witwerrente, Leistung für Alleinstehende, gesetzliche beitragsunabhängige Zusatzrenten für bestimmte Kategorien, Zahlungen aus Rentenfonds) ist ab dem Erreichen des Regelrentenalters möglich.
Vorzeitige Ruhestandsrenten (išankstinė senatvės pensija): Kumulierung ist nicht zulässig.</t>
  </si>
  <si>
    <t>1. Säule:
Kumulierung mit einer Rente aus einem Arbeitsunfall oder einer Berufskrankheit möglich, aber die Altersrente wird gekürzt, wenn sie zusammen mit der Unfallrente eine festgelegte Obergrenze überschreitet (die entweder dem Durchschnitt der 5 höchsten Jahresentgelte oder -einkommen während der gesamten Versicherungszeit oder dem Einkommen entspricht, das als Grundlage für die Berechnung der Unfallrente diente).</t>
  </si>
  <si>
    <t>Kumulierung mit Beihilfe für Pflegepersonen ist möglich.</t>
  </si>
  <si>
    <t>Kumulierung mit mehreren Leistungen möglich.
Die Höhe der Altersrente wird nicht gekürzt. Die Ergänzungsbeihilfe (toeslagen) ist erhältlich für Menschen mit Altersrente. Sozialversicherungssysteme für z. B. Arbeitslosigkeit, Hinterbliebene oder Invalidität gelten bis zum Rentenalter.</t>
  </si>
  <si>
    <t>Kumulation mit einer Invaliditätsrente ist möglich, die Summe aus beiden darf aber 100% der Zusammensetzung der Leistung (d.h. 20% Rente und 80% Invaliditätsrente) nicht überschreiten. Wird eine Invaliditätsrente, die aufgrund eines Arbeitsunfalls gewährt wurde, in eine Altersrente umgewandelt, wird die Altersrente anhand bestimmter Regeln berechnet, sofern dies vorteilhaft für den Rentner ist.</t>
  </si>
  <si>
    <t>Kumulierung mit Versehrtenrente unbeschränkt möglich (Alters- und Versehrtenrente werden beim gleichzeitigen Bezug nicht reduziert), nicht jedoch mit Arbeitslosengeld oder Rehabilitationsgeld.</t>
  </si>
  <si>
    <t>Kumulation mit Arbeitsunfallrente oder Berufskrankheitsrente (Renta z tytułu wypadku przy pracy lub Renta z tytułu choroby zawodowej) möglich. In diesem Fall wird der Betrag einer der beiden Leistungen gekürzt, wobei die Wahlmöglichkeit besteht zwischen:
   * volle Rente aus der Versicherung für Arbeitsunfälle und Berufskrankheiten und die Hälfte der Altersrente oder;
   * volle Altersrente und die Hälfte der Rente aus der Versicherung für Arbeitsunfälle und Berufskrankheiten.
Ab dem 1. Juli 2025 ist es möglich, die Altersrente mit der Hinterbliebenenrente zu kumulieren. In diesem Fall werden die Renten wie folgt ausgezahlt: 100% der Altersrente und 15% der Hinterbliebenenrente oder umgekehrt, wenn dies günstiger ist (d. h. 15% der Altersrente und 100% der Hinterbliebenenrente).</t>
  </si>
  <si>
    <t>Die Altersrente kann mit Renten aus anderen in- und ausländischen Pflichtversicherungssystemen oder freiwilligen Systemen sowie mit den Leistungen zur sozialen Eingliederung (Prestação social para a Inclusão), dem Solidaritätszuschlag für ältere Menschen (Complemento Solidário para  Idosos) und der Pflegezulage (complemento por dependência) kumuliert werden.
Die Rente wird nicht gekürzt. Es gibt Vorschriften zur Kumulierung von Altersrenten mit anderen Renten, die sich jedoch nur auf die Garantie von Mindestrentenbeträgen beziehen.</t>
  </si>
  <si>
    <t>Erste Säule:
Kumulation mit Sozialhilfeleistungen und Langzeitpflegeleistungen ist im Rahmen der Bedingungen dieser Systeme möglich (keine Verringerung der Rentenbeträge in solchen Fällen).
Kumulation mit jeder weiteren Rentenkategorie und Arbeitslosengeld ist nicht möglich.
Zweite Säule:
Kumulation mit anderen Leistungen der sozialen Sicherheit gemäß den Bedingungen dieser Systeme (wenn gestattet, gilt keine Kürzung der Rentenbeträge).</t>
  </si>
  <si>
    <t>Staatliche Renten können grundsätzlich mit anderen sozialen Sicherungsleistungen kombiniert werden.
   * Unfallrente (livränta): wird die Unfallrente ausgezahlt, kann die staatliche Rente durch die Unfallrente vermindert werden, wenn diese über 1/6 des Grundbetrags liegt.
   * Garantierente (garantipension): wird entsprechend des Betrags der Einkommensrente und Zusatzrente gekürzt.
   * Wohnzulage (bostadstillägg): Leistung für ältere Menschen mit Bedürftigkeitsprüfung, welche durch Renten, Unfallrente und Lohneinkommen über SEK 24.000 (€2.182) jährlich vermindert wird.
Unterhaltshilfe für Ältere (äldreförsörjningsstöd): Keine Kumulierung mit anderen sozialen Sicherungsleistungen möglich.</t>
  </si>
  <si>
    <t>1. Säule (Grundsystem)/2. Säule (obligatorische Mindestvorsorge):
Erlaubt, ohne Kürzung der Rente, ungeachtet der Höhe der anderen Sozialversicherungsleistung.</t>
  </si>
  <si>
    <t>Bei der Kumulation mit unterschiedlichen Rentenarten (z. B.Hinterbliebenenleistungen) werden der volle Betrag der größten Rente und die Hälfte der anderen erhalten. Die Kumulation von Leistungen im Rahmen von Sonderregelungen (z. B. eine Altersrente für das Militär) ist möglich.</t>
  </si>
  <si>
    <t>Altersrente kann kumuliert werden mit Pflegegeld (dodatek za pomoč in postrežbo) und Behindertenbeihilfe (invalidnina) für körperliche Einschränkungen sowie mit Ergänzungszulage (EZ) (varstveni dodatek), vorausgesetzt, die Bedingungen werden erfüllt.
Kumulierung hat keinen Einfluss auf den Rentenbetrag.</t>
  </si>
  <si>
    <t>Kumulation mit Witwen- oder Witwergeld ist möglich, ebenso mit Altersrente oder Invaliditätsrente aus einem anderen System, solange die Beiträge für jedes System separat gutgeschrieben werden und jede Rente entsprechend separat anfällt und berechnet wird. Der Betrag unterliegt der jedes Jahr im Allgemeinen Haushaltsgesetz festgelegten Grenze (€3.267,60 monatlich im Jahr 2025).</t>
  </si>
  <si>
    <t>Kumulierung von Invalidenrenten und Altersrenten ist nicht möglich: die höhere Rente wird ausgezahlt.
Bei Anspruch auf Altersrente und eine Hinterbliebenenrente (Witwer-, Witwen- oder Halbwaisen-/Waisenrente) wird der volle Betrag der höchsten Rente sowie die Hälfte des Prozentualen Anteils (Procentní část) der anderen Rente gezahlt.
Kumulation mit anderen Sozialleistungen möglich: Der Rentenbetrag wird nicht reduziert und im Rentengesetz sind keine Kumulationsbedingungen festgelegt.</t>
  </si>
  <si>
    <t>Erste Säule:
Altersrente kann mit Hinterbliebenenleistungen und Arbeitsunfallrente (Baleseti járadék) kumuliert werden.
Der Betrag der Altersrente wird nicht aufgrund der Kumulierung mit Leistungen gekürzt.</t>
  </si>
  <si>
    <t>Der Bezug einer Altersrente (gesetzlich) kann mit einer Hinterbliebenenrente (Witwenrente) kombiniert werden, es gibt jedoch einen Höchstbetrag für die Zusatzrente.</t>
  </si>
  <si>
    <t xml:space="preserve">   Besteuerung und Sozialabgaben</t>
  </si>
  <si>
    <t>Leistungen unterliegen der Besteuerung.</t>
  </si>
  <si>
    <t>Leistungen unterliegen keiner Besteuerung.</t>
  </si>
  <si>
    <t>1. Säule:
Altersrente (Folkepension):
Grundbetrag (grundbeløb) und Rentenzulage (pensionstillæg) unterliegen der Besteuerung.
Frührente (Tidlig Pension) unterliegt der Besteuerung.
Zusatzrente (arbejdsmarkedets tillægspension, ATP) und obligatorisches Rentensystem (Obligatorisk Pensionsordning) unterliegen der Besteuerung.</t>
  </si>
  <si>
    <t>Schrittweiser Übergang zum System der nachgelagerten Besteuerung (Übergangszeitraum 2005 bis 2058).
Bei Personen, die bis Ende 2005 in Rente gegangen sind, wird die Rente zu 50% für die Besteuerung (Besteuerungsanteil) herangezogen. Auf dieser Basis wird ein steuerfreier Teil der Rente festgeschrieben, der dem Rentenbezieher jährlich zu gewähren ist. Für jeden neu hinzukommenden Rentenjahrgang wurde der Besteuerungsanteil – auf dessen Grundlage der steuerfreie Teil der Rente ermittelt wird - bis zum Jahr 2020 jährlich um jeweils 2 Prozentpunkte, 2021 und 2022 um jeweils 1 Prozentpunkt angehoben. Ab 2023 wird er um jeweils 0,5 Prozentpunkte angehoben.</t>
  </si>
  <si>
    <t xml:space="preserve">1. Säule:
Die Leistungen unterliegen der Besteuerung.
2. Säule:
   * Beim Erreichen des Rentenalters und fünf Jahre vor dem Rentenalter wird die einmalige Auszahlung mit dem 10% Einkommenssteuersatz versteuert,
   * Die lebenslange Rente und die befristete Rente werden für den “empfohlenen Zeitraum” nicht besteuert. Der “empfohlene Zeitraum” wird auf der Basis der durchschnittlich verbleibenden Jahre der Lebenswerwartung von Männern und Frauen berechnet, wie sie vom Statistischen Amt Estlands veröffentlicht werden, sowie dem Alter des Rentners. Bei Renteneintritt fünf Jahre vor dem Erreichen des Rentenalters werden Renten der 2. Säule mit dem 20% Einkommenssteuersatz versteuert,
   * Erwerbsunfähige Personen werden nicht besteuert.
</t>
  </si>
  <si>
    <t>Gesetzliche einkommensbezogene Rente (Työeläke), Volksrente (Kansaneläke) und garantierte Rente (Takuueläke): unterliegen der Besteuerung wie andere Einkunftsarten (z.B. Löhne).
Das Pflegebeihilfe für Rentner (Eläkettä saavan hoitotuki) und das Wohngeld für Rentner (Eläkkeensaajan asumistuki) unterliegen nicht der Besteuerung.</t>
  </si>
  <si>
    <t>1. Säule (Basissystem) und 2. Säule (Zusatzrentensysteme (Agirc-Arrco)):
Grundrente und Zusatzrenten unterliegen der Besteuerung.
Die Zulage für Pflege durch Dritte (majoration pour l‘assistance d‘une tierce personne) unterliegt nicht der Besteuerung.</t>
  </si>
  <si>
    <t>1. Säule (Hauptrente der e-EFKA):
Die Leistungen unterliegen der Steuer.</t>
  </si>
  <si>
    <t>Leistungen unterliegen Steuern.</t>
  </si>
  <si>
    <t>Volksrente (lífeyrir almannatrygginga): Mit Ausnahme der Kinderrente (barnalífeyrir) unterliegen die Leistungen der Besteuerung.
Arbeitsrente (lögbundnir lífeyrissjóðir):
Renten unterliegen der Besteuerung.</t>
  </si>
  <si>
    <t>Renten unterliegen der Besteuerung.</t>
  </si>
  <si>
    <t>1. Säule:
Renten, die vor dem 01.01.1996 gewährt wurden, unterliegen nicht der Besteuerung.
1. Säule/2.Säule:
Renten, die nach dem 01.01.1996 gewährt oder neu berechnet wurden, unterliegen der Besteuerung.</t>
  </si>
  <si>
    <t>1. Säule: Renten unterliegen einer privilegierten Besteuerung (nur ein Teil des Gesamtbetrages wird als steuerbares Einkommen angerechnet).
2. Säule: Altersleistungen (Renten und Kapitalleistungen) unterliegen der Besteuerung.</t>
  </si>
  <si>
    <t>Renten unterliegen keiner Besteuerung.</t>
  </si>
  <si>
    <t>1. Säule:
Renten unterliegen der Besteuerung.</t>
  </si>
  <si>
    <t>Die Renten unterliegen der Besteuerung.</t>
  </si>
  <si>
    <t>Altersrente (Emerytura) und vorgezogene Rente (Wcześniejsza emerytura):
unterliegen der Besteuerung.
Pflegezulage (Dodatek pielęgnacyjny) und Bestattungsbeihilfe (Zasiłek pogrzebowy):
Leistungen unterliegen nicht der Steuer.</t>
  </si>
  <si>
    <t>Die Altersrenten unterliegen der Besteuerung.</t>
  </si>
  <si>
    <t>Erste Säule/Zweite Säule:
Leistungen unterliegen der Besteuerung, mit Ausnahme derer, die Beziehern von Altersrente mit schweren und hochgradigen Behinderungen gewährt werden.</t>
  </si>
  <si>
    <t>Staatliche Renten unterliegen der Besteuerung. Die Wohnzulage (bostadstillägg) und die Einkommenshilfe für Ältere (äldreförsörjningsstöd) unterliegen nicht der Besteuerung.</t>
  </si>
  <si>
    <t>1. Säule (Grundsystem)/2. Säule (obligatorische Mindestvorsorge):
Renten unterliegen der Besteuerung.</t>
  </si>
  <si>
    <t>1. und 2. Säule:
Renten unterliegen keiner Steuer.</t>
  </si>
  <si>
    <t>Alle Renten und Geldleistungen der Invalidenversicherung unterliegen der Besteuerung.
Pflegegeld (dodatek za pomoč in postrežbo) unterliegt nicht der Besteuerung.</t>
  </si>
  <si>
    <t>Nur hohe Renten, die jährlich das 36-Fache des monatlichen Bruttomindestlohns übersteigen, werden besteuert (CZK 748.800 (€30.257) jährlich).</t>
  </si>
  <si>
    <t>Erste Säule:
Die Leistungen unterliegen nicht der Besteuerung.</t>
  </si>
  <si>
    <t>Gesetzliche Renten (Θεσμοθετημένη Σύνταξη) unterliegen der Besteuerung.</t>
  </si>
  <si>
    <t>Für die Leistungen wird eine den Einkünften des Steuerzahlers entsprechende Steuerermäβigung gewährt.</t>
  </si>
  <si>
    <t>Nicht anwendbar: Renten unterliegen keiner Besteuerung.</t>
  </si>
  <si>
    <t>1. Säule:
Es gelten allgemeine Regeln der Besteuerung. Keine Einkommensgrenzen für die Besteuerung von Renten.</t>
  </si>
  <si>
    <t>Besteuerung des steuerpflichtigen Teils (vgl. Tabelle VI, ‘Besteuerung und Sozialabgaben - Besteuerung von Renten’) der Rente nach allgemeinen Regeln.</t>
  </si>
  <si>
    <t>Steuerbefreiung für Personen in rentenfähigem Alter in Höhe von €776 pro Monat oder bis zu  €9.312 pro Jahr.</t>
  </si>
  <si>
    <t>Renteneinkommen unterliegt einem Renteneinkommensabzug wie folgt:
   * voller Abzug bei einem jährlichen Renteneinkommen unter €11.030;
   * Steuern werden fällig, wenn das jährliche Renteneinkommen über €13.756 liegt;
   * Kein Abzug bei einem jährlichen Renteneinkommen über €48.931.
5,85% Zusatzsteuer auf den Teil des jährlichen Renteneinkommens, der €47.000 überschreitet.
Gibt es neben der Volksrente (Kansaneläke) kein weiteres Einkommen, bleibt die Rente einkommensteuerfrei.
Anmerkung: Hat eine Person andere Einkünfte (außer Kapitaleinkünften), so werden diese (nach Abzug von Werbungskosten) in die Formel zur Berechnung der Kürzung des Abzugsbetrags einbezogen. Der Abzugsbetrag kann jedoch die Höhe der Renteneinkünfte nicht übersteigen.</t>
  </si>
  <si>
    <t>1. Säule (Basissystem) und 2. Säule (Zusatzrentensysteme (Agirc-Arrco)):
Abzug von 10% des Gesamtbetrags der Renten (jährliche Höchstgrenze von €4.399 pro steuerpflichtigem Haushalt).</t>
  </si>
  <si>
    <t>1. Säule (Hauptrente der e-EFKA):
Es gelten allgemeine Regeln der Besteuerung. Ausnahmen für bestimmte Gruppen wie Kriegsversehrte, Kriegsopfer und ihre Familien, Blinde und Querschnittsgelähmte.</t>
  </si>
  <si>
    <t>Besteuerung nach allgemeinem Regeln. Keine Sonderbestimmungen für Renten.</t>
  </si>
  <si>
    <t>Besteuerung nach allgemeinem Recht findet Anwendung. Keine Einkommensgrenze für die Besteuerung von Renten.</t>
  </si>
  <si>
    <t>Besteuerung nach allgemeinem Recht. Keine Sonderbestimmungen für Renten.</t>
  </si>
  <si>
    <t>Individueller Steuerfreibetrag für Rentner: €600 pro Monat. Dieser Betrag kann erhöht werden je nach der Anzahl von Unterhaltsberechtigten in der Familie, dem Grad der Behinderung des Rentners oder dessen Unterhaltsberechtigten.
Die Einkommensteuer wird um 50% des Steueranteils gekürzt, der speziell auf die Rente entfällt.</t>
  </si>
  <si>
    <t>1. Säule/2.Säule:
Steuerfreibetrag für Rentner, deren Renten nach dem 01.01.1996 gewährt oder neu berechnet wurden:
Steuerfreigrenze: €12.000 jährlich seit 01.01.2025.
Zusätzlicher Steuerfreibetrag für Menschen mit Behinderung:
   * Gruppen I &amp; II: €1.848 jährlich,
   * Gruppe III: €1.440 jährlich.
Zusätzlicher Steuerfreibetrag für politisch unterdrückte Personen oder Mitglieder der nationalen Widerstandsbewegung (€1.848 jährlich) oder für unterhaltsberechtigte Personen (€3.000 jährlich).</t>
  </si>
  <si>
    <t>1. Säule: Bei den Renten wird ein Freibetrag von 70% gewährt.
2. Säule: Besteuerung nach allgemeinen Regeln. Keine Sonderbestimmungen für Sozialleistungen.</t>
  </si>
  <si>
    <t>1. Säule:
Es gelten die allgemeinen Besteuerungsregeln. Keine Einkommensobergrenze für die Besteuerung von Leistungen.</t>
  </si>
  <si>
    <t>Rentner, die zu einem spezifischen Satz für Verheiratete besteuert werden, sind von der Besteuerung der Rente für die ersten verdienten €20.236 ausgenommen, während Personen, die zu einem spezifischen Satz für Alleinstehende besteuert werden, von der Besteuerung der ersten verdienten €16.636 ausgenommen sind.
Über den oben genannten Schwellenwerten gelten allgemeine Regeln der Besteuerung.</t>
  </si>
  <si>
    <t>Besteuerung nach allgemeinen Regeln. Keine Sonderbestimmungen für Renten.</t>
  </si>
  <si>
    <t>Für Bezieher von Renten gelten Sonderregeln zur Steuererleichterung. Bezieher einer vollen Mindestrente zahlen weder Steuern noch Sozialabgaben.</t>
  </si>
  <si>
    <t>Besteuerung nach allgemeinen Regeln. Keine Einkommensgrenzen für die Besteuerung von Rentenleistungen. Keine Sonderbestimmungen für Renten.</t>
  </si>
  <si>
    <t>Altersrente (Emerytura) und vorgezogene Rente (Wcześniejsza emerytura):
Es gelten allgemeine Regeln der Besteuerung. Keine Einkommensgrenzen für die Besteuerung von Renten.</t>
  </si>
  <si>
    <t>Die allgemeinen Besteuerungsregelungen (Abschlag von € 4.462,15 oder der Gesamtbetrag der Sozialversicherungspflichtbeiträge, wenn dieser höher ist) kommen zur Anwendung. Keine Einkommenshöchstgrenzen für die Besteuerung von Leistungen.</t>
  </si>
  <si>
    <t>Erste Säule:
Der Leistungsbetrag, der RON 3.000 (€590) monatlich übersteigt, unterliegt der Besteuerung.
Zweite Säule:
Sowohl die Einmalzahlung als auch die gestaffelten Zahlungen, die RON 3.000 (€590) monatlich übersteigen, unterliegen der Besteuerung.</t>
  </si>
  <si>
    <t>1. Säule (Grundsystem)/2. Säule (obligatorische Mindestvorsorge):
Besteuerung nach allgemeinen Regeln. Keine Einkommensgrenzen für die Besteuerung von Leistungen.</t>
  </si>
  <si>
    <t>Nicht anwendbar. Renten unterliegen keiner Steuer.</t>
  </si>
  <si>
    <t>Besteuerung nach allgemeinen Regeln. Keine Sonderbestimmungen für Sozialleistungen.
Ausgenommen: Einwohner, die Renten der obligatorischen Renten- und Invaliditätsversicherung beziehen, haben Anspruch auf eine zusätzliche persönliche Einkommenssteuererleichterung von 13,5% der unter der obligatorischen Renten- und Invaliditätsversicherung bewerteten Renten.</t>
  </si>
  <si>
    <t>Besteuerung nach allgemeinen Regeln. Keine Einkommensgrenzen bei der Besteuerung von Renten.</t>
  </si>
  <si>
    <t>Nur hohe Renten, die jährlich das 36-fache des monatlichen Bruttomindestlohns übersteigen, werden besteuert (CZK 748.800 (€30.257) jährlich).</t>
  </si>
  <si>
    <t>Erste Säule:
Nicht anwendbar. Die Leistungen unterliegen nicht der Besteuerung.</t>
  </si>
  <si>
    <t>Abzug von 3,55% für die Kranken- und Invaliditätsversicherung, sofern die Rente nicht unter einen Betrag von monatlich € 2.414,97 bzw. - für Personen ohne Unterhaltsberechtigte - unter € 2.037,72 sinkt.
Solidaritätsbeitrag (cotisation de solidarité/solidariteitsbijdrage) im Rentensektor von 0,5% bis 2% je nach Unterhaltsverpflichtungen und dem Bruttobetrag sämtlicher gesetzlichen und sonstigen Renten. Der Solidaritätsbeitrag ist ab € 3.729,36 (Haushalt) oder € 3.225,75 (Alleinstehende) zu zahlen.</t>
  </si>
  <si>
    <t>Keine Sozialbeiträge zahlbar.</t>
  </si>
  <si>
    <t>1. Säule:
Keine Sozialabgaben zahlbar.</t>
  </si>
  <si>
    <t>Der Krankenversicherungsbeitragsanteil für pflichtversicherte Rentner beträgt 7,3% (Hälfte des allgemeinen Beitragssatzes der gesetzlichen Krankenversicherung von 14,6%). Den verbleibenden Beitragsanteil von 7,3% zahlt der Rentenversicherungsträger.
Je nach Krankenkasse ist zudem ein individueller Zusatzbeitrag zu zahlen, der ebenfalls paritätisch vom Rentenversicherungsträger und dem pflichtversicherten Rentner getragen wird.
Der Pflegeversicherungsbeitrag beträgt 3,4% von der Rente und ist vom Rentner zu zahlen. Kinderlose Versicherte zahlen ab Vollendung des 23. Lebensjahres zusätzlich einen Zuschlag von 0,6 Prozentpunkten, ausgenommen von diesem Zuschlag sind vor 1940 geborene Rentner.</t>
  </si>
  <si>
    <t>Keine Sozialabgaben.</t>
  </si>
  <si>
    <t>Krankenversicherung (Sairausvakuutus/Sairaanhoitovakuutus):
Der Versichertenbeitrag beträgt 1,45% von Renten und anderen Sozialleistungen.</t>
  </si>
  <si>
    <t>1. Säule (Basissystem) und 2. Säule (Zusatzrentensysteme (Agirc-Arrco)):
Allgemeiner Sozialbeitrag (contribution sociale généralisée, CSG) entsprechend dem zu versteuernden Referenzeinkommen: 8,3%, 6,6% oder 3,8% oder Befreiung (entsprechend der Besteuerung); Beitrag zur Tilgung der Sozialschuld (contribution pour le remboursement de la dette sociale, CRDS): 0,5% oder Befreiung; zusätzlicher Solidaritätsbeitrag für eigenständige Lebensführung (contribution additionnelle de solidarité pour l’autonomie, Casa) von 0,3% oder Befreiung.
Einzig auf die Zusatzrenten Agirc-Arrco wird ein Krankenversicherungsbeitrag von 1% erhoben.</t>
  </si>
  <si>
    <t>1. Säule (Hauptrente der e-EFKA):
   * 6% der Hauptrente für Gesundheitsversorgung, nach Abzug des sozialen Solidaritätsbeitrags für Rentenempfänger.
   * sozialer Solidaritätsbeitrag für Rentenempfänger (ΕΙΣΦΟΡΑ ΑΛΛΗΛΕΓΓΥΗΣ ΣΥΝΤΑΞΙΟΥΧΩΝ, ΕΑΣ) wird auf monatliche Renten erhoben, die €1.433,61 übersteigen.
   * Für Rentner im Alter von unter 60 Jahren wird ein zusätzlicher sozialer Solidaritätsbeitrag auf monatliche Renten über €1.740,81 erhoben.
Spezifische Kategorien von Rentnern sind von den oben genannten Beiträgen ausgenommen, z.B. Rentner mit Anspruch auf Leistungen für nicht-stationäre Pflege (ΕΞΩΙΔΡΥΜΑΤΙΚΟ ΕΠΙΔΟΜΑ).
Siehe Tabelle V „Invalidität“, „Besteuerung und Sozialabgaben, Sozialabgaben von der Rente“ für nähere Informationen.</t>
  </si>
  <si>
    <t>€0,01 sind monatlich (13-mal jährlich) an das Nationale Ruhestandswerk (Opera nazionale dei pensionati d'Italia, ONPI) zu entrichten.</t>
  </si>
  <si>
    <t>Keine Sozialabgaben zahlbar.</t>
  </si>
  <si>
    <t>1. Säule/2.Säule:
Keine Sozialabgaben zahlbar.</t>
  </si>
  <si>
    <t>Keine Beiträge zahlbar.</t>
  </si>
  <si>
    <t>1. Säule:
Beiträge für die Sachleistungen bei Krankheit (2,8%) und die Pflegeversicherung (1,4%).</t>
  </si>
  <si>
    <t>Von Renten werden Beiträge nach dem Allgemeinen Hinterbliebenengesetz (Algemene nabestaandenwet, Anw) und dem Langzeitpflegegesetz (Wet langdurige zorg, WLZ) nach dem Standardsatz einbehalten (d. h. vergleichbar mit dem Einbehalt von Beiträgen vom Arbeitseinkommen). Die Beiträge nach dem Krankenversicherungsgesetz werden in Höhe von 5,4% abgezogen und an die staatliche Krankenkasse zurückerstattet.</t>
  </si>
  <si>
    <t>Rentner zahlen einen ermäßigten Beitrag von 5,1% (für Sachleistungen bei Krankheit). Dieser Satz gilt auch für Erwerbseinkommen von Rentnern ab 69 Jahren.</t>
  </si>
  <si>
    <t>6,0% Krankenversicherungsbeitrag ab 1.6.2025.
Bei bei Personen, die eine Ausgleichszulage (nicht aber einen Ausgleichszulagenbonus / Pensionsbonus) beziehen sowie deren im gemeinsamen Haushalt lebende und im Familienrichtsatz berücksichtigte (Ehe)Partnernn weiterhin generell ein begünstigter KVB in der Höhe von 5,1% im Zeitraum vom 01.06.2025 bis 31.12.2025 in Abzug zu bringen (auch von ausländischen Renten) . Bei Bezug eines Ausgleichszulagenbonus / Pensionsbonus ist bei der Leistung des AZ - Beziehers und der Leistung des (Ehe)Partners der reguläre KVB in der Höhe von 6,0% in Abzug zu bringen.</t>
  </si>
  <si>
    <t>Beiträge zur Krankenversicherung sind zu zahlen.</t>
  </si>
  <si>
    <t>Keine zu entrichtenden Sozialabgaben</t>
  </si>
  <si>
    <t>1. Säule (Grundsystem)/2. Säule (obligatorische Mindestvorsorge):
Keine auf Renten erhobenen Beiträge.
Individuelle Prämien für die obligatorische Krankenpflegeversicherung, die direkt an den Versicherer zu entrichten sind (siehe Tabelle I, "Finanzierung", "1. Gesundheitsversorgung").</t>
  </si>
  <si>
    <t>Beitrag von 5,96% für Gesundheitsleistungen und die Erstattung von Reisekosten im Krankheitsfall. Dieser Beitrag wird nicht von der Rente abgezogen, sondern wird von der Renten- und Invaliditätsversicherungsanstalt Sloweniens (Zavod za pokojninsko in invalidsko zavarovanje Slovenije) berechnet als wäre es von individuellen Renten gezahlt worden und wird an die Krankenversicherungsanstalt der Republik Slowenien (Zavod za zdravstveno zavarovanje Slovenije) übermittelt. Keine Bemessungsgrenze.</t>
  </si>
  <si>
    <t>Erste Säule:
Es sind keine Abgaben zu zahlen.</t>
  </si>
  <si>
    <t xml:space="preserve">   Selbstständige</t>
  </si>
  <si>
    <t>Selbstständige sind über ein besonderes System versichert, das sich vom Versicherungssystem für Arbeitnehmer unterscheidet.
Das besondere System deckt alle Selbstständigen ab, wobei besondere Bestimmungen zur Berechnung der Rente einiger Selbstständer gelten, insbesondere in Bezug auf mithelfende Familienangehörige.</t>
  </si>
  <si>
    <t>Kein System für Selbstständige. Sie sind vom allgemeinen System abgedeckt.
Als Selbstständige zählen Freiberufler oder ausgebildete Handwerker, Einzelunternehmer, Unternehmensinhaber oder -partner, Mitglieder rechtsfähiger Vereine, Besteuerte nach Artikel 26(7) des Einkommenssteuergesetzes sowie eingetragene Landwirte und Tabakproduzenten.</t>
  </si>
  <si>
    <t>Selbstständige sind vom allgemeinen System abgedeckt.</t>
  </si>
  <si>
    <t>Versicherungspflichtige und freiwillig versicherte Selbstständige in der gesetzlichen Rentenversicherung: Allgemeines System.
Selbstständige Künstler und Publizisten: Grundsätzlich Versicherungspflicht in der gesetzlichen Rentenversicherung nach dem Künstlersozialversicherungsgesetz.
Freie Berufe: Eigenfinanzierte, versicherungsgebundene Sondersysteme, die auf landesrechtlicher Grundlage die Pflichtversorgung für Alter, Invalidität und Hinterbliebene sicherstellen.
Landwirte: Spezifisches System: Pflichtmitgliedschaft in der Alterssicherung der Landwirte.</t>
  </si>
  <si>
    <t>Gesetzliche einkommensabhängige Rente, Staatliche Rente: Selbstständige und Landwirte sind durch die gleichen Systeme abgedeckt wie Arbeitnehmer.</t>
  </si>
  <si>
    <t>Handwerker, Kaufleute und Gewerbetreibenden fallen unter das allgemeine Versicherungssystem.
Die freien Berufe sind allgemein über die Staatliche Kasse für die Altersversicherung (caisse nationale d'assurance vieillesse des professions libérales, CNAVPL) rentenversichert.
Landwirte fallen unter das landwirtschaftliche Sozialversicherungssystem (mutualité sociale agricole, MSA).</t>
  </si>
  <si>
    <t>Selbstständige sind über das allgemeine System abgedeckt.
Landwirte werden schrittweise in die Elektronische gesetzliche Sozialversicherungskasse (e-EFKA) aufgenommen.</t>
  </si>
  <si>
    <t>Selbstständige können mit 66 Jahren auf der gleichen Basis wie Arbeitnehmer Ansprüche auf gesetzliche Rente erwerben (beitragsorientiert).</t>
  </si>
  <si>
    <t>Selbständige werden von zwei Systemen erfasst: das universale wohnsitzabhängige Rentensystem (staatliche Rente (lífeyrir almannatrygginga)) und das beschäftigungsbasierte System (Arbeitsrente (lögbundnir lífeyrissjóðir)), das es auch für Arbeitnehmer gibt.</t>
  </si>
  <si>
    <t>Alter ist durch das Sondersystem für Selbstständige der Allgemeinen Pflichtversicherung (AGO) für traditionelle Selbstständige abgedeckt und durch das gesonderte Rentensystem (Gestione separata) für andere Kategorien von Selbstständigen.</t>
  </si>
  <si>
    <t>Selbstständige sind wie Arbeitnehmer über das allgemeine System versichert.</t>
  </si>
  <si>
    <t>Selbstständige sind über das allgemeine System versichert.</t>
  </si>
  <si>
    <t>Die selbständig Erwerbenden sind vom allgemeinen System, das auch alle Arbeitnehmer umfasst, abgedeckt.</t>
  </si>
  <si>
    <t>Selbstständige sind durch das allgemeine System abgedeckt, das Arbeitnehmer abdeckt.</t>
  </si>
  <si>
    <t>Selbstständige sind durch das allgemeine System abgedeckt.</t>
  </si>
  <si>
    <t>Selbstständige und freischaffende Personen sind durch das allgemeine System abgedeckt.
Für Altersrente (beitragsunabhängig) siehe „Mindestsicherung“.</t>
  </si>
  <si>
    <t>Das niederländische Rentensystem ist ein Drei-Säulen-System. Selbstständige sind durch das allgemeine System der ersten Säule (AOW) abgedeckt und können sich auch an der dritten Säule beteiligen (die zweite Säule ist nur für Arbeitnehmer, obwohl es einige Ausnahmesituationen gibt, in denen Selbstständige auch unter der zweiten Säule abgedeckt sind).</t>
  </si>
  <si>
    <t>Selbstständige sind vom allgemeinen System, dass auch Arbeitnehmer abdeckt, abgedeckt</t>
  </si>
  <si>
    <t>Es gibt unterschiedliche spezifische Systeme für
   * Landwirte (BSVG);
   * Gewerbetreibende und Personen, die auf Grund einer betrieblichen Tätigkeit Einkünfte aus freiberuflicher oder anderer selbstständiger Erwerbstätigkeit (GSVG), weiters auch jene nach dem FSVG Versicherten und freiberuflich tätige Rechtsanwälte</t>
  </si>
  <si>
    <t>Selbstständige
Abgedeckt durch das allgemeine System.
Landwirte
Abgedeckt durch ein besonderes System für Landwirte.</t>
  </si>
  <si>
    <t>Selbstständige sind durch das allgemeine System gedeckt.</t>
  </si>
  <si>
    <t>1. Säule (Grundsystem):
Die Selbstständigen sind durch das allgemeine System gedeckt.
2. Säule:
Selbstständige können sich freiwillig versichern lassen. Die Bestimmungen über die obligatorische Versicherung gelten sinngemäß für die freiwillige Versicherung.</t>
  </si>
  <si>
    <t>Selbstständige sind durch das allgemeine System abgedeckt, das auch Arbeitnehmer abdeckt.</t>
  </si>
  <si>
    <t>Selbstständige (einschließlich wirtschaftlich abhängige Selbstständige) sind durch das Besondere System der Sozialen Sicherheit für Selbstständige Erwerbstätige abgedeckt.
Im Rahmen dieses Systems gibt es ein Besonderes System für Selbstständige Landarbeiter.</t>
  </si>
  <si>
    <t>Selbstständige sind über das allgemeine System versichert, das auch Arbeitnehmern Versicherungsschutz gewährt..</t>
  </si>
  <si>
    <t>Das Versicherungspflichtsystem richtet sich nach dem Ort der Selbstständigkeit.</t>
  </si>
  <si>
    <t>Obligatorisches, versicherungs- und beschäftigungsgebundenes System.</t>
  </si>
  <si>
    <t>Allgemeines, steuerabhängiges Pflichtsystem. Basierend auf einem früheren Wohnsitz in Dänemark (Altersrente/Frührente).</t>
  </si>
  <si>
    <t>Versicherungs- und arbeitsgebunden.
Pflichtmitgliedschaft oder freiwillige Versicherung.
Rentenversicherungspflichtige Selbstständige: Pflichtmitgliedschaft in der gesetzlichen Rentenversicherung.
Sonstige Selbstständige: Möglichkeit, dem gesetzlichen Rentenversicherungssystem beizutreten (Opt-in), je nach Voraussetzung über eine Versicherungspflicht auf Antrag oder eine freiwillige Versicherung.
Freie Berufe: Pflichtmitgliedschaft in einem berufsständischen Versorgungswerk.
Selbstständige Künstler und Publizisten: Grundsätzlich Versicherungspflicht in der gesetzlichen Rentenversicherung nach dem Künstlersozialversicherungsgesetz.
Landwirte: Pflichtmitgliedschaft, wenn das Unternehmen eine bestimmte Größe erreicht (z. B. 8 ha landwirtschaftliche Fläche oder 75 ha Forst).</t>
  </si>
  <si>
    <t>Versicherungsgebundenes, arbeitsgebundenes Pflichtsystem, das über die Sozialsteuer finanziert wird. Gleiche Bedingungen für Selbstständige wie für Arbeitnehmer.</t>
  </si>
  <si>
    <t>Gesetzliche einkommensabhängige Rente: obligatorisches versicherungsgebundenes System (YEL und MYEL).
Staatliche Rente: obligatorisches wohnsitzgebundenes System.</t>
  </si>
  <si>
    <t>Sozialversicherungspflichtsystem, basierend auf der Erwerbstätigkeit.</t>
  </si>
  <si>
    <t>Staatliche Rente: auf Pflichtversicherung beruhendes und wohnsitzabhängiges System.
Beitragsabhängige Rente: Auf Erwerbstätigkeit beruhendes Versicherungspflichtsystem.
Keine freiwilligen Systeme.</t>
  </si>
  <si>
    <t>Obligatorisches, versicherungsgebundenes System.
Beitragspflichtige gesetzliche Rente ist arbeitsgebunden und beitragsfreie gesetzliche Rente ist wohnsitzgebunden.
Für gesetzliche Rente (beitragsfrei), siehe Tabelle „Mindestsicherung”.</t>
  </si>
  <si>
    <t>Das allgemeine Rentensystem ist universal/wohnsitzabhängig. Die gesetzliche Rentenversicherung basiert auf Beiträgen.
Beide Systeme sind gesetzlich vorgeschrieben.</t>
  </si>
  <si>
    <t>Systeme sind obligatorisch und versicherungsgebunden.</t>
  </si>
  <si>
    <t>Versicherungs- und arbeitsgebundenes Pflichtsystem.</t>
  </si>
  <si>
    <t>Obligatorisches arbeitsgebundenes Sozialversicherungssystem.</t>
  </si>
  <si>
    <t>Obligatorisches, arbeitsgebundenes Versicherungssystem.</t>
  </si>
  <si>
    <t>Arbeitsgebundenes Versicherungspflichtsystem.
Die zweite Rentensäule verfügt über einen automatischen Registrierungsprozess wobei die Person die Registrierung verweigern kann. Entscheidet sich eine Person jedoch zur Teilnahme, ist dies verbindlich.</t>
  </si>
  <si>
    <t>Arbeitsgebundenes obligatorisches Sozialversicherungssystem.
Die Personen sind von der Versicherungspflicht befreit, wenn das aus der Tätigkeit erzielte Erwerbseinkommen pro Jahr nicht mehr als ein Drittel des sozialen Mindestlohns beträgt oder, im Falle eines Landwirts, wenn die Größe des landwirtschaftlichen Betriebs einen bestimmten Grenzwert nicht überschreitet. Es ist jedoch trotzdem möglich, auf Antrag in die Versicherung aufgenommen zu werden (Opt-in).</t>
  </si>
  <si>
    <t>Obligatorisches, versicherungsgebundenes System.</t>
  </si>
  <si>
    <t>Die Rente der ersten Säule ist allgemein/wohnsitzgebunden (und damit obligatorisch), die Rente der dritten Säule ist freiwillig („Opt-in’) und beitrags-/ersparnisgebunden.
Die untenstehenden Informationen beziehen sich nur auf Renten der ersten Säule.</t>
  </si>
  <si>
    <t>Selbstständige sind durch das allgemeine wohnsitzgebundene Pflichtversicherungssystem abgedeckt.</t>
  </si>
  <si>
    <t>BSVG und GSVG: Arbeitsgebundene Pflichtversicherung.
Folgende Ausnahmen von der Pflichtversicherung sind hervorzuheben:
BSVG: Wegfall der Pflichtversicherung, wenn Einheitswert* des Betriebes unter €1.500 liegt und der Lebensunterhalt nicht überwiegend aus Ertrag des Betriebes bestritten wird.
(* Der Einheitswert ist ein vom Finanzamt für Steuerzwecke festgestellter Wert, der die Ertragsfähigkeit des land- und forstwirtschaftlichen Betriebes ausdrückt.)
GSVG:
   * Opting out: Jene Gruppen von Freiberuflern, die in gesetzlichen Interessenvertretungen (Kammern) organisiert sind, haben die Möglichkeit, aus der Pensions- bzw. Krankenversicherung auszutreten, wenn im jeweiligen Versicherungszweig eine gleichartige oder zumindest annähernd gleichwertige Versorgung der Kammermitglieder sichergestellt ist. Diese Möglichkeit besteht auch für die vom FSVG umfassten Berufsgruppen.
   * Ausnahme wegen „geringfügiger“ Einkünfte (gilt für Gewerbetreibende und Inhaber einer Konzession, nicht aber für Gesellschafter); „Kleinunternehmerregelung“: Personen, deren Umsätze €55.000 im Jahr nicht übersteigen sowie deren Einkünfte aus dieser Tätigkeit €6.613,20 (2025) im Jahr nicht übersteigen können die Ausnahme von der GSVG Kranken-, und Pensionsversicherung beantragen wenn sie:- innerhalb der letzten 60 Kalendermonate nicht mehr als zwölf Kalendermonate nach dem GSVG/FSVG pflichtversichert waren oder- das Regelpensionsalter erreicht haben oder- das 57. Lebensjahr vollendet haben und innerhalb der letzten fünf Kalenderjahre vor Antragstellung die oben genannte Umsatz- bzw. Einkommensgrenze nicht überschritten haben.
Nichterreichen der Versicherungsgrenze: Als Freiberufler oder Neuer Selbständiger fällt man nur dann unter die Pflichtversicherung, wenn die versicherungspflichtigen Erwerbseinkünfte über einer bestimmten Grenze liegen. Die Versicherungsgrenze beträgt im Kalenderjahr 2025 €6.613,20; dies unabhängig davon, ob neben der selbständigen Erwerbstätigkeit auch andere Jobs ausgeübt oder ein Einkommen aus einer anderen Quelle bezogen wird.
Bei den oben beschriebenen Ausnahmen von der Pflichtversicherung besteht in gewissen Fällen die Möglichkeit einer freiwilligen Teilnahme an der Pensionsversicherung.</t>
  </si>
  <si>
    <t>Selbstständige und Landwirte
Arbeitsgebundenes Versicherungspflichtsystem.</t>
  </si>
  <si>
    <t>Pflichtversicherungssystem auf Basis von Versicherung und selbstständiger Tätigkeit.</t>
  </si>
  <si>
    <t>Erste Säule: Obligatorische Sozialversicherung und wohnsitzgebundenes System. Die freiwillige Versicherung ist auf der Grundlage eines Sozialversicherungsvertrags möglich, der mit der relevanten Rentenanstalt abgeschlossen wird.
Die Teilnahme an der zweiten Säule ist für Arbeitnehmer und Selbstständige Pflicht, die unter der ersten Säule versichert sind und nach dem 1. Juli 1971 geboren wurden. Für Personen, die zwischen dem 1. Juli 1961 und dem 1. Juli 1971 geboren wurden, ist die Teilnahme freiwillig.</t>
  </si>
  <si>
    <t>Pflichtsystem, das aus zwei Teilen besteht:
   * versicherungsgebunden zur Erbringung von einkommensbezogenen Anpassungsrenten für Erwachsene und Kinder auf der Grundlage der Rentenansprüche der verstorbenen Person;
   * steuer- und wohnsitzgebunden zur Erbringung einer Garantierente (Garantipension).</t>
  </si>
  <si>
    <t>1. Säule (Grundsystem):
Versicherungsbasiertes und universelles System, das alle Personen, die in der Schweiz wohnen oder arbeiten, obligatorisch abdeckt.
2. Säule:
Freiwilliges Versicherungssystem für Selbstständige („Opt-in-System“).</t>
  </si>
  <si>
    <t>Obligatorisches, versicherungsgebundenes System. Es gibt keine Pflichtversicherung für Selbstständige mit einem Jahreseinkommen unter €8.580 im Jahr 2024 (50% des nationalen Durchschnittslohns im Jahr 2023); freiwillige Versicherung ist möglich.</t>
  </si>
  <si>
    <t>Obligatorisches arbeitsgebundenes Versicherungssystem für alle Selbstständigen.</t>
  </si>
  <si>
    <t>Obligatorische, arbeitsgebundene Versicherung.</t>
  </si>
  <si>
    <t>Siehe Leistungen bei Krankheit.</t>
  </si>
  <si>
    <t>Selbstständige beziehen eine Rente entsprechend der Leistungsdauer (in Jahren) und der Höhe der geleisteten Sozialbeiträge.
Damit die Leistungsquartale für die Dauer der Tätigkeit, die den Rentenanspruch begründet, berücksichtigt werden können, müssen Selbstständige mindestens einen Mindestbeitrag pro Quartal eines hauptberuflichen Selbstständigen geleistet haben.
Beim Erreichen des gesetzlichen Rentenalters sind keine Bedingungen für die geleisteten Arbeitsstunden oder die Ausübung einer selbstständigen Tätigkeit über einen Mindestzeitraum zu erfüllen, um die Rentenleistung zu beziehen. Eine vorzeitige Altersrente wird jedoch nur unter bestimmten Bedingungen in Bezug auf Dauer der Beschäftigung und Alter gewährt.</t>
  </si>
  <si>
    <t>Keine  spezifischen Voraussetzungen für Selbständige..</t>
  </si>
  <si>
    <t>Nicht anwendbar (Altersrente/Frührente).</t>
  </si>
  <si>
    <t>Selbstständige: Geringfügig selbstständig Tätige (monatliches Arbeitseinkommen (brutto) bis €556 oder die Tätigkeit ist von Vornherein auf maximal drei Monate oder 70 Arbeitstage innerhalb eines Kalenderjahres begrenzt und erfolgt - sofern das Arbeitseinkommen €556 monatlich übersteigt - nicht berufsmäßig) sind versicherungsfrei.
Selbstständige Künstler und Publizisten: Um nach dem Künstlersozialversicherungsgesetz versichert zu sein, muss das Arbeitseinkommen (brutto) der Künstler und Publizisten den Betrag von €3.900 im Kalenderjahr übersteigen.
Landwirte: Keine bestimmten Voraussetzungen für den Anspruch auf Deckung für Selbstständige.</t>
  </si>
  <si>
    <t>Keine besonderen Anspruchsvoraussetzungen für Alleinunternehmer. Ein Mindestbeitrag sollte gezahlt werden (€270,60 pro Monat im Jahr 2025).
Inhaber von Einzelunternehmenskonten und Personen, die Dienstleistungen mit Werkvertrag und Ermächtigungsvereinbarung erbringen, zahlen 33% ihres erklärten Einkommens (Mindestbeitrag wird nicht erhoben), die Rente ist aber beitragsabhängig.</t>
  </si>
  <si>
    <t>Gesetzliche einkommensbezogene Rente: 4 Versicherungsmonate erforderlich für Selbstständige und Landwirte. Keine Mindestversicherungszeit für Arbeitnehmer.
Im Jahr 2025 beträgt das versicherbare Mindesteinkommen von Selbstständigen €9.208,43 pro Jahr; für Landwirte €4.605 pro Jahr. Für Arbeitnehmer beträgt es €70,08 pro Monat.
Staatliche Rente: Keine bestimmten Voraussetzungen für Selbstständige.</t>
  </si>
  <si>
    <t>Gleiche Bedingungen wie bei Krankheit.</t>
  </si>
  <si>
    <t>Keine bestimmten Voraussetzungen für den Anspruch auf Deckung für Selbstständige.</t>
  </si>
  <si>
    <t>Selbstständige müssen mindestens €5.000 pro Jahr durch ihre selbstständige Tätigkeit verdienen, um zur Zahlung von Sozialbeiträgen verpflichtet zu sein.
Alle Antragsteller, auch Selbstständige, müssen mindestens zehn Jahre lang Sozialversicherungsbeiträge gezahlt haben, um Anspruch auf eine beitragsabhängige Volksrente zu haben.</t>
  </si>
  <si>
    <t>Keine besonderen Voraussetzungen für Selbstständige.</t>
  </si>
  <si>
    <t>Siehe Invalidität – „Finanzierung“.</t>
  </si>
  <si>
    <t>Keine bestimmten Bedingungen.</t>
  </si>
  <si>
    <t>Keine bestimmten Voraussetzungen für den Anspruch auf Deckung für Selbstständige, aber der Beitragssatz ist niedriger, wenn das monatliche Einkommen unter dem Mindestlohn liegt.</t>
  </si>
  <si>
    <t>Keine bestimmten Anspruchsvoraussetzungen für Selbstständige.</t>
  </si>
  <si>
    <t>Um sich für die Deckung zu qualifizieren, muss eine freischaffende Person mindestens €910 (brutto) pro Jahr verdienen, während eine selbstständige Person mindestens €1.006 pro Jahr verdienen muss oder €1.470 (brutto), wenn sie einen Ehepartner unterhält.</t>
  </si>
  <si>
    <t>Selbstständige sind durch das allgemeine wohnsitzgebundene Pflichtversicherungssystem abgedeckt. Keine besonderen Anspruchsbe-dingungen für Selbstständige. Siehe auch „Finanzierung“.</t>
  </si>
  <si>
    <t>BSVG und GSVG: keine bestimmten Bedingungen, bei Wegfall der Pflichtversicherung ist eine freiwillige Weiterversicherung möglich.
Ausnahme: Versicherungsgrenze für „Neue Selbständige“ im GSVG (= jährliche Geringfügigkeitsgrenze nach dem ASVG), diese liegt 2025 bei €6.613,20).
Mindesteinheitswert* im BSVG (€1.500).
(* Der Einheitswert ist ein vom Finanzamt für Steuerzwecke festgestellter Wert, der die Ertragsfähigkeit des land- und forstwirtschaftlichen Betriebes ausdrückt.)</t>
  </si>
  <si>
    <t>Selbstständige und Landwirte
Keine bestimmten Anspruchsvoraussetzungen.</t>
  </si>
  <si>
    <t>Gleiche Bedingungen wie für Geldleistungen bei Krankheit.</t>
  </si>
  <si>
    <t>Versicherung in der staatlichen Rentenversicherung ist obligatorisch, wenn das monatliche durchschnittliche Nettoeinkommen dem Mindestbruttolohn entspricht oder diesen überschreitet, d.h. RON 4.050 ab 1. Januar 2025.</t>
  </si>
  <si>
    <t>Keine besonderen Anspruchsvoraussetzungen für Selbstständige.</t>
  </si>
  <si>
    <t>1. Säule (Grundsystem):
Keine bestimmten Voraussetzungen für den Anspruch auf Deckung für Selbstständige.
2. Säule:
Das Einkommen, das von Selbstständigen versichert werden kann, entspricht mindestens dem Anteil des Lohnes von Arbeitnehmern, der der obligatorischen Vorsorge unterliegt (entspricht der Teil des Jahreslohnes von CHF26.460 bis und mit CHF90.720).</t>
  </si>
  <si>
    <t>Altersversicherung ist verpflichtend für Selbstständige mit einem Jahreseinkommen über €8.580 im Jahr 2024, während es für jene, die weniger als diesen Betrag verdienen, freiwillig ist.</t>
  </si>
  <si>
    <t>Selbstständige müssen vollzeitversichert sein (d.h. 40 Stunden pro Woche).</t>
  </si>
  <si>
    <t>Keine bestimmten Bedingungen, abgesehen von der Meldung im betreffenden System.</t>
  </si>
  <si>
    <t>Wie für Arbeitnehmer.</t>
  </si>
  <si>
    <t>Siehe Tabelle: Krankheit – Sachleistungen.</t>
  </si>
  <si>
    <t>Keine spezifische Vorschrift. Selbstständige zahlen Sozialabgaben auf die Summe ihres versicherbaren Einkommens (Obergrenze BGN 4.130 (€ 2.112)).</t>
  </si>
  <si>
    <t>Keine spezifischen Vorschriften.</t>
  </si>
  <si>
    <t>Selbstständige in der gesetzlichen Rentenversicherung: Werden mehrere selbstständige Tätigkeiten ausgeübt, kann eine Mehrfachversicherungspflicht entstehen. Auch die Kombination Beschäftigungsverhältnis plus Selbstständigkeit kann zur Mehrfachversicherung führen. Die Beiträge an die gesetzliche Rentenversicherung sind dann grundsätzlich aus jeder einzelnen entstandenen Versicherungspflicht zu zahlen, insgesamt jedoch höchstens bis zur Beitragsbemessungsgrenze.
Freie Berufe: Eigenfinanzierte Versorgungswerke: eigenes Beitrags- und Leistungsrecht.
Landwirte: Die Versicherungspflicht für Landwirte und mitarbeitende Familienangehörige in der Alterssicherung der Landwirte bleibt bestehen, wenn diese einer bezahlten Tätigkeit nachgehen, die eine Versicherungspflicht in anderen Sozialversicherungssystemen (zum Beispiel in der allgemeinen Rentenversicherung) auslöst. Sie können jedoch auf Antrag von der Versicherungspflicht in der Alterssicherung der Landwirte befreit werden, solange sie u.a. regelmäßig außerland- bzw. forstwirtschaftliches Arbeitsentgelt, Arbeitseinkommen, vergleichbares Einkommen oder Erwerbsersatzeinkommen beziehen, dass jährlich das Zwölffache der Geringfügigkeitsgrenze nach § 8 Absatz 1a des Vierten Buches Sozialgesetzbuch überschreitet.</t>
  </si>
  <si>
    <t>Wie in der Tabelle für Krankheit -Sachleistungen.</t>
  </si>
  <si>
    <t>Landwirte
Der Landwirt, der gleichzeitig eine abhängige Beschäftigung ausübt oder ausgeübt hat, die unter das allgemeine Versicherungssystem fällt, bezieht für jeden Versicherungsträger eine Altersrente. Er bezieht somit eine Rente des landwirtschaftlichen Sozialversicherungssystems (mutualité sociale agricole, MSA) für die Zeiträume seiner selbstständigen Tätigkeit als Landwirt und eine Rente der Staatlichen Kasse für die Altersversicherung (caisse nationale d'assurance vieillesse des professions libérales, CNAVPL) für die Quartale, in denen er Beiträge in das allgemeine System der Arbeitnehmer eingezahlt hat.
Handelt es sich bei der selbständigen landwirtschaftlichen Tätigkeit, die in Verbindung mit einer Beschäftigung als Arbeitnehmer ausgeübt wird, jedoch nur um eine Nebentätigkeit, zahlt die MSA nur die anteilige Altersrente des Landwirts (siehe Kasten Leistungen/Dienste unten).
Handwerker, Kaufleute und Gewerbetreibende
Bei gleichzeitiger Ausübung einer selbstständigen Tätigkeit und einer abhängigen Beschäftigung, die unter das allgemeine System oder das landwirtschaftliche Versicherungssystem fallen, wird die Altersrente von dem System gezahlt, das die Pflegekosten trägt (mit Ausnahmen).
Werden im Übrigen mehrere selbstständige Tätigkeiten gleichzeitig ausgeübt, beziehen sich Mitgliedschaft und Entrichtung der Beiträge auf die Altersversicherung, die der Haupttätigkeit entspricht. Dieses System zahlt die Altersrente.
Übt der Versicherte mehrere reglementierte freie Berufe aus, so ist er nur einem einzigen Berufszweig angeschlossen (Vorrang eines gesetzlich festgelegten Zweigs oder ansonsten freie Wahl des Versicherten).
Ein unter das allgemeine System fallender Arbeitnehmer, der auch freiberuflich tätig ist, muss, auch wenn seine freiberufliche Tätigkeit eine Nebentätigkeit darstellt, Beiträge sowohl für das allgemeine System als auch für das System des betreffenden Berufszweigs leisten.</t>
  </si>
  <si>
    <t>Als Arbeitnehmer zahlt die Person in jedem Fall die Versicherungsbeiträge, die im Arbeitnehmergesetz vorgesehen sind.
Als Selbstständiger muss die Person den Betrag der 2. Versicherungskategorie, welche die Mindestanforderung ist. Sind die als Arbeitnehmer gezahlten Beiträge aber gleich hoch oder höher als der Betrag der 2. Versicherungskategorie, muss die Person (für die selbstständige Tätigkeit) keinen Zusatzbeitrag leisten. Andernfalls zahlt die Person die Differenz zum Betrag der 2. Versicherungskategorie.
Für Menschen, die als Selbstständige weniger als 5 Jahre versichert waren (Sonderversicherungskategorie), ist der oben genannte Betrag der der 1. Versicherungskategorie.
Hat sich die Person (als Selbstständiger) für eine höhere Versicherungskategorie entschieden als die 2., müssen die Beiträge, die als Arbeitnehmer gezahlt werden, gleich hoch oder höher sein als der Betrag der gewählten Kategorie.
Andernfalls zahlt die Person die Differenz zum Betrag der gewählten Versicherungskategorie.</t>
  </si>
  <si>
    <t>Insbesondere zahlen Selbstständige, die im gesonderten Rentensystem (Gestione separata) gemeldet sind, Beiträge in das System ein, vorausgesetzt, ihr jährliches Arbeitseinkommen übersteigt €5.000.</t>
  </si>
  <si>
    <t>Personen, die eine selbstständige Tätigkeit mit einer bezahlten Beschäftigung als Arbeitnehmer kombinieren, zahlen gesonderte Beiträge jeweils als Arbeitnehmer und als Selbstständiger.</t>
  </si>
  <si>
    <t>Keine spezifischen Vorschriften für Fälle, in denen eine Person selbständig und unselbständig tätig ist.</t>
  </si>
  <si>
    <t>Im Falle von gleichzeitiger Tätigkeit als Arbeitnehmer und Selbstständigkeit werden Beiträge für Freischaffende für die Haupttätigkeit entrichtet, d.h. die Tätigkeit, die die höchsten Gewinne generiert.
Selbstständige können nicht gleichzeitig als Arbeitnehmer tätig sein.</t>
  </si>
  <si>
    <t>Keine unterschiedlichen Vorschriften.
Begrenzung mit der Höchstbeitragsgrundlage.
Wird die Höchstbeitragsgrundlage (voraussichtlich) überschritten, kommt es zu einer Differenzbeitragsvorschreibung: Dabei gilt die Rangordnung ASVG/B-KUVG vor GSVG/FSVG vor BSVG. Ausgehend von der (den) vorrangigen Beitragsgrundlage(n) wird die nachrangige Beitragsgrundlage vorläufig in einer Höhe festgesetzt, die voraussichtlich das Überschreiten der Höchstbeitragsgrundlage ausschließt; es kommt also von vornherein zu einer (teilweisen) Befreiung von der Beitragspflicht.</t>
  </si>
  <si>
    <t>Selbstständige
Bei einer Kombination von selbstständiger Tätigkeit und bezahlter Beschäftigung als Arbeitnehmer sind nur Beiträge als Arbeitnehmer zu zahlen. Beiträge für die selbstständige Tätigkeit sind freiwillig.
Landwirte
Bei der Kombination von landwirtschaftlicher Tätigkeit und bezahlter Beschäftigung als Arbeitnehmer sind nur Beiträge als Arbeitnehmer zu zahlen.</t>
  </si>
  <si>
    <t>Die Rentenempfänger, die eine selbstständige Tätigkeit ausüben, können von der Beitragszahlung befreit werden.</t>
  </si>
  <si>
    <t>Diejenigen, die sowohl als Arbeitnehmer als auch als Selbstständige arbeiten, sind im Fall von bestimmten Einkommensquellen, die sie als Selbstständige erzielen, von der Pflichtversicherung befreit (zum Beispiel geistige Eigentumsrechte).</t>
  </si>
  <si>
    <t>Kein Unterschied.</t>
  </si>
  <si>
    <t>1. Säule:
Sofern das Einkommen aus einer selbstständigen nebenberuflichen Erwerbstätigkeit CHF2.300 pro Kalenderjahr nicht übersteigt, werden die Beiträge nur auf Verlangen des Versicherten erhoben.
Wenn der jährliche Mindestbeitrag (CHF530 für AHV/IV/EO) bereits auf dem im selben Jahr aus unselbstständiger Erwerbstätigkeit erzielten Einkommen erhoben wurde, kann die Person verlangen, dass die Beiträge für das aus selbstständiger Erwerbstätigkeit erzielte Einkommen nur zum untersten Satz der sinkenden Beitragsskala erhoben werden, sofern dieses Einkommen unter dem untersten Wert der sinkenden Beitragsskala liegt.
2. Säule:
Selbstständige, die nebenberuflich eine unselbstständige Erwerbstätigkeit ausüben, unterliegen für diese Tätigkeit nicht der Versicherungspflicht.</t>
  </si>
  <si>
    <t>Keine Unterschiede.</t>
  </si>
  <si>
    <t>Selbstständige haben Vollzeit-Versicherungsdeckung, wenn es nicht anders festgelegt ist. Personen, die als Arbeitnehmer in Teilzeit tätig sind (aber nicht weniger als 4 Wochenstunden) und zur gleichen Zeit als Selbstständige, müssen für die gesamte Versicherungszeit als Selbstständige abgedeckt sein.</t>
  </si>
  <si>
    <t>Personen, die Selbstständigkeit mit bezahlter Arbeit als Arbeitnehmer kombinieren, dürfen mehr als eine Rente beziehen, vorausgesetzt, dass sie alle notwendigen Voraussetzungen jedes Systems erfüllen.</t>
  </si>
  <si>
    <t>Eine auf Teilzeitbasis (siehe Tabelle 0, „Grundprinzipien“ für Selbstständige) erwerbstätige selbstständige Person ist für die Rentenversicherung abgedeckt:
   * wenn Bruttoeinkommen aus Teilzeit-Selbstständigkeit nach Abzug der Ausgaben mindestens dem „maßgebendem Betrag“ (CZK 111.736 (€4.515)) im vorangegangenen Kalenderjahr entspricht, oder;
   * wenn sie freiwillig Mitglied des Rentenversicherungssystems geworden ist.
Eine geringere Mindestbeitragsgrundlage gilt für Vollzeit-Selbstständige: CZK 5.122 (€207) monatlich).
Beiträge werden getrennt für jede versicherte Wirtschaftstätigkeit gezahlt, eine einzelne Leistung wird auf die Summe des Entgelts aus allen versicherten Wirtschaftstätigkeiten gezahlt.</t>
  </si>
  <si>
    <t>Die Zugangsbedingungen für die vorzeitige Altersrente (Alter und Dauer der beruflichen Tätigkeit) sind mit denen der Arbeitnehmer identisch.
Das gesetzliche Rentenalter (65 Jahre bis zum 31. Januar 2025, 66 Jahre von 1. Februar 2025 bis 1. Januar 2030 und 67 Jahre ab 1. Februar 2030) ist identisch.
Es besteht jedoch ein Unterschied in Bezug auf Arbeitnehmer hinsichtlich der garantierten Mindestrente.
Um eine garantierte Mindestrente beziehen zu können, müssen 2/3 der vollständigen Erwerbstätigkeit in einem System nachgewiesen werden (für gemischte Laufbahnen existiert eine Sonderregelung). Im System für Arbeitnehmer werden zur Erreichung der Quote von 2/3 die Jahre berücksichtigt, die mindestens 208 VZÄ (= strenges Kriterium) und mindestens 156 VZÄ (= flexibles Kriterium) entsprechen. Das flexible Kriterium ermöglicht ein schnelleres Erreichen der 2/3, die Berechnung ist jedoch weniger vorteilhaft als die beim strengen Kriterium zur Anwendung kommende. Beim Sozialstatus der Selbstständigen wird indessen nicht zwischen flexiblem und strengem Kriterium unterschieden, so dass die 2/3 weniger schnell erreicht werden.</t>
  </si>
  <si>
    <t>Dieselben wie für Arbeitnehmer.</t>
  </si>
  <si>
    <t>Versicherungspflichtige und freiwillig versicherte Selbstständige in der gesetzlichen Rentenversicherung: Dieselben Bedingungen wie für Arbeitnehmer.
Freie Berufe: Eigenfinanzierte Versorgungswerke: eigenes Beitrags- und Leistungsrecht.
Für Landwirte gibt es für bestimmte Leistungen eine Mindestversicherungszeit von 15 Jahren.</t>
  </si>
  <si>
    <t>Gleiche Bedingungen wie für Arbeitnehmer.</t>
  </si>
  <si>
    <t>Dieselben wie für Arbeitnehmer.
Aber neben dem Basissystem existieren mehrere Zusatzrentenversicherungen entsprechend der ausgeübten Tätigkeit. Für diese Zusatzrentenversicherungen gelten spezifische Zugangsbedingungen.</t>
  </si>
  <si>
    <t>Gleiche Anspruchsvoraussetzungen für Arbeitnehmer und Selbstständige.
Es gibt eine besondere Regel zum Versicherungseintritt für Selbstständige. PRSI für Selbstständige wurde das erste Mal am 06. April 1988 eingeführt. Für Personen, die am 06. April 1988 begannen, Beiträge für Selbstständige zu zahlen und zuvor zu einem beliebigen Zeitpunkt Arbeitnehmerversicherungsbeiträge gezahlt hatten, kann das Eintrittsdatum in die Versicherung entweder der 06. April 1988 sein oder das Datum, an dem sie tatsächlich zum ersten Mal Beiträge gezahlt haben, je nachdem, wie es für sie vorteilhafter ist.
Für Personen, die nach dem 06. April 1988 damit begonnen haben, Beiträge für Selbstständige zu zahlen, ist das Eintrittsdatum in die Versicherung das Datum, an dem ihr erster anrechenbarer Beitrag gezahlt wurde.</t>
  </si>
  <si>
    <t>Siehe Invalidität – „Kombination von selbstständiger und unselbstständiger Tätigkeit“.</t>
  </si>
  <si>
    <t>Dieselben wie für Arbeitnehmer.
Es werden die Zeiten der selbstständigen Tätigkeit, die vor der Gründung von Rentensystemen liegen, bis zu 15 Jahren als gleichgestellte Zeiten angerechnet.</t>
  </si>
  <si>
    <t>Dieselben wie für Arbeitnehmer:innen.</t>
  </si>
  <si>
    <t>Selbstständige
Wie für Arbeitnehmer.
Landwirte
Um Anspruch auf eine Altersrente zu haben, müssen Landwirte:
   * das Rentenalter erreicht haben (d. h. dasselbe wie für Arbeitnehmer: 60 – Frauen, 65 – Männer) und
   * über eine Rentenversicherungsdauer von mindestens 25 Jahren verfügen.
Um Anspruch auf eine vorzeitige Altersrente zu haben, müssen versicherte Landwirte:
   * bei Frauen das 55. Lebensjahr und bei Männern das 60. Lebensjahr vollendet haben;
   * die landwirtschaftlichen Tätigkeiten eingestellt haben;
   * seit mindestens 30 Jahren Beiträge gezahlt haben (nur Zeitraum der Agrarversicherung).
Eine solche vorgezogene Altersrente wird Landwirten gewährt, die die Voraussetzungen bis zum 31. Dezember 2017 erfüllt haben, also für Frauen, die vor dem 31. Dezember 1962 geboren wurden, und für Männer, die vor dem 31. Dezember 1957 geboren wurden. Nach diesem Datum Geborene haben keinen Anspruch auf eine vorgezogene Bauernaltersrente.</t>
  </si>
  <si>
    <t>Gleiche Zugangsbedingungen wie für Arbeitnehmer, mit Ausnahme vom flexiblen Renteneintrittsalter, das es nicht für Selbstständige gibt.</t>
  </si>
  <si>
    <t>1. und 2. Säule:
Dieselben wie für Arbeitnehmer.</t>
  </si>
  <si>
    <t>Dieselben wie für Arbeitnehmer (aber Selbstständige müssen alle fälligen Beitragszahlungen geleistet haben).</t>
  </si>
  <si>
    <t>Die verschiedenen Leistungen der beiden Systeme sind in Bezug auf Art und Dauer identisch.
Die Höhe der Mindestrente ist in den beiden Systemen gleich, aber die auf das Erwerbseinkommen berechnete Rente für Selbstständige ist im Allgemeinen geringer als die für Arbeitnehmer.</t>
  </si>
  <si>
    <t>Versicherungspflichtige und freiwillig Versicherte in der gesetzlichen Rentenversicherung: Dieselben Bedingungen wie für Arbeitnehmer.
Freie Berufe: Eigenfinanzierte Versorgungswerke: eigenes Beitrags- und Leistungsrecht.
Landwirte: Im Gegensatz zu dem allgemeinen System der Rentenversicherung stellt die Alterssicherung der Landwirte nur eine Teilsicherung dar. Der Teilsicherungscharakter der Alterssicherung der Landwirte schlägt sich in der Höhe der Beiträge und im Niveau der Renten nieder. In der Alterssicherung der Landwirte wird ein nicht einkommensbezogener Einheitsbeitrag erhoben.</t>
  </si>
  <si>
    <t>Landwirte
Die Rente für Landwirte setzt sich zusammen aus
   * einer Grundrente, die eine Pauschalrente umfasst (je nach Dauer der Tätigkeit und der nach Generation bestimmten Dauer der Berufslaufbahn) und einer anteilsmäßigen Rente, die den durch Beiträge erworbenen Punkten entspricht;
   * einer obligatorischen Zusatzrente, die ebenfalls nach Punkten berechnet wird.
Handwerker, Kaufleute und Gewerbetreibende
Gleiche Formel zur Feststellung des Rentenanspruchs wie für Arbeitnehmer:
Durchschnittliches Jahreseinkommen x Satz x (Anzahl von Versicherungsquartalen Handwerker oder Kaufleute nach 1972/Bezugsdauer).
Berücksichtigung von Versicherungsquartalen im Rahmen der Tätigkeit als Arbeitnehmer (allgemeines und/oder landwirtschaftliches Versicherungssystem).
Freie Berufe
Die eingezahlten Beiträge werden in Punkte umgewandelt, nach denen die Höhe der Grundrente festgesetzt wird. Der Rentenanspruch errechnet sich aus der Anzahl der erworbenen Punkte, dem Wert der einzelnen Punkte und einer Liquiditätsquote, die von der Versicherungsdauer abhängt (Punktwert des Basissystems am 1. Januar 2025: €0,6540).
Bei vorzeitiger Altersrente entsprechen die angewendeten Ermäßigungskoeffizienten (Abschlag) und Erhöhungskoeffizienten (Aufschlag) denen von Arbeitnehmern (1,25%).</t>
  </si>
  <si>
    <t>Dieselben wie für Arbeitnehmer.
Landwirte: Rentenberechnung (Alter und Invalidität) wird schrittweise vereinheitlicht bis 1. Januar 2031.</t>
  </si>
  <si>
    <t>Im Allgemeinen gelten die gleichen Bedingungen wie für Arbeitnehmer bei Bedingungen bezüglich Rentenalter und Versicherungszeiten sowohl mit Hinsicht auf Alter als auch auf vorzeitige Rente.
Altersrente (Pensione di vecchiaia):
Mindestversicherungszeit von 20 Beitragsjahren.
Personen, die ab dem 1 Januar 1996 versichert waren, können im Alter von 71 Jahren + 3 Monaten in Rente gehen. Diese Altersbedingung kann auf 67 Jahre vorgezogen werden (derzeitiges gesetzliches Rentenalter), wenn daneben 20 Versicherungsjahre geleistet wurden und die Höhe ihrer Rente dem Betrag der Sozialhilfeleistung entspricht, d.h. €538,69 im Jahr 2025. Eine Mindestversicherungszeit von 5 Beitragsjahren (keine angenommenen Beiträge) gilt für Personen, die im Alter von 71 Jahren + 3 Monaten in Rente gehen.
Das normale Rentenalter ist wie folgt:
   * Männliche Selbstständige, einschließlich jene, die im gesonderten Rentensystem (Gestione separata) versichert sind: 67 Jahre;
   * Weibliche Selbstständige, einschließlich jene, die im gesonderten Rentensystem (Gestione separata) versichert sind: 67 Jahre.
Die schrittweise Anhebung des Rentenalters stützt sich auf die Lebenserwartung, ist jedoch bis Dezember 2026.
Flexibilität in den Anspruchsvoraussetzungen für das Rentenalter anstelle einer Stundung der Rente ist nun durch Anreize (bessere Transformationskoeffizienten für die Berechnung des Rentenbetrags) möglich bis zum Alter von 71 Jahren mit dem Ziel, das Arbeitsleben zu verlängern.
Vorgezogene Rente (Pensione anticipata):
Seit Januar 2012 wurde die frühere Rente nach Dienstalter (pensione di anzianità) von der vorgezogenen Rente ersetzt. Wenn die selbstständige Person die Beitragsbedingungen von 42 Jahren und 10 Monaten für Männer und 41 Jahre und 10 Monaten für Frauen erfüllt, kann sie die vorgezogene Rente zu jedem Alter beantragen (gilt noch im Jahr 2025).
Die stufenweise Verschärfung der Anspruchsbedingungen hinsichtlich der Beiträge für vorgezogene Renten aufgrund der erhöhten Lebenserwartung ausgesetzt bis 2025.
Günstigere Bedingungen gelten für Selbständige, die beschwerliche Tätigkeiten ausüben, d. h. 41 Beitragsjahre für Männer und Frauen.
Für den Anspruch sowohl auf Vorruhestandsrente für Frauen, die sogenannte „Opzione donna“ (ausgenommen das 18-Monats-Aufsschubssystem, das für die erste Rentenzahlung für selbstständige Frauen gilt im Vergleich zum 12-Monats-Aufschub, der für Arbeitnehmerinnen gilt) und die flexible Vorruhestandsrente (Pensione anticipata flessibile „Quota 103“) gelten die gleichen Bedingungen wie für Arbeitnehmer (62 Jahre + 41 Jahre Jahresbeiträge, wovon 35 sich auf effektive Arbeitstätigkeit und folglich nicht auf angenommene  Beitragszeiten, z.B. in Bezug auf Krankheit oder Arbeitslosigkeit beziehen). Das ist eine experimentelle Maßnahme, die im Jahr 2025 fortgeführt wird. Eine Aufschubregelung von drei Monaten trifft auf den Anfang der Rentenzahlung zu. Kumulierung mit Arbeitsentgelt ist nicht vorgesehen bis Empfänger, die unter der Regelung „Quota 103“ in Ruhestand gegangen sind, Anspruch auf die gesetzliche Altersrente haben, außer der jährlichen Bruttohöchstgrenze von €5.000 für Einkommen aus gelegentlicher Selbstständigkeit.
Beide Systeme ermöglichen eine Berechnung der Vorruhestandsrente entsprechend dem beitragsbezogenen System (Defined Contribution System).
Für den Anspruch auf die Vorruhestandsbeihilfe (APE sociale - Anticipo Pensionistico) gelten die gleichen Bedingungen wie für Arbeitnehmer für die Überbrückung zur gesetzlichen Altersrente mit Gewährung eines Höchstbetrags von €1.500 brutto monatlich, 12 Mal jährlich.
Nach einer Mitgliedschaft von 20 Jahren beläuft sich die Altersrente auf 2% der Anzahl der Beitragsjahre (höchstens 40), multipliziert mit dem pensionsfähigen Referenzeinkommen. Für Selbständige, die am 31. Dezember 1992 mindestens 15 Jahre Betriebszugehörigkeit vorweisen konnten, ist das Referenzeinkommen der Durchschnitt der Einkünfte aus Erwerbstätigkeit (mit einer Obergrenze) der vorangegangenen 10 Jahre. Für diejenigen, die am 31. Dezember 1992 weniger als 15 Jahre zugehörig waren, entspricht das Referenzeinkommen dem Durchschnitt des Erwerbseinkommens (mit einer Obergrenze) über einen variablen Zeitraum zwischen den vorangegangenen 10 Jahren und ihrem gesamten Arbeitsleben. Das Referenzeinkommen wird als konventionelles Einkommen auf der Grundlage von 4 Werten ermittelt und entsprechend dem Verbraucherpreisindex angepasst, der für jedes Jahr der selbständigen Tätigkeit um 1% erhöht wird.
Für jedes Beitragsjahr wird ein Beitrag von 20% des Jahreseinkommens zum Versicherungsnachweis für Selbständige hinzugefügt. Die jährliche Beitragshöhe wird am Ende des Jahres entsprechend der fünfjährigen Veränderung des BIP neu bewertet.</t>
  </si>
  <si>
    <t>Dieselben Leistungen wie für unselbständig Erwerbende.</t>
  </si>
  <si>
    <t>Gleiche Berechnungsmethode und Dauer wie für Arbeitnehmer.
Das Referenzeinkommen ist jedoch ein anderes als bei Arbeitnehmern.</t>
  </si>
  <si>
    <t>Gleiche Leistungen erhältlich wie für Arbeitnehmer.</t>
  </si>
  <si>
    <t>Gleiche Regelung wie bei unselbständig Erwerbstätigen.</t>
  </si>
  <si>
    <t>Selbstständige
Wie für Arbeitnehmer.
Landwirte
Die Altersrente für Landwirte umfasst einen beitragsabhängigen und einen zusätzlichen Teil. Der beitragsabhängige Teil versorgt den Landwirt mit einer Leistung, die sich auf dessen Durchschnittseinkommen bezieht. Die Ersatzrate des zusätzlichen Teils beläuft sich auf rund 25% des Grundbetrags.</t>
  </si>
  <si>
    <t>Gleiche Leistungen wie für Arbeitnehmer.
Umschulungszulage: für Berufstätige im Kulturbereich, die ihre Berufstätigkeit eingestellt haben und noch keinen Anspruch auf Altersrente haben (nicht von der sozialen Sicherheit bezahlt).</t>
  </si>
  <si>
    <t>Gleiches gilt für Arbeitnehmer, jedoch besteht kein Anspruch auf Teilruhestandsrente oder auf Frührente im Falle eines unfreiwilligen Ruhestandes.</t>
  </si>
  <si>
    <t>Gleiche Leistungen wie für Arbeitnehmer.</t>
  </si>
  <si>
    <t>Gleiches steuerliches System wie für Arbeitnehmer.</t>
  </si>
  <si>
    <t>Wie für Arbeitnehmer. Keine Steuern auf Leistungen zahlbar.</t>
  </si>
  <si>
    <t>Bei Selbstständigen wird das Einkommen in Form einer Bilanz oder Einnahmen-Überschuss-Rechnung ermittelt. Die Besteuerung des Gesamteinkommens nebst Entgeltleistungen erfolgt im Nachhinein.</t>
  </si>
  <si>
    <t>Wie für Arbeitnehmer. Leistungen sind steuerpflichtig.</t>
  </si>
  <si>
    <t>Gleiche Bedingungen wie für Arbeitnehmer. Leistungen unterliegen der Steuer.</t>
  </si>
  <si>
    <t>Wie für Arbeitnehmer (Leistungen unterliegen der Steuer).</t>
  </si>
  <si>
    <t>Wie für Arbeitnehmer. Leistungen unterliegen nicht der Einkommenssteuer.</t>
  </si>
  <si>
    <t>Wie für Arbeitnehmer (Leistungen sind steuerpflichtig).</t>
  </si>
  <si>
    <t>Gleiche Bedingungen wie für Arbeitnehmer.
Der Beitragssatz zur Volksversicherung für Personen, die im Laufe des Einkommensjahres 16 Jahre alt werden oder jünger sind oder im Laufe des Einkommensjahres 70 Jahre alt werden oder älter sind, beträgt 5,1% für alle Arten des persönlichen Einkommens. Dazu gehören auch der Lohn und das persönliche Einkommen von Selbstständigen.
Der auf die Altersrenten angewandte Satz von 5,1% ist jedoch altersunabhängig.</t>
  </si>
  <si>
    <t>Dieselben wir für Arbeitnehmer:innen: Sie unterliegen der Einkommensteuer.</t>
  </si>
  <si>
    <t>Selbstständige und Landwirte
Wie für Arbeitnehmer.</t>
  </si>
  <si>
    <t>Wie für Arbeitnehmer: Renten unterliegen der Besteuerung.</t>
  </si>
  <si>
    <t>Gleiche Bedingungen wie für Arbeitnehmer. (Leistungen werden nur besteuert, wenn sie CZK 748.800 (€30.257) übersteigen, d.h. das 36-fache des monatlichen Bruttomindestlohns.)</t>
  </si>
  <si>
    <t>Wie für Arbeitnehmer. Renten unterliegen der Besteuerung.</t>
  </si>
  <si>
    <t>Wie für Arbeiternehmer.</t>
  </si>
  <si>
    <t>Wie für Arbeitnehmer. Keine Sozialabgaben auf Leistungen zahlbar.</t>
  </si>
  <si>
    <t>Identisch mit denen für Arbeitnehmer (Leistungen sind beitragspflichtig).</t>
  </si>
  <si>
    <t>Wie für Arbeitnehmer. Keine Beiträge auf Leistungen zahlbar.</t>
  </si>
  <si>
    <t>Gleiche Bedingungen wie für Arbeitnehmer Leistungen unterliegen der Steuer.</t>
  </si>
  <si>
    <t>Es gelten dieselben Vorschriften für Sozialbeiträge wie für unselbständig Erwerbende (d.h. keine Sozialabgaben).</t>
  </si>
  <si>
    <t>Wie für Arbeitnehmer. Keine Sozialbeiträge auf Leistungen.</t>
  </si>
  <si>
    <t>Wie für Arbeitnehmer (Beiträge auf Leistungen zahlbar).</t>
  </si>
  <si>
    <t>Gleiche Regelungen wie für Arbeitnehmer: Keine Beiträge auf die Leistungen.</t>
  </si>
  <si>
    <t>Gleiche Bedingungen wie für Arbeitnehmer (keine Sozialbeiträge auf Leistungen zahlbar).</t>
  </si>
  <si>
    <t>Wie für Arbeitnehmer. Keine Sozialbeiträge auf Leistungen.</t>
  </si>
  <si>
    <t>Arbeitnehmer:
Königlicher Erlass Nr. 50 vom 24. Oktober 1967 über Alters- und Hinterliebenenpensionen für Arbeitnehmer (Arrêté royal n° 50 relatif à la pension de retraite et de survie des travailleurs salariés/Koninklijk besluit nr 50 betreffende het rust- en overlevingspensioen voor werknemers)
Königlicher Erlass vom 21. Dezember 1967 zur Einführung einer allgemeinen Regelung über die Ruhestands- und Hinterbliebenenpension für Lohnempfänger (Koninklijk besluit tot vaststelling van het algemeen reglement betreffende het rust- en overlevingspensioen voor werknemers)
Königlicher Erlass vom 23. Dezember 1996 zur Ausführung der Artikel 15, 16 und 17 des Gesetzes vom 26. Juli 1996 zur Modernisierung der sozialen Sicherheit und zur Sicherung der gesetzlichen Pensionsregelungen (Koninklijk besluit tot uitvoering van de artikelen 15, 16 en 17 van de wet van 26 juli 1996 tot modernisering van de sociale zekerheid en tot vrijwaring van de leefbaarheid van de wettelijke pensioenen).
Selbstständige:
Königlicher Erlass Nr. 72 vom 10. November 1967 über Alters- und Hinterliebenenpensionen für Selbstständige (Arrêté royal n° 72 relatif à la pension de retraite et de survie des travailleurs indépendants/Koninklijk besluit nr 72 betreffende het rust- en overlevingspensioen der zelfstandigen)
Königlicher Erlass vom 22. Dezember 1967 zur Einführung einer allgemeinen Regelung über die Ruhestands- und Hinterbliebenenpension für Selbständige (Koninklijk besluit houdende algemeen reglement betreffende het rust- en overlevingspensioen der zelfstandigen)
Verzeichnis der Rechtsakte: Moniteur Belge - Belgisch Staatsblad (fgov.be)</t>
  </si>
  <si>
    <t>Sozialgesetzbuch (Кодекс за социално осигуряване) von 1999, Abschnitt 2003 novelliert.</t>
  </si>
  <si>
    <t>Konsolidiertes Gesetz Nr. 1142 vom 1. November 2024 über Zusatzrenten (om Arbejdsmarkedets tillægspension, ATP).
Verzeichnis der Rechtsakte: https://www.retsinformation.dk/</t>
  </si>
  <si>
    <t>Sozialgesetzbuch Sechstes Buch, eingeführt durch das Rentenreformgesetz vom 18. Dezember 1989, in der Fassung der Bekanntmachung vom 19. Februar 2002 (BGBl. I S. 754, 1404, 3384), zuletzt geändert durch Art. 11 G v. 18.12.2024 (BGBl. I Nr. 423). SGB 6 - nichtamtliches Inhaltsverzeichnis (gesetze-im-internet.de)</t>
  </si>
  <si>
    <t>Gesetz über die staatliche Rentenversicherung (Riikliku pensionikindlustuse seadus) 2001.
Gesetz über die staatliche Bestattungsbeihilfe (Riikliku matusetoetuse seadus) 2001.
Verzeichnis der Rechtsakte – siehe hier.</t>
  </si>
  <si>
    <t>Gesetz über die Volksrenten Nr. 568/2007 (Kansaneläkelaki, KEL).
Gesetz über Renten für Seeleute Nr. 1290/2006 (Merimieseläkelaki, MEL).
Gesetz über Renten für Arbeitnehmer 395/2006 (Työntekijän eläkelaki, TyEL).
Gesetz über Renten für den öffentlichen Sektor Nr. 81/2016 (Julkisten alojen eläkelaki).
Gesetz über Renten der Selbstständigen Nr. 1272/2006 (Yrittäjän eläkelaki, YEL).
Rentengesetz für Landwirte Nr. 1280/2006 (Maatalousyrittäjän eläkelaki, MYEL).
Verzeichnis der Rechtsakte: https://www.finlex.fi/en/</t>
  </si>
  <si>
    <t>Basissystem (Régime de base):
Sozialgesetzbuch (Code de la sécurité sociale), Artikel L 342-1 f., L 353-1 ff., L 356-1 ff. und L358-1 ff.
Zusatzrentensysteme (Agirc-Arrco):
Am 17. November 2017 wurde das Zusatzrentensystem Agirc-Arrco eingeführt.
Es gibt weitere Basis- und Zusatzsysteme, insbesondere für die Selbstständigen und für bestimmte Arbeitnehmergruppen.
Verzeichnis der Rechtsakte Verzeichnis der Rechtsakte: https://www.legifrance.gouv.fr/codes/texte_lc/LEGITEXT000006073189/ und https://www.agirc-arrco.fr/nos-etudes-et-publications/documentation-institutionnelle/textes-de-reference/</t>
  </si>
  <si>
    <t>Gesetz Nr. 1846/51 vom 14. Juni 1951, in der durch das Gesetz Nr. 2676 vom 5. Januar 1999 geänderten Fassung.
Gesetz Nr. 1902/90 vom 17. Oktober 1990.
Gesetz Nr. 2084/92 vom 7. Oktober 1992.
Gesetz Nr. 3029/02 vom 11. Juli 2002.
Gesetz Nr. 3232/04 vom 12. Februar 2004.
Gesetz Nr. 3385/05 vom 19. August 2005.
Gesetz Nr. 3863/10 vom 15. Juli 2010.
Gesetz Nr. 3986/11 vom 1. Juli 2011.
Gesetz Nr. 3996/11 vom 5. August 2011.
Gesetz Nr. 4093/2012 vom 12. November 2012.
Gesetz Nr. 4111/2013 vom 25. Januar 2013.
Gesetz Nr. 4147/2013 vom 26. April 2013.
Gesetz Nr. 4237/2014 vom 12. Dezember 2014.
Gesetz Nr. 4387/2016 vom 12. Mai 2016.
Gesetz Nr 4393/2016 vom 6. Juni 2016.
Gesetz Nr. 4472/2016 vom 19. Mai 2017.
Gesetz Nr. 4499/2017 vom 21. November 2017.
Gesetz Nr. 4554/2018 vom 18. Juni 2018.
Gesetz Nr. 4611/2019 vom 17. Mai 2019 (Art. 19).
Gesetz Nr. 4670/2020 vom 28. Februar 2020.
Gesetz Nr. 4798/2021 vom 24. April 2021.
Gesetz Nr. 4892/2022 vom 22. Februar 2022.
Gesetz Nr. 4997/2022 vom 25. November 2022.
Gesetz Nr. 5036/2023 vom 28. März 2023.
Gesetz Nr. 5078/2023 vom 20. Dezember 2023.
Verzeichnis der Rechtsakte: https://search.et.gr/el/</t>
  </si>
  <si>
    <t>Sozialversicherungsgesetz (Lög um almannatryggingar) Nr. 100/2007 vom Mai 2007.
Sozialhilfegesetz (Lög um félagslega aðstoð) Nr. 99/2007 vom Mai 2007.
Gesetz über die obligatorische Versicherung für Renten und die Tätigkeit von Rentenfonds (Lög um skyldutryggingu lífeyrisréttinda og starfsemi lífeyrissjóða) Nr. 129/1997 vom Dezember 1997.
Verzeichnis der Rechtsakte – siehe hier.</t>
  </si>
  <si>
    <t>Gesetz Nr. 155 vom 23. April 1981 (Legge 23 Aprile 1981 n. 155 - Adeguamento delle strutture e delle procedure per la liquidazione urgente delle pensioni e per i trattamenti di disoccupazione, e misure urgenti in materia previdenziale e pensionistica).
Gesetz Nr. 638 vom 11. Nov. 1983 (Legge 11 Novembre 1983 n. 638 - Conversione in Legge, con modificazioni, del Decreto-Legge 12 settembre 1983, n. 463, recante misure urgenti in materia previdenziale e sanitaria).
Gesetzgebende Verordnung Nr. 503 vom 30. Dez. 1992 (Decreto Legislativo 30 Dicembre 1992 n. 503 - Norme per il riordinamento del sistema previdenziale dei lavoratori privati e pubblici).
Gesetz Nr. 335 vom 8. August 1995 zur Rentenreform (Legge 8 Agosto 1995 n. 335 - Riforma del sistema pensionistico obbligatorio e complementare).
Gesetz Nr. 243 vom 23. August 2004 über die Förderung von Zusatzrenten (Legge 23 Agosto 2004 n. 243 -Norme in materia pensionistica e deleghe al Governo nel settore della previdenza pubblica, per il sostegno alla previdenza complementare e all‘occupazione stabile e per il riordino degli enti di previdenza ed assistenza obbligatoria).
Gesetz Nr. 133 vom 6 August 2008 zur Beseitigung der Einschränkungen bezüglich der Kumulation von Renten und Arbeit (Legge 6 agosto 2008, n.133- Conversione in legge, con modificazioni, del decreto-legge 25 giugno 2008, n. 112, recante disposizioni urgenti per lo sviluppo economico, la semplificazione, la competitività, la stabilizzazione della finanza pubblica e la perequazione tributaria).
Gesetz Nr. 122 vom 30. Juli 2010 über dringende Maßnahmen im Bereich der finanziellen Stabilisierung und wirtschaftlichen Wettbewerbsfähigkeit (Legge 30 Luglio 2010 n. 122 - misure urgenti in materia di stabilizzazione finanziaria e competitività economica).
Gesetz Nr. 147 vom 27. Dezember 2013 über Bestimmungen für die Aufstellung des jährlichen und mehrjährigen Staatshaushalts - Stabilitätsgesetz 2014 (Disposizioni per la formazione del bilancio annuale e pluriennale dello Stato - Legge di stabilità 2014).
Gesetz Nr. 76 vom 20. Mai 2016, über “Bestimmungen zu gleichgeschlechtlichen Lebenspartnerschaften und eingetragenen Lebensgemeinschaften” (veröffentlicht im Amtsblatt der Italienischen Republik Nr. 118 vom 21. Mai 2016) – (Legge 20 same gender civil partnerships maggio 2016, n. 76 recante la "Regolamentazione delle Unioni civili tra persone dello stesso sesso e disciplina delle convivenze").
Verzeichnis der Rechtsakte: https://www.normattiva.it/</t>
  </si>
  <si>
    <t>1. Säule:
Rentenversicherungsgesetz (Zakon o mirovinskom osiguranju) von 2025, ABl. Nr. 96/25.
Gesetz über Zulagen zu Renten, die nach dem Rentenversicherungsgesetz erworben wurden (Zakon o dodatku na mirovine ostvarene prema Zakonu o mirovinskom osiguranju) von 2007, ABl. Nr. 79/07, 114/11, 115/18 und 156/23.
2. Säule:
Gesetz über obligatorische Rentenfonds (Zakon o obveznim mirovinskom fondovima) von 2014, ABl. Nr. 19/14 (in Kraft seit dem 20. Februar 2014) und Änderungen 93/15, 64/18, 115/18 und 58/20.
Gesetz über freiwillige Rentenfonds (Zakon o dobrovoljnim mirovinskom fondovima) von 2014, ABl. Nr. 19/14 und 115/18.
Gesetz über Rentenversicherungsunternehmen (Zakon o mirovinskim osiguravajućim društvima), von 2014, ABl. Nr. 22/14, 115/18 und 156/23.
Verzeichnis der Rechtsakte – siehe hier.</t>
  </si>
  <si>
    <t>Gesetz über die staatliche Sozialversicherung (Likums „Par valsts sociālo apdrošināšanu“) vom 1. Oktober 1997.
Gesetz über staatliche Renten (Likums „Par valsts pensijām“) vom 2. November 1995.
Gesetz über Staatliche Sozialleistungen (Valsts sociālo pabalstu likums) vom 1. Januar 2003.
Verordnung des Ministerkabinetts Nr. 165 über “Verfahren zur Erbringung von Nachweisen, Berechnung und Registrierung von Versicherungszeiten” vom 23. April 2002 (Ministru kabineta 23.04.2002. noteikumi Nr.165 “Apdrošināšanas periodu pierādīšanas aprēķināšanas un uzskaites kārtība”).
Verordnung des Ministerkabinetts Nr. 427 über “Gewährung, Neuberechnung und Zahlung der gesetzlichen Rente sowie Verfahren für die Berechnung des durchschnittlichen versicherungspflichtigen Entgelts zur Bestimmung der Invaliditätsrente” vom 5. Juli 2016 (Ministru kabineta 05.07.2016. noteikumi Nr.427 "Noteikumi par valsts pensijas piešķiršanu, pārrēķināšanu un izmaksu, kā arī vidējās apdrošināšanas iemaksu algas aprēķināšanas kārtību invaliditātes pensijas noteikšanai").
Verzeichnis der Rechtsakte: https://likumi.lv/</t>
  </si>
  <si>
    <t>1. Säule: Gesetz über die Alters- und Hinterlassenenversicherung (AHVG), LGBl. 1952 Nr. 29.
2. Säule: Gesetz über die betriebliche Personalvorsorge, LGBl. 1988 Nr. 1.
Gesetz über die betriebliche Personalvorsorge des Staates, LGBL. 2013 Nr. 329.
Rechtsinformationssystem: www.gesetze.li</t>
  </si>
  <si>
    <t>Das Änderungsgesetz zum Gesetz Nr. I-549 der Republik Litauen über Renten der staatlichen Sozialversicherung (Lietuvos Respublikos valstybinių socialinio draudimo pensijų įstatymo Nr. I-549 pakeitimo įstatymas) vom 29. Juni 2016 (Nr. XII.2512).
Gesetz über Leistungen für Alleinstehende (Vienišo asmens išmokos įstatymas) vom 27. Mai 2021 (Nr. XIV-352).
Verzeichnis der Rechtsakte: https://e-seimas.lrs.lt/.</t>
  </si>
  <si>
    <t>Gesetz über soziale Sicherheit (Att dwar is-Sigurtà Soċjali) (Kap. 318), verfügbar unter https://legislation.mt/eli/cap/318/eng.
Gesetz über Hinterbliebenenrenten (Att dwar Pensjoni tar-Romol u ta’Ltima) (Kap. 58), verfügbar unter https://legislation.mt/eli/cap/58/eng.
Verzeichnis der Rechtsakte: https://legislation.mt/Legislation.</t>
  </si>
  <si>
    <t>Allgemeines Hinterbliebenengesetz (Algemene nabestaandenwet, Anw)
Gesetz vom 21. Dezember 1995 über Regelung von Versicherung hinterbliebener Verwandter (Wet van 21 december 1995, tot regeling van een verzekering voor nabestaanden)
Verzeichnis der Rechtsakte: www.wetten.nl</t>
  </si>
  <si>
    <t>Volksversicherungsgesetz (folketrygdloven) vom 28. Februar 1997, Abschnitte 17, 17A und 18.
Verzeichnis der Rechtsakte – siehe hier.</t>
  </si>
  <si>
    <t>Gesetz über das System der Sozialversicherung (Ustawa o systemie ubezpieczeń społecznych) vom 13. Oktober 1998.
Gesetz über Renten des Sozialversicherungsfonds (Ustawa o emeryturach i rentach z Funduszu Ubezpieczeń Społecznych) vom 17. Dezember 1998.
Verzeichnis der Rechtsakte – siehe https://isap.sejm.gov.pl/.</t>
  </si>
  <si>
    <t>Rechtsverordnung Nr. 322/90 vom 18. Oktober 1990 über das Absicherungssystem bei Todesfall (Decreto-Lei nº 322/90, de 18/10, versão consolidada, regime de proteção na eventualidade morte dos beneficiários do regime geral), mehrfach geändert.
Rechtsordnung Nr. 265/99 vom 14. Juli 1999 über die Pflegezulage (Decreto-Lei nº 265/99, de 14/7, versão consolidada, complemento por dependência), mehrfach geändert.
Rechtsordnung Nr. 232/05 vom 29. Dezember 2005 über die Solidarzulage für ältere Menschen (Decreto-Lei nº 232/05, de 29/12, versão consolidada, complemento solidário para idosos), mehrfach geändert.
Verzeichnis der Rechtsakte - siehe hier.</t>
  </si>
  <si>
    <t>Gesetz Nr. 360/2023 über das öffentliche Rentensystem (Legea nr.360/2023 privind sistemul public de pensii).
Regierungsbeschluss Nr. 181 vom 28. Februar 2024 zur Anerkennung der Regeln für die Anwendung von Gesetz Nr. 360/2023 über das öffentliche Rentensystem (Hotărârea nr.181 din 28 februarie 2024 pentru aprobarea Normelor de aplicare a Legii nr. 360/2023 privind sistemul public de pensii).
Verzeichnis der Rechtsakte: https://legislatie.just.ro/Public/Acasa</t>
  </si>
  <si>
    <t>Sozialgesetzbuch (Socialförsäkringsbalk) von 2010, Abschnitt F.
Verzeichnis der Rechtsakte:
Socialförsäkringsbalk (2010:110) | Sveriges riksdag</t>
  </si>
  <si>
    <t>Sozialversicherungsgesetz (Zákon o sociálnom poistení) Nr. 461/2003.
Gesetz über Geldanlagen für die Altersrente (Zákon o starobnom dôchodkovom sporení) Nr. 43/2004.
Verzeichnis der Rechtsakte: https://www.slov-lex.sk/pravne-predpisy.</t>
  </si>
  <si>
    <t>Gesetz über die Renten- und Invaliditätsversicherung (Zakon o pokojninskem in invalidskem zavarovanju) (Amtsblatt der Republik Slowenien, Nr. 48/22 – in der offiziell konsolidierten Version einschließlich späterer Änderungen).
Gesetz zum Finanzausgleich (Zakon za uravnoteženje javnih financ (ZUJF)) (Amtsblatt der Republik Slowenien, Nr. 40/2012, mit Änderungen).
Gesetz zur persönlichen Einkommenssteuer (Zakon o dohodnini (ZDoh-2)) (Amtsblatt der Republik Slowenien, Nr. 13/2011 – in der offiziell konsolidierten Version einschließlich späterer Änderungen).
Gesetz über die Umsetzung der Haushaltspläne der Republik Slowenien für die Jahre 2025 und 2026 (Zakon o izvrševanju proračunov Republike Slovenije za leti 2025 in 2026) (Amtsblatt der Republik Slowenien, Nr. 104/24 einschließlich späterer Änderungen).
Verzeichnis der Rechtsakte: Pravno-informacijski sistem Republike Slovenije (PISRS)</t>
  </si>
  <si>
    <t>Allgemeines Gesetz über die soziale Sicherheit (Ley General de Seguridad Social) aufgrund des Gesetzgebenden Königlichen Dekret Nr. 8/2015 vom Freitag, 30. Oktober 2015, einschließlich Änderungen.
Königliches Dekret Nr. 1647/97 vom 31.10.1997, einschließlich Änderungen.
Ministerialerlass vom 13.2.1967 einschließlich Änderungen zur Festlegung von Regeln zur Anwendung und Entwicklung von Leistungen im Todesfall und Hinterbliebenenleistungen im Rahmen des Allgemeinen Systems der Sozialen Sicherheit (Orden Ministerial por la que se establecen normas para la aplicación y desarrollo de las prestaciones de muerte y supervivencia del Régimen General de la Seguridad Social).
Königliches Dekret Nr. 1465/2001 vom 27.12.2001 zur teilweisen Änderung des Rechtssystems für Leistungen im Todesfall und für Hinterbliebene (Real Decreto 1465/2001, de 27 de diciembre, de modificación parcial del régimen jurídico de las prestaciones de muerte y supervivencia).
Königliches Dekret Nr. 296/2009 vom 9. März 2009 zur teilweisen Änderung des Rechtssystems für Leistungen im Todesfall und für Hinterbliebene (Real Decreto 296/2009, de 6 de marzo, por el que se modifican determinados aspectos de la regulación de las prestaciones por muerte y supervivencia).
Gesetz Nr. 27/2011 vom 1.8.2011 (Ley 27/2011, de 1 de agosto, sobre actualización, adecuación y modernización del sistema de Seguridad Social).
Verzeichnis der Rechtsakte: https://www.boe.es/buscar/legislacion.php</t>
  </si>
  <si>
    <t>Konsolidiertes Gesetz über die Grundrentenversicherung (Zákon o důchodovém pojištění) Nr. 155/1995.
Verzeichnis der Rechtsakte: https://www.e-sbirka.cz/</t>
  </si>
  <si>
    <t>Gesetz CXXII von 2019 über Ansprüche auf Leistungen der sozialen Sicherheit und die Finanzierung dieser Leistungen (törvény a társadalombiztosítás ellátásaira jogosultakról, valamint ezen ellátások fedezetéről).
Gesetz LXXXI von 1997 über Renten der Sozialversicherung (törvény a társadalombiztosítási nyugellátásokról).Regierungsdekret Nr. 168/1997 (X. 6.) über die Umsetzung von Gesetz LXXXI von 1997 über Renten der Sozialversicherung (168/1997. (X. 6.) Korm. rendelet a társadalombiztosítási nyugellátásról szóló 1997. évi LXXXI. törvény végrehajtásáról) 
Verzeichnis der Rechtsakte: https://njt.hu/</t>
  </si>
  <si>
    <t>Überwiegend beitragsfinanziertes obligatorisches Sozialversicherungssystem für die erwerbstätige Bevölkerung (Arbeitnehmer und Selbstständige) mit an die Höhe der Rente des Verstorbenen anknüpfenden Leistungen in Abhängigkeit von den Beiträgen und der Versicherungsdauer.</t>
  </si>
  <si>
    <t>Beitragsfinanziertes Sozialversicherungssystem mit entgeltbezogenen Leistungen für Erwerbstätige.
Die Leistungen sind abhängig von den Rentenansprüchen des Verstorbenen.</t>
  </si>
  <si>
    <t>Beitragsfinanziertes obligatorisches Sozialversicherungssystem für Arbeitnehmer und Empfänger von bestimmten Sozialleistungen, welches Leistungen bietet, die teils von der Dauer der Mitgliedschaft und den seit 1. Januar 2002 gezahlten Beiträgen des Verstorbenen abhängen.
Der Pauschalbetrag, der an den hinterbliebenen Ehepartner/Lebensgefährten ausgezahlt wird, ist abhängig von den Beiträgen, die der Verstorbene an die Zusatzrente (Arbejdsmarkedets Tillægspension, ATP) geleistet hat, einschließlich Beiträge zum obligatorischen Rentensystem (Obligatorisk Pensinsordning).</t>
  </si>
  <si>
    <t>Aus Beiträgen und Steuern im Umlageverfahren finanziertes obligatorisches Sozialversicherungssystem für Arbeitnehmer und einzelne Gruppen von Selbstständigen mit von der Höhe der Rente des Verstorbenen abhängigen Leistungen.</t>
  </si>
  <si>
    <t>Hinterbliebenenrente (toitjakaotuspension):
Beitragsfinanziertes universelles Sozialversicherungssystem mit Leistungen an Hinterbliebene, die von der Höhe der Altersrente der/des Verstorbenen und der Anzahl der anspruchsberechtigten Familienmitglieder abhängen.
Volksrente (rahvapension):
Staatlich finanziertes universelles System, das eine Mindestrente für Personen, die keinen Anspruch auf Altersrente haben, garantiert. Siehe Tabelle XI „Mindestsicherung“.</t>
  </si>
  <si>
    <t>Duales System:
(1) Beitragsfinanzierte Versicherung (Gesetzliche einkommensbezogene Rente, Työeläke) für Arbeitnehmer, Selbstständigen, Landwirte mit einkommensbezogenen Renten, die von Beiträgen und der Versicherungsdauer abhängen,
(2) aus Steuern finanziertes universelles System (Volksrentensystem) (kansaneläkejärjestelmä), das eine Mindestrente garantiert.
Die beiden Rentensysteme sind miteinander verknüpft. Überschreitet die gesetzliche einkommensbezogene Rente (Työeläke) oder sonstiges Einkommen des hinterbliebenen Ehegatten eine bestimmte Höchstgrenze, so wird keine Volksrente (Perhe-eläke) gewährt (siehe Tabelle VII, „Leistungen 1. Hinterbliebener Ehegatte, geschiedener Ehegatte, hinterbliebener Partner”.)
Besondere Gesetze gelten für Arbeitnehmer im privaten und öffentlichen Sektor sowie für Selbstständige, Landwirte und Stipendiaten. Am wichtigsten ist das Gesetz über Renten für Arbeitnehmer (TyEL).
Leistungen sind abhängig von der Rente des Verstorbenen.</t>
  </si>
  <si>
    <t>Beitragsfinanzierte obligatorische Sozialversicherungssysteme mit Renten, die von den Rechten der verstorbenen Person abhängen.</t>
  </si>
  <si>
    <t>Beitragsfinanziertes obligatorisches Sozialversicherungssystem für Arbeitnehmer. Leistungen hängen von der Höhe der Rente des Verstorbenen ab.</t>
  </si>
  <si>
    <t>Beitragsfinanziertes obligatorisches Sozialversicherungssystem für alle Arbeitnehmer und Selbstständige mit pauschalen Leistungen.</t>
  </si>
  <si>
    <t>Duales System:
   * Steuerfinanziertes System der Volksrente. Ein universelles durch Steuern finanziertes System mit pauschalen Leistungen für hinterbliebene Kinder.
   * Beitragsfinanziertes System der Arbeitsrente. Ein beitragspflichtiges System für alle Erwerbstätigen mit Leistungen, die von der Rente der verstorbenen Person abhängen.</t>
  </si>
  <si>
    <t>Beitragsfinanziertes obligatorisches Sozialversicherungssystem für Arbeitnehmer mit von der Höhe der Rente des Verstorbenen abhängenden Leistungen an Hinterbliebene.
Sondersysteme für Selbstständige (siehe MISSOC-Informationen zum Sozialschutz für Selbstständige).</t>
  </si>
  <si>
    <t>Obligatorisches Sozialversicherungssystem für die aktive Bevölkerung mit Leistungen in Abhängigkeit von der Rente, die der Verstorbene zum Todeszeitpunkt bezogen hat oder bezogen hätte, ergänzt durch ein obligatorisches kapitalgedecktes System der 2. Säule.</t>
  </si>
  <si>
    <t>Beitragsfinanziertes obligatorisches Sozialversicherungssystem für alle Arbeitnehmer und Selbstständige mit von der (potentiellen) Höhe der Altersrente des Verstorbenen abhängenden Rente an Hinterbliebene (in der Regel Waisen).</t>
  </si>
  <si>
    <t>1. Säule:
   * Beitrags- (und teilweise steuer-) finanziertes obligatorisches Sozialversicherungssystem für alle Personen mit Wohnsitz oder Erwerbstätigkeit (Arbeitnehmer und Selbstständige) in Liechtenstein;
   * Renten hängen im Wesentlichen von der Versicherungsdauer und von Beiträgen (z.T. fiktiven Beiträgen) ab.
   * Reichen die anrechenbaren Einnahmen aus den Renten und allfälligen anderen Quellen nicht aus, um die anerkannten Ausgaben zu decken, besteht ein Anspruch auf Ergänzungsleistungen um die minimalen Lebenshaltungskosten decken zu können (s. Tabelle XI ‚Mindestsicherung‘).
2. Säule:
   * Beitragsfinanziertes obligatorisches Sozialversicherungssystem für unselbstständig Erwerbstätige
   * Renten sind entgeltbezogen und hängen im Wesentlichen von Beiträgen ab.
Bei bereits erfolgtem Rentenbezug des Verstorbenen hängen die Leistungen von der Rente des Verstorbenen ab.</t>
  </si>
  <si>
    <t>Beitragsfinanziertes obligatorisches Sozialversicherungssystem (Umlageverfahren) für Arbeitnehmer und Selbstständige mit von der Höhe der Rente des Verstorbenen abhängenden Leistungen an Hinterbliebene.</t>
  </si>
  <si>
    <t>Durch Beiträge mit staatlicher Beteiligung finanziertes obligatorisches Sozialversicherungssystem für die Arbeitnehmer und die Selbstständigen mit von der Höhe der Rente des Verstorbenen abhängenden Leistungen.</t>
  </si>
  <si>
    <t>Beitragsfinanziertes gesetzliches Sozialversicherungssystem für alle Arbeitnehmer und Selbstständige/Freischaffende sowohl mit Pauschal- als auch entgeltbezogenen Renten an Hinterbliebene, die von Beiträgen und der Versicherungsdauer abhängen.</t>
  </si>
  <si>
    <t>Duales System:
   * allgemeines Rentensystem für alle Einwohner und Personen, die in den Niederlanden arbeiten,
   * finanziert durch Beiträge vom Erwerbseinkommen mit pauschalen Leistungen;
Zusatzrentensysteme aufgrund von Tarifverträgen mit Versicherungspflicht für die Mehrzahl der Arbeitnehmer. Diese Systeme werden in den MISSOC-Tabellen nicht dargestellt.</t>
  </si>
  <si>
    <t>Universelles Pflichtsystem.
Seit dem 1. Januar 2024 wurde die Rente für hinterbliebene Ehepartner durch eine Anpassungszulage (omstillingsstønad) ersetzt. Diese wird für eine Dauer von 3 Jahren gezahlt, mit einer möglichen Verlängerung von höchstens 2 Jahren. Die Rente für hinterbliebene Kinder wird für einen längeren Zeitraum und zu einem höheren Betrag gewährt als im alten System, welches nicht länger gilt.
Für Personen, die vor 2024 eine Rente bezogen haben, gelten Übergangsregelungen. Hinterbliebene Ehepartner behalten ihre Leistungen innerhalb der für die Anpassungszulage geltenden Frist, und Kinderrenten werden gemäß den neuen, vorteilhafteren Sätzen neu berechnet.
Der Bezugszeitraum der Leistung kann um maximal zwei Jahre verlängert werden, wenn der Hinterbliebene eine notwendige und angemessene Aus- oder Fortbildung absolviert oder Maßnahmen benötigt, um Arbeit zu finden.
Die Leistungen werden auf der Grundlage des Grundbetrags (Grunnbeløpet) berechnet und die Sätze werden vermindert, wenn der Verstorbene weniger als 40 Jahre Versicherungsbeiträge in Norwegen geleistet hat.
Umlagesystem. Finanzierung durch Steuern und Beiträge.</t>
  </si>
  <si>
    <t>Beitragsfinanziertes obligatorisches Sozialversicherungssystem für Arbeitnehmer:innen mit von der Höhe der Rente des:der Verstorbenen abhängenden Leistungen.</t>
  </si>
  <si>
    <t>Beitragsfinanziertes gesetzliches Sozialversicherungssystem für alle Arbeitnehmer und Selbstständigen mit Leistungen an Hinterbliebene, die von der Höhe der Rente des Verstorbenen und der Anzahl der Berechtigten abhängen.
Separates obligatorisches Sozialversicherungssystem für Landwirte und ihre Familienmitglieder.
Sondersystem für Angehörige der Polizei und der Streitkräfte, Staatsanwälte und Richter.</t>
  </si>
  <si>
    <t>Obligatorische Sozialversicherung mit von der Höhe der Rente des Verstorbenen bzw. dessen Rentenanspruchs abhängenden Leistungen.</t>
  </si>
  <si>
    <t>Hinterbliebenenleistungen sind Teil des nationalen staatlichen Rentensystems.
Obligatorisches allgemeines Sozialversicherungssystem, beitragsfinanziert im Umlageverfahren, leistungsorientiert, mit Geld- und Sachleistungen.
Die Geldleistung wird als Prozentsatz der Renten des Verstorbenen berechnet.</t>
  </si>
  <si>
    <t>Das System für Hinterbliebene beruht auf:
   * Arbeitsgebundene Leistungen, zu denen die  Anpassungsrente (omställningspension),  die   Kinderrente (barnpension) und die Witwenrente (änkepension) gehören. Sie richten sich nach dem Rentenanspruch des Verstorbenen und werden über Sozialversicherungsbeiträge finanziert.
   * wohnsitzgebundene Leistungen, zu denen die garantierte Anpassungsrente (garantipension till omställningspension), die garantierte Witwenrente (garantipension till änkepension) und  die Waisenbeihilfe (garantipension till efterlevandestöd) gehören. Sie finanzieren sich über Steuern.
In bestimmten Fällen kann eine Person sowohl arbeitsgebundene als auch wohnsitzgebundene Leistungen beziehen. Letztere werden bezogen, wenn das Arbeitsgeld gering ist oder wenn nur die Person nicht für die arbeitsgebundenen Leistungen versichert ist.</t>
  </si>
  <si>
    <t>1. Säule (Grundsystem):
Allgemeine Versicherung, welche den Existenzbedarf in angemessener Weise decken soll. Finanzierung durch Beiträge und Steuern nach dem Umlageverfahren. Für Erwerbstätige hängen die Beiträge von ihrem Einkommen ab, für Nichterwerbstätige von ihren sozialen Bedingungen.
2. Säule (obligatorische Mindestvorsorge):
Beitragsfinanzierte Pflichtversicherung für Arbeitnehmer ab einem bestimmten Lohn nach dem Kapitaldeckungsverfahren. Zusammen mit der ersten Säule soll sie die Fortsetzung der gewohnten Lebenshaltung in angemessener Weise ermöglichen.
Das BVG sieht Mindestleistungen vor. Die Vorsorgeeinrichtungen können in ihren internen Statuten eine weitergehende Vorsorge vorsehen. In den MISSOC-Tabellen wird nur die gesetzliche Mindestvorsorge behandelt.
Säule 3a (gebundene Selbstvorsorge)
Freiwillige private Vorsorge für Erwerbstätige, die durch steuerliche Maßnahmen gefördert wird. Sie wird in den MISSOC-Tabellen nicht dargestellt.
Ergänzungsleistungen zur 1. Säule (EL)
Personen, die eine Alters-, Hinterbliebenen- oder Invalidenrente beziehen, haben Anspruch auf Ergänzungsleistungen, wenn ihre Mittel nicht ausreichen, um den Lebensbedarf zu decken. Siehe Tabelle XI „Mindestsicherung“.</t>
  </si>
  <si>
    <t>Beitragsfinanziertes gesetzliches Sozialversicherungssystem für Arbeitnehmer und Selbstständige mit von der Höhe der Rente des Verstorbenen abhängenden Leistungen an Hinterbliebene.
Sozialversicherungsschutz wird sowohl durch die erste als auch die zweite Säule des Altersvorsorgesystems gewährt (sofern dies im Versicherungsvertrag vereinbart worden ist).
Sondersystem für Polizisten, Soldaten und Zollbeamte.</t>
  </si>
  <si>
    <t>Beitragsfinanzierte obligatorische Sozialversicherung für Arbeitnehmer und Selbstständige mit Leistungen an Hinterbliebene, die von der Rente der verstorbenen Person abhängen.</t>
  </si>
  <si>
    <t>Beitragsfinanziertes obligatorisches Sozialversicherungssystem für Arbeitnehmer und Gleichgestellte, die von der Höhe der Rente oder der Beiträge der verstorbenen Person abhängendes Sterbegeld (auxilio por defunción), befristeten Leistungen für Witwen oder Witwer (prestación temporal de viudedad), Hinterbliebenenleistungen für Witwen oder Witwer (pensión de viudedad), Waisen (pensión de orfandad) oder andere Verwandte (pensión/subsidio en favor de familiares) bietet.
Leistungen für Waisen durch Gewalt gegen Frauen (prestación de orfandad por violencia contra la mujer) wird aus Steuermitteln finanziert.</t>
  </si>
  <si>
    <t xml:space="preserve">
   * Beitragsfinanziertes obligatorisches Sozialversicherungssystem für Arbeitnehmer und Selbstständige.
   * Renten für Hinterblieben bestehen aus einem Pauschalbetrag und 50% des einkommensbezogenen Betrags der Rente, der dem Verstorbenen zum Zeitpunkt seines Ableben zustand.</t>
  </si>
  <si>
    <t>Beitragsfinanziertes obligatorisches Sozialversicherungssystem für Arbeitnehmer und Selbstständige mit von der Höhe der Rente des Verstorbenen abhängenden Leistungen an Hinterbliebene.</t>
  </si>
  <si>
    <t>Beitragsfinanziertes obligatorisches Sozialversicherungssystem für Arbeitnehmer und Selbstständige mit einkommensbezogenen Renten und anderen Leistungen, die von Beiträgen und der Versicherungsdauer abhängen.</t>
  </si>
  <si>
    <t>Pflichtversicherung für alle Erwerbstätigen (Arbeitnehmer und Selbstständige). Zu besonderen Regeln für Selbstständige: siehe Anhang zur Sozialversicherung für Selbstständige.
Keine freiwillige Versicherung möglich.</t>
  </si>
  <si>
    <t>Pflichtversicherung für Arbeitnehmer ab dem Alter von 16 Jahren mit einer Wochenarbeitszeit von mindestens 9 Stunden und für Personen, die Tagegeld wegen Krankheit, Mutterschaft bzw. Adoption oder Arbeitslosigkeit beziehen, und für diejenigen, die an einer Beschäftigungs- oder Aus- und Fortbildungsmaßnahme teilnehmen oder sich in einer Trainingsmaßnahme nach dem Gesetz zur aktiven Arbeitsmarktpolitik befinden. Pflichtmitgliedschaft ferner für Bezieher einer Invaliditätsrente (førtidspension)/Seniorenpension (seniorpension) oder eines sonstigen Transfereinkommens.
Arbeitnehmer, die eine selbstständige Tätigkeit aufnehmen, können nach vorausgegangener dreijähriger Mitgliedschaft freiwillig im Versicherungssystem bleiben. Freiwillige Beitragszahlungen sind auch für Personen im vorzeitigen Ruhestand möglich.</t>
  </si>
  <si>
    <t>Pflichtversicherung für Arbeitnehmer. Leistungsbezieher und für einzelne Gruppen von Selbstständigen sowie einige weitere Personengruppen (z. B. Kindererziehende, nicht erwerbsmäßig tätige Pflegepersonen).</t>
  </si>
  <si>
    <t>Alle Einwohner.</t>
  </si>
  <si>
    <t>Hinterbliebenenrente im Rahmen des Volksrentengesetzes (kansaneläkelain mukainen perhe-eläke):
Alle Einwohner.
Gesetzliche einkommensbezogene Rente (Työeläke):
Alle Arbeitnehmer, Arbeitnehmer ab 17 Jahre und Selbständige ab 18 Jahre.</t>
  </si>
  <si>
    <t>Alle erwerbstätigen Personen.
In bestimmten Fällen freiwillige Versicherung möglich (ehemalige Pflichtversicherte, Eltern zu Hause, Personen, die ehrenamtlich die Funktion als Dritte für ein Familienmitglied übernehmen).</t>
  </si>
  <si>
    <t>Alle Beschäftigten (Arbeitnehmer und Selbstständige).</t>
  </si>
  <si>
    <t>Grundsätzlich alle Arbeitnehmer und Auszubildenden ab dem Alter von 16 Jahren.</t>
  </si>
  <si>
    <t>Volksrente (lífeyrir almannatrygginga):
Alle Einwohner.
Arbeitsrente (lögbundnir lífeyrissjóðir):
Alle versicherten Arbeitnehmer, Arbeitgeber und Selbstständige im Alter von 16-70 Jahren.</t>
  </si>
  <si>
    <t xml:space="preserve">
   * Alle Arbeitnehmer in der Privatwirtschaft.
   * Sondersysteme für reguläre Selbstständige (Landwirte, Teilpächter, Handwerker und Kaufleute) und Selbstständige, die unter dem gesonderten Rentensystem (Gestione Separata) versichert sind (siehe die MISSOC-Informationen zu Sozialschutz von Selbstständigen).
   * Besondere Rentenfonds für bestimmte Gruppen von Arbeitern.</t>
  </si>
  <si>
    <t>Abgedeckt sind die Familienmitglieder der folgenden Personen:
1. Säule:
   * Arbeitnehmer,
   * Selbstständige.
2. Säule:
   * Mitglieder der 1. Säule unter 40 Jahren: Pflichtmitgliedschaft;
   * Von Januar 2002 bis Juni 2002 konnten Mitglieder der 1. Säule, die damals zwischen 40 und 50 Jahre alt waren, die obligatorische Versicherung des Systems der 2. Säule wählen.</t>
  </si>
  <si>
    <t>Alle Arbeitnehmer und Selbstständige.
Freiwillige Versicherung möglich.</t>
  </si>
  <si>
    <t>1. Säule:
   * Alle Erwerbstätigen (Arbeitnehmer und Selbstständige) sowie alle nichterwerbstätigen Einwohner.
2. Säule:
   * Beitragsfinanziertes obligatorisches Sozialversicherungssystem für unselbstständig Erwerbstätige;
   * Arbeitnehmer und Arbeitslose, die mit dem 1. Januar das 17. Altersjahr vollendet haben und in der 1. Säule beitragspflichtig sind;
   * Freiwillige Versicherung ist für nicht beitragspflichtige Arbeitnehmer und für selbstständig Erwerbstätige möglich.</t>
  </si>
  <si>
    <t>Pflichtversicherung für alle Arbeitnehmer und Selbstständigen.</t>
  </si>
  <si>
    <t>Pflichtversicherung für alle Erwerbstätigen (Arbeitnehmer und Selbstständige).
Die Empfänger des Ersatzeinkommens, von dem ein Rentenbeitrag einbehalten wird (Arbeitslosigkeit, Krankheit, Mutterschaft, Unfallrente, Elternurlaub), sind ebenfalls abgedeckt.
Freiwillige Versicherung sowie rückwirkender Erwerb von Anrechnungszeiten möglich.</t>
  </si>
  <si>
    <t>Arbeitnehmer und Selbstständige / Freischaffende.
Keine freiwillige Versicherung möglich.</t>
  </si>
  <si>
    <t>Alle Einwohner. Personen, die ohne Wohnsitz in den Niederlanden dort arbeiten und folglich Beiträge entrichten, sind ebenfalls leistungsberechtigt.</t>
  </si>
  <si>
    <t>Pflichtversichert:
   * Alle gegen Entgelt beschäftigten Arbeitnehmer:innen, Lehrlinge.
   * In den Betrieben Selbstständiger ohne Entgelt mitarbeitende Kinder.
   * Freie Dienstnehmer:innen: Personen, die zwar keinen Arbeitsvertrag haben, im Wesentlichen aber wie ein:e Arbeitnehmer:in tätig werden (z.B. keine eigene betriebliche Struktur, persönliche Leistungserbringung).
Freiwillige Versicherung möglich für nicht pflichtversicherte Personen, die älter als 15 Jahre sind und im Inland ihren Wohnort haben.</t>
  </si>
  <si>
    <t xml:space="preserve">
   * Arbeitnehmer, Selbstständige, Landwirte;
   * Empfänger von Arbeitslosengeld (Zasiłek dla bezrobotnych);
   * Empfänger von Altersrenten;
   * Empfänger von Leistungen bei Invalidität;
   * Empfänger von Leistungen bei Berufskrankheiten oder Arbeitsunfällen;
   * Empfänger von Erziehungsgeld (Dodatek wychowawczy).</t>
  </si>
  <si>
    <t>Pflichtversicherung für alle Erwerbstätigen (Arbeitnehmer und Selbstständige).
Für gewisse Gruppen besteht die Möglichkeit der freiwilligen Versicherung (siehe Tabelle VI „Alter“, „Anwendungsbereich“).
(Beitragsunabhängiges System mit Leistungen, die der Bedürftigkeitsprüfung unterliegen, für Personen, die nicht über (ausreichende) finanzielle Mittel verfügen: siehe Tabelle XI „Mindestsicherung“.)</t>
  </si>
  <si>
    <t>Gesetzlicher Versicherungsschutz auf Grundlage des Personalstatuts für Bürger mit Wohnsitz oder Aufenthalt in Rumänien (oder ohne Wohnsitz oder Aufenthalt in Rumänien entsprechend den gesetzlich bindenden internationalen Regelungen).
Pflichtsystem:
   * Personen, die Tätigkeiten auf der Grundlage eines individuellen Beschäftigungsvertrags ausführen;
   * Beamte;
   * Sonstige Kategorien, für die Sozialversicherungsbeiträge gemäß dem Steuergesetz anfallen (z.B. Arbeitslose, die Arbeitslosengeld beziehen);
   * Selbstständige, falls ihr monatliches durchschnittliches Nettoeinkommen dem Mindestbruttolohn entspricht oder ihn überschreitet, d. h. RON 4.050 (€797)
   * Anbieter haushaltsnaher Dienstleistungen.</t>
  </si>
  <si>
    <t>Die Hinterbliebenenleistungen beziehen sich auf den Status des Verstorbenen. Es gibt sowohl arbeits- als auch wohnsitzgebundene Leisstungen. 
Anpassungsrente (omställningspension), Kinderrente(barnpension) und Witwenrente (änkepension): alle, die gearbeitet haben (entweder als Arbeitnehmer oder als Selbständiger) und kumulierte Rentenansprüche erworben haben.
Garantierte Anpassungsrente (garantipension till omställningspension),  Waisenbeihilfe (efterlevandestöd till barn):  alle Einwohner.</t>
  </si>
  <si>
    <t>1. Säule (Grundsystem):
   * Jede Person, die in der Schweiz Wohnsitz hat oder hier eine Erwerbstätigkeit ausübt.
   * Unter bestimmten Bedingungen, freiwillige Versicherung für Schweizer Bürger und Staatsangehörige der Mitgliedstaaten der EU oder der EFTA, die ausserhalb der Schweiz, der EU oder der EFTA leben.
2. Säule (obligatorische Mindestvorsorge):
   * Arbeitnehmer über 17 Jahren, die in der 1. Säule versichert sind und vom gleichen Arbeitgeber einen Lohn von mehr als CHF22.680 (€24.233) erhalten.
   * Bezüger von Taggeldern der Arbeitslosenversicherung.
   * Freiwillige Versicherung für gewisse nicht obligatorisch unterstellte Arbeitnehmer sowie Selbstständigerwerbende.</t>
  </si>
  <si>
    <t>Pflichtversicherung für Arbeitnehmer und bestimmte Gruppen von Selbstständigen.
Möglichkeit einer freiwilligen Versicherung.</t>
  </si>
  <si>
    <t xml:space="preserve">
   * Arbeitnehmer, Selbstständige, Landwirte, Aktionäre, leitende Angestellte und Personen, die eine Beschäftigung auf anderer rechtlicher Grundlage ausüben (z.B. Vertragsvereinbarungen vor Freiberuflern);
   * Empfänger von Arbeitslosengeld (denarno nadomestilo za primer brezposelnosti) und Personen, deren Beiträge für Renten- und Invaliditätsversicherung vom Beschäftigungsservice übernommen werden bis sie die Anspruchsbedingungen für eine Altersrente erfüllen;
   * Personen mit Anspruch auf Lohnersatzleistungen aufgrund zeitlich begrenzter Erwerbsunfähigkeit nach Beendigung des Arbeitsverhältnisses, wenn sie nicht durch die Pflichtversicherung aus anderen Gründen abgedeckt sind;
   * Personen, die professionelle Pflegschaftsdienste ausführen;
   * Personen, die ein religiöses Amt als religiöser Arbeitnehmer ausführen;
   * Personen mit Anspruch auf Lohnersatzleistungen während beruflicher Rehabilitation;
   * Ein Elternteil, der Anspruch auf Elterngeld (starševski dodatek) hat, wenn diese Person nicht durch die Pflichtversicherung aus anderen Gründen abgedeckt ist; Anspruch auf Teilzahlungen als Einkommensersatzleistung (delno plačilo za izgubljeni dohodek); Anspruch auf Elternschaftsgeld, aber keinen Anspruch auf Elternurlaub hat sowie nicht durch die Pflichtversicherung aus anderen Gründen abgedeckt ist; Anspruch auf Zahlungen des proportionalen Beitragsanteils und Anrecht auf Teilzeitarbeit zur Pflege und Schutz von Kindern zur Deckung des Unterschiedes zur Vollzeitarbeit;
   * Familienhelfer mit Anspruch auf Teilzahlungen bei Einkommensersatzleistung (delno plačilo za izgubljeni dohodek) (siehe Tabelle XII „Pflegebedürftigkeit");
   * Soldaten, die freiwillig Wehrdienst leisten, und Bürger während freiwilligen Rettungskursen.
Für Personen im Alter von über 15 Jahren mit einem dauerhaften Wohnsitz in Slowenien, die die Bedingungen zur Deckung durch die Pflichtversicherung nicht erfüllen, ist eine freiwillige Versicherung möglich.</t>
  </si>
  <si>
    <t>Alle abhängig Beschäftigten [Arbeitnehmer und Gleichgestellte (z.B. Empfänger von beitragsabhängigem Arbeitslosengeld, Arbeitnehmer während des Zeitraums des unbezahlten jährlichen Urlaubs, der nicht vor dem Vertragsende genommen wurde, Nehmer einer freiwilligen Versicherung)], Mütter die durch Gewalt gegen Frauen verstorben sind.
Sondersystem für Selbstständige (siehe den Abschnitt der MISSOC-Databank zum Sozialschutz von Selbstständigen).
Freiwillige Versicherung möglich (Convenio especial).</t>
  </si>
  <si>
    <t>Pflichtversicherung für die aktive Bevölkerung (Arbeitnehmer und Selbstständige). Für nähere Informationen zu Selbstständigen, siehe die gesonderten Informationen zum Sozialschutz von Selbstständigen.
Freiwillige Versicherung ist ohne Einschränkungen erhältlich für Arbeitslose, die bei der Arbeitsagentur gemeldet sind (und die keine Leistungen bei Arbeitslosigkeit beziehen); Studenten; im Ausland beschäftigte Personen; Freiwillige, Mitglieder des EU-Parlaments; Ausländer, die in Tschechien für ausländische Arbeitgeber arbeiten und Ehepartner von Diplomaten und andere Staatsbedienstete, die im Ausland leben.
Andere Personen über 18 Jahren mit mindestens einjähriger Beitragszeit können sich ebenfalls freiwillig versichern, jedoch für maximal 15 Jahre.
Empfänger von Alters- oder Invalidenrenten.</t>
  </si>
  <si>
    <t>Versicherte (Arbeitnehmer, Selbstständige, Empfänger von verschiedenen Leistungen der sozialen Sicherheit, von denen der Rentenbeitrag gezahlt wird).
Personen, die nicht durch das obligatorische Sozialversicherungssystem abgedeckt sind, können eine „Vereinbarung über den Erwerb rentenfähigen Einkommens und Versicherungszeiten“ abschließen.</t>
  </si>
  <si>
    <t>Pflichtversicherung für Arbeitnehmer und Selbstständige.
Freiwillige Versicherung möglich nach früherer Beschäftigung und für Personen, die für zypriotische Arbeitgeber im Ausland tätig sind.</t>
  </si>
  <si>
    <t>Arbeitnehmer mit einer wöchentlichen Arbeitszeit von weniger als 9 Stunden sind von der Versicherungspflicht befreit.</t>
  </si>
  <si>
    <t>Befreiungsmöglichkeit für Arbeitnehmer mit einer ausschließlich geringfügig entlohnten Beschäftigung (bis zu €556 monatlich) und Versicherungsfreiheit bei einer kurzfristigen Beschäftigung (bis zu 3 Monaten oder 70 Arbeitstagen im Kalenderjahr), es sei denn, dass die Beschäftigung berufsmäßig ausgeübt wird und ihr Entgelt €556 im Monat übersteigt.
Darüber hinaus gibt es weitere Befreiungsmöglichkeiten, etwa für versicherungspflichtige Mitglieder berufsständischer Versorgungswerke (z. B. Ärzte, Anwälte) oder für selbständige Handwerker nach 18 Jahren Pflichtbeitragszahlung.</t>
  </si>
  <si>
    <t>Gesetzliche einkommensbezogene Rente (Työeläke):
Arbeitnehmer:
Befreiung von der Versicherungspflicht bei monatlichen Einkommen unter €70,08 (TyEL).
Selbstständige, Landwirte:
Befreiung von der Versicherungspflicht bei einer Selbständigkeit von weniger als 4 Monaten oder wenn das jährliche zu versichernde Einkommen unter €9.208,43 für Selbständige und unter €4.605 für Landwirte und Stipendiaten liegt.</t>
  </si>
  <si>
    <t>Personen mit einem Wochenverdienst von weniger als €38 und Selbstständige mit einem Jahreseinkommen unter €5.000.</t>
  </si>
  <si>
    <t>Ausnahmen von der zweiten Säule für Personen, die eine Rente unter vorteilhafteren Bedingungen erwerben können (Militär- und Polizeipersonal sowie Justizbeamte im aktiven Dienst).</t>
  </si>
  <si>
    <t>1. Säule:
   * bei unzumutbarer Doppelbelastung durch gleichzeitige ausländische Versicherung,
   * bei kurzer Versicherungszugehörigkeit.
2. Säule:
   * Arbeitnehmer und Arbeitslose, die mit dem 1. Januar 2018 das 17. Altersjahr vollendet haben, in der 1. Säule beitragspflichtig sind und weniger als  CHF 14.700 (€15.707) Jahreseinkommen aufweisen.
   * Arbeitnehmer, die bereits für eine hauptberufliche Erwerbstätigkeit obligatorisch versichert sind oder im Hauptberuf eine selbständige Erwerbstätigkeit ausüben;
   * Arbeitnehmer, die nicht dauernd in Liechtenstein tätig sind und für die im Ausland ein genügender Versicherungsschutz besteht;
   * Arbeitnehmer, deren Arbeitgeber nach dem AHVG nicht beitragspflichtig ist; z.B. Arbeitgeber mit Sitz im Ausland.
   * Arbeitnehmer von juristischen Personen, die daran maßgebend beteiligt sind und Arbeitgeberfunktionen ausüben;
   * Arbeitnehmer, die zumindest zwei Drittel invalid sind;
   * die Familienmitglieder des Arbeitgebers, die in dessen Betrieb mitarbeiten und keinen Barlohn beziehen oder deren Barlohn nicht den Jahresbetrag der minimalen jährlichen Altersrente der Alters- und Hinterlassenenversicherung erreicht.</t>
  </si>
  <si>
    <t>Keine Befreiungen.</t>
  </si>
  <si>
    <t>Personen, die ihre berufliche Tätigkeit über einen vorab festgelegten Zeitraum von höchstens drei Monaten pro Kalenderjahr nur gelegentlich und nicht gewohnheitsmäßig ausüben, sind von der Versicherungspflicht befreit.
Auf Antrag der betreffenden Person ist eine nebenberufliche Tätigkeit im kulturellen oder sportlichen Bereich für eine nicht gewinnorientierte Vereinigung versicherungsfrei, wenn das erzielte Erwerbseinkommen zwei Drittel des sozialen Mindestlohns pro Jahr nicht übersteigt
Eine selbstständige Erwerbstätigkeit ist von der Versicherungspflicht befreit, wenn das Einkommen aus der Berufstätigkeit höchstens einem Drittel des sozialen Mindestlohns (salaire social minimum) pro Jahr entspricht.</t>
  </si>
  <si>
    <t xml:space="preserve">Unter folgenden Umständen sind Personen von der Pflichtversicherung ausgenommen:
   * Personen mit Gelegenheitsarbeit, deren Zweck weder das Handelstreiben noch die Fürhung eines Unternehmens ist;
   * Personen mit Wohnsitz, deren Arbeitgeber seinen Unternehmenssitz jedoch im Ausland hat;
   * Personen mit einer Beschäftigung von weniger als 8 Stunden wöchentlich;
   * Personen, die Beschäftigung und Wohnsitz in Malta haben, Beiträge jedoch in ihrem Herkunftsland zahlen;
   * Geschäftsführer von Familienunternehmen;
   * Mehrheitseigentümer in Partnerschaftsgesellschaften;
   * Arbeitnehmer, die seit einem Zeitpunkt vor dem 5. Januar 2008 eine Rente im Rahmen des maltesischen Systems beziehen;
   * Hinterbliebene Ehepartner oder Partner, die eine Witwen-/Witwerrente im Rahmen des maltesischen Systems beziehen, sofern ihr Bruttoerwerbseinkommen den nationalen Mindestlohn nicht überschreitet;
   * Personen, die als gelegentliche Sozialassistenten im Rahmen des Programms „Aktives Altern und gemeinschaftliche Pflege“ beschäftigt sind.
</t>
  </si>
  <si>
    <t xml:space="preserve">
   * Selbstständige, die anderen Sozialversicherungssystemen angehören (z. B. Soldaten, Rechtanwälte, Personal religiöser Gemeinschaften).
   * Selbstständige im Ruhestand.
   * Selbstständige, falls ihr monatliches durchschnittliches Nettoeinkommen (abzüglich Sozialversicherungsbeiträge) unter dem Mindestbruttolohn liegt, d. h. RON 4.050 (€797).
</t>
  </si>
  <si>
    <t>1. Säule (Grundsystem):
Insbesondere:
   * Bei Doppelbelastung (gleichzeitige ausländische Versicherung).
   * Selbstständigerwerbende und Arbeitnehmer nicht beitragspflichtiger Arbeitgeber, welche die Voraussetzungen der obligatorischen Versicherung nur für eine verhältnismäßig kurze Zeit erfüllen.
2. Säule (obligatorische Mindestvorsorge):
Insbesondere:
   * Arbeitnehmer, deren Arbeitgeber der Beitragspflicht in der 1. Säule nicht unterliegt.
   * Arbeitnehmer mit einem befristeten Arbeitsvertrag von höchstens 3 Monaten.
   * Personen, die zu mindestens 70% invalid sind.
   * Gewisse Familienmitglieder des Leiters eines Landwirtschaftsbetriebes, die in diesem Betrieb arbeiten.
Bei Doppelbelastung (gleichzeitige ausländische Versicherung).</t>
  </si>
  <si>
    <t>Befreiung von der Pflichtversicherung Selbstständige, deren jährliches Einkommen 2024 unter €8.580 liegt (50% des nationalen Durchschnittslohns des Jahres 2023).</t>
  </si>
  <si>
    <t>Die Regierung kann Personen, deren Einkünfte aus abhängiger Beschäftigung als geringfügig und nicht als wesentlich für den Lebensunterhalt gelten, von der Pflichtversicherung ausschließen.</t>
  </si>
  <si>
    <t>Grundsätzlich keine Ausnahmen.
Bestimmte Arten von Ergänzungsvereinbarungen zu Arbeitsverträgen sind von der obligatorischen Sozialversicherungsdeckung ausgenommen:
   * Beschäftigung mit Bruttoeinkünften unterhalb CZK 4.500 (€182) monatlich;
   * “Übereinkünfte über das Beenden eines Auftrags” (Dohoda o provedení práce), d.h. Arbeitsverträge für die Beendigung eines bestimmten Auftrags mit höchstens 300 Arbeitsstunden in einem Kalenderjahr sind von der obligatorischen Sozialversicherungsdeckung ausgenommen, wenn die monatlichen Bruttoeinkünfte geringer sind als CZK 11.500 (€465).</t>
  </si>
  <si>
    <t xml:space="preserve">
   *              Arbeitnehmer im elterlichen Betrieb in der Landwirtschaft. 
   *              beim Ehepartner angestellter Arbeitnehmer. 
   *              Selbstständige in der Landwirtschaft im Alter unter 16 Jahren. 
</t>
  </si>
  <si>
    <t xml:space="preserve">
   * Hinterbliebener Ehepartner (einschl. Getrenntlebender). 
   * Keine andere Gruppe. </t>
  </si>
  <si>
    <t xml:space="preserve">
   * Hinterbliebener Ehegatte;
   * Kinder;
   * Eltern.
Geschiedene sowie nicht verheiratete Lebenspartner haben keinen Leistungsanspruch.
Gleichbehandlung von männlichen und weiblichen Hinterbliebenen.</t>
  </si>
  <si>
    <t>Hinterbliebene Ehepartner, hinterbliebene Lebenspartner (gleichgeschlechtlich) und unter gewissen Bedingungen auch Geschiedene.
Lebensgefährten haben ebenfalls Anspruch auf Leistungen für Hinterbliebene. Als Voraussetzung hierfür müssen die Lebensgefährten in der dänischen Arbeitsmarkt-Zusatzrentenversicherung (ATP) als Lebensgefährten eingetragen sein. Unter bestimmten Bedingungen kann ein Lebensgefährte nach dem Tod des verstorbenen Mitglieds um die Auszahlung eines Pauschalbetrags nachsuchen.
Kinder.
Gleichbehandlung von Männern und Frauen.</t>
  </si>
  <si>
    <t xml:space="preserve">
   * Hinterbliebene Ehegatten und Partner einer eingetragenen Lebenspartnerschaft (gleichgeschlechtlich),
   * geschiedene Ehegatten,
   * Waisen (auch Adoptiv-, Stief- und Pflegekinder).
Männer und Frauen werden gleichbehandelt. Getrenntes Leben ist immer unbeachtlich.
Keine anderen Gruppen sind anspruchsberechtigt.</t>
  </si>
  <si>
    <t xml:space="preserve">
   * Hinterbliebene Ehepartner,
   * geschiedene Ehepartner unter bestimmten Voraussetzungen,
   * alle von der/dem Verstorbenen erzogenen Kinder inklusive Stief- und Pflegekinder,
   * Andere Personen: Geschwister, Enkelkinder, Eltern, Stiefeltern, Pflegeeltern, Vormünder.</t>
  </si>
  <si>
    <t xml:space="preserve">
   * Hinterbliebene Ehegatten (hinterbliebene anders- oder gleichgeschlechtliche Ehegatten; hinterbliebene Partner einer registrierten Zivilehe, wenn beide gleichgeschlechtlichen Partner als Ehegatten behandelt werden);
   * Hinterbliebener Ehegatte;
   * Geschiedener Ehegatte, falls er vor dem Todesfall einen Unterhaltsanspruch hatte (gilt nur für die gesetzliche einkommensbezogene Rente, Työeläke);
   * Kinder (eigene, adoptierte, Pflegekinder; Kinder, für die der Verstorbene Unterhalt zahlte; im gleichen Haushalt lebende Kinder (betrifft die Volksrente);
   * Kinder (eigene; adoptierte; Pflegekinder; Kinder, für die der Verstorbene Unterhalt zahlte; im gleichen Haushalt lebende Kinder, wenn der Verstorbene mit einem Elternteil verheiratet war (betrifft die gesetzliche einkommensbezogene Rente)).</t>
  </si>
  <si>
    <t>1/Basissystem (Régime de base):
   * Witwer/Witwe
   * geschiedene Ehepartner
   * Vollwaisen (einschließlich Volladoption).
2/Zusatzrentensysteme (Agirc-Arrco):
   * Witwe oder Witwer
   * geschiedener Ehepartner
   * Vollwaisen. Adoptierte Kinder sind nur dann berechtigt, wenn es sich um eine Volladoption (und nicht um eine einfache Adoption) handelt. Pflegekinder haben keinen Anspruch auf eine Waisenrente.
Für das Basissystem und die Zusatzrentensysteme sind nur die Personen (des anderen oder des gleichen Geschlechts) betroffen, die mit dem Verstorbenen verheiratet waren. Durch den zivilen Solidaritätspakt (pacte civil de solidarité, PACS) oder die Lebensgemeinschaft entsteht kein Anspruch auf Leistungen.
Keine weiteren Gruppen von Leistungsberechtigten.</t>
  </si>
  <si>
    <t xml:space="preserve">
   * Überlebende Ehepartner,
   * Geschiedene,
   * Hinterbliebene in Lebenspartnerschaft,
   * Eheliche Kinder, angenommene Kinder, adoptierte oder denen gleichgestellte.
Männer und Frauen werden gleich behandelt.</t>
  </si>
  <si>
    <t xml:space="preserve">
   * Hinterbliebener Ehepartner (anders- oder gleichgeschlechtlich);
   * geschiedene oder getrennte Ehepartner (die nicht wiederverheiratet sind und/oder in einer eheähnlichen Gemeinschaft leben);
   * anders- oder gleichgeschlechtliche hinterbliebene Partner (müssen den Status Lebenspartnerschaft (Civil Partnership) gehabt haben);
   * anders- oder gleichgeschlechtliche getrennte Partner (die keine neue Lebenspartnerschaft (Civil Partnership) eingegangen sind und/oder in keiner eheähnlichen Gemeinschaft leben);
   * Kinder (einschließlich adoptierte und Stiefkinder).
   * Es haben keine sonstigen Gruppen einen Anspruch.</t>
  </si>
  <si>
    <t>Volksrente (lífeyrir almannatrygginga):
Kinder unter dem Alter von 18 Jahren, einschließlich adoptierte Kinder und Stiefkinder (falls der unterhaltspflichtige Elternteil verstorben ist).
Keine Leistungen an hinterbliebene Ehepartner der verstorbenen versicherten Person.
Arbeitsrente (lögbundnir lífeyrissjóðir):
Hinterbliebene Ehepartner, Partner einer eingetragenen Lebensgemeinschaft und Kinder unter 18 Jahren, in Sonderfällen auch pflegende Personen.</t>
  </si>
  <si>
    <t xml:space="preserve">
   * Hinterbliebener Ehepartner/Lebenspartner (gleichen oder anderen Geschlechts);
   * geschiedener früherer Partner;
   * hinterbliebene Kinder;
   * unterhaltsberechtigte Eltern und Geschwister;
   * unterhaltsberechtigte Enkel.</t>
  </si>
  <si>
    <t xml:space="preserve">
   * hinterbliebener Ehegatte,
   * geschiedener Ehegatte, der vom Verstorbenen unterhalten wurde,
   * Lebensgefährte von Personen des gleichen oder unterschiedlichen Geschlechts),
   * Kinder (eigene Kinder, Pflegekinder, Stiefkinder),
   * Verwandte, die vom Verstorbenen unterhalten wurden.</t>
  </si>
  <si>
    <t>Der hinterbliebene Ehegatte; Kinder, wenn sie Unterhalstberechtigte der verstorbenen Person waren; Brüder, Schwestern und Enkel.
Keine Unterscheidung zwischen männlichen und weiblichen Hinterbliebenen.</t>
  </si>
  <si>
    <t>1. Säule:
   * Hinterbliebene Ehegatten oder eingetragene Partner;
   * geschiedene Ehepartner oder getrennte eingetragene Partner;
   * leibliche Kinder, Adoptionskinder, Pflegekinder.
2. Säule:
   * Hinterbliebene Ehegatten oder eingetragene Partner;
   * Geschiedene Ehepartner oder getrennte eingetragene Partner, soweit im Reglement vorgesehen;
   * Konkubinatspartner (d.h. nicht-eingetragene Partner), soweit im Reglement vorgesehen;
   * leibliche Kinder, Adoptionskinder, Pflegekinder.
Der eingetragene Partner ist dem Ehegatten gleichgestellt.</t>
  </si>
  <si>
    <t>Witwen-/Witwerrente (Našlių pensija):
   * Hinterbliebener andersgeschlechtlicher Ehepartner.
Waisenrente (Našlaičio pensija):
   * Kinder, einschließlich Adoptivkinder, falls diese nicht bereits Hinterbliebenenrente für ihre leiblichen Eltern erhalten.
Leistung für Alleinstehende (Vienišo asmens išmoka):
   * geschiedener Ehepartner;
   * hinterbliebene Partner oder Lebenspartner.</t>
  </si>
  <si>
    <t xml:space="preserve">
   * Hinterbliebener Ehepartner
   * Offiziell gemeldeter Lebensgefährte;
   * geschiedene Ehepartner, sofern sie nicht wieder verheiratet sind bzw. eine neue Lebensgemeinschaft eingegangen sind;
   * ehemalige Lebenspartner, sofern sie keine neue Lebensgemeinschaft eingegangen sind bzw. nicht wieder geheiratet haben.
   * Kinder (eheliche, als ehelich anerkannte, adoptierte, leibliche) ebenso wie Waisen, die zum Haushalt des Versicherten gehören;
   * Personen, die dem überlebenden Ehegatten gleichgestellt sind (Eltern und Verwandte in gerader Linie, Verwandte der Seitenlinie bis zum 2. Grad und Kinder, die als Minderjährige adoptiert wurden).</t>
  </si>
  <si>
    <t xml:space="preserve">
   * Hinterbliebener Ehepartner oder hinterbliebener Lebenspartner oder hinterbliebene gesetzlich Zusammenwohnende;
   * geschiedener Ehepartner (Betrag wird auf Basis der Ehejahre im Verhältnis zu den Gesamtjahren berechnet);
   * getrennt lebender Ehepartner (falls er von der verstorbenen Person unterhalten wurde oder ein Unterhaltsanspruch bestand);
   * Hinterbliebener gleichgeschlechtlicher Ehepartner oder hinterbliebener gleichgeschlechtlicher Lebenspartner oder hinterbliebene gleichgeschlechtliche gesetzlich Zusammenwohnende;
   * Kinder;
   * jede Person, die ein Waisenkind betreut (gesetzlicher Vormund), wenn mindestens ein Elternteil am Sterbedatum versichert war.</t>
  </si>
  <si>
    <t xml:space="preserve">
   * Hinterbliebene Ehe- und Lebenspartner (des anderen oder gleichen Geschlechts), mit oder ohne Kind(er) unter 18 Jahren, unter bestimmten Bedingungen,
   * Geschiedene Ehepartner unter bestimmten Bedingungen,
   * Vollwaisen, einschließlich adoptierte Kinder.</t>
  </si>
  <si>
    <t xml:space="preserve">
   * Hinterbliebener Ehepartner;
   * geschiedener Ehepartner (unter bestimmten Bedingungen);
   * Lebenspartner: eine Person, die mit der verstorbenen Person unverheiratet zusammenlebte, falls sie mit dieser ein gemeinsames Kind hatte oder früher mit ihr verheiratet war;
   * Hinterbliebener Partner;
   * Kinder, eingeschlossen Adoptivkinder.
</t>
  </si>
  <si>
    <t xml:space="preserve">
   * Witwe:Witwer/hinterbliebene:r eingetragene:r Partner:in oder
   * geschiedene:r Ehepartner:in/Partner:in aus aufgelöster eingetragener Partnerschaft,
   * Kinder, dies inkludiert Adoptivkinder und Stiefkinder. Pflegekinder sind hingegen nicht anspruchsberechtigt.
Keine unterschiedliche Behandlung von Männern und Frauen.
Sowohl Ehe als auch eingetragene Partnerschaft stehen auch gleichgeschlechtlichen Partner:innen offen, auf sie sind die Bestimmungen zur Hinterbliebenenrente genauso anzuwenden wie auf verschiedengeschlechtliche eingetragene Partner:innen/Ehepartner:innen.
De facto Partner:innen (Lebensgemeinschaft), die keine Ehe oder eingetragene Partnerschaft geschlossen haben, haben keinen Anspruch auf eine Hinterbliebenenrente.
Keine anderen Gruppen sind anspruchsberechtigt.</t>
  </si>
  <si>
    <t xml:space="preserve">
   * Hinterbliebene Ehepartner;
   * geschiedene/r Ehegatte/-in;
   * Kinder einschl. ehelicher Kinder, unehelicher Kinder, Pflegekinder, adoptierter Kinder, Stiefkinder, Enkel und sonstiger Kinder, die von der versicherten Person unterhalten werden auf Grundlage einer Gerichtsentscheidung;
   * sonstige Personen: Eltern und Adoptiveltern.
Kein Leistungsanspruch für unverheiratete oder in Partnerschaft zusammenlebende Personen.</t>
  </si>
  <si>
    <t>Die folgenden Personen haben Anspruch auf die Hinterbliebenenleistungen (Männer und Frauen):
   * Hinterbliebener Ehepartner,
   * geschiedener oder getrennt lebender Ehepartner,
   * hinterbliebener Lebenspartner,
   * Kinder, einschließlich ungeborener Kinder und voll adoptierter Kinder sowie Stiefkinder (bei Unterhaltspflicht des verstorbenen Leistungsempfängers)
   * vom verstorbenen Versicherten unterhaltene Eltern.</t>
  </si>
  <si>
    <t>Hinterbliebener Ehegatte.
Kinder.
Keine sonstigen Berechtigten.
Keine Unterscheidung zwischen männlichen und weiblichen Hinterbliebenen.</t>
  </si>
  <si>
    <t>Einen Anspruch auf Hinterbliebenenleistungen haben:
   * Hinterbliebene Ehegatten;
   * eingetragene Partner (des gleichen oder anderen Geschlechts);
Kinder (einschließlich Adoptivkinder).</t>
  </si>
  <si>
    <t>1. Säule (Grundsystem):
   * Hinterbliebener Ehegatte: Witwen und Witwer mit Kindern; Witwen ohne Kinder, unter gewissen Voraussetzungen.
   * Geschiedener Ehegatte, unter gewissen Voraussetzungen.
   * Überlebender eingetragener Partner: dem Witwer gleichgestellt.
   * Kinder, einschließlich Pflegekinder, unter gewissen Voraussetzungen.
2. Säule (obligatorische Mindestvorsorge):
   * Hinterbliebener Ehegatte: Witwen und Witwer.
   * Geschiedener Ehegatte, unter gewissen Voraussetzungen.
   * Überlebender eingetragener Partner: dem Witwer gleichgestellt.
   * Kinder, einschließlich Pflegekinder, wenn der Verstorbene unterhaltspflichtig war.</t>
  </si>
  <si>
    <t xml:space="preserve">
   * hinterbliebener Ehepartner;
   * geschiedene Ehefrau (Scheidung vom dem 1. Januar 2004), mit vom Gericht zugesprochenem Unterhalsanspruch;
   * (eheliche und adoptierte) Kinder;
   * keine anderen Gruppen haben ein Anrecht.</t>
  </si>
  <si>
    <t>Witwen- bzw. Witwerrente (vdovska pokojnina):
   * Hinterbliebene Ehepartner;
   * Lebenspartner;
   * Partner in registrierten gleichgeschlechtlichen Partnerschaften;
   * geschiedene Ehegatten (mit Unterhaltsanspruch vor dem Tod).
Hinterbliebenenrente (družinska pokojnina):
   * Kinder;
   * Enkel, Stiefkinder und andere elternlose Kinder, die von der verstorbenen Person zum Todeszeitpunkt unterhalten wurden);
   * Eltern der verstorbenen Person.</t>
  </si>
  <si>
    <t xml:space="preserve">
   * Hinterbliebener Ehepartner, geschiedener oder getrennter Ehepartner sowie hinterbliebene oder getrennte Partner gleichen oder anderen Geschlechts im Falle einer Trennung, Scheidung oder Annullierung der Ehe oder Trennung (nicht-eheliche Lebensgemeinschaft) falls der Verstorbene zu Unterhaltszahlungen oder Entschädigung verpflichtet war (mit einigen vorübergehenden Ausnahmen);
   * Unverheiratete Partner müssen einige Anforderungen erfüllen, wenn sie keine gemeinsamen Kinder haben;
   * Kinder des Verstorbenen (biologisch, adoptiert);
   * unter bestimmten Bedingungen Kinder, die der überlebende Ehegatte mit in die Ehe brachte, wenn die Eheschließung mindestens zwei Jahre vor dem Tod erfolgte;
   * unter bestimmten Voraussetzungen Enkel, Geschwister, Eltern und Großeltern (Leistung für Angehörige, pensión en favor de familiares);
   * unter bestimmten Voraussetzungen Kinder und Geschwister (Befristete Beihilfe an Angehörige, subsidio temporal en favor de familiares).</t>
  </si>
  <si>
    <t xml:space="preserve">
   * Hinterbliebener Ehepartner (einschließlich hinterbliebener Partner und hinterbliebener eingetragener Lebenspartner);
   * Kinder.
   * Andere Gruppen sind nicht anspruchsberechtigt.</t>
  </si>
  <si>
    <t xml:space="preserve">
   * Hinterbliebene Ehepartner;
   * geschiedener Ehepartner unter bestimmten Bedingungen;
   * Lebenspartner (rechtlich eingetragen, hinterbliebene Partner gleichen oder anderen Geschlechts);
   * Kinder: jedes eheliche oder uneheliche Kind, das im Haushalt des Verstorbenen erzogen wird, einschließlich Kinder aus erster Ehe oder Partnerschaft des Partners;
   * Geschwister und Enkel, falls sie von der verstorbenen Person abhängig waren und keine anderen Verwandten haben;
   * andere Personen: Eltern, Großeltern und Pflegeeltern.</t>
  </si>
  <si>
    <t xml:space="preserve">
   *               Witwen und Witwer (für Witwer nur, falls die Verstorbene seit dem 1.Janur 2018 verstorben ist), 
   *               abhängige Kinder. </t>
  </si>
  <si>
    <t>Mitgliedschaft in der Sozialversicherung.</t>
  </si>
  <si>
    <t>Keine Anspruchsvoraussetzungen.</t>
  </si>
  <si>
    <t>10 Versicherungsjahre (2 Jahre für Zusatzrente, gestützt auf Beiträge nach dem 1. Januar 2002).
Zusätzliche Bedingung bei Todesfällen ab dem 1.Juli 1992: Die verstorbene Person muss ein Alter von mehr als 67 Jahren erreicht haben.</t>
  </si>
  <si>
    <t>5 Jahre mit Beitrags- und Ersatzzeiten (allgemeine Mindestversicherungszeit).
Die Mindestversicherungszeit kann vorzeitig erfüllt sein, wenn der Versicherte zum Beispiel aufgrund eines Arbeitsunfalls oder kurz nach Beendigung einer Ausbildung verstorben ist.</t>
  </si>
  <si>
    <t>Die Anzahl der erforderlichen Beitragsjahre ist abhängig vom Alter der versicherten Person zum Todeszeitpunkt und variiert zwischen einem Jahr (für Personen im Alter von 25 bis 26 Jahren) und 15 Jahren (für Personen im Alter von 27 bis 63 Jahren). Kein Mindestzeitraum für Personen unter 24 Jahren.</t>
  </si>
  <si>
    <t xml:space="preserve">Volksrente (Perhe-eläke):
   * Nach dem 16. Lebensjahr mindestens 3 Jahre und zum Zeitpunkt des Todes Wohnsitz in Finnland.
   * Nur für die Rente an hinterbliebene Ehepartner: zum Zeitpunkt der Eheschließung jünger als 65 Jahre gewesen sein.
Gesetzliche einkommensbezogene Rente (Työeläke):
   * Zum Zeitpunkt des Todes muss eine Versicherung bestehen oder bestanden haben.
</t>
  </si>
  <si>
    <t>1/Basissystem (Régime de base):
Bezug einer Alters- oder Invaliditätsrente oder Erfüllung der Bedingungen für einen Anspruch auf einen dieser Leistungen zum Zeitpunkt des Todes.
Für die Waisenrente muss der Tod am 1. September 2023 oder später eingetreten sein.
2/Zusatzrentensysteme (Agirc-Arrco):
Mitgliedschaft im entsprechenden System.</t>
  </si>
  <si>
    <t>Beitragszahlungen für mindestens 4.500 Arbeitstage oder 1.500 versicherungspflichtige Arbeitstage (davon 300 während der letzten 5 Jahre vor dem Todesfall).</t>
  </si>
  <si>
    <t>Mindestens 260 Wochen versicherungspflichtige Beschäftigung mit Beitragszahlung.
Im Jahresdurchschnitt:
   * 39 entrichtete oder angerechnete Wochenbeiträge für jedes der 3 oder 5 Beitragsjahre vor Vollendung des 66.Lebensjahres oder, falls dieser früher liegt, vor dem Tag des Todes des Ehepartners/ Lebenspartner oder
   * 48 entrichtete oder angerechnete Wochenbeiträge seit Eintritt in die Versicherung (in diesem Fall wird eine reduzierte Rente ausbezahlt, wenn der jährliche Durchschnitt an Beitragswochen mehr als 24 und weniger als 48 Wochen beträgt).
Es reicht aus, wenn einer der beiden Ehepartner/ Lebenspartner die Bedingungen erfüllt.</t>
  </si>
  <si>
    <t>Volksrente (lífeyrir almannatrygginga):
Die verstorbene versicherte Person, der hinterbliebene Ehepartner oder das hinterbliebene Kind müssen mindestens 3 Jahre unmittelbar vor dem Antrag auf Kinderrente (barnalífeyrir) ihren Wohnsitz in Island gehabt haben.
Arbeitsrente (lögbundnir lífeyrissjóðir):
Die verstorbene Person muss zum Todeszeitpunkt eine Arbeitsrente bezogen haben oder Beiträge für einen bestimmten Zeitraum (der je nach dem betreffenden Rentenfonds variiert) vor dem Tod gezahlt haben.</t>
  </si>
  <si>
    <t>Anspruchsvoraussetzungen, die von der verstorbenen Person erfüllt worden sein müssen: 5 Beitragsjahre, davon mindestens 3 Jahre während der letzten 5 Jahre, oder insgesamt 15 Beitragsjahre.
Erfolgt der Tod im Zusammenhang mit der beruflichen Tätigkeit, ohne dass die Hinterbliebenen aus diesem Grund eine Rente erhalten, so wird bei Fortfall der Beitragsvoraussetzungen eine Privilegierte Rente (pensione privilegiata) gewährt.
Wenn der Todesfall durch einen Arbeitsunfall oder eine Berufskrankheit verursacht wurde, unterhalten die Hinterbliebenen ebenfalls einen Anspruch auf eine vom INAIL gezahlte Rente (siehe weiter unten in Tabelle VIII, „Arbeitsunfälle und Berufskrankheiten, 3. Tod“).</t>
  </si>
  <si>
    <t>1. Säule:
   * 5 Versicherungsjahre oder
   * Versicherungszeiten von 10 Jahren,
   * wenn die versicherte Person die erforderliche Versicherungszeit für einen Anspruch auf Invaliditätsrente erfüllt oder
   * wenn die versicherte Person Empfänger einer Altersrente, vorgezogenen Altersrente oder Invaliditätsrente war oder
   * wenn die versicherte Person Anspruch auf berufliche Rehabilitation hatte oder
   * wenn der Tod der versicherten Person durch Arbeitsunfall oder Berufskrankheit begründet ist, haben Familienmitglieder Anspruch auf Hinterbliebenenrente, ungeachtet der Versicherungszeiten des Rentners.
Versicherungsjahre umfassen die Zeit, in der der Versicherte tatsächlich Beiträge gezahlt hat oder Versicherungszeiten, die anrechenbar oder berücksichtigungsfähig sind, siehe Tabelle VI „Alter”, „Leistungen – Angerechnete oder als berücksichtigungsfähig behandelte Zeiten”.</t>
  </si>
  <si>
    <t>Die effektive Versicherungszeit und die zugerechnete Zeit bis zum Rentenalter müssen mindestens 20 Jahre betragen.</t>
  </si>
  <si>
    <t>1. Säule: Ein Beitragsjahr (für Rentenanspruch).
2. Säule: Keine besonderen Bedingungen.</t>
  </si>
  <si>
    <t>Die verstorbene Person sollte zum Zeitpunkt des Todes eine Behindertenrente (Negalios pensija) der Sozialversicherung oder Altersrente (Senatvės pensija) bezogen haben oder auf diese Anspruch gehabt haben, d.h. sie sollte für eine altersabhängige Mindestversicherungszeit erwerbstätig gewesen sein (z.B. 15 Jahre für Personen ab 60 Jahre).
Die Mindestversicherungszeit ist nicht notwendig für diejenigen, die vor dem 1. Juni 1991 verstorben sind.</t>
  </si>
  <si>
    <t>12 Versicherungsmonate in den 3 letzten Jahren vor dem Tod. Falls in diese Frist von 3 Jahren gleichgestellte Zeiten fallen, so verlängert sie sich entsprechend.
Die Mindestversicherungszeit entfällt bei Tod aufgrund eines Unfalls (gleich aus welcher Ursache) oder einer Berufskrankheit, die während der Zeit der Versicherung eingetreten ist; oder wenn der Versicherte Anspruch auf eine persönliche Rente zum Zeitpunkt des Todes hatte.</t>
  </si>
  <si>
    <t>Witwen-/Witwerrente (Pensjoni tar-Romol):
Vor dem 22. Januar 1979 Teil eines Sozialversicherungssystems gewesen sein mit einem Durchschnittswert zwischen 20 und 50 angerechneten oder gezahlten wöchentlichen Beiträgen pro Jahr und mindestens 156 wöchentlich gezahlte Beiträge insgesamt.
Hinterbliebenenrente (Pensjoni tas-Superstiti):
Wie Witwen-/Witwerrente, wenn mindestens ein wöchentlicher Beitrag nach dem 22. Januar 1979 bezahlt wurde.</t>
  </si>
  <si>
    <t>Der Verstorbene muss zum Zeitpunkt des Todes versichert sein.</t>
  </si>
  <si>
    <t>5 Jahre Versicherung (oder 5 Jahre Bezug einer Rente) unmittelbar vor dem Tod.
Ist diese Bedingung nicht erfüllt, so kann ein versicherter Hinterbliebener einen Leistungsanspruch nach einem Versicherungsjahr erhalten, falls der Verstorbene zum Todeszeitpunkt versichert war und ab dem Alter von 16 Jahren insgesamt höchstens 5 Jahre nicht versichert war.
Unter besonderen Umständen sind besondere Regelungen anwendbar.</t>
  </si>
  <si>
    <t>Das Vorliegen von mindestens 180 Beitragsmonaten oder min. 300 Versicherungsmonaten oder 60 Versicherungsmonate innerhalb der letzten 120 Kalendermonate (nach Vollendung des 50. Lebensjahres wird die Wartezeit für jeden nach diesem Zeitpunkt liegenden Monat um 1 Monat und der Beobachtungszeitraum um jeweils 2 Monate angehoben bis maximal 180 Versicherungsmonate innerhalb der letzten 360 Kalendermonate).</t>
  </si>
  <si>
    <t>Um anspruchsberechtigt für diese Leistung zu sein, muss die verstorbene Person Bezieher einer Alters- oder Invaliditätsrente gewesen sein oder die Bedingungen zur Gewährung einer dieser Renten erfüllt haben.
Bei Tod des Versicherten durch Arbeitsunfall oder Berufskrankheit ist die Rente unabhängig von der Dauer der Erwerbstätigkeit zahlbar.</t>
  </si>
  <si>
    <t>Entrichtete oder angerechnete Beiträge für mindestens 36 Jahre.</t>
  </si>
  <si>
    <t>Rentner oder Personen mit Anspruch auf Invalidenrente (pensie de invaliditate), Altersrente (pensie pentru limita de varsta), Altersrente mit reduziertem Ruhestandsalter (pensie pentru limita de varsta cu reducerea varstelor standard de pensionare), vorgezogene Ruhestandsrente (pensie anticipata).</t>
  </si>
  <si>
    <t xml:space="preserve">
   * Einkommensbezogene Anpassungsrente (inkomstrelaterad omställningspension): Der Verstorbene muss kumulierte Rentenansprüche im Altersversorgungssystem haben.
   * Garantierente zu Anpassungsrente (garantipension till omställningspension): Der Verstorbene muss mindestens 3 Jahre in Schweden wohnhaft gewesen sein (40 Jahre für eine volle Garantierente);
   * Witwenrente (änkepension): Die verstorbene Person muss im alten Rentensystem einen Pensionsanspruch auf Zusatzrente für mindestens 3 Jahre erworben haben. Die Ehepartner müssen am 31. Dezember 1989 sowie zum Todeszeitpunkt verheiratet gewesen sein.
   * Garantierte Witwenrente (garantipension till änkepension): Witwen, die 1945 oder später geboren wurden, können nur dann eine Garantierente für ihre Witwenrente erhalten, wenn der Tod vor 2003 eingetreten ist. Die garantierte Witwenrente kann bis zum Monat vor dem 66. Lebensjahr der Witwe gezahlt werden. Dem Verstorbenen müssen mindestens drei Jahre Rentenpunkte oder drei Jahre Wohnsitz in Schweden angerechnet worden sein.
   * Kinderrente (barnpension): Der Verstorbene muss zum Zeitpunkt des Todes in der schwedischen Sozialversicherung versichert gewesen sein. Es gibt keine besondere Mindestanforderung an Versicherungs- oder Wohnjahren; die Höhe der Kinderrente wird bestimmt durch die erworbenen Rentenansprüche des Verstorbenen.
   * Waisenbeihilfe (efterlevandestöd): Ist die Kinderrente gering oder nicht vorhanden, kann eine wohnortbezogene Hinterbliebenenunterstützung eine Grundleistung bieten.  Der Verstorbene muss keine besonderen Bedingungen erfüllen, aber das Kind muss im schwedischen Sozialversicherungssystem versichert sein.
</t>
  </si>
  <si>
    <t>1. Säule (Grundsystem):
Ein Beitragsjahr.
2. Säule (obligatorische Mindestvorsorge):
   * Versicherungszugehörigkeit im Zeitpunkt des Todes oder bei Eintritt der Arbeitsunfähigkeit, deren Ursache zum Tod führte, oder
   * der Verstorbene erhielt im Zeitpunkt seines Todes eine Alters- oder Invalidenrente der Vorsorgeeinrichtung.</t>
  </si>
  <si>
    <t xml:space="preserve">
   * Bezug einer Altersrente (Starobný dôchodok), Vorgezogene Altersrente (Predčasný starobný dôchodok) oder Invalidenrente (Invalidný dôchodok), oder
   * Vorliegen der Anzahl von Versicherungsjahren für einen Anspruch auf Alters- oder Invalidenrente, oder
   * Tod auf Grund von Arbeitsunfall oder Berufskrankheit.</t>
  </si>
  <si>
    <t>Erfüllung von Bedingungen durch den Verstorbenen, um die Leistung geltend machen zu können:
   * Muss die Bedingungen für den Anspruch auf eine vorgezogene Rente (predčasna pokojnina), eine Altersrente (starostna pokojnina) oder eine Invaliditätsrente (invalidska pokojnina) erfüllen (siehe Tabelle V „Invalidität“ und Tabelle VI „Alter“); oder
   * Empfänger einer vorgezogene, Alters- oder Invaliditätsrente der Pflichtversicherung oder eine Person mit Anspruch auf Invaliditätsgeld (nadomestilo za invalidnost) oder Teilbeihilfe (delno nadomestilo) der Pflichtversicherung.
Bei Tod als Folge eines Arbeitsunfalls oder einer Berufskrankheit ist keine Mindestversicherungszeit erforderlich.</t>
  </si>
  <si>
    <t>Der Verstorbene muss am Todestag:
   * aktiver Beitragszahler oder einem solchem gleichgestellt gewesen sein und für mindestens 500 Kalendertage in den fünf Jahren vor dem Tod Beiträge entrichtet haben (nicht zutreffend für das Waisengeld, pensión de orfandad). Diese Beitragsvoraussetzung entfällt bei Tod durch Berufskrankheit, Arbeitsunfall oder sonstigen Unfall, oder
   * falls er kein aktiver Beitragszahler oder einem solchen gleichgestellt war, mindestens für 15 Jahre Beiträge entrichtet haben, oder
   * eine Invaliditäts- oder Ruhestandsrente bezogen haben,
   * Mütter, die durch Gewalt gegen Frauen verstorben sind.</t>
  </si>
  <si>
    <t>Der Verstorbene bezog, hatte Anspruch auf oder erfüllte die Mindestversicherungszeit für eine Altersrente (starobní důchod) oder Invaliditätsrenten ersten, zweiten und dritten Grades (invalidní důchod prvního, druhého nebo třetího stupně) oder starb an den Folgen eines Arbeitsunfalls oder einer Berufskrankheit.
Der Anspruch geht ebenfalls auf hinterbliebene Kinder über, wenn die verstorbene Person die Hälfte der Mindestversicherungszeit für die Invaliditätsrente erfüllt hat oder in den letzten 10 Jahren mindestens ein Jahr versichert war (ohne beitragsfreie Zeiten) oder in den letzten 20 Jahren über 38 Jahre alt und mindestens zwei Jahre (ohne beitragsfreie Zeiten) versichert war.</t>
  </si>
  <si>
    <t>Bezug einer Altersrente oder Erfüllung der Mindestversicherungszeit für eine Altersrente zum Todeszeitpunkt (altersabhängig).
Anspruchsberechtigung auf Witwen-/Witwerrente (Özvegyi nyugdíj) ist davon abhängig, ob die verstorbene Person eine der folgenden Bedingungen erfüllt hat:
   * verstorben vor Erreichen des 22. Lebensjahres und
   * in den 180 Kalendertagen seit Beendigung des Studiums Versicherungszeiten angesammelt haben oder
   * insgesamt mindestens 2 Jahre Versicherungszeit angesammelt haben,
   * verstorben zwischen 22-25 Jahren und mindestens 4 Jahre Versicherungszeit angesammelt haben,
   * verstorben zwischen 25-30 Jahren und mindestens 6 Jahre Versicherungszeit angesammelt haben,
   * verstorben zwischen 30-35 Jahren und mindestens 8 Jahre Versicherungszeit angesammelt haben,
   * verstorben zwischen 35-45 Jahren und mindestens 10 Jahre Versicherungszeit angesammelt haben,
   * verstorben mit über 45 Jahren und mindestens 15 Jahre Versicherungszeit angesammelt haben.
Hat die verstorbene Person nicht die oben genannten Versicherungszeiten angesammelt, jedoch die erforderlichen Versicherungszeiten für eine jüngere Alterskohorte angespart (wie oben aufgeführt), kann Hinterbliebenenleistung gewährt werden, vorausgesetzt, die Versicherungszeit wurde bis zum Todesdatum nicht durch einen Zeitraum von mehr als 30 Kalendertagen unterbrochen.</t>
  </si>
  <si>
    <t>Die Beiträge der verstorbenen Person werden unter folgenden Versicherungsbedingungen berücksichtigt, wenn die verstorbene Person das Rentenalter noch nicht erreicht hat:
   *              Die verstorbene Person muss mindestens 156 Wochen versichert gewesen sein; 
   *              Gezahlte Grundversicherung bis zum Todestag muss mindestens dem 156-fachen des wöchentlichen versicherungspflichtigen Grundentgelts (Βασικές Ασφαλιστέες Αποδοχές), also € 213,54 pro Woche (3 Versicherungspunkte zur Grundversicherung) entsprechen; 
   *              die Anzahl der Versicherungspunkte der gezahlten und gleichgestellten Grundversicherung für den Zeitraum zwischen dem dem 1. Tag des Jahres, in dem das 16. Lebensjahr vollendet wurde und der Woche vor derjenigen, in der die Anspruchsberechtigung beginnt, beträgt mindestens 25 % der in diesem Zeitraum umfassten Jahre. 
Wenn die verstorbene Person eine gesetzliche Rente bezog oder eine gesetzliche Rente bezogen hätte, wenn sie diese angefordert hätte, sind die Versicherungsbedingungen die gleichen wie für die Altersrente (siehe Tabelle VI zu Alter, Mindestversicherungszeit und sonstige Bedingungen für den Bezug einer Altersrente).
Wenn der Verstorbene nach Erreichen des Rentenalters eine Ehe eingegangen ist, hat die Witwe/ der Witwer Anspruch auf die Rente des Ehepartners, wenn die Ehe mindestens 5 Jahre bestand.
Falls der Tod durch einen Unfall verursacht wurde (kein Arbeitsunfall) :
   *              Die verstorbene Person muss bis zum Todeszeitpunkt mindestens 26 Wochen versichert gewesen sein, 
   *              die gezahlte Grundversicherung entspricht zum Todeszeitpunkt mindestens dem 26-fachen des wöchentlichen versicherungspflichtigen Grundentgelts (0,5 Versicherungspunkt) und 
   *              Gezahlte oder gleichgestellte Versicherung im relevanten Beitragsjahr entspricht mindestens dem 20-fachen des wöchentlichen versicherungspflichtigen Grundentgelts (0,39 Versicherungspunkt). 
Diese Versicherungsbedingungen gelten für hinterbliebene Ehegatten und Halbwaisen. Bei Vollwaisen ist allein erforderlich, dass ein Elternteil sozialversichert war.
Falls die Versicherungsbedingungen nicht erfüllt sind, erfolgt eine Pauschalzahlung. Wenn die verstorbene Person das Rentenalter nicht erreicht hat und die Grundversicherung, der mindestens dem 156-fachen des wöchentlichen versicherungspflichtigen Grundentgelts (Βασικές Ασφαλιστέες Αποδοχές) entspricht (mindestens 3 Versicherungspunkte) , gezahlt hat, wird der Pauschalbetrag gewährt. Wenn die verstorbene Person eine gesetzliche Rente bezog oder eine Altersrente bezogen hätte, wenn sie diese angefordert hätte, sind die Versicherungsbedingungen für den Pauschalbetrag die gleichen wie für den Pauschalbetrag der gesetzlichen Rente.
Definitionen:
Grundversicherung: versicherungspflichtiges Entgelt unterhalb des versicherungspflichtigen Grundentgelts (bis zu einem Versicherungspunkt).
Zusatzversicherung: versicherungspflichtiges Entgelt über dem Einkommensgrundbetrag (mehr als ein Versicherungspunkt).
Ein Versicherungspunkt: entspricht dem 52-fachen des wöchentlichen Grundbetrags = € 11.104.
Relevantes Beitragsjahr: das letzte Beitragsjahr vor dem Leistungsjahr, welches das Datum der Erfüllung der entsprechenden Bedingungen umfasst.
Leistungsjahr: der Zeitraum beginnt am ersten Montag im Juli jeden Jahres und endet am letzten Sonntag vor dem ersten Montag im Juli des Folgejahres.
Für die Definition von versicherungspflichtigem Entgelt siehe Finanzierung – Allgemeine Sozialbeitragssätze.</t>
  </si>
  <si>
    <t xml:space="preserve">
   * Die Ehe muss seit mindestens einem Jahr bestehen, oder Dauer der gesetzlichen Ehe oder Lebensgemeinschaft ein Jahr (außer wenn aus der Ehe ein Kind hervorgegangen ist oder ein Kind unterhalten wird oder wenn der Tod Folge eines Unfalls oder einer nach der Eheschließung eingetretenen Berufskrankheit ist).
   * Das Alter von 50 Jahren muss erreicht sein, und das Sterbedatum muss im Jahr 2025 liegen (für die Hinterbliebenenrente); ist diese Bedingung nicht erfüllt, hat der überlebende Ehepartner Anspruch auf Übergangsgeld;
   * (für die Hinterbliebenenrente) darf der Ehepartner außer genehmigter Arbeit keiner Erwerbstätigkeit nachgehen.
   * Der Ehepartner darf bei der Beantragung der Hinterbliebenenrente nicht wieder verheiratet sein. </t>
  </si>
  <si>
    <t>Der/die Hinterbliebene hat Anspruch auf Hinterbliebenenrente (Наследствена пенсия) 5 Jahre bevor er/sie das reguläre Renteneintrittsalter erreicht oder vorher, falls er/sie teilweise erwerbsunfähig ist.</t>
  </si>
  <si>
    <t>Mit der verstorbenen Person verheiratet sein oder gewesen sein.
Zusätzlich muss die verstorbene Person Beitragsleistungen über einen Zeitraum von mindestens 2 Jahren vor dem Tod getätigt haben.</t>
  </si>
  <si>
    <t>Die Ehe muss grundsätzlich mindestens ein Jahr bestanden haben.
Anspruch auf die so genannte große Witwen- oder Witwerrente besteht ab Vollendung des 47. Lebensjahres, bei Erwerbsminderung oder bei Erziehung eines Kindes unter 18 Jahren (ohne Altersbegrenzung bei Sorge für ein behindertes Kind, das seinen Unterhalt nicht selbst bestreiten kann). Sonst besteht Anspruch auf die so genannte kleine Witwen- oder Witwerrente.
Seit 2012 wird die Altersgrenze für die große Witwen- oder Witwerrente bei Tod des/der Versicherten stufenweise von früher 45 Jahre auf 47 Jahre angehoben. Für alle Todesfälle ab 2029 gilt dann die Altersgrenze 47 Jahre.
Männer und Frauen werden gleichbehandelt.
Einkommen über einem bestimmten Freibetrag wird teilweise angerechnet.</t>
  </si>
  <si>
    <t>Anspruch auf Hinterbliebenenrente (toitjakaotuspension) hat eine Witwe/ein Witwer:
   * die (ab der 12. Woche) schwanger ist,
   * die/der nicht arbeitet und ein unter dreijähriges Kind der verstorbenen Person großzieht, oder
   * die/der im Rentenalter ist oder teilweise oder dauerhaft arbeitsunfähig ist, vorausgesetzt die Ehe bestand mindestens 1 Jahr.</t>
  </si>
  <si>
    <t xml:space="preserve">Volksrente (Perhe-eläke):
Der hinterbliebene Ehegatte:
   * Unter 65 Jahren;
   * nach dem 16. Lebensjahr mindestens 3 Jahre den ständigen Wohnsitz in Finnland gehabt haben, und
   * ein gemeinsames Kind (eigenes oder adoptiertes Kind) mit dem/der Verstorbenen haben, oder
   * Wenn die Ehepartner kein gemeinsames Kind mit dem Verstorbenen haben, der hinterbliebene Ehepartner mindestens 50 Jahre alt zum Zeitpunkt des Todes ist und unter 50 Jahre alt war, als die Ehe geschlossen wurde und die Ehe mindestens 5 Jahre gedauert hat.
Gesetzliche einkommensbezogene Rente (Työeläke):
   * Der hinterbliebene Ehepartner mit dem gemeinsamen Kind muss verheiratet gewesen sein, bevor der Verstorbene das Alter von 65 Jahren erreicht hat;
   * der hinterbliebene Partner muss mindestens 50 Jahre alt sein oder eine Invaliditätsrente beziehen; die Ehe muss mindestens 5 Jahre bestanden haben und geschlossen worden sein, bevor die verstorbene Person das Alter von 65 Jahre und die hinterbliebene Person das Alter von 50 Jahren erreicht hatten.
</t>
  </si>
  <si>
    <t>1/Basissystem (Régime de base):
   * Hinterbliebenenrente (pension de réversion): Witwer oder Witwen von mindestens 55 Jahren, nach Bedürftigkeitsprüfung (jährliches Bruttoeinkommen unter €24.710,40 für eine alleinstehende Person oder €39.536,64 für ein Paar).
   * Invaliditätsrente für Witwer/Witwen (pension d'invalidité de veuf ou de veuve): Erwerbsunfähigkeit (um mindestens 2/3 verminderte Erwerbsfähigkeit) und Alter unter 55 Jahren.
   * Altersrente für Witwer/Witwen (pension de vieillesse de veuf ou de veuve): Erwerbsunfähigkeit (um mindestens 2/3 verminderte Erwerbsfähigkeit) und Alter unter 55 Jahren.
2/Zusatzrentensysteme (Agirc-Arrco):
Nicht wiederverheirateter Ehepartner im Alter von mindestens 55 Jahren; keine Altersbedingung im Falle einer Behinderung oder wenn 2 unterhaltsberechtigte Kinder vorhanden sind.</t>
  </si>
  <si>
    <t>Ehedauer muss mindestens 3 Jahre betragen, es sei denn:
   * der Verstorbene starb bei einem Arbeitsunfall oder durch Mord;
   * Kinder werden während der Ehe geboren oder adoptiert;
   * zum Todeszeitpunkt besteht eine Schwangerschaft, die zu einer Lebendgeburt führt;
   * das Paar verheiratet sich wieder, in welchem Fall die Dauer beider Ehen 5 Jahre oder mehr betragen und die zweite Ehe mindestens 6 Monate gedauert haben muss zum Zeitpunkt des Todes.
Keine Altersbeschränkungen.
Es gelten die gleichen Bedingungen für Männer und Frauen.</t>
  </si>
  <si>
    <t>Hinterbliebene Ehepartner, die nicht in einer eheähnlichen Gemeinschaft zusammenleben, d. h. mit einer anderen Person als Paar leben.
Gleiche Bedingungen für Männer und Frauen.</t>
  </si>
  <si>
    <t>Volksrente (lífeyrir almannatrygginga):
Keine Leistungen.
Arbeitsrente (lögbundnir lífeyrissjóðir):
Ehe mit der verstorbenen Person.</t>
  </si>
  <si>
    <t>Folgende Bedingungen muss der hinterbliebene Ehepartner erfüllen:
   * verheiratet oder Lebenspartner in eingetragener Lebensgemeinschaft sein und
   * Höhe des eigenen Einkommens.</t>
  </si>
  <si>
    <t>1. und 2. Säule:
Hinterbliebener Ehegatte ab 50 Jahren. Hinterbliebene Ehegatten, die zum Todeszeitpunkt des Versicherten das Alter von 45 Jahren erreicht haben, erwerben jedoch einen Anspruch, wenn sie 50 Jahre alt werden.
Es bestehen keine Altersbedingungen, wenn der hinterbliebene Ehegatte behindert ist oder Kinder mit Anspruch auf eine Hinterbliebenenrente erzieht.Gleiche Bedingungen für Männer und Frauen.</t>
  </si>
  <si>
    <t>Der hinterbliebene Ehegatte, der Rentner ist, kann vorübergehend die Leistung für den hinterbliebenen Ehegatten (Pabalsts pārdzīvojušam laulātajam) erhalten.
Gleiche Bedingungen für Männer und Frauen.</t>
  </si>
  <si>
    <t>1. und 2. Säule:
   *  Aufrechte Ehe im Todeszeitpunkt.
   *  Der überlebende Ehegatte muss für den Unterhalt mindestens eines Kindes aufkommen oder älter als 45 Jahre sein und die Ehe muss mindestens fünf Jahre gedauert haben.
Sofern diese Voraussetzungen nicht erfüllt sind, hat der überlebende Ehegatte Anspruch auf eine einmalige Abfindung in der Höhe von drei Jahresrenten.</t>
  </si>
  <si>
    <t>Anspruchsbedingungen für die Witwen-/Witwerrente (Našlių pensija) an den hinterbliebenen Ehepartner sind:
   * mit dem Verstorbenen für mindestens ein Jahr verheiratet gewesen sein, falls keine gemeinsamen Kinder vorhanden sind;
   * zum Todeszeitpunkt des Partners oder spätestens innerhalb von 5 Jahren nach dem Tod des Partners als erwerbsunfähig anerkannt sein/worden sein;
   * das gesetzliche Rentenalter erreicht haben.</t>
  </si>
  <si>
    <t>Die Ehe muss mindestens ein Jahr bestanden haben (entweder vor dem Tod oder vor Bezug der persönlichen Invaliditäts- oder Altersrente des Versicherten), und der Versicherte darf zum Zeitpunkt der Eheschließung keine Invaliditäts- oder Altersrente bezogen haben.
Anspruch auf eine Hinterbliebenenrente besteht jedoch, wenn eine der folgenden Bedingungen erfüllt ist:
   * Der Tod des aktiven Versicherten oder seine Versetzung in den Ruhestand wegen Invalidität ist die direkte Folge eines Unfalls, der sich nach der Eheschließung ereignet hat;
   * Ein Kind wurde während der Ehe geboren oder gezeugt oder wurde durch die Eheschließung gesetzlich anerkannt;
   * Die Ehe bestand mindestens ein Jahr, sofern der verstorbene Rentenempfänger nicht 15 Jahre oder älter als der Ehegatte oder Partner war;
   * Die Ehe bestand mindestens 10 Jahre, sofern der verstorbene Rentenempfänger mehr als 15 Jahre älter als der Ehegatte oder Partner war.</t>
  </si>
  <si>
    <t>Hinterbliebener Ehegatte oder Lebenspartner der verstorbenen versicherten Person.
Die Anspruchsberechtigung ist abhängig von den Versicherungszeiten des Verstorbenen sowie dem Familienstatus (Ehe oder eingetragene Lebenspartnerschaft) des Antragstellers zum Todeszeitpunkt. Es gelten keine Anforderungen an Alter, Einkommen oder Dauer der Ehe/Partnerschaft. Der Hinterbliebene darf nicht erneut verheiratet sein.
Keine unterschiedlichen Bedingungen für Männer und Frauen.</t>
  </si>
  <si>
    <t>Hinterbliebenenrente wird gewährt, wenn der überlebende Ehepartner:
   * ein nicht in einem anderen Haushalt lebendes lediges Kind unter 18 Jahren hat oder
   * eine Minderung der Erwerbsfähigkeit um mindestens 45% aufweist.
Bei Erreichen der Regelaltersgrenze tritt die allgemeine Altersrente (Algemene Ouderdomswet, AOW) an die Stelle der Hinterbliebenenrente.</t>
  </si>
  <si>
    <t>Anpassungszulage (omstillingsstønad) wird gewährt, wenn der hinterbliebene Partner unter 67 Jahren alt ist und die Ehe mindestens 5 Jahre bestanden hat. Es gibt keine Anforderungen an die Dauer der Ehe für hinterbliebene Ehepartner, wenn gemeinsame Kinder vorhanden sind oder wenn mindestens für die Hälfte der Zeit Kinder unter 18 Jahren vesorgt werden.
Die Bedingungen gelten für Frauen und Männer.</t>
  </si>
  <si>
    <t>Hinterbliebene:r, deren:dessen Ehe/eingetragene Partnerschaft mit dem:der Verstorbenen zum Todeszeitpunkt bestand.
Wenn das monatliche Erwerbseinkommen oder Erwerbsersatzeinkommen (z.B. Rente, Kranken- oder Wochengeld, Arbeitslosengeld) das Doppelte der monatlichen Höchstbeitragsgrundlage des Jahres 2012 überschreitet (monatlich €8.460 brutto), so wird die Witwen:Witwerrente so weit vermindert, dass die Summe aus eigenem Einkommen und der Rente diese Grenze nicht mehr überschreitet.
Je nach Alter der Ehepartner:innen bzw. eingetragenen Partner:innen und Dauer der Ehe kann sich eine zeitlich auf 30 Monate befristete oder unbefristete Witwen:rpension ergeben (siehe Tabelle VII, Leistungen - 1. Hinterbliebener Ehegatte, geschiedener Ehegatte, hinterbliebene Lebenspartner). Eine unbefristete Witwenpension gebührt jedenfalls u.a. wenn in der Ehe/Eingetragenen Partnerschaft ein Kind geboren (legitimiert) wurde oder die Witwe im Todeszeitpunkt der:s Partner:in schwanger war.</t>
  </si>
  <si>
    <t xml:space="preserve">
   * 50 Jahre und älter, oder
   * voll erwerbsunfähig, oder
   * Erziehung eines Kindes, das entweder Anspruch auf eine Hinterbliebenenrente hat oder unter 16 Jahre alt ist (18 Jahre, falls Vollzeitstudent), oder
   * Erziehung eines behinderten Kindes ohne Alterseinschränkung, das Anspruch auf eine Hinterbliebenenrente hat.
Es gelten gleiche Bedingungen für Männer und Frauen.</t>
  </si>
  <si>
    <t>Bedingungen für den Anspruch auf die Leistung:
   * Bestand der Ehe seit mindestens einem Jahr, außer, wenn Kinder vorhanden sind oder eine Schwangerschaft vorliegt oder wenn der Tod durch Unfall verursacht war.
   * Alter von mindestens 35 Jahren (sonst Beschränkung des Rentenanspruchs auf 5 Jahre), außer, wenn Kinder mit Anspruch auf Hinterbliebenenrente vorhanden sind oder dauernde Arbeitsunfähigkeit vorliegt.
Gleiche Bedingungen für Männer und Frauen.</t>
  </si>
  <si>
    <t>Altersbedingungen:
Gesetzliches Renteneintrittsalter und Ehedauer von mindestens 15 Jahren (10 Jahre mit Abzug vom Betrag der Hinterbliebenenrente).
Altersunabhängige Bedingungen:
   * die Ehe muss mindestens 1 Jahr bestanden haben und eine Invalidität der Kategorien I oder II vorliegen oder
   * das Bruttoeinkommen liegt unter dem Mindestbruttolohn, d. h. RON 4.050 (€797) monatlich, und Betreuung eines Kindes unter 7 Jahren.
Erfüllt der Hinterbliebene Ehegatte die oben genannten Bedingungen nicht, hat er dennoch Anspruch auf eine Hinterbliebenenrente (pensie de urmas) für einen begrenzten Zeitraum (6 Monate nach dem Tod des unterhaltsverpflichteten Ehegatten), wenn in diesem Zeitraum das Einkommen unterhalb des Mindestbruttolohns, d. h. RON 4.050 (€797) monatlich liegt.
Es gibt bezüglich der Bedingungen und der angewandten Berechnungsformel keine Geschlechtsunterschiede zwischen Hinterbliebenen Ehepartnern.</t>
  </si>
  <si>
    <t>Anpassungsrente (omställningspension):
Anpassungesrente wird für 12 Monate gezahlt, kann aber um 12 zusätzliche Monate verlängert werden oder bis das jüngste Kind 12 Jahre alt wird.
Der hinterbliebene Ehegatte muss:
   * unter 66 Jahre alt sein und:
   * zum Zeitpunkt als der/die Ehepartner/in starb mit einem Kind unter 18 zusammenleben, oder
   * mit dem/der Verstorbenen mindestens 5 Jahre ununterbrochen zusammengelebt haben.
Witwenrente (änkepension):
Witwenrente kann an eine Hinterbliebene ausgezahlt werden (die am 31. Dezember 1989 und zum Todeszeitpunkt mit dem Verstorbenen verheiratet war).</t>
  </si>
  <si>
    <t>1. Säule (Grundsystem):
Witwe:
   * ein oder mehrere Kinder oder
   * 45 Jahre und 5 Ehejahre.
Witwer: ein oder mehrere Kinder.
2. Säule (obligatorische Mindestvorsorge):
Hinterbliebener Ehegatte:
   * ein oder mehrere unterhaltsberechtigte Kinder oder
   * 45 Jahre und 5 Ehejahre.</t>
  </si>
  <si>
    <t>Witwenrente (Vdovský dôchodok) und Witwerrente (Vdovecký dôchodok), abhängig von der Rente des Verstorbenen im Rahmen der 1. Säule:
Verheiratet sein mit der verstorbenen Person zum Zeitpunkt ihres Todes.
Dauer des Leistungsbezugs ist zwei Jahre, die Leistung wird aber nach Ablauf des ersten Jahres weitergezahlt, wenn der überlebende Ehepartner:
   * zu mehr als 70% erwerbsunfähig ist oder;
   * ein unterhaltspflichtiges Kind betreut oder;
   * mindestens 3 Kinder (nur 2 Kinder, falls 52 Jahre oder älter, nur 1 Kind, falls 57 Jahre oder älter) erzogen hat, oder;
   * das Rentenalter erreicht hat.
Witwenrente (Vdovský dôchodok) und Witwerrente (Vdovecký dôchodok), abhängig von der Rente des Verstorbenen im Rahmen der 2. Säule: Die Dauer der Rente beträgt ein oder zwei Jahre, wenn die Zahlung einer Witwen- oder Witwerrente im Rentenversicherungsvertrag vereinbart wurde.</t>
  </si>
  <si>
    <t>Witwen und Witwer sind anspruchsberechtigt, wenn sie zum Zeitpunkt des Todes des Ehepartners:
   * mindestens 58 Jahre alt sind, oder
   * vollständig erwerbsunfähig sind oder nach einem Jahr nach dem Tod des Ehepartners erwerbunfähig wird, oder
   * gegenüber einem Kind mit Anspruch auf Hinterbliebenenrente (družinska pokojnina) unterhaltsverpflichtet sind, oder
   * bei einem Alter zwischen 53 und 58 Jahren wird die Zahlung bis zur Vollendung des 58. Lebensjahrs aufgeschoben;
   * das Kind des Verstorbenen nicht später als 300 Tage nach dessen Tod gebärt.</t>
  </si>
  <si>
    <t>Im Todesfall aufgrund einer nicht berufsbedingten Krankheit, die vor der Ehe einsetzte, muss die Ehe mindestens ein Jahr lang bestanden haben oder es muss gemeinsame Kinder geben.</t>
  </si>
  <si>
    <t>Witwen- bzw. Witwerrente (Vdovský/vdovecký důchod):
Die Rente wird für ein Jahr ab dem Zeitpunkt des Todes des Ehepartners gewährt. Danach wird diese Leistung nur an Hinterbliebene gewährt, die das gesetzliche Rentenalter erreicht haben oder 4 Jahre vom gesetzlichen Rentenalter entfernt sind, sowie an Hinterbliebene mit Invalidität dritten Grades oder Hinterbliebene, die für:
   * ein unterhaltsberechtigtes Kind ;
   * ein überwiegend oder vollständig pflegebedürftiges Kind;
   * den im selben Haushalt lebenden, überwiegend oder vollständig unterhaltsberechtigten Elternteil oder Schwiegerelternteil des Kindes sorgen.
Der Anspruch auf eine Witwen- oder Witwerrente kann innerhalb von fünf Jahren nach Ablauf des vorherigen Anspruchs wiederhergestellt werden, wenn eine der gesetzlichen Voraussetzungen erfüllt ist.
Die Hinterbliebenenrente kann ohne Einschränkung mit Erwerbseinkommen kombiniert werden.</t>
  </si>
  <si>
    <t>Witwen- bzw. Witwerrente (Özvegyi nyugdíj)
Die Anspruchsberechtigung wird bestimmt durch Heirat oder eingetragene Lebenspartnerschaft und das Zusammenleben mit dem Verstorbenen.
Die Rente:
   * wird befristet auf 1 Jahr (verlängert auf 18 Monate, wenn der hinterbliebene Ehepartner die Fürsorge für das Kind (unter 18 Monaten) des Verstorbenen übernimmt);
   * oder wird für höchstens 3 Jahre gewährt, wenn der hinterbliebene Ehegatte ein Kind versorgt, das als behindert oder dauerhaft krank gilt;
   * oder wird in eine dauerhafte Rente umgewandelt, wenn der Ehepartner:
   * das Rentenalter überschritten hat oder
   * als eine Person mit veränderter Erwerbsfähigkeit angesehen wird oder
   * mindestens zwei minderjährige Kinder (mit Anspruch auf Waisenrente) hat oder einen mit dem Verstorbenen verwandten Waisen (mit Anspruch auf Waisenrente) pflegt, der behindert oder dauerhaft krank ist.
Diese Bedingungen gelten auch innerhalb von 10 Jahren nach Einstellung der Zahlung von Witwen- bzw. Witwerrente (Özvegyi nyugdíj), wenn die Anspruchsbedingungen erfüllt sind.
Wenn der verstorbene Ehegatte zum Zeitpunkt der Heirat das Rentenalter überschritten hatte, so hat die hinterbliebene Person nur dann Anspruch auf die Leistung, wenn sie länger als 5 Jahre mit der verstorbenen Person zusammengelebt hat oder ein gemeinsames Kind vorhanden ist.
Der geschiedene Ehegatte hat nur dann Anspruch, wenn die Trennung weniger als ein Jahr zurückliegt.
War der Ehegatte länger als ein Jahr vom Verstorbenen getrennt, besteht nur dann ein Anspruch, wenn die Person Unterhaltszahlungen vom Verstorbenen erhalten hat.
Für Männer und Frauen gelten die gleichen Bedingungen.</t>
  </si>
  <si>
    <t>Witwe: muss vom verstorbenen Ehemann abhängig gewesen sein und mit ihm zusammengelebt haben oder bis zum Todeszeitpunkt von ihm unterhalten worden sein.
Witwer: muss zuvor von der verstorbenen Ehefrau, die seit dem 1. Januar 2018 verstarb, abhängig gewesen sein, und zum Zeitpunkt ihres Todes mit ihr zusammengelebt haben oder von ihr unterhalten worden sein.</t>
  </si>
  <si>
    <t>Für den Privatsektor gibt es keine Hinterbliebenenrente für überlebende geschiedene Ehepartner.</t>
  </si>
  <si>
    <t>Mindestens 5 Jahre lang bestehende Ehe.
Zusätzlich muss die verstorbene Person vor dem 1. Januar 2002 (nach der alten Regelung) Unterhaltszahlungen geleistet haben.</t>
  </si>
  <si>
    <t>Scheidung vor dem 01.07.1977: Der hinterbliebene geschiedene Ehegatte darf nicht wieder geheiratet haben. Es muss ein Unterhaltsanspruch bestanden haben bzw. Unterhalt gezahlt worden sein.
Bei jeder Ehescheidung nach dem 30.06.1977 wird grundsätzlich ein Versorgungsausgleich bezüglich der während der Ehe gemeinsam erworbenen Anwartschaften vorgenommen. Dies gilt auch für eingetragene Lebenspartnerschaften.
Bei einer Ehescheidung nach dem 30.06.1977 hat der geschiedene Ehegatte, der ein eigenes Kind oder ein Kind des verstorbenen erzieht bis zum Erreichen der Regelaltersgrenze einen Anspruch auf Erziehungsrente, wenn er nicht wieder geheiratet hat und bis zum Tod des geschiedenen Ehegatten die allgemeinen Wartezeiten erfüllt hat. Dies gilt auch für eingetragene Lebenspartnerschaften.
Frauen und Männer werden gleichbehandelt.
Einkommen über einem bestimmten Freibetrag wird teilweise angerechnet.</t>
  </si>
  <si>
    <t>Eine geschiedene Person hat Anspruch auf Hinterbliebenenrente, falls sie während der Ehe oder bis zu einem Jahr danach dauerhaft arbeitsunfähig wurde oder spätestens innerhalb von drei Jahren nach der Scheidung das Rentenalter erreicht hat und die Ehe mindestens 25 Jahre bestand.</t>
  </si>
  <si>
    <t>Gesetzliche einkommensbezogene Rente (Työeläke):
Geschiedene Ehepartner haben ein Anrecht, wenn sie von dem Verstorbenen Unterhaltszahlungen erhalten haben und ihre Situation dieselben Bedingungen wie die es hinterbliebenen Ehegatten erfüllt (siehe Tabelle VII, „Bedingungen 2. Hinterbliebener Ehegatte”).
Geschiedene Ehepartner haben kein Anrecht auf Volksrente (Perhe-eläke).</t>
  </si>
  <si>
    <t>1/Basissystem (Régime de base):
Hinterbliebenenrente: Dieselben Bedingungen wie für den Witwer/die Witwe.
2/Zusatzrentensysteme (Agirc-Arrco):
Dieselben Bedingungen wie für den Witwer/die Witwe.</t>
  </si>
  <si>
    <t>Der überlebende geschiedene Ehepartner erhält eine Pension, wenn folgende Bedingungen erfüllt sind:
   * der ehemalige Ehepartner zahlte vor seinem/ihrem Tod Unterhaltsleistungen (auf der Grundlage eines Gerichtsurteils);
   * die Ehe dauerte mehr als 10 Jahre,vor der Scheidung;
   * wenn der frühere Ehepartner nicht die Scheidung verursachte;
   * der überlebende geschiedene Ehepartner ist nicht wieder verheiratet bzw. nicht in einer zivilen Lebenspartnerschaft.</t>
  </si>
  <si>
    <t>Geschiedene Ehepartner, die nicht in einer eheähnlichen Gemeinschaft zusammenleben, d. h. mit einer anderen Person als Paar leben.
Gleiche Bedingungen für Männer und Frauen.</t>
  </si>
  <si>
    <t>Keine Leistungen.</t>
  </si>
  <si>
    <t>Ein/e geschiedene/r Witwe/r, der/die Unterhaltsleistungen bezogen hat, kann aufgrund richterlicher Entscheidung Hinterbliebenenrente (pensione ai superstiti) erhalten.</t>
  </si>
  <si>
    <t>Geschiedener Ehegatte unter den vorgenannten Bedingungen im Alter von 50 Jahren oder mehr bei Anspruch auf Unterhalt.
Gleiche Bedingungen für Männer und Frauen.</t>
  </si>
  <si>
    <t>1. Säule: Ein geschiedener Ehegatte, der gegen die verstorbene Person im Todeszeitpunkt einen Unterhaltsanspruch hatte bzw. Unterhalt erhielt, hat einen Anspruch unter denselben Bedingungen wie ein hinterbliebener Ehegatte - maximal im Betrag des entfallenden Unterhaltsanspruchs.
2. Säule: Der geschiedene Ehegatte hat keinen gesetzlichen Anspruch auf eine Verwitwetenrente.</t>
  </si>
  <si>
    <t>Der geschiedene Ehepartner kann die Leistung für Alleinstehende (Vienišo asmens išmoka) beziehen, basierend auf den folgenden Bedingungen:
   * eine ältere, alleinstehende Person (die das Altersrentenalter erreicht hat) oder eine alleinstehende Person mit Behinderung sein.
   * Litauen als Wohnsitz erklärt haben oder bei Nichterfüllung eine der folgenden Anforderungen:
   * keine erneute Heirat, weder in Litauen noch im Ausland;
   * erneute Heirat, die jedoch beendet wurde.</t>
  </si>
  <si>
    <t>Der geschiedene Ehepartner darf keine neue Ehe oder Lebensgemeinschaft eingegangen sein. Im Übrigen gelten die gleichen Bedingungen wie für hinterbliebene Ehepartner.</t>
  </si>
  <si>
    <t>Der geschiedene Ehepartner oder Partner einer verstorbenen Person hat Anspruch auf eine Hinterbliebenenrente, die der Anzahl der Ehejahre entspricht.
Gleiche Behandlung von Männern und Frauen.</t>
  </si>
  <si>
    <t>Anw Hinterbliebenenrente wird gewährt, wenn:
   * wenn der verstorbene geschiedene Ehepartner versichert und rechtlich zur Unterhaltszahlung verpflichtet war.
   * Der hinterbliebene geschiedene Ehepartner: 
   * ein nicht in einem anderen Haushalt lebendes lediges Kind unter 18 Jahren hat oder
   * eine Minderung der Erwerbsfähigkeit um mindestens 45% aufweist.
Bei Erreichen der Regelaltersgrenze tritt die allgemeine Altersrente (Algemene Ouderdomswet, AOW) an die Stelle der Hinterbliebenenrente.</t>
  </si>
  <si>
    <t>Geschiedene, die vollständig oder wesentlich durch Beiträge des Verstorbenen unterhalten wurden, haben Anspruch auf eine Anpassungszulage (omstillingsstønad), wenn die Ehe mindestens 25 Jahre bestand oder mindestens 15 Jahre, wenn aus ihr gemeinsame Kinder hervorgegangen sind.
Die Bedingungen gelten für Frauen und Männer.</t>
  </si>
  <si>
    <t>Hinterbliebene:r geschiedene:r Ehepartner:in, der:die gegen den:die Verstorbene:n im Todeszeitpunkt einen Unterhaltsanspruch hatte bzw. Unterhalt erhielt, sofern keine neue Ehe bzw. eingetragene Partnerschaft geschlossen wurde.</t>
  </si>
  <si>
    <t>Geschiedene Ehepartner, die bis zum Todeszeitpunkt des Partners keinen gemeinsamen Güterstand mit dem Verstorbenen hatten, haben Anspruch auf Hinterbliebenenrente, wenn sie die obigen Bedingungen erfüllen und am Todestag des Partners ein gerichtlich festgestellter Unterhaltsanspruch bestand.
Es gelten gleiche Bedingungen für Männer und Frauen.</t>
  </si>
  <si>
    <t>Voraussetzung ist, dass der frühere Ehepartner Anspruch auf Unterhalt hat.
Gleiche Bedingungen für Männer und Frauen.</t>
  </si>
  <si>
    <t>Keine Leistung.</t>
  </si>
  <si>
    <t>Keine Leistungen für geschiedene Ehepartner.</t>
  </si>
  <si>
    <t>1. Säule (Grundsystem):
Eine geschiedene Person ist einer verwitweten gleichgestellt, wenn:
   * sie eines oder mehrere Kinder hat und die geschiedene Ehe mindestens 10 Jahre gedauert hat;
   * die geschiedene Ehe mindestens 10 Jahre gedauert hat und die Scheidung nach dem vollendeten 45. Altersjahr der geschiedenen Person erfolgte;
   * das jüngste Kind sein 18. Altersjahr vollendet hat, nachdem die geschiedene Person ihr  45. Altersjahr zurückgelegt hat.
Ist nicht mindestens eine dieser Voraussetzungen erfüllt, so besteht ein Rentenanspruch nur, wenn und solange die geschiedene Person Kinder unter 18 Jahren hat.
2. Säule (obligatorische Mindestvorsorge):
Die Ehe hat mindestens 10 Jahre gedauert und der geschiedene Ehegatte bezieht einen Unterhaltsbeitrag.</t>
  </si>
  <si>
    <t>Rente für Geschiedene Ehefrauen (dôchodok pre rozvedenú ženu):
Geschiedene Ehefrau (Scheidung vom dem 1. Januar 2004), mit vom Gericht zugesprochenem Unterhalsanspruch. Keine weiteren Bedingungen.</t>
  </si>
  <si>
    <t>Geschiedene Ehepartner haben Anspruch auf eine Witwen- oder Witwerrente, wenn ein Unterhaltsanspruch bestand und die verstorbene versicherte Person zum Zeitpunkt des Todes Unterhaltszahlungen geleistet hat.
Falls auch ein hinterbliebener Ehepartner aus einer späteren Ehe anspruchsberechtigt ist, wird die Hinterbliebenenrente aufgeteilt.</t>
  </si>
  <si>
    <t>Bei Aufhebung der Ehe, proportional zur Dauer der Ehe; bei Trennung oder Scheidung hat der getrennte Ehepartner Anspruch auf die Leistung, so lange Unterhalt anerkannt wurde.
In allen Fällen muss der verstorbene Ehepartner zu Unterhaltszahlungen oder Entschädigung verpflichtet gewesen sein (mit einigen vorübergehenden Ausnahmen).</t>
  </si>
  <si>
    <t>Keine Leistungen für Hinterbliebene für geschiedene Ehepartner.</t>
  </si>
  <si>
    <t>Anspruch auf eine Witwen-/Witwerrente (Özvegyi nyugdíj) haben Geschiedene Ehegatten nur dann, wenn sie von der verstorbenen Person Unterhalt erhielten und nicht erneut geheiratet haben.</t>
  </si>
  <si>
    <t>Mindestens 2-jähriges Zusammenleben vor dem Tod.</t>
  </si>
  <si>
    <t>Wie für hinterbliebene Ehegatten.</t>
  </si>
  <si>
    <t xml:space="preserve">Hinterbliebener Partner einer eingetragenen Lebenspartnerschaft:
Dieselben Regeln für hinterbliebene Ehegatten (siehe Tabelle VII, „Bedingungen 2. Hinterbliebener Ehegatte”), wenn die Partnerschaft als Lebenspartnerschaft eingetragen war.
Sonstiger hinterbliebener Partner:
Volksrente (Perhe-eläke)
Hinterbliebene Partner müssen folgende Bedingungen erfüllen:
   * jünger als 65 Jahre sein;
   * ab dem Alter von 16 Jahren mindestens 3 Jahre lang in Finnland wohnhaft gewesen sein;
   * das Zusammenleben mit dem verstorbenen Partner begonnen haben, bevor dieser 65 Jahre alt war;
   * mit dem verstorbenen Partner über einen ununterbrochenen Zeitraum von mindestens 5 Jahren zusammengelebt haben und nicht mit einer anderen Person verheiratet sein; und
   * ein gemeinsames Kind mit der verstorbenen Person haben.
Gesetzliche einkommensbezogene Rente (Työeläke):
Hinterbliebene Partner müssen folgende Bedingungen erfüllen:
   * das Zusammenleben mit dem verstorbenen Partner begonnen haben, bevor dieser 65 Jahre alt war;
   * mit dem verstorbenen Partner über einen ununterbrochenen Zeitraum von mindestens 5 Jahren zusammengelebt haben und nicht mit einer anderen Person verheiratet sein; und
   * Ein gemeinsames Kind mit der verstorbenen Person haben.
</t>
  </si>
  <si>
    <t>Gleiche Bedingungen wie für den hinterbliebenen Ehepartner.</t>
  </si>
  <si>
    <t>Hinterbliebene Lebenspartner:
Gleich wie bei „Hinterbliebene Ehepartner”, d.h. ein hinterbliebener Lebenspartner, der nicht in einer eheähnlichen Gemeinschaft zusammenlebt, d. h. mit einer anderen Person als Paar lebt.
Partner in eheähnlicher Gemeinschaft:
Keine Leistungen.
Die gleichen Bedingungen für Männer und Frauen.</t>
  </si>
  <si>
    <t>Volksrente (lífeyrir almannatrygginga):
Keine Leistungen.
Arbeitsrente (lögbundnir lífeyrissjóðir):
Eingetragene Lebensgemeinschaft (auch gleichgeschlechtlich) mit der verstorbenen Person.</t>
  </si>
  <si>
    <t>Keine Leistungen für den hinterbliebenen Partner oder Lebenspartner.</t>
  </si>
  <si>
    <t>Die gleichen Bedingungen wie bei einem hinterbliebenen Ehegatten (im Alter von 50 Jahren oder mehr), wenn sie mindestens 3 Jahre zusammengelebt haben oder in einer Partnerschaft waren.
Gleiche Bedingungen für Männer und Frauen.</t>
  </si>
  <si>
    <t>1. Säule: Für eingetragene Partner gelten die gleichen Bedingungen wie für hinterbliebene Ehegatte (vgl. Tabelle VII, 2. Hinterbliebener Ehegatte)Keine Leistungen an Konkubinatspartner.
2. Säule: Für eingetragene Partner gelten die gleichen Bedingungen wie für hinterbliebene Ehegatte (vgl. Tabelle VII, 2.Hinterbliebener Ehegatte)
Leistungen für Konkubinatspartner nur, sofern dies reglementarisch vorgesehen ist.</t>
  </si>
  <si>
    <t>Gleiche Bedingungen wie für geschiedene Ehepartner.</t>
  </si>
  <si>
    <t>Lebenspartner benötigen eine schriftliche Erklärung gegenüber dem Zivilstandsregister.
Gleiche Bedingungen wie für hinterbliebene Ehepartner.</t>
  </si>
  <si>
    <t>Gleiche Bedingungen für geschiedene Ehepartner.
Siehe Tabelle VII zu Hinterbliebenen, „Anspruchskriterien. Geschiedener Ehegatte.“</t>
  </si>
  <si>
    <t>Gleiche Bedingungen für eine Person, die einen Haushalt mit dem Verstorbenen geteilt hat.
Anw Hinterbliebenenrente wird gewährt, wenn der überlebende Lebenspartner:
   * ein nicht in einem anderen Haushalt lebendes lediges Kind unter 18 Jahren hat oder
   * eine Minderung der Erwerbsfähigkeit um mindestens 45% aufweist.
Bei Erreichen der Regelaltersgrenze tritt die allgemeine Altersrente (Algemene Ouderdomswet, AOW) an die Stelle der Hinterbliebenenleistung.</t>
  </si>
  <si>
    <t>Eine Person, die mit der verstorbenen Person unverheiratet zusammengelebt hat, falls sie zuvor verheiratet waren oder gemeinsame Kinder haben.
Der hinterbliebene Partner hat dieselben Rechte wie ein hinterbliebener Ehepartner (siehe Tabelle VII, „Hinterbliebener Ehepartner”).
Sind keine Kinder aus der Lebenspartnerschaft oder Lebensgemeinschaft hervorgegangen, so muss das Zusammenleben bzw. die eingetragene Gemeinschaft mindestens fünf Jahre bestanden haben.</t>
  </si>
  <si>
    <t>Eingetragene Partner:innen haben die gleichen Rechte wie Ehepartner:innen. Bei bloßer Lebensgemeinschaft erwachsen keine Rechte.</t>
  </si>
  <si>
    <t>Eine Person, die zum Zeitpunkt des Todes des nicht verheirateten Arbeitnehmers mit ihm seit mindestens 2 Jahren in eheähnlicher Gemeinschaft lebt, wird wie ein Ehepartner behandelt.
Weitere Bedingungen, die mit denen des überlebenden Ehepartners identisch sind.
Die Bedingungen sind für Männer und Frauen gleich.</t>
  </si>
  <si>
    <t>Anpassungsrente (omställningspension):
Eine Person, die mit dem/der Verstorbenen ständig zusammenlebte, ohne mit ihm/ihr verheiratet gewesen zu sein, wird als Ehegatte behandelt, wenn die Ehe zu einem früheren Zeitpunkt bestand oder das Paar bei Eintreten des Todes ein gemeinsames Kind hatte oder erwartete (siehe „Anspruchskriterien, Hinterbliebener Ehepartner“).
Witwenrente (änkepension): nur für Frauen, die mit dem Verstorbenen vor dem 31. Dezember 1989 und zum Zeitpunkt seines Todes verheiratet waren.</t>
  </si>
  <si>
    <t>1. Säule (Grundsystem):
Eingetragener Partner:
Ein oder mehrere Kinder.
2. Säule (obligatorische Mindestvorsorge):
Eingetragener Partner:
Ein oder mehrere unterhaltsberechtigte Kinder oder 45 Jahre und die eingetragene Partnerschaft hat 5 Jahre gedauert.
Die gerichtliche Auflösung der eingetragenen Partnerschaft ist einer Scheidung gleichgestellt.</t>
  </si>
  <si>
    <t>Bedingungen, die zusätzlich zu denen für hinterbliebene Ehepartner erfüllt werden müssen:
   * mindestens drei Jahre lang mit der versicherten Person in einer nichtehelichen Gemeinschaft gelebt haben, oder
   * das letzte Jahr vor dem Tod des Partners mit ihm zusammengelebt und ein Kind mit der verstorbenen Person haben.</t>
  </si>
  <si>
    <t xml:space="preserve">
   * Weder verheiratet noch an einen anderen Partner gebunden;
   * Registrierung oder Formalisierung der nicht-ehelichen Beziehung sollte mindestens zwei Jahre vor dem Sterbedatum erfolgt sein;
   * ununterbrochene Lebensgemeinschaft mindestens während der fünf Jahre unmittelbar vor dem Sterbedatum (nicht erforderlich, wenn gemeinsame Kinder vorhanden sind).</t>
  </si>
  <si>
    <t>Gleiche Bedingungen wie für hinterbliebene Ehepartner.</t>
  </si>
  <si>
    <t>Paare, die in eheähnlicher Gemeinschaft zusammenwohnen, müssen entweder mindestens ein Jahr zusammengewohnt und ein gemeinsames Kind haben oder, falls sie kein Kind haben, 10 Jahre zusammengewohnt haben. Kein Anspruch besteht, falls der Lebenspartner bereits eine Arbeitsunfallbedingte Hinterbliebenenrente (Baleseti hozzátartozói nyugdíj) oder Hinterbliebenenrente (Özvegyi nyugdíj) bezieht.</t>
  </si>
  <si>
    <t>Keine Waisenrente.</t>
  </si>
  <si>
    <t xml:space="preserve">
   * Normal: bis zu 18 Jahre.
   * Studenten: bis zu 26 Jahre.
   * Arbeitsunfähige: altersunabhängig.
Ihr Leistungsanspruch wird weder durch eine Heirat noch durch die Aunahme einer Beschäftigung beeinflusst.</t>
  </si>
  <si>
    <t>Alter von unter 21 Jahren, wenn die verstorbene Person für Zusatzrente versichert war und für mindestens 2 Jahre seit 2002 volle Beiträge gezahlt hat.
Alter von unter 18 Jahren, wenn die verstorbene Person die oben genannten Voraussetzungen nicht erfüllt, aber vor 1. Januar 2002 Beiträge zur Zusatzrente gezahlt hat.
Die Anspruchsberechtigung von Kindern auf diese Leistung wird nicht von einer Heirat oder Aufnahme einer Beschäftigung beeinflusst.</t>
  </si>
  <si>
    <t>Uneingeschränkter Anspruch auf Halb- oder Vollwaisenrente bis zum 18. Lebensjahr.
Bis zum Alter von 27 Jahren grundsätzlich bei Schul- oder Berufsausbildung oder während eines freiwilligen Dienstes im Gleichklang mit dem Steuer-/Kindergeldrecht (§ 32 Abs. 4 S. 1 Nr. 2 Buchstabe d EStG), bei bis zu 4 Kalendermonaten Übergangszeit zwischen den genannten Zeiten oder wenn das Kind wegen Behinderung seinen Unterhalt nicht selbst bestreiten kann.
Einkommen wird nicht angerechnet. Bei Heirat entfällt der Anspruch grundsätzlich.</t>
  </si>
  <si>
    <t>Die Hinterbliebenenrente (toitjakaotuspension) wird an Kinder unter 18 Jahren (Vollzeitstudenten unter 24 Jahren) gewährt, unabhängig davon, ob die verstorbene Person für die Kinder Unterhalt gezahlt hat.</t>
  </si>
  <si>
    <t>Volksrente (Perhe-eläke): Unter 18 Jahren (bzw. zwischen 18 und 20 Jahren, wenn sie ausschließlich studieren).
Gesetzliche einkommensbezogene Rente (Työeläke): Unter 20 Jahren.
Der Anspruch hinterbliebener Kinder auf die Leistung ist unabhängig von einer Heirat oder Aufnahme einer Erwerbstätigkeit.</t>
  </si>
  <si>
    <t>1/Basissystem (Régime de base):
Vollwaisen bis zum 21. Lebensalter. Verlängerung einkommensabhängig bis zum 25. Lebensjahr möglich und Verlängerung, ohne Altersbeschränkung für Personen, deren Behinderung (permanente Arbeitsunfähigkeit von mindestens 80%) vor dem 21. Lebensjahr festgestellt wurde (ebenfalls einkommensabhängig).
2/Zusatzrentensysteme (Agirc-Arrco):
Vollwaisen bis zum Alter von 21 Jahren oder bis zum Alter von 25 Jahren, wenn das Kind beim verstorbenen Elternteil versichert gewesen ist und ohne Altersgrenze bei Behinderung (Behinderung vor dem 21. Lebensjahr angegeben).
Um als unterhaltsberechtigtes Kind zu gelten, muss die Person Student, Auszubildener oder ein nicht entschädigter Arbeitsuchender sein.</t>
  </si>
  <si>
    <t>Eheliche Kinder, angenommene Kinder, adoptierte Kinder und denen gleichgestellte müssen jünger als 24 Jahre alt sein und unverheiratet.
Wenn sie darüber hinaus aufgrund einer Behinderung, die vor dem Alter von 24 Jahren eintrat, nicht in der Lage sind, am Erwerbsleben teilzunehmen, wird die Rente über das 24. Lebensjahr hinaus gezahlt. Im Fall einer Heirat wird die Rente ausgesetzt.</t>
  </si>
  <si>
    <t>Unter 18 Jahren (unter 22 Jahren bei ganztägiger Ausbildung).
Heirat oder Aufnahme einer Beschäftigung führen zu einer Aussetzung der Anspruchsberechtigung auf die Leistung.</t>
  </si>
  <si>
    <t>Volksrente (lífeyrir almannatrygginga):
Weniger als 18 Jahre. Die verstorbene versicherte Person, der hinterbliebene Ehepartner oder das hinterbliebene Kind müssen mindestens 3 Jahre unmittelbar vor dem Antrag auf Kinderrente (barnalífeyrir) ihren Wohnsitz in Island gehabt haben.
Arbeitsrente (lögbundnir lífeyrissjóðir):
Weniger als 18 Jahre. Pflege- und Stiefkinder, die von der verstorbenen Person unterhalten wurden, haben die gleichen Rechte.</t>
  </si>
  <si>
    <t>Hinterbliebene Kinder sind anspruchsberechtigt auf die Leistung bis zum Alter von 18 Jahren (21 Jahren bei einer Vollzeitausbildung und 26 Jahren bei einem Universitätsstudium), während es für Kinder mit Behinderungen keine Altersbegrenzung gibt.</t>
  </si>
  <si>
    <t>1. und 2. Säule:
An Altersgrenzen gebunden:
   * normal: 15 Jahre,
   * Arbeitslos: 18 Jahre,
   * Vollzeitstudenten: 26 Jahre,
   * Behinderte Kinder: unbeschränkt.
Heirat oder Beginn einer Erwerbstätigkeit beeinflussen den Anspruch auf Leistung.</t>
  </si>
  <si>
    <t>Kinder unter 18 Jahren (unter 24 Jahren bei Vollzeitstudenten in weiterführenden Schulen, Berufsausbildung oder höherem Bildungsweg) erhalten die Leistung unabhängig davon, ob der/die Verstorbene sie unterstützt hat. Kinder mit Behinderungen wird die Rente ungeachtet ihres Alters gewährt, wenn sie bereits vor der Vollendung des 18. Lebensjahres behindert waren.
Eine Heirat oder die Aufnahme einer Beschäftigung hat keinen Einfluss auf den Leistunganspruch.</t>
  </si>
  <si>
    <t>1. Säule: Allgemein bis zur Vollendung des 18. Altersjahres; Kinder in Ausbildung bis zum Ende der Ausbildung (längstens jedoch bis zur Vollendung des 25. Altersjahr). Der Anspruch ändert sich nicht bei einer Heirat. Nur bei Aufnahme einer vollen Erwerbstätigkeit fällt er dahin.
2. Säule: Allgemein bis zur Vollendung des 18. Altersjahres; Kinder in Ausbildung bis zum Ende der Ausbildung (längstens jedoch bis zur Vollendung des 25. Altersjahr). Der Anspruch ändert sich nicht bei einer Heirat. Nur bei Aufnahme einer vollen Erwerbstätigkeit fällt er dahin.</t>
  </si>
  <si>
    <t>Anspruchsbedingungen für die Waisenrente (Našlaičio pensija):
   * unter 18 Jahre alt sein;
   * zwischen 18 und 24 Jahre alt sein und Vollzeitstudent in höherer, beruflicher, weiterführender Bildung oder Weiterbildung sein;
   * als behindert anerkannt zu sein vor dem Erreichen des 24. Lebensjahres oder zwischen 24 und 26 aufgrund einer Krankheit oder Verletzung, die vor dem Alter von 24 passierten.
Keine Altersgrenze für Kinder mit Behinderung (wenn die Behinderung vor Vollendung des 18. Lebensjahrs anerkannt wurde, wird die Rente bis zum Ende der Behinderung gezahlt oder lebenslang im Fall einer dauerhaften Behinderung).
Eine Heirat der Kinder oder die Aufnahme einer Erwerbstätigkeit hat keinen Einfluss auf die Anspruchsberechtigung.</t>
  </si>
  <si>
    <t>Rente gewährt bis zum 18. Lebensjahr. Sie wird bis zum 27. Lebensjahr weiter gewährt, wenn der Waise aufgrund seines Studiums seinen Lebensunterhalt nicht bestreiten kann.
Bei Vollwaisen, die von dem Versicherten aufgenommen wurden, muss dieser in den letzten 10 Monaten vor seinem Tod für ihren Unterhalt und ihre Erziehung gesorgt haben, und die Vollwaisen dürfen keinen Anspruch auf Waisenrente seitens ihrer Eltern haben.
Außer im Falle eines Studiums wird die Waisenrente nicht mehr gezahlt, wenn eine Ehe oder Lebensgemeinschaft eingegangen wird.</t>
  </si>
  <si>
    <t>Kinder haben Anspruch auf folgende Leistungen:
Waisengeld (Allowance ta' Ltim): wird gezahlt an Vollwaisen bis zum Alter von 16 Jahren.
Ergänzendes Waisengeld (Allowance Supplimentari ta' Ltim): wird gezahlt an nicht-erwerbstätige Vollwaisen im Alter zwischen 16 und 21 Jahren, oder deren Bruttoeinkünfte bei Erwerbstätigkeit durchschnittlich €94,55 pro Woche nicht überschreiten.</t>
  </si>
  <si>
    <t>Ein Kind kann nur dann Waisenleistung empfangen, wenn der Elternteil, der zuletzt gestorben ist, im Rahmen des Anw Systems versichert war. Waisenleistung endet immer, sobald das Kind das Alter von 21 Jahren erreicht.
Für Kinder unter 16 Jahren gibt es keine Sonderbedingungen.
Kinder im Alter von 16 oder 17 Jahren haben Anspruch auf Waisenleistung, wenn sie
   * täglich zur Schule gehen, um eine Basisqualifikation zu erlangen oder
   * von der Pflicht der Erlangung einer Basisqualifikation befreit sind oder
   * sie nach Erlangung einer Basisqualifikation weiterhin einer Vollzeitausbildung nachgehen.
Waisen im Alter von 18 bis 21 Jahren können Waisenleistung beziehen, wenn sie in einer Vollzeitausbildung nachgehen.
Waisen im Alter von 16 bis 21 Jahren, die als Haushaltsvorstand agieren, können jedoch Waisenleistung beziehen, wenn:
   * sie unverheiratet sind, nicht mit einem Partner zusammenleben und mehr als die Hälfte ihrer Zeit mit der Haushaltsführung verbringen und
   * der Haushalt ein weiteres Kind umfasst, das Waisenleistung bezieht, z.B. einen Bruder oder eine Schwester und
   * sie bereits eine Basisqualifikation erlangt haben und nicht verpflichtet sind, eine Basisqualifikation zu erlangen (Befreiung).</t>
  </si>
  <si>
    <t>Kinderrente (barnepensjon) wird für Personen unter 20 Jahren bereitgestellt.</t>
  </si>
  <si>
    <t>Bis zur Vollendung des 18. Lebensjahres bzw. des 27. Lebensjahres bei Studium oder Berufsausbildung, kein Alterslimit bei Behinderung des Kindes. Studium/Ausbildung und Arbeit können kombiniert werden, wenn für die Ausbildung mehr Stunden als für die Arbeit aufgewendet werden.
Stiefkinder müssen mit dem:der Versicherten in Hausgemeinschaft gelebt haben, um anspruchsberechtigt zu sein.
Betragsmäßig gibt es auch hinsichtlich der Schließung einer Ehe/Eingetragenen Partnerschaft keine Beschränkungen.</t>
  </si>
  <si>
    <t>Waisen müssen folgende Bedingungen erfüllen:
   * unter 16 Jahre alt sein (25 Jahre, falls Vollzeitstudent) oder;
   * voll erwerbsunfähig sein.
Für sonstige Kinder, die vom Versicherten unterhalten wurden (z.B. Pflegekinder, Stiefkinder, Enkelkinder und sonstige Kinder, die vom Versicherten unterhalten wurden), gelten folgende Bedingungen:
   * bei der verstorbenen Person mindestens ein Jahr vor deren Tod gelebt haben und;
   * keinen Anspruch auf eine Leistung wegen Todes ihrer eigenen Eltern haben oder falls ihre eigenen Eltern nicht ihren Unterhalt sichern können.</t>
  </si>
  <si>
    <t>Die Hinterbliebenenleistungen werden gezahlt:
bis 18 Jahre. Nach dem 18. Lebensjahr können sie gezahlt werden, wenn der Empfänger keine Berufstätigkeit ausgeübt, die durch eine Sozialpflichtversicherung abgedeckt ist. Diese Bedingung gilt jedoch nicht für Tätigkeiten, die im Rahmen eines Arbeitsvertrags während der Schulferien ausgeübt werden (und auch nicht für junge studierende Arbeitsnehmer, deren Jahreseinkommen höchstens dem 14-Fachen des garantierten Mindestlohns entspricht und die die Alterskriterien erfüllen: 25 oder 27 Jahren entsprechend der absolvierten Ausbildung). Keine Altersbegrenzung für Personen mit Behinderungen, sofern sie Kindergeld oder Leistungen zur sozialen Eingliederung beziehen.</t>
  </si>
  <si>
    <t xml:space="preserve">
   * Bis zu einem Alter von 16 Jahren (oder bis zur Graduierung, jedoch maximal bis zum Alter von 26 Jahren) oder
   * Die Arbeitsunfähigkeit trat vor Erreichen der oben erwähnten Altersgrenzen auf.
Die Leistungen für Kinder sind davon nicht betroffen, wenn diese heiraten oder Einkommen beziehen.</t>
  </si>
  <si>
    <t>Kinderrente(barnpension) und Beihilfe für Waisen (efterlevandestöd till barn): Bis zum Ende des Monats, in dem das Kind18 Jahre alt wird.
Besucht das hinterbliebene Kind die Sekundarstufe II und hat es Anspruch auf Studienförderung, kann die Entschädigung während der Studienzeit gewährt werden, höchstens jedoch bis zum Juni des Jahres, in dem das Kind 20 Jahre alt wird.</t>
  </si>
  <si>
    <t>1. Säule (Grundsystem):
Unter 18 Altersjahren, bei Studium oder Lehre höchstens 25 Jahre.
2. Säule (obligatorische Mindestvorsorge):
Unter 18 Altersjahren, bei Studium oder Lehre höchstens 25 Jahre oder die Waise ist zu mindestens 70% invalid und noch nicht fähig, eine Erwerbstätigkeit auszuüben.
Die Heirat der Waisen hat keinen Einfluss auf ihren Rentenanspruch.</t>
  </si>
  <si>
    <t>Waisenrente (Sirotský dôchodok) im Rahmen der 1. und 2. Säule:
Unterhaltsberechtigte Kinder bis 26 Jahre.
Waisenrente der 2. Säule wird gezahlt, wenn dies im Versicherungsvertrag für einen Zeitraum von einem, höchstens zwei Jahren vereinbart wurde.</t>
  </si>
  <si>
    <t>Altersgrenzen von Kindern für die Anspruchsberechtigung auf Leistung sind:
   * 15 Jahre;
   * 18 Jahre, wenn das Kind als arbeitsuchend gemeldet ist;
   * 26 Jahre während eines ordentlichen Studiums;
   * keine Altersgrenze, wenn das Kind vollständig erwerbsunfähig ist.
Im Falle einer Anstellung verlieren sie ihren Anspruch auf Hinterbliebenenrente.</t>
  </si>
  <si>
    <t>Altersgrenze der Kinder:
   * 21 Jahre;
   * 25 Jahre, wenn das Bruttoerwerbseinkommen den Mindestlohn (Salario mínimo interprofesional) nicht übersteigt. Das berücksichtigte Vermögen umfasst Einkommen aus Arbeit oder Kapital und Sozialleistungen.
Keine Altersbegrenzung bei dauernder vollständiger Erwerbsunfähigkeit (incapacidad permanente absoluta) und Schwerstbehinderung (gran incapacidad).</t>
  </si>
  <si>
    <t>Hinterbliebene Kinder sind zu Leistungen für Hinterbliebene berechtigt, wenn sie unterhaltsberechtigt sind (eine Vollzeitausbildung absolvieren oder eine Behinderung haben). Eine Heirat oder Aufnahme einer Beschäftigung haben keine Auswirkungen auf diese Berechtigung.</t>
  </si>
  <si>
    <t>Waisenrente (Árvaellátás):
Für die eigenen Kinder des Verstorbenen oder seine Pflege- oder Adoptivkinder sowie für Geschwister oder Enkelkinder, solange sie zum Haushalt des Verstorbenen gehören.
   * Altersgrenze bei Kindern: 16 Jahre (bei Vollzeitstudium bis zu 25 Jahren oder bis zu 27 Jahren bei außergewöhnlichen Umständen). Keine Altersgrenze, wenn der Waise behindert ist oder behindert wird.
   * Andere Bedingungen: der verstorbene Elternteil muss die erforderliche Versicherungszeit für die Witwen- bzw. Witwerrente (Özvegyi nyugdíj) vor dem Todestag erfüllt haben oder zum Todeszeitpunkt eine Altersrente bezogen haben.
Weder Heirat noch Beschäftgungsstatus haben Einfluss auf den Anspruch von Waisen.
Außerordentliche Waisenrente (Kivételes árvaellátás): kann unter außergewöhnlichen Umständen gewährt werden, z.B. wenn die verstorbene Person die Anspruchsvoraussetzungen nicht vollständig erfüllt hat.</t>
  </si>
  <si>
    <t>Altersgrenzen:
   *              Normal: 15 Jahre, 
   *              ledige Söhne in Vollzeitausbildung oder Militärdienst: 25 Jahre, 
   *              ledige Töchter in Vollzeitausbildung: 23 Jahre, 
   *              keine Altersgrenze für ledige Kinder, die nicht in der Lage sind, für sich selbst zu sorgen. </t>
  </si>
  <si>
    <t>Keine sonstigen Berechtigten.</t>
  </si>
  <si>
    <t xml:space="preserve">
   * Eltern, die das Rentenalter erreicht haben und keine eigene Rente beziehen,
   * Eltern von Personen, die während des Wehrdienstes sterben, haben Anspruch auf Hinterbliebenenrente (Наследствена пенсия) unabhängig vom eigenen Alter.</t>
  </si>
  <si>
    <t xml:space="preserve">
   * Bruder, Schwester oder Enkelkind unter 18 Jahren (Vollzeitstudenten unter 24 Jahren), falls er/sie keine arbeitsfähigen Eltern hat,
   * Elternteil im Rentenalter oder dauerhaft arbeitsunfähig,
   * Stiefkind oder Pflegekind, das nicht von den leiblichen Eltern unterstützt wird.
</t>
  </si>
  <si>
    <t>Volksrente (lífeyrir almannatrygginga):
Nicht zutreffend.
Arbeitsrente (lögbundnir lífeyrissjóðir):
Nicht zutreffend.</t>
  </si>
  <si>
    <t>Eltern oder Geschwister und Enkelkinder des Verstorbenen, falls keine anderen Hinterbliebenen vorhanden sind.</t>
  </si>
  <si>
    <t>1. und 2. Säule:
Verwandte, die vom Verstorbenen abhängig waren und mindestens 60 Jahre alt sind. Keine Altersbedingung bei Behinderung.
Geschwister, die vom Verstorbenen abhängig waren. Die gleichen Bedingungen gelten für Kinder bis zu einem gewissen Alter:
   * normal: 15 Jahre,
   * Arbeitslos: 18 Jahre,
   * Vollzeitstudenten: 26 Jahre,
   * Behinderte Kinder: unbeschränkt.</t>
  </si>
  <si>
    <t xml:space="preserve">
   * Geschwister und Enkelkinder unter 18 Jahren (unter 24 Jahren bei Vollzeitstudenten in weiterführenden Schulen, Berufsausbildung oder höherem Bildungsweg), wenn sie nicht erwerbsfähig sind und keine erwerbsfähigen Eltern haben;
   * Geschwister und Enkelkinder ungeachtet ihres Alters, wenn sie bereits vor der Vollendung des 18. Lebensjahres behindert waren und sie keine erwerbsfähigen Eltern haben.</t>
  </si>
  <si>
    <t>1. und 2. Säule: Nicht anwendbar.</t>
  </si>
  <si>
    <t>Geltende Bedingungen für Personen, die einem Ehepartner gleichgestellt sind:
   * Sie waren zum Zeitpunkt des Todes des Versicherten weder verheiratet noch lebten sie in einer Lebensgemeinschaft;
   * Sie haben mindestens in den letzten 5 Jahren vor dem Tod des Versicherten mit ihm in einer häuslicher Gemeinschaft gelebt;
   * Sie haben während desselben Zeitraums in seinem Haushalt gelebt;
   * Der Verstorbene hat in diesem Zeitraum überwiegend zu ihrem Unterhalt beigetragen;
   * Zum Zeitpunkt des Todes des Versicherten waren sie mindestens 40 Jahre alt.</t>
  </si>
  <si>
    <t>Jede Person, die sich um ein verwaistes Kind kümmert (gesetzlicher Vormund), wenn mindestens eines der Eltern zum Todeszeitpunkt versichert gewesen ist.</t>
  </si>
  <si>
    <t>Eltern, die vom Versicherten unterhalten werden und die für hinterbliebene Lebenspartner geltenden Voraussetzungen erfüllen.</t>
  </si>
  <si>
    <t>Die von der verstorbenen Person unterhaltenen Eltern können die Leistung in Anspruch nehmen, falls kein überlebender Ehepartner oder keine Kinder vorhanden sind.</t>
  </si>
  <si>
    <t>Nicht anwendbar: keine sonstigen Berechtigten.</t>
  </si>
  <si>
    <t>1. Säule (Grundsystem)/2. Säule (obligatorische Mindestvorsorge):
Keine anderen Berechtigten.</t>
  </si>
  <si>
    <t xml:space="preserve">
   * Enkelkinder, Stiefkinder und andere elternlose Kinder, die zum Todeszeitpunkt von der verstorbenen Person unterhalten wurden;
   * Eltern oder Adoptiveltern, die zum Todeszeitpunkt von der verstorbenen Person unterhalten wurden.</t>
  </si>
  <si>
    <t>Alle folgenden Bedingungen müssen erfüllt sein:
   * Gemeinsamer Haushalt mit dem Verstorbenen in den letzten zwei Jahren vor dem Tod;
   * Nachweis der finanziellen Abhängigkeit von dem Verstorbenen;
   * kein eigener Anspruch auf eine öffentliche Leistung;
   * Bedürftigkeit und keine lebenden Verwandten, die nach bürgerlichem Recht zu Unterhalt verpflichtet und dazu in der Lage wären. Das berücksichtigte Vermögen umfasst Einkommen aus Arbeit oder Kapital und Sozialleistungen.</t>
  </si>
  <si>
    <t>Elternrente (Szülői nyugdíj):
Für (Groß-)Eltern, deren (Enkel-)Kind die erforderliche Versicherungszeit für eine Witwen- bzw. Witwerrente (Özvegyi nyugdíj) erfüllten, wenn die Eltern oder Großeltern:
   * zum Zeitpunkt des Todes des (Enkel-)Kindes als eine Person mit veränderter Erwerbstätigkeit angesehen werden oder mindestens 65 Jahre alt sind, und
   * während des vergangenen Jahres von ihrem (Enkel-)Kind abhängig waren.
Pflegeeltern haben nur Anspruch auf die Leistung, wenn sie ihr Pflegekind mindestens 10 Jahre lang versorgt haben.</t>
  </si>
  <si>
    <t>Berechnung der Leistung: Hinterbliebener Ehepartner (Hinterbliebenenrente und Übergangsgeld): 80% der tatsächlichen Ruhestandsrente (pension de retraite/rustpensioen) oder der hypothetischen Rente des Versicherten, wenn dieser eine Rente erhält, die zum Haushaltssatz berechnet wurde.
Erhielt der verstorbene Ehepartner eine nach dem isolierten Satz berechnete Altersrente, entspricht die Höhe der Hinterbliebenenrente der Rente des verstorbenen Ehepartners.
War der verstorbene Ehepartner kein Rentner, so wird die Hinterbliebenenrente unter Anwendung besonderer Regeln für die berufliche Entwicklung und die Begrenzung der Hinterbliebenenrente als Altersrente berechnet.
Bei der Berechnung des Übergangsgelds kommen dieselben Regeln wie bei der Berechnung der Hinterbliebenenrente zur Anwendung, wenn der verstorbene Ehepartner noch kein Rentner war.
Die Dauer der Leistung des Übergangsgelds richtet sich nach der familiären Situation bei Versterben des Ehepartners.
Das Übergangsgeld wird über folgende Dauer ausgezahlt:
   * 18 Monate (ohne unterhaltsberechtigtes Kind); 
   * 36 Monate (alle unterhaltsberechtigten Kinder waren mindestens 13 Jahre alt); 
   * 48 Monate, wenn mindestens ein Kind im Alter von unter 13 Jahren unterhaltsberechtigt war oder wenn mindestens ein unterhaltsberechtigtes Kind Behinderungen aufwies oder wenn ein Kind in den 300 Tagen nach dem Todesfall geboren wurde. 
Die Leistungen werden monatlich ausgezahlt und unterliegen keinerlei Einkommensbedingungen.
Ledigich im Rahmen der Hinterbliebenenrente wird ein Urlaubsgeld einmal jährlich ausgezahlt.</t>
  </si>
  <si>
    <t>Die Hinterbliebenenrente (Наследствена пенсия) wird prozentual von der Rente, die der/die Verstorbene bezogen hat oder hätte, berechnet.Dabei gilt:
   * Falls der/die Verstorbene zum Todeszeitpunkt keine Rente bezogen hat, wird die Hinterbliebenenrente anhand der Invalidenrente (Пенсия за инвалидност) wegen allgemeiner Erkrankung oder Arbeitsunfällen und Berufskrankheiten berechnet, die der/die Verstorbene im Falle einer Minderung der Erwerbsfähigkeit um mehr als 90 % erhalten hätte;
   * falls der/die Verstorbene zum Todeszeitpunkt bereits Altersrente bezog, wird die Hinterbliebenenrente auf Basis der Altersrente berechnet, falls diese höher ist als die oben beschriebene Leistung;
   * falls der/die Verstorbene zum Todeszeitpunkt Invalidenrente bezog, wird die Hinterbliebenenrente anhand dieser berechnet, wobei die Invalidenrente zur Berechnung so aufgestockt wird, als hätte eine Erwerbsunfähigkeit/ein Grad der Behinderung von mindestens 90 % vorgelegen.
Die Hinterbliebenenrente wird prozentual abhängig von der Rente der verstorbenen versicherten Person folgendermaßen berechnet:
   * Ein/e Hinterbliebene/r: 50 %;
   * zwei Hinterbliebene: 75 %;
   * drei oder mehr Hinterbliebene: 100 %.
Die Hinterbliebenenrente wird allen anspruchsberechtigten Personen gewährt und wird zu gleichen Teilen unter ihnen verteilt.
Renten werden auf monatlicher Basis ausgezahlt.
Rentner mit Hinterbliebenenrente erhalten Oster- oder Weihnachtsgeld, sofern dies für alle Rentner vorgesehen ist.</t>
  </si>
  <si>
    <t>Zusatzrente (arbejdsmarkedets tillægspension, ATP):
Hat die verstorbene Person vor dem 1. Januar 2002 für die Zusatzrente gezahlt, hat der Ehepartner Anspruch auf eine einmalige Leistung, deren Betrag vom Alter abhängt und vom Betrag, der bis zum 1. Januar 2002 für die Zusatzrente gezahlt wurde.
   * Tod vor dem 1. Juli 1992: Die Rente des hinterbliebenen Ehepartners oder Lebenspartners entspricht 50% der tatsächlichen oder hypothetischen Rente der versicherten Person. Diese Rente wird kapitalisiert.
   * Tod nach dem 1. Juli 1992 oder einem Alter der hinterbliebenen Person unter 62 Jahren: statt der Hinterbliebenenrente einmalige Kapitalabfindung. Kapitalisierung von 35% (bei Todesfall vor dem 1.Juli 1992) oder 50% (bei Todesfall ab dem 1.Juli 1992) der Rente, auf die der verstorbene Versicherte Anspruch gehabt hätte. Bei Verstorbenen der Geburtsjahrgänge von 1925 bis 1941 hat die Witwer/der Witwer auch Anspruch auf eine Pauschalauszahlung der Rente, auf die der hinterbliebene Ehepartner oder Lebenspartner einen Anspruch gehabt hätte.
   * Die Kapitalabfindung wird in Abhängigkeit von der eigenen Zusatzrente der hinterbliebenen Person gemindert.
Hat die verstorbene Person nur nach dem 1. Januar 2002 für die Zusatzrente gezahlt (einschließlich der Beiträge für das obligatorische Rentensystem), gibt es eine einmalige Leistung von DKK 75.000 (€10.054), die schrittweise je nach Alter des verstorbenen Ehepartners verringert wird.</t>
  </si>
  <si>
    <t>Heirat nach dem 31.12.2001 oder beide Ehepartner sind nach dem 1.1.1962 geboren:
Die so genannte große Witwen- oder Witwerrente beträgt 55% des Anspruchs auf Versichertenrente des verstorbenen Ehegatten inklusive Zurechnungszeiten (siehe Tabelle V, ‘Leistungen’). Hinterbliebene, die Kinder erzogen haben, erhalten einen dynamischen Zuschlag.
Sonst besteht Anspruch auf die so genannte kleine Witwen- oder Witwerrente für längstens 24 Monate in Höhe von 25% der Altersrente des verstorbenen Ehegatten.
Keine zusätzlichen Zahlungen.
Eigenes Erwerbs-, Erwerbsersatz- und Vermögenseinkommen wird teilweise angerechnet. Übersteigt dieses Einkommen einen bestimmten monatlichen Freibetrag (vom 1. Juli 2025 bis 30. Juni 2026 €1.076,86, zzgl. Zuschlag für jedes grundsätzlich waisenrentenberechtigte Kind (vom 1. Juli 2025 bis 30. Juni 2026 €228,42 wird es zu 40% auf die Hinterbliebenenrente angerechnet.
Bei Heirat vor dem 1.1.2002 und mindestens ein Ehegatte ist vor dem 2.1.1962 geboren oder bei Tod eines Ehegatten vor dem 1.1.2002 gilt abweichend: Die kleine Witwen- oder Witwerrente beträgt 25% des Anspruchs auf Versichertenrente des verstorbenen Ehegatten und wird ohne zeitliche Begrenzung gezahlt.
Die große Witwen- oder Witwerrente beträgt 60% des Anspruchs auf Versichertenrente des verstorbenen Ehegatten. Es wird kein Zuschlag für Kinderziehung gezahlt. Bei der Einkommensanrechnung bleibt Vermögenseinkommen unberücksichtigt.
Die Leistungsansprüche gelten entsprechend auch bei eingetragenen Lebenspartnerschaften.</t>
  </si>
  <si>
    <t>Berechnungsgrundlage ist der höhere der beiden folgenden Beträge:
   * Altersrente (vanaduspension) auf der Basis der Jahre versicherter Beschäftigung und des Rentenversicherungskoeffizienten der verstorbenen Person (siehe Tabelle VI „Alter"), oder
   * Altersrente für eine Person mit 30 Jahren versicherter Beschäftigung.
Die Höhe des monatlichen Betrags der Hinterbliebenenrente (toitjakaotuspension) ist abhängig von der Anzahl der anspruchsberechtigten Familienmitglieder:
   * ein Familienmitglied: 50%,
   * zwei Familienmitglieder: 80%,
   * drei oder mehr Familienmitglieder: 100%.
Der Betrag wird gleichmäßig unter den Anspruchsberechtigten aufgeteilt.
Die Leistung unterliegt keiner Bedürftigkeitsprüfung.
Die Leistung wird monatlich gezahlt.
Zusätzliche Zahlung einer Pauschalsumme (€200) an alleinstehende Rentner einmal pro Jahr im Oktober.</t>
  </si>
  <si>
    <t>Volksrente (Perhe-eläke): wird hinterbliebenen Ehepartnern, Partnern und zusammenlebenden Partnern unter 65 Jahren jeden Monat gezahlt.
In den ersten 6 Monaten erhielt der hinterbliebene Partner im Jahr 2025 €387,11 monatlich (volle Sätze; Anpassung an die Dauer des Wohnsitzes des Verstorbenen in Finnland).
Nach Ablauf der 6 Monate wird die Rente mit einem Grundbetrag von €121,25 und einer Zulage zwischen €544,51 und €629,33 im Monat gezahlt, falls der hinterbliebene Ehegatte ein Kind unter 18 Jahren unterhält (volle Beträge; angepasst an die Dauer des Wohnsitzes des Verstorbenen in Finnland). Die Höhe der Zulage ist abhängig von anderen Einkommen und dem Personenstand. Ist kein Kind vorhanden, wird nur die Zulage gezahlt, deren Höhe von anderem Einkommen abhängt.
Die Dauer der Zahlung ist:
   * Für Witwen und Witwer und hinterbliebene Partner einer eingetragenen Lebenspartnerschaft, die im Jahr 1975 oder später geboren wurden: 10 Jahre, sofern ein Kind vorhanden ist, bis zu dessen Erreichen des 18. Lebensjahres.
   * Für zusammenlebende Lebenspartner: bis das Kind 18 Jahre alt ist.
Monatliche Zahlungen, 12 Mal im Jahr. Keine zusätzlichen Zahlungen.
Mehrere Faktoren beeinflussen das Anrecht und den Betrag der Volksrente, wie etwa:
   * die Dauer des Wohnsitzes des Verstorbenen in Finnland;
   * die Rente und alle sonstigen Einkünfte des hinterbliebenen Ehegatten. Die Volksrente wird nicht gezahlt, wenn der Betrag der sonstigen Einkünfte im Jahr 2025 €1.139,38—€1.324,88 pro Monat überstieg, je nachdem, ob der Ehepartner allein lebt oder Kinder unter 18 Jahren hat;
   * und die familiären Umstände (ob der hinterbliebene Ehegatte ein Kind unter 18 Jahren versorgt und einen neuen Partner hat oder wieder geheiratet hat).
Gesetzliche einkommensbezogene Rente (Työeläke):
Die Rente beträgt in Abhängigkeit von der Anzahl der anspruchsberechtigten Kinder zwischen 17% und 50% der Rente der verstorbenen Person. Wenn die Witwe bzw. der Witwer und zwei Kinder anspruchsberechtigt sind, ist die Höhe der Rente gleich der Rente, die der/die Verstorbene bezogen hat.
Die Waisenrente wird gezahlt bis zum Alter von 20 Jahren. Erreicht eines der Kinder die Altersgrenze für die Waisenrente, werden die Anteile unter den verbleibenden Begünstigten aufgeteilt.
Wenn der/die Verstorbene zum Zeitpunkt des Todes nicht im Ruhestand war, wird zur Berechnung der Hinterbliebenenrente die Invaliditätsrente herangezogen, auf die der/die Verstorbene zum Zeitpunkt des Todes Anspruch gehabt hätte. Bei Witwen bzw. Witwern wird die Hinterbliebenenrente mit der eigenen Alters- oder vorgezogenen Rente zusammengefasst. Bei Überschreiten eines bestimmten Betrags (€836,50) wird die Hinterbliebenenrente gekürzt. Diese errechnet sich aus folgender Formel: 50% der Rente der verstorbenen Person – 50% der eigenen Rente der hinterbliebenen Person – Grundbetrag. Die Leistung unterliegt keinem Bedürftigkeitsnachweis und wird monatlich gezahlt.
Ein hinterbliebener Ehepartner, der mit der verstorbenen Person verheiratet war, erhält die Hinterbliebenenrente für den Rest seines/ihres Lebens, sofern der verstorbene Ehepartner vor 1975 geboren wurde oder wenn der Ehepartner vor dem 1. Januar 2022 verstorben ist. Generell erhalten hinterbliebene Ehepartner, die im Jahr 1975 oder später geboren wurden, Hinterbliebenenrente für einen Zeitraum von 10 Jahren. Die Hinterbliebenenrente wird jedoch in jedem Fall gezahlt, bis das jüngste Kind, das Waisenrente erhält, 18 Jahre alt wird.
Geschiedener Ehegatte: Die Witwenrente wird geteilt. Der Teil, der an den früheren Ehepartner geht, hängt von der Höhe der bisherigen Unterhaltszahlung ab.</t>
  </si>
  <si>
    <t>1/Basissystem (Régime de base):
Hinterbliebenenrente (pension de réversion):
54% der Altersrente, die der Verstorbene erhalten hat oder auf die er Anspruch gehabt hätte (ohne Zuschläge). Sind ein Ehegatte und ein geschiedener Ehepartner vorhanden, wird die Rente zwischen ihnen entsprechend der Anzahl der Ehejahre geteilt.
Invaliditätsrente für Witwer/Witwen (pension d‘invalidité de veuf ou de veuve) und Altersrente für Witwer/Witwen (pension de vieillesse de veuf ou de veuve):
54% der Invaliden- oder Altersrente, die der Verstorbene erhalten hat oder hätte. Monatliche Zahlung, die geleistet wird, solange die Anspruchsvoraussetzungen erfüllt sind.
   * Zulage von 11,1% auf die Hinterbliebenenrente und die Altersrente für Witwen/Witwer, wenn die betroffene Person das Anspruchsalter für eine volle Rente erreicht hat; ihre persönliche Rente beantragt hat; und die Summe der Renten €2.993,14 pro Quartal nicht übersteigt.
   * Für Personen, die noch nicht das Alter für die volle Rente erreicht haben: Zulage von höchstens €112,58 pro Monat und pro Kind auf die Hinterbliebenenrente oder Altersrente für Witwen/Witwer, wenn der überlebende Ehepartner mindestens ein minderjähriges Kind unterhält (bis zum 20. Lebensjahr bei Fortsetzung des Studiums oder Erwerbsunfähigkeit). Keine Kumulierung mit einer individuellen Rente möglich.
   * Zulage von 10% auf die Hinterbliebenen- bzw. Invalidenrente von Witwern oder Witwen und die Altersrente von Witwern oder Witwen erfolgt, wenn der Empfänger mindestens 3 Kinder unter 16 Jahren neun Jahre lang erzogen hat.
Monatliche Zahlungen. Keine zusätzlichen Zahlungen.
2/Zusatzrentensysteme (Agirc-Arrco):
60% der Zusatzrente des Verstorbenen. Dieser Prozentsatz wird für den geschiedenen, nicht wiederverheirateten Ehepartner entsprechend der Dauer der Ehe angepasst. Sind mehrere Begünstigte vorhanden, wird die Rente zwischen ihnen entsprechend der Anzahl der Ehejahre geteilt.
Monatliche Zahlungen (die im Falle einer geringen Hinterbliebenenrente auf Jahresbasis oder als Einmalzahlung erfolgen können). Keine zusätzlichen Zahlungen.</t>
  </si>
  <si>
    <t>Der hinterbliebene Ehepartner 70% der Rente des/der Verstorbenen erhält oder zum Erhalt berechtigt ist.
Wenn die Ehe geschlossen wurde, nachdem die Altersrente fällig wurde, wird die Rente des hinterbliebenen Ehepartners, abhängig von dem Altersunterschied des verstorbenen und des hinterbliebenen Ehepartners, reduziert um eine Höhe zwischen 1% bis 5%.
Wenn es einen überlebenden Ehepartner und einen geschiedenen Ehepartner gibt, wird der obige Betrag wie folgt verteilt: Der überlebende Ehepartner erhält 75% und der geschiedene Ehepartner erhält 25%, wenn die Ehe mindestens 10 Jahre dauerte.
Wenn die Versicherungszeit des Verstorbenen weniger als 20 Jahre beträgt, verringert sich der oben genannte Betrag um 1,25% für jedes Versicherungsjahr, das zu den 20 Jahren fehlt, aber nicht weniger als 15 Versicherungsjahre.
Bedürftigkeitsprüfung nur für den ge-schiedenen Ehepartner (das persönliche steuerpflichtige Monatsdurchschnitts-einkommen sollte nicht den zweifachen Betrag der Leistungen zur sozialen Solidarität für unversicherte ältere Personen, gezahlt durch die OPEKA, übersteigen, d.h. 2*€409,13=€818,26 pro Monat).
Die Leistung wird monatlich gezahlt. Es besteht keine maximale Leistungsdauer. Keine zusätzlichen Zahlungen.</t>
  </si>
  <si>
    <t>Beitragsunabhängige Rente für Witwen, Witwer und hinterbliebene Lebenspartner (Widow's, Widower's or Surviving Civil Partner’s (Non-Contributory)):
Diese Leistung unterliegt nicht der Bedürftigkeitsprüfung.
Wöchentlicher Leistungsbetrag für hinterbliebene und geschiedene Ehepartner und für hinterbliebene Lebenspartner:
   * Unter 66 Jahre: €249,50 pro Woche;
   * ab 66 Jahren: €289,30 pro Woche.
Erhöhung für ein berechtigtes Kind:
   * Kind unter 12 Jahren: €50 voller Satz. Halber Satz: €25
   * Kind über 12 Jahren: €62 voller Satz. Halber Satz: €31
Zulage für Alleinlebende (Living Alone Allowance): wird an alleinlebende Rentner und Menschen mit Behinderung gezahlt: €22 pro Woche.
Empfänger haben gegebenenfalls Anspruch auf die Brennstoffbeihilfe (Fuel Allowance) (€33 pro Woche für die Dauer der 28-wöchigen Heizsaison).
Es kann Weihnachtsgeld ausbezahlt werden. Dazu ist ein Bescheid der Regierung gegebenenfalls im Rahmen des jährlichen Haushaltsverfahrens erforderlich.
Zudem wird eine Rente für Witwen, Witwer und hinterbliebene Lebenspartner (Widow's, Widower's or Surviving Civil Partner’s Pension) für Personen unterhalb des Rentenalters gewährt (siehe Tabelle XI – „Mindestsicherung“).</t>
  </si>
  <si>
    <t>Volksrente (lífeyrir almannatrygginga):
Nicht zutreffend.
Arbeitsrente (lögbundnir lífeyrissjóðir):
Die Leistung wird nach dem in der Satzung des Rentenfonds geregelten Verfahren aufgrund der erworbenen Rentenrechte der verstorbenen Person berechnet. Die Leistungen werden nur für eine bestimmte Zeit gewährt (die je nach dem betreffenden Rentenfonds variiert). Falls die verstorbene Person mit dem hinterbliebenen Partner ein gemeinsames Kind hat, wird die Leistung gewährt, bis das Kind das 19. Lebensjahr vollendet. Dies gilt ebenso für Stief- und Pflegekinder.</t>
  </si>
  <si>
    <t>60% der Invaliden- oder Altersrente des Verstorbenen. Die Kürzungen erfolgen in Abhängigkeit vom Einkommen des/der Witwers/Witwe um 25%, 40% oder 50%. Die berücksichtigten finanziellen Mittel sind das Arbeitsentgelt des hinterbliebenen Ehegatten, während geerbtes Vermögen nicht geprüft wird.
Es gibt keine zeitliche Befristung für die Dauer der Zahlung zugunsten des anspruchsberechtigten hinterbliebenen Ehepartners.
Zusätzliche Einmalzahlungen für Gas- oder Stromkosten gibt es nur für einkommensschwache Haushalte.
Die Zahlungen erfolgen monatlich.</t>
  </si>
  <si>
    <t>1. Säule:
Die Hinterbliebenenrente wird nach der Anzahl der anspruchsberechtigten Familienmitglieder (einschließlich Ehegatte) festgelegt.
Die Rente basiert auf der allgemeinen Invaliditäts- oder der Altersrente, die der Verstorbene zum Todeszeitpunkt bezogen hat oder bezogen hätte (siehe Tabellen V „Invalidität”, „Leistungen” und VI „Alter”, „Leistungen”). Die persönlichen Entgeltpunkte für die Hinterbliebenenrente werden auf Basis der Wertpunkte für eine Versicherungszeit von mindestens 21 Jahren ermittelt.
Die Größe oder Zusammensetzung des Haushalts spielt keine Rolle bei der Rentenberechnung.
Die Hinterbliebenenrente wird als Prozentsatz der Rente, auf die der Verstorbene Anspruch gehabt hätte, nach der Anzahl der anspruchsberechtigten Hinterbliebenen berechnet:
   * ein Hinterbliebener: 77%,
   * zwei Hinterbliebene: 88%,
   * drei Hinterbliebene: 100%,
   * vier oder mehr Hinterbliebene: 110%.
Die Leistungen werden erhöht, wenn der Verstorbene Anspruch auf eine aufgeschobene Rente gehabt hätte. Die Leistungen werden monatlich ausgezahlt.
2. Säule:
Berechnet nach dem Wert der auf dem Konto der jeweiligen Person angesparten Mittel und den geschlechtsneutralen versicherungsmathematischen Tabellen. Die Art der Rentenzahlung wird zwischen dem Rentenversicherungsfonds-Unternehmen und dem Anspruchsberechtigten in Vertragsform vereinbart. Die Leistungen werden monatlich ausgezahlt.
Dies richtet sich grundsätzlich auf die Finanzierung der Altersrenten. Wenn die Familie eines Beitragszahlers der 2. Säule Anspruch auf Hinterbliebenenrente hat, werden die Mittel, über die der Verstorbene auf dem Konto der 2. Säule verfügt, auf die 1. Säule übertragen, um die Hinterbliebenenrente der 1. Säule auszuzahlen. Falls die Mittel auf dem Konto der 2. Säule des Verstorbenen jedoch ausreichen, um eine höhere Leistung als über die Hinterbliebenenrente der 1. Säule auszuzahlen, wird stattdessen die Rente der 2. Säule gezahlt.
Der Empfänger einer Rente, die entsprechend den allgemeinen Regeln oder Sonderreglungen angesammelt wurde, hat Anspruch auf die Zahlung einer jährlichen Rentenzulage für jedes Kalenderjahr, in der die Rente gezahlt wurde.</t>
  </si>
  <si>
    <t>Der hinterbliebene Ehegatte, der Rentner ist, kann für 12 Monate die Leistung für den hinterbliebenen Ehegatten (Pabalsts pārdzīvojušam laulātajam) in Höhe von 50% der monatlichen Rente und des Zuschlags des verstorbenen Ehegatten erhalten.
Die Leistung unterliegt keiner Bedüftigkeitsprüfung.
Es wird monatlich gezahlt. Keine Nachzahlungen.</t>
  </si>
  <si>
    <t>1. Säule:
80% der hypothetischen Rente der verstorbenen Person. Bei Todesfall vor dem 45. Altersjahr wird die hypothetische Rente mit einem Prozentsatz (der sog. "Karrierezuschlag", der abhängig vom Alter ist, (siehe Tabelle V)) multipliziert.
Die Verwitwetenrente ist unbefristet für Witwen oder Witwer mit Kindern (oder bei Verwitwung nach dem 45. Altersjahr, sofern die Ehe/die eingetragene Partnerschaft mindestens 5 Jahre gedauert hat). Die übrigen Witwen oder Witwer haben einen befristeten Verwitwetenrentenanspruch (2 bis 5 Jahre; abhängig von Ehedauer/Dauer der eingetragenen Partnerschaft) und Alter der verwitweten Person).
Geschiedene mit Unterhaltsanspruch haben ebenfalls Anspruch auf die Verwitwetenrente der 1. Säule, jedoch ist diese auf die Höhe des entfallenden Unterhaltsanspruchs beschränkt.
Die Verwitwetenrente der 1. Säule wird keiner Bedürftigkeitsprüfung unterzogen.
Die Leistungszahlungen erfolgen monatlich, im Dezember erfolgt eine 13. Zahlung als Weihnachtsgeld.
2. Säule:
Für den Todesfall vor Erreichen des ordentlichen Rentenalters: Lebenslange Verwitwetenrente von jährlich 18% des versicherten Lohnes.
Für den Todesfall nach Erreichen des ordentlichen Rentenalters: Der überlebende Ehegatte/eingetragene Partner hat Anspruch auf eine Verwitwetenrente in Höhe von 60% der zuletzt ausgerichteten Alters- oder Invalidenrente.
In der 2. Säule besteht eine Verwitwetenrente für Geschiedene nur, sofern diese reglementarisch vorgesehen ist.
Konkubinatspartner nur, sofern dies reglementarisch vorgesehen ist.
Die Verwitwetenrente der 2. Säule wird keiner Bedürftigkeitsprüfung unterzogen.
Die Leistungszahlungen erfolgen monatlich.</t>
  </si>
  <si>
    <t>Die Witwen-/Witwersozialversicherungsrente (Našlių pensija) wird zum Grundbetrag der Witwen-/Witwerrente gewährt, welcher seit 1. Januar 2025 bei €42,29 monatlich liegt.
Die Leistung unterliegt keiner Bedürftigkeitsprüfung.</t>
  </si>
  <si>
    <t>Die Rente besteht aus einer von der Dauer der Versicherung abhängenden Pauschalleistung (1/40 pro Versicherungsjahr, maximal 40 Jahre) und einer beitrags- bzw. einkommensabhängigen Komponente: (siehe Tabelle VI „Alter“).
   * Die von der Versicherungsdauer abhängige Pauschalleistung (majorations forfaitaires) und die pauschale Zurechnungszulage (majorations forfaitaires spéciales), auf die der Versicherte Anspruch hatte oder gehabt hätte.
   * 3/4 des einkommensabhängigen Rententeilbetrags (majorations proportionnelles) und der einkommensabhängigen Zurechnungszulage (majorations proportionnelles spéciales), auf die der Versicherte Anspruch hatte oder gehabt hätte.
   * Zulage zum Jahresende (allocation de fin d'année): jährlicher Pauschalbetrag in Höhe von €1.004,28 (für 40 Versicherungsjahre, andernfalls anteilig gekürzt).
Ggf. Anwendung von Regeln zum Verbot der Kumulation mit Arbeitseinkünften oder persönlichen Sozialversicherungsleistungen.
Keine zeitliche Beschränkung der Ansprüche.
Monatlich ausgezahlte Renten.</t>
  </si>
  <si>
    <t>Witwen-/Witwerrente (Pensjoni tar-Romol):
Pauschalrente, zahlbar entsprechend der durchschnittlichen Anzahl der durch den verstorbenen Ehepartner oder Partner gezahlten Beiträge pro Jahr. Die Rente unterliegt keiner Bedürftigkeitsprüfung.
Der Betrag der Rente ist abhängig von der Dauer der eingetragenen Beziehung des Paares vor dem Tod des Ehepartners oder Partners.
Hinterbliebenenrente (Pensjoni tas-Superstiti):
Seit 1. Januar 2022 wird der Betrag schrittweise erhöht (über einen Zeitraum von 6 Jahren) von 5/6 auf 2/3 der Zwei-Drittel-Rente (Pensjoni taz-Zewg terzi) oder der Invaliditätsrente (Pensjoni tal- Invalidità), auf die der Verstorbene zum Zeitpunkt seines Todes Anspruch hatte oder gehabt hätte, je nachdem, welcher Betrag der höhere ist.
Keine Bedürftigkeitsprüfung. Die Berechnungsformel ist die gleiche wie für die Altersrente (vgl. Tabelle VI „Alter, Leistungen, 2. Berechnungsmethode bzw. Rentenformel oder Beträge“).
War der die verstorbene Person zuvor verheiratet oder lebte in einer gleichgeschlechtlichen Ehe oder eingetragenen Lebenspartnerschaft, wird die Rente anteilsmäßig zwischen diesen Personen, je nach Anzahl der Jahre, die ihre Beziehung mit der verstorbenen Person andauerte, aufgeteilt.
Beide Renten sind jeweils alle 4 Wochen zahlbar.
Beide Renten sind unbefristet zahlbar.
Leistungsempfänger sind anspruchsberechtigt auf eine staatliche Prämie in Höhe von €135,10 im Juni und Dezember und eine zusätzliche Prämie in Höhe von €3,12 pro Woche.
Leistungsempfänger sind auch anspruchsberechtigt auf einen wöchentlichen Lebenshaltungskosten-zuschlag.
Abhängig vom ersten Erhalt der Beihilfe rangiert dessen Höhe zwischen €21,53 für Beihilfen, die im Jahr 2008 oder früher gewährt wurden und €15,96 für Beihilfen, die im Jahr 2025 gewährt wurden.</t>
  </si>
  <si>
    <t>Hinterbliebene Ehe- oder Lebenspartner: Pauschalleistung von €1.631,87 monatlich. Zusätzlich wird eine Urlaubszulage (vakantie-uitkering) in Höhe von 121,70 pro Monat zugewiesen und einmal jährlich als Pauschalbetrag im Mai ausgezahlt.
Hinterbliebenenleistung ist grundsätzlich nicht zeitlich begrenzt:
Der Anspruch erlischt, wenn die gesetzliche Regelaltersgrenze erreicht wird und die Hinterbliebenenleistung durch die gesetzliche Altersrente ersetzt wird.
Die Anw Hinterbliebenenleistung umfasst eine monatliche Anw Beihilfe in Höhe von €21,16.
Geschiedener Ehepartner: Die monatliche Leistungshöhe darf weder den Betrag der Unterhaltszahlung noch €1.631,87 monatlich übersteigen.
Bei einem Arbeitseinkommen von unter €1.122,90 monatlich wird die Anw- Hinterbliebenenrente ungekürzt gezahlt. Beträgt das Einkommen mehr als €1.122,90 monatlich, wird eine proportional niedrigere Leistung gezahlt.
Hat der hinterbliebene Partner ein Einkommen von über €3.538,97 monatlich, wird keine Leistung ausgezahlt.</t>
  </si>
  <si>
    <t>Die jährliche Anpassungszulage beträgt das 2,25-fache des Grundbetrags (Grunnbeløpet), vorausgesetzt, der Verstorbene hat mindestens 40 Jahre lang Versicherungsbeiträge in Norwegen geleistet. Bei einem kürzeren Versicherungszeitraum wird die Leistung anteilig vermindert.
Die Anpassungszulage unterliegt einer Bedürftigkeitsprüfung und wird um 45% des Einkommens des Hinterbliebenen gekürzt, das die Hälfte des Grundbetrags (Grunnbeløpet) übersteigt (NOK 65.080 (€5.519).
Ein Zuschuss zu den Kosten der Kinderbetreuung (stønad til barnetilsyn) wird einem hinterbliebenen Ehepartner gewährt, der wegen Ausbildung oder Erwerbstätigkeit das Kind in fremde Obhut geben muss. Die Leistung beträgt 64% der tatsächlichen Aufwendungen bis zu einem jährlichen Höchstbetrag für ein Kind von NOK 57.480 (€4.874), NOK 74.976 (€6.358) bei zwei Kindern und bei drei oder mehr Kindern NOK 84.972 (€7.206). Übersteigt das Einkommen das 6-Fache des Grundbetrags, also NOK 780.960 (€66.228) p.a., so entfällt die Leistung.
Eine Ausbildungshilfe (utdanningsstønad) erhalten hinterbliebene Ehepartner, die eine Ausbildung brauchen, um sich selbst unterhalten zu können. Leistungen in Höhe von bis zu NOK 33.145 (€2.811) können für eine Ausbildung an einer Sekundaroberschule gewährt werden und NOK 79.432 (€6.736) für eine Ausbildung an Hochschule oder Universität (Schuljahr 2025/2026).
Die unter Tabelle VII, „Bedingungen, 1. Verstorbene versicherte Personen“ erwähnte 5-Jahres-Bedingung gilt nicht für den Kinderbetreuungskostenzuschuss oder die Ausbildungshilfe für hinterbliebene Ehepartner.
Die gleichen Leistungen gelten auch für anspruchsberechtigte geschiedene Ehepartner und Lebenspartner.
Die Anpassungszulage der Volksversicherung wird monatlich ausgezahlt. Es gibt keine zusätzlichen Zahlungen, im Zusammenhang z.B. mit Sommer oder Weihnachten; von der Dezemberzahlung werden jedoch keine Steuern abgezogen.</t>
  </si>
  <si>
    <t>Die Bestimmungen über die Witwen:Witwerrente sind auch auf die Rente für hinterbliebene eingetragene Partner:innen sinngemäß anzuwenden.
Zwischen 0% und 60% der Invaliditäts- oder Altersrente, auf die der:die Verstorbene Anspruch hatte oder gehabt hätte. Der Prozentsatz hängt vom Verhältnis des bisherigen Einkommens des:der Verstorbenen zu jenem des:der hinterbliebenen Ehepartner:in/hinterbliebenen eingetragenen Partners:Partnerin ab (so gebühren z.B. bei gleich hoher Berechnungsgrundlage 40% - siehe Tabelle VII, Kumulation mit Erwerbseinkommen oder anderen Sozialleistungen). Der Prozentsatz wird nach folgender Formel berechnet:
70-[30*(Bruttoeinkommen der:des Witwe:Witwers/Bruttoeinkommen des:der Verstorbenen)].
Erreicht die Summe aus gekürzter Hinterbliebenenrente und eigenem Einkommen des:der Hinterbliebenen nicht monatlich €2.547,91 brutto (2025), so ist ein entsprechender Differenzbetrag bis zum Maximum von 60% der Rente des:der Verstorbenen zu gewähren, bis das Gesamteinkommen €2.547,91 brutto (2025) erreicht (60% dürfen aber dabei keinesfalls überschritten werden) wird („Schutzbetrag“).
Die Witwen:Witwerrente ist grundsätzlich zeitlich nicht befristet, aber gebührt nur für 30 Monate,
   * wenn der:die hinterbliebene Ehepartner:in zum Zeitpunkt des Todes des:der Verstorbenen jünger als 35 ist (Ausnahme: die Ehe dauerte bereits mindestens 10 Jahre) oder
   * wenn die Ehe erst nach dem Rentenbeginn bzw. der Erreichung der gesetzlichen Altersgrenze des:der Verstorbenen geschlossen wurde (Ausnahme: bestimmte Mindestehedauer).
   * Diese Limitierung gilt (u.a.) nicht, wenn aus der Ehe ein Kind geboren wurde, die:der Witwe:Witwer zum Zeitpunkt des Todes des:der Ehepartners:Ehepartnerin schwanger war, die beiden Partner:innen bereits früher miteinander verheiratet gewesen sind und bei Fortdauer dieser Ehe/eingetragenen Partnerschaft anspruchsberechtigt wären oder der:die hinterbliebene Ehepartner:in im Zeitpunkt des Fristablaufes invalid ist.
Die Rente an den:die geschiedenen Ehepartner:in ist mit der Unterhaltsleistung begrenzt (Ausnahmen bei Scheidung aufgrund Verschuldens des Verstorbenen, Ehedauer von mindestens 15 Jahren und wenn die:der Witwe:Witwer im zum Zeitpunkt der Scheidung bereits 40 Jahre alt war).
Die Auszahlung der Rente erfolgt im Nachhinein, jeweils am Ersten des folgenden Monats.
Die Rente wird 14-mal jährlich gezahlt (Sonderzahlungen im April und Oktober).</t>
  </si>
  <si>
    <t>Hinterbliebene Ehepartner und geschiedene Partner:
Die Höhe der Hinterbliebenenrente (Renta rodzinna) hängt von der Anzahl der Empfänger ab und wird als Prozentsatz der Alters- oder Invaliditätsrente ausgezahlt, auf die der Verstorbene Anspruch hatte oder gehabt hätte:
   * eine Person: 85%;
   * zwei Personen: 90%;
   * drei oder mehr Personen: 95%.
Dieser Betrag wird dann gleichmäßig zwischen allen Empfängern aufgeteilt.
Diese Leistung unterliegt keiner Bedürftigkeitsprüfung.
Die Hinterbliebenenrente wird zwölf Mal pro Jahr (monatlich) ausbezahlt.
Eine zusätzliche jährliche Geldleistung (Dodatkowe roczne świadczenie pieniężne) wird wie folgt gezahlt:
   * im April – der Betrag ist derselbe wie der der Mindestaltersrente;
   * im September – der Betrag ist abhängig von der Höhe der Rente, d.h.: 
   * für Personen, deren Rente PLN 2.900 (€684) brutto monatlich nicht überschreitet, ist der Betrag derselbe wie der der Mindestaltersrente;
   * übersteigt die Rente PLN 2.900 (€684) brutto monatlich, wird der Mechanismus namens "Zloty für Zloty" angewendet;
   * liegt die Leistung unter PLN 50 (€12), wird sie nicht ausgezahlt.</t>
  </si>
  <si>
    <t>Der Monatsbetrag beläuft sich auf 60% der Alters- oder Invalidenrente, die der Versicherte erhielt oder auf die er zum Zeitpunkt seines Todes Anspruch gehabt hätte. 70% dieser Renten, wenn - neben dem Ehe- oder Lebenspartner - ein rentenberechtigter früherer Ehepartner des Verstorbenen existiert.
Jährlich erfolgen 14 Zahlungen. Das Urlaubs- und Weihnachtsgeld entspricht jeweils dem Betrag des entsprechenden Monats.
Keine bedürftigkeitsabhängigen Leistungen.
Die Höhe der Hinterbliebenenrente kann für ehemalige Ehepartner, oder im Fall von Scheidung oder Aufhebung der Ehe, die Höhe der empfangenen Unterhaltszahlung zum Zeitpunkt des Todes der versicherten Person nicht überschreiten.
Die Rente wird gewährt :
   *            für 5 Jahre, wenn die berechtigte Person unter 35 Jahre alt ist, mit möglicher Verlängerung, wenn Nachkommen eine Hinterbliebenenrente beziehen, und zwar bis zum Ende dieses Anspruchs.
   *            ohne zeitliche Begrenzung, wenn die berechtigte Person mindestens 35 Jahre alt ist oder dauerhaft vollständig erwerbsunfähig ist.</t>
  </si>
  <si>
    <t>Hinterbliebener Ehegatte:
Das Berechnungsverfahren beruht auf einem Punktesystem. Die Rentenformeln sind für die Alters-, Invaliden- und Hinterbliebenenrente sowie die Renten bei Arbeitsunfällen und Berufskrankheiten ähnlich.
Formel für die Berechnung der Hinterbliebenenrente (pensie de urmas) beim Tod eines Rentners mit Anspruch auf Altersrente (pensie pentru limita de varsta) oder Altersrente mit reduziertem Ruhestandsalter (pensie pentru limita de varsta cu reducerea varstelor standard de pensionare):
HR = P*AR
Wobei:
HR = Hinterbliebenenrente (monatlicher Betrag)
P = Prozentsatz entsprechend der Anzahl der Hinterbliebenen: 50% bei einem, 75% bei zwei und 100% bei drei oder mehr
AR = Altersrente (siehe Tabelle VI „Alter“)
Die Rentenformel beim Tod einer Person mit Anspruch auf Invalidenrente (pensie de invaliditate) und vorgezogene Ruhestandsrente (pensie anticipata) lautet:
HR = P*IR
Wobei:
HR = Hinterbliebenenrente (monatlicher Betrag)
P = Prozentsatz entsprechend der Anzahl der Hinterbliebenen: 50% bei einem, 75% bei zwei und 100% bei drei oder mehr
IR = Invalidenrente der Kategorie I (pensie de invaliditate gradul I)
Bei einer Ehedauer zwischen 10 und 15 Jahren wird die Hinterbliebenenrente um 0,5% pro Monat, der an den 15 Jahren fehlt, gekürzt.
Die Dauer der Hinterbliebenenrente ist je nach den Bedingungen, die vom Hinterbliebenen Ehegatten erfüllt werden, befristet oder dauerhaft (siehe Tabelle VII, „Hinterbliebene“, „Bedingungen, Hinterbliebener Ehegatte“).
Wird monatlich ausbezahlt.
Finanzielle Unterstützung von RON 800 (€157), die in zwei gleichen Raten von RON 400 (€79) jeweils im April und Dezember 2025 an hinterbliebene Rentner gezahlt wird, deren monatliches Renteneinkommen sich auf insgesamt höchstens RON 2.574 (€506) beläuft.</t>
  </si>
  <si>
    <t>Hinterbliebene Ehepartner und Lebenspartner haben Anspruch auf folgende Leistungen:
   * Entgeltbezogene Anpassungsrente (omställningspension): 55% der Rentenbasis der verstorbenen Person;
   * Garantierte Anpassungsrente (garantipension till omställningspension): der 2.13-fache  Grundbetrag (prisbasbelopp) pro Jahr, der proportional zur Erhöhung der einkommensabhängigen Rentenanpassung gekürzt wird.
Die Anpassungsrente wird für einen Zeitraum von 12 Monaten gewährt, jedoch so lange aufrecht erhalten, wie der hinterbliebene Ehegatte mit einem unterhaltsberechtigten Kind unter 12 Jahren zusammenlebt. Wenn das Kind über 12 und unter 18 Jahren alt ist, kann die Anpassungsrente um 12 zusätzliche Monate verlängert werden, d.h. verlängerte Anpassungsrente (förlängd omställningspension).
Witwenrente (änkepension): Die Witwe hat Anspruch auf 40% der vom verstorbenen Ehemann erworbenen jährlichen Zusatzrente. Für die Leistung gibt es keine zeitliche Begrenzung (sie wird zu Lebzeiten der Witwe ausgezahlt). Je nach Alter der Witwe wird die Witwenrente jedoch mit der Anpassungsrente oder mit der eigenen Altersrente der Witwe bis zu einer gewissen Höhe angepasst. Überschreitet die Witwenrente einen bestimmten Schwellenwert nicht, wird sie nicht ausbezahlt.
Eine Witwe, die das 66. Lebensjahr noch nicht vollendet hat, kann auch Anspruch auf eine Grundrentenzulage (folkpensionstillägg)  haben, die dem Teil der Witwenrente entspricht, der vor dem 1. Januar 2003 als Grundrente gezahlt wurde.</t>
  </si>
  <si>
    <t>1. Säule (Grundsystem):
Rente des hinterbliebenen Ehegatten/Partners:
80% der dem maßgebenden durchschnittlichen Jahreseinkommen entsprechenden Altersrente.
2. Säule (obligatorische Mindestvorsorge):
Rente des hinterbliebenen Ehegatten/Partners:
60% der ganzen Invalidenrente, auf die der Verstorbene Anspruch gehabt hätte oder, während dem Aufschub des Bezugs der Altersleistung, der Altersrente, auf welche die versicherte Person Anspruch gehabt hätte.
Geschiedener Ehegatte/Ex-Partner:
60% der ganzen Invalidenrente, auf die der Verstorbene Anspruch gehabt hätte oder, während dem Aufschub des Bezugs der Altersleistung, der Altersrente, auf welche die versicherte Person Anspruch gehabt hätte; allerdings Kürzung der Leistung, soweit sie zusammen mit den anrechenbaren Leistungen der AHV den Anspruch aus dem Scheidungsurteil übersteigen.
Keine Bedürftigkeitsprüfung.
Grundsätzlich monatliche Zahlung. Keine zusätzliche Zahlung.
Keine Höchstdauer des Anspruchs. Erlöschen des Anspruchs bei Wiederverheiratung oder beim Tode. Die Witwen-/Witwerrente der 1. Säule (Grundsystem) erlischt ausserdem bei Entstehung des Anspruchs auf eine Alters- oder Invalidenrente (wenn der Betrag der letzteren höher ist).</t>
  </si>
  <si>
    <t>Witwenrente (Vdovský dôchodok) und Witwerrente (Vdovecký dôchodok):
60% der Alters- oder Invalidenrente des Verstorbenen oder des Rentenanspruchs zum Zeitpunkt seines Todes.
Die Leistung wird monatlich, 12 Mal im Jahr gezahlt. Zusätzlich wird einmal jährlich im Dezember die dreizehnte Rente gezahlt in Höhe der nationalen monatlichen Witwen-/Witwerrente für das vergangene Jahr, d.h. mindestens €300 (siehe Tabelle VI „Alter””, „Leistungen, 1. Berechnungsmethode, Rentenformel oder Beträge“).
Die Leistung unterliegt keiner Bedürftigkeitsprüfung.
Die Leistung wird für zwei Jahre gezahlt, kann aber unbegrenzt verlängert werden, wenn der hinterbliebene Ehepartner:
   * erwerbsunfähig ist mit einer Arbeitsunfähigkeit von über 70% oder
   * ein unterhaltsberechtigtes Kind aufzieht oder
   * mindestens 3 Kinder großgezogen hat (oder nur 2 Kinder bei einem Alter von 52 oder mehr Jahren oder nur 1 Kind bei einem Alter von 57 oder mehr Jahren) oder
   * das Rentenalter erreicht hat.
Rente für Geschiedene Ehefrauen (dôchodok pre rozvedenú ženu):
Nur bei Scheidungen vor dem 31.Dezember 2003, ist die Leistung begrenzt auf die Alters-, Invalidenrente oder die Rente für geleistete Dienstjahre des Verstorbenen oder auf den Rentenanspruch zum Zeitpunkt seines Todes; der Höchstbetrag entspricht dem bisherigen Unterhalt. Die Häufigkeit der Zahlungen wird per Gerichtsentscheid festgelegt.
Der Betrag der Leistung entspricht gemäß der 2. Säule 100% der Altersversorgung des/der Verstorbenen verteilt auf die anspruchsberechtigten Hinterbliebenen (einschließlich Kindern) und wird für höchstens zwei Jahre bezahlt.</t>
  </si>
  <si>
    <t>Witwen- bzw. Witwerrente (vdovska pokojnina):
   * 70% der Rente des Verstorbenen (Alters- oder Invalidenrente) oder der Rente, auf die der Verstorbenen zum Todeszeitpunkt Anspruch gehabt hätte;
   * Witwen/Witwer oder hinterbliebene Partner, die eine eigene Rente beziehen, erhalten 15% der Witwen- bzw. Witwerrente, sofern der Betrag der beiden Renten die Altersrente (starostna pokojnina) für einen Mann, die anhand der maximalen Rentenberechnungsbasis (pokojninska osnova) für 40 ruhegehaltsfähige Dienstjahre festgelegt wird, nicht überschreitet.
   * Witwen und Witwern, die die gesetzlichen Bedingungen erfüllen, wird somit eine Rente in Höhe der Summe ihrer Altersrente, vorgezogenen Rente oder Invaliditätsrente und der Höhe der Bewertungsgrundlage für die Witwenrente garantiert, jedoch nicht mehr als der Betrag der Garantierente, welche sich ab 1. Januar 2025 auf €781,94 beläuft.
Falls der hinterbliebene Ehepartner Anspruch auf verschiedenen Renten hat, kann er auswählen, welche er beziehen möchte.
Im Fall einer Wiedereinstellung wird das Recht auf die Leistung ausgesetzt.
Ein geschiedener Ehepartner, der zum Todeszeitpunkt Unterhaltsanspruch hatte, erhält die gleichen Rentenleistungen wie ein/e Witwe/r. Falls die verstorbene Person wieder geheiratet hatte, jedoch weiterhin Unterhalt zahlen musste, erhalten sowohl neue als auch alte Ehepartner Rentenleistungen.
Leistungen werden monatlich gezahlt.
Keine zusätzlichen Zahlungen.</t>
  </si>
  <si>
    <t>Witwen- bzw. Witwergeld (Pensión de viudedad):
52% der Berechnungsgrundlage (oder 70% wenn das Witwen-/Witwergeld die Haupt-Einkommensquelle darstellt und unterhaltsberechtigte Familienmitglieder vorhanden sind oder das Einkommen nicht ausreicht. Das berücksichtigte Vermögen umfasst Einkommen aus Arbeit oder Kapital und andere Sozialleistungen).
60% der Berechnungsgrundlage, wenn der Rentner 65 Jahre alt oder älter ist und kein Einkommen aus Erwerbsarbeit oder anderen Sozialhilfeleistungen bezieht.
Im Fall einer Trennung oder Scheidung und sofern Unterhalt anerkannt wurde, übersteigt der Leistungsbetrag, den der getrennte Ehepartner erhält, nicht die Höhe des Unterhalts.
Als Berechnungsgrundlage dient der Quotient aus der Summe der durchschnittlichen beitragspflichtigen Einkommen eines vom Versicherten selbst gewählten ununterbrochenen Zeitraums von 24 Monaten in den 15 Jahren vor dem Tod dividiert durch 28.
Erhielt der verstorbene Versicherte Invaliditäts- oder Altersrente, gilt die gleiche Berechnungsgrundlage wie für die Berechnung dieser Rente. Sie kann, abhängig von Todesfall-Leistungen oder Hinterbliebenenleistungen ab dem Datum, an dem die Invaliditäts- oder Altersrente gewährt wurde, angehoben oder nach oben angepasst werden.
Die Leistung wird monatlich 14 Mal pro Jahr ausgezahlt (einschließlich 2 außerordentlichen Zahlungen im Juni und November).
Befristete Leistungen für Witwen oder Witwer (Prestación temporal de viudedad):
Im Todesfall, der auf einer Krankheit beruht (keine Berufskrankheit), die vor der Eheschließung begann, und wenn kein Anspruch auf eine Leistung besteht, da die Ehe nicht länger als ein Jahr andauerte oder weil keine gemeinsamen Kinder existieren, können befristete Leistungen für Witwen oder Witwer gewährt werden (2 Jahre lang, der gleiche Betrag wie bei der Witwen- bzw. Witwergeld).
Die Leistung wird 14 Mal jährlich auf Monatsbasis gezahlt (einschließlich 2 außerordentlichen Zahlungen im Juni und November).</t>
  </si>
  <si>
    <t>Grundbetrag (Základní složka): Pauschale (10% des nationalen monatlichen Bruttodurchschnittslohns) von CZK 4.660 (€188) monatlich.
Prozentualer Betrag (Procentní část): 50% des prozentualen Betrags der Alters- oder Invalidenrente, auf den der Verstorbene Anspruch hatte oder gehabt hätte.
Die Leistung ist nicht bedürftigkeitsabhängig.
Die Rente wird für einen Zeitraum von einem Jahr ab dem Todesdatum des Ehepartners gewährt. Danach wird sie nur Hinterbliebenen bewilligt, die das gesetzliche Renteneintrittsalter erreicht haben oder denen höchstens 4 Jahre bis zum gesetzlichen Renteneintrittsalter für Männer fehlen, Hinterbliebenen, die an einer Erwerbsunfähigkeit 3. Grades leiden oder Hinterbliebenen, die folgende Personen versorgen:
   * ein unterhaltsberechtigtes Kind ;
   * ein überwiegend oder vollständig pflegebedürftiges Kind;
   * dessen überwiegend oder vollständig pflegebedürftiges Elternteil, das im selben Haushalt lebt.
Anspruch auf Hinterbliebenenrente erwächst erneut, wenn sämtliche oben dargelegten Bedingungen innerhalb von 5 Jahren nach Auslaufen des vorherigen Anspruchs auf diese Rente erfüllt werden.
Zahlungen erfolgen monatlich.
Keine zusätzlichen Zahlungen.</t>
  </si>
  <si>
    <t>Befristete Witwen- bzw. Witwerrente (Ideiglenes özvegyi nyugdíj):
60% der Altersrente (Öregségi nyugdíj) auf die die verstorbene Person zum Todeszeitpunkt Anspruch hatte oder gehabt hätte. Wird 12 Monate lang gezahlt bzw. 18 Monate, wenn der hinterbliebene Ehegatte ein Kind des Verstorbenen erzieht (wenn das Kind behindert ist, kann die Leistung bis zum 3. Geburtstag des Kindes gezahlt werden).
Dauerhafte Witwen- bzw. Witwerrente (Özvegyi nyugdíj):
60% der Altersrente auf die die verstorbene Person zum Todeszeitpunkt Anspruch hatte oder gehabt hätte, wenn die anspruchsberechtigte Person keine Invaliditätsleistung (Rokkantsági ellátás), Rehabilitationsleistung (Rehabilitációs ellátás), Altersrente, Leistung vor dem Rentenalter (Korhatár előtti ellátás), Leistungen für das Militär (Szolgálati járandóság), Leibrente für Tanzkünstler (Táncművészeti életjáradék) oder Übergangsrente für Bergleute (Átmeneti bányászjáradék) bezieht. Wenn die anspruchsberechtigte Person eine der oben genannten Leistungen bezieht, beträgt die dauerhafte Witwen- bz. Witwerrente (Özvegyi nyugdíj) 30% der Altersrente der verstorbenen Person.
Die oben genannten Leistungen unterliegen keiner Bedürftigkeitsprüfung.
Die Zahlungen erfolgen monatlich.
Zusätzliche Zahlungen: ein 13. Monat wird gezahlt (im Februar); sowie eine Rentenprämie (wird im November ausgezahlt, sofern das BIP um mehr als 3,5% gewachsen ist und das im Haushaltsgesetz festgelegte Ziel für den Haushaltsausgleich erreicht wurde).</t>
  </si>
  <si>
    <t>Grundrente (Βασική Σύνταξη) :
60 % des wöchentlichen Wertes des jährlichen Durchschnitts der Versicherungspunkte der gezahlten und gleichgestellten Grundversicherung des Verstorbenen.Dieser Satz wird bei 1, 2 oder 3 abhängigen Familienmitgliedern auf 80 %, 90 % bzw. 100 % erhöht.
Zusatzrente (Συμπληρωματική Σύνταξη) :
60 % der zusätzlichen gesetzlichen oder Invaliditätsrente, die der Verstorbene erhielt oder erhalten hätte (siehe Tabelle V zu Invalidität oder Tabelle VI zu Alter).
Die Rente wird 13-mal im Jahr gezahlt.
Falls die verstorbene Person die Versicherungsbedingungen für die Rente nicht erfüllt, aber die Versicherungsbedingungen für den Pauschalbetrag erfüllt (siehe „Bedingungen: 1. Verstorbene versicherte Person“) , erhält der hinterbliebene Ehepartner eine Pauschalzahlung von 15 % des Wertes der Versicherungspunkte der gezahlten und gleichgestellten Grundversicherung und 9 % des Wertes der Versicherungspunkte der Zusatzversicherung des verstorbenen Ehepartners.
Keine weiteren zusätzlichen Zahlungen zu bestimmten Zeiten des Jahres (z.B. an Weihnachten oder im Winter für Kraftstoff).</t>
  </si>
  <si>
    <t>Wegfall der Rentenzahlung bei Wiederheirat.</t>
  </si>
  <si>
    <t>Hinterbliebenenleistungen werden eingestellt, wenn der hinterbliebene Ehepartner erneut heiratet.</t>
  </si>
  <si>
    <t>Bei Todesfällen vor dem 1. Juli 1992: Die Zusatzrente (arbejdsmarkedets tillægspension, ATP) entfällt, wenn der hinterbliebene Ehepartner oder Lebenspartner erneut heiratet.</t>
  </si>
  <si>
    <t>Wegfall der Rente. Abfindung in Höhe des 24-fachen des durchschnittlichen Monatsbetrags der für die letzten 12 Kalendermonate gezahlten Rente. Bei kleinen Witwen- und Witwerrenten nach dem seit dem 1.1.2002 geltenden Recht vermindert sich das 24-fache des abzufindenden Betrags um die Anzahl der Kalendermonate, für die bereits Rente bezogen wurde.
Dies gilt entsprechend bei eingetragener Lebenspartnerschaft.</t>
  </si>
  <si>
    <t>Fortzahlung der Hinterbliebenenrente (toitjakaotuspension) für 12 Monate nach der Wiederheirat.</t>
  </si>
  <si>
    <t>Beide Rentensysteme:
Wegfall der Rente, wenn der hinterbliebene Ehegatte vor Vollendung des 50. Lebensjahres eine neue Ehe eingeht. Abfindung in Höhe von 3 Jahresbeträgen der Rente.</t>
  </si>
  <si>
    <t>1/Basissystem (Régime de base):
Wegfall der Invaliditätsrente für Witwer/Witwen (pension d'invalidité de veuf ou de veuve), jedoch nicht der Hinterbliebenenrente (pension de réversion).
2/Zusatzrentensysteme (Agirc-Arrco):
Wegfall der Rente.</t>
  </si>
  <si>
    <t>Wegfall der Rente, wenn der überlebende Ehepartner oder Partner erneut heiratet oder eine neue Lebenspartnerschaft eingeht.</t>
  </si>
  <si>
    <t>Wegfall der Rente.</t>
  </si>
  <si>
    <t>Volksrente (lífeyrir almannatrygginga):
Nicht zutreffend.
Arbeitsrente (lögbundnir lífeyrissjóðir):
Die Hinterbliebenenrente endet, wenn der hinterbliebene Ehepartner wieder heiratet.</t>
  </si>
  <si>
    <t>Heiratet der hinterbliebene Ehegatte wieder, wird die Rentenzahlung ausgesetzt und der Betrag wird in einen Pauschalbetrag umgerechnet, der dem zweijährigen Rentenbetrag entspricht.</t>
  </si>
  <si>
    <t>1. und 2. Säule:
Wegfall der Hinterbliebenenrente bei Wiederheirat wenn der hinterbliebene Ehegatte unter 50 Jahre alt ist, es sei denn diese Person ist behindert.</t>
  </si>
  <si>
    <t>1. und 2. Säule: Wegfall der Rente.</t>
  </si>
  <si>
    <t>Wegfall der Rente ab dem Monat, der auf den Monat der Wiederheirat oder des Eingehens einer neuen Lebensgemeinschaft folgt.
Bei Wiederheirat unter 50 Jahren Abfindung in Höhe von 60 Monatsbeträgen, ab 50 Jahren von 36 Monatsbeträgen der Rente ohne Berücksichtigung der pauschalen (majorations forfaitaires spéciales) und der einkommensabhängigen Zurechnungszulagen (majorations proportionnelles spéciales).</t>
  </si>
  <si>
    <t>Nach einer Wiederheirat ist der hinterbliebene Ehepartner oder Partner weiterhin zum Erhalt der Rente auf der Grundlage der Versicherung des verstorbenen Partners berechtigt, jedoch nur in geminderter Höhe. Die Höhe variiert zwischen mindestens €147,37 und höchstens €180,97 pro Woche, abhängig von der Beitragshistorie des Verstorbenen.</t>
  </si>
  <si>
    <t>Bei Wiederheirat oder Zusammenleben mit einem neuen Partner entfällt der Anspruch auf die Anw-Leistung.
Wird das Zusammenleben innerhalb einer Frist von 6 Monaten beendet, so kann ein Wiederaufleben der Anw-Leistung beantragt werden.</t>
  </si>
  <si>
    <t>Bei Wiederheirat endet die Anpassungszulage. Der Anspruch lebt wieder auf, wenn die neue Ehe innerhalb von 2 Jahren geschieden wird oder wenn der Ehepartner innerhalb desselben Zeitraums stirbt.</t>
  </si>
  <si>
    <t>Wegfall der unbefristeten Hinterbliebenenrente. Auszahlung in Höhe von 35 Monatsbeträgen der Rente („Abfertigung“).</t>
  </si>
  <si>
    <t>Die Leistungen werden weiter gezahlt.</t>
  </si>
  <si>
    <t>Die Rente wird bei erneuter Heirat oder Partnerschaft gestrichen.</t>
  </si>
  <si>
    <t>Wegfall der Hinterbliebenenrente (pensie de urmas).</t>
  </si>
  <si>
    <t>Die verlängerte Anpassungsrente (förlängd omställningspension) und die Witwenrente (änkepension) enden, wenn die hinterbliebene Person erneut heiratet.</t>
  </si>
  <si>
    <t>1. Säule (Grundsystem)/2. Säule (obligatorische Mindestvorsorge):
Der Rentenanspruch erlischt.</t>
  </si>
  <si>
    <t>Bei erneuter Heirat des hinterbliebenen Ehepartners endet die Zahlung der Hinterbliebenenrente.</t>
  </si>
  <si>
    <t>Witwen- bzw. Witwerrente (vdovska pokojnina) entfällt, wenn die hinterbliebenen Ehepartner:
   * vor dem Alter von 58 Jahren wieder heiratet, es sei denn, der Rentenanspruch beruht auf vollständiger Erwerbsunfähigkeit;
   * vor dem Alter von 58 Jahren eine eheähnliche Partnerschaft eingehen.</t>
  </si>
  <si>
    <t>In der Regel entfällt das Witwen- bzw. Witwergeld (Pensión de viudedad) bei Wiederheirat. Sie erlischt jedoch nicht, wenn:
   * der Bezieher mindestens 61 Jahre alt ist oder eine Erwerbsminderung um mindestens 65% aufweist;
   * das Witwen- bzw. Witwergeld mindestens 75% des Jahreseinkommens ausmacht;
   * das Jahresgesamteinkommen des neuen Haushalts unter dem Zweifachen des Mindestlohns (Salario Mínimo Interprofesional) liegt.</t>
  </si>
  <si>
    <t>Die Hinterbliebenenrente fällt im Fall einer erneuten Heirat weg.</t>
  </si>
  <si>
    <t>Wegfall der Witwen- bzw. Witwerrente (Özvegyi nyugdíj), wenn der Hinterbliebene vor Erreichen des Alters für die Altersrente (Öregségi nyugdíj) wieder heiratet.</t>
  </si>
  <si>
    <t>Wegfall der Rente. </t>
  </si>
  <si>
    <t>Keine Waisenrente; jedoch besondere Kindergeldregelung für Waisen (siehe Tabelle IX "Familienleistungen").</t>
  </si>
  <si>
    <t>Die Gesamtleistung wird entsprechend der Anzahl der Hinterbliebenen bestimmt und gleichmäßig zwischen diesen verteilt, siehe „Leistungen: Hinterbliebener Ehegatte, geschiedener Ehegatte, Lebenspartner“.</t>
  </si>
  <si>
    <t>Zusatzrente (arbejdsmarkedets tillægspension, ATP):
Hat die verstorbene Person vor dem 1. Januar 2002 für die Zusatzrente gezahlt, erhalten Kinder unter 18 Jahren eine einmalige Leistung in Höhe einer Jahresrente der verstorbenen Person.
Hat die verstorbene Person nur nach dem 1. Januar 2002 für die Zusatzrente gezahlt (einschließlich der Beiträge für das obligatorische Rentensystem), einmalige Leistung in Höhe von DKK 50.000 (€6.702) pro Kind unter 21 Jahren.
Personen mit Ansprüchen nach beiden Regelungen erhalten den höheren Betrag.
Die Leistung unterliegt keiner Bedürftigkeitsprüfung.
Für sonstige Leistungen an hinterbliebene Kinder/Waisen siehe Tabelle IX zu „Familienleistungen“.</t>
  </si>
  <si>
    <t>Die monatliche Waisenrente beträgt bei Halbwaisen 10% und bei Vollwaisen 20% der Rente, die der verstorbene bzw. die verstorbenen Elternteile erhalten hätten zzgl. eines Waisenrentenzuschlags.
Die Leistung wird keiner Bedürftigkeitsprüfung unterzogen.
Keine sonstigen Zahlungen.</t>
  </si>
  <si>
    <t>Halbwaisen: siehe Tabelle VII, Leistungen, „Hinterbliebener Ehegatte, geschiedener Ehegatte, Lebenspartner“.
Vollwaisen: Anspruch auf Hinterbliebenenrente für beide Elternteile.
Die Leistung unterliegt keiner Bedürftigkeitsprüfung.
Die Leistung wird monatlich gezahlt. Keine zusätzlichen Zahlungen.</t>
  </si>
  <si>
    <t>Halbwaisen:
Volksrente (Perhe-eläke):
Grundbetrag: €71,23 pro Monat im Jahr 2025. Wird an Kinder unter 18 Jahren ausgezahlt oder an Vollzeitstudenten zwischen 18 und 20 Jahren, bis die Person 21 Jahre alt wird.
Eine monatliche Zulage zum Grundbetrag nur für Kinder unter 18 Jahren in Höhe von €107,74 monatlich im Jahr 2025. Die Leistung unterliegt einer Bedürftigkeitsprüfung. Der Betrag senkt sich um die Hinterbliebenenrente.
Gesetzliche einkommensbezogene Rente (Työeläke):
Die Altersgrenze ist 20 Jahre. Die Rente beträgt in Abhängigkeit von der Anzahl der anspruchsberechtigten Kinder zwischen 33% und 83% der Rente der verstorbenen Person. Der Anteil des hinterbliebenen Ehepartners an der Rente wird als Waisenrente an die Kinder ausgezahlt, wenn es keinen überlebenden Ehepartner gibt, der Anspruch auf die Hinterbliebenenrente hat.
Vollwaisen:
Volksrente (Perhe-eläke):
Eigene Rente für jedes Elternteil.
Gesetzliche einkommensbezogene Rente (Työeläke):
Eigene Rente für jedes Elternteil.
Diese Renten werden einmal monatlich und 12 Mal im Jahr ausgezahlt. Es gibt keine zusätzlichen Zahlungen zu bestimmten Zeiten des Jahres.</t>
  </si>
  <si>
    <t>1/Basissystem (Régime de base):
Für Vollwaisen: 54% der Hauptrente des verstorbenen Versicherten.
Für die Auszahlung der Waisenrente über das 21. Lebensjahr hinaus ist eine Bedürftigkeitsprüfung (Erwerbseinkommen) erforderlich.
Maximale Bezugsdauer: bis zum 25. Lebensjahr der Waise. Keine Altersgrenze, wenn die Waise invalide ist (Invalidität vor dem 21. Lebensjahr eingetreten).
Monatliche Zahlungen. Keine zusätzlichen Zahlungen.
2/Zusatzrentensysteme (Agirc-Arrco):
Vollwaisen erhalten 50% der Ansprüche des Verstorbenen (eine Beihilfe kann für jeden Elternteil gewährt werden). Wird monatlich bis zum 21. oder 25. Lebensjahr gezahlt (die Zahlung endet vor diesem Alter, wenn das Kind kein Student, nicht in der Lehre oder nicht arbeitssuchend ist und keine Arbeitslosenleistungen bezieht oder voll adoptiert wird) oder während der Dauer der vor dem 21. Lebensjahr erklärten Invalidität.
Falls die Waisenrente gering ist, wird ihre Zahlung annualisiert (Summe entspricht weniger als 200 Punkten) oder durch eine Einmalzahlung ersetzt (Summe entspricht weniger als 100 Punkten).
Leistung ist nicht einkommensabhängig.
Keine zusätzlichen Zahlungen.</t>
  </si>
  <si>
    <t>Jedes Kind erhält 25% des verstorbenen Elternteils.
Wenn das Kind beide Eltern verloren hat, wird der bezogene Betrag verdoppelt (auf 50%) und darf den gesetzlichen Mindestbetrag nicht unterschreiten.
Diese Leistung unterliegt nicht der Bedürftigkeitsprüfung.
Die Leistung wird monatlich gezahlt. Keine zusätzlichen Zahlungen.</t>
  </si>
  <si>
    <t>Halbwaisen:
   * €50 pro Woche für jedes unterhaltsberechtigte Kind unter 12 Jahren.
   * €62 pro Woche für jedes unterhaltsberechtigte Kind ab 12 Jahren.
Die Leistungen werden unterhaltsberechtigten Kindern unter 18 Jahren (oder unter 22 Jahren, falls in Vollzeitausbildung) gewährt. Kumulation mit Kindergeld möglich.
Vollwaisen:
Beitragsabhängiges Pflegschaftsgeld (Guardian’s Payment (Contributory)) in Höhe von wöchentlich €227 erhalten Kinder unter 18 Jahren (22 Jahre bei ganztägiger Ausbildung), wenn mindestens 26 Wochenbeiträge seitens eines Eltern- oder Stiefelternteils entrichtet wurden.
Pauschalleistungen und keine Bedürftigkeitsprüfung.
Weihnachtsgeld kann gezahlt werden. Dies erfordert eine Regierungsentscheidung, die Teil des jährlichen Haushaltsverfahrens sein kann.</t>
  </si>
  <si>
    <t>Volksrente (lífeyrir almannatrygginga):
Pauschale Kinderrente (barnalífeyrir) von monatlich ISK 48.131 (€334); doppelter Betrag für Vollwaisen. Diese Leistung unterliegt keiner Bedürftigkeitsprüfung. Pauschale Leistungen. Monatliche Zahlungen.
Die Kinderrente wird mindestens bis zum 18. Lebensjahr des Kindes gezahlt. Je nach Rentenkasse kann ein anderes Höchstalter gelten, das über 18 Jahren liegen kann.
Arbeitsrente (lögbundnir lífeyrissjóðir):
Der Betrag der Kindesrente kann je nach Rentenfonds variieren. Doppelter Betrag, wenn beide verstorbenen Eltern Fondsmitglieder waren.
Keine zusätzlichen Zahlungen zu bestimmten Jahreszeiten (z.B. zu Weihnachten oder im Winter für Energiekosten).</t>
  </si>
  <si>
    <t>Halbwaisen:
Zusammen mit der Rente des hinterbliebenen Ehepartners entspricht die Leistung für Kinder:
   * 20% der Invaliden- oder Altersrente der versicherten Person pro Kind oder
   * 40% geteilt durch die Zahl der Kinder ab 3 Kindern.
Anspruch auf Kindergeld besteht nur, wenn der überlebende Ehepartner erwerbstätig ist.
Wenn der hinterbliebene Ehegatte Hinterbliebenenleistung bezieht, entspricht die Leistung für Kinder:
   * 40% für jedes Kind oder
   * 100% geteilt durch die Zahl der Kinder ab 3 Kindern.
Vollwaisen:
Die Leistung entspricht:
   * 40% je Kind oder
   * ab 3 Kindern: 100% geteilt durch die Zahl der Kinder.
Der Leistungsbetrag steigt auf 70% der Invaliden- oder Altersrente der versicherten Person, wenn das Kind der einzige Empfänger ist.
Die Leistung unterliegt einer Bedürftigkeitsprüfung (beitragsabhängige Leistung).
Die Leistungen werden monatlich gezahlt.
Zusätzliche Einmalzahlungen für Gas- oder Stromkosten gibt es nur für einkommensschwache Haushalte.</t>
  </si>
  <si>
    <t>Auf Basis der allgemeinen Invaliditäts- oder der Altersrente, die der Verstorbene zum Todeszeitpunkt bezogen hat oder bezogen hätte (siehe Tabellen V „Invalidität”, „Leistungen” und VI „Alter”, „Leistungen”). Der Monatsbetrag der Leistung richtet sich nach der Anzahl der abhängigen Familienmitglieder:
   * ein Hinterbliebener: 77%,
   * zwei Hinterbliebene: 88%,
   * drei Hinterbliebene: 100%,
   * vier oder mehr Hinterbliebene: 110%.
Vollwaisen: Die Rente wird auf Basis der (potenziellen) Rente beider Elternteile berechnet, wobei eine zusätzliche Zahlung im Verhältnis zur jährlichen Rentenzulage erbracht wird.
Der Empfänger einer Rente, die entsprechend den allgemeinen Regeln oder Sonderreglungen angesammelt wurde, hat Anspruch auf die Zahlung einer jährlichen Rentenzulage für jedes Kalenderjahr, in der die Rente gezahlt wurde.
Die jährliche Zulage wendet sich an für Rentenempfänger, die eine Rente im Rahmen der allgemeinen Regelungen oder Sonderregeln erhalten und Anspruch auf eine jährliche Rentenzulage für jedes Jahr haben, für das eine Rente gezahlt wurde.</t>
  </si>
  <si>
    <t>Halbwaisen:
Sie erhalten einen Prozentsatz der Rente, die auf Basis der potenziellen Altersrente der/des Verstorbenen (siehe Tabelle VI zu „Alter", „Berechnungsmethode, Rentenformel oder Beträge“) berechnet wird:
   * ein Kind:  50%;
   * zwei Kinder: 75%;
   * drei und mehr Kinder: 90% der Rente.
Vollwaisen:
Sie erhalten für jeden Elternteil jeweils einen Prozentsatz der Rente (s.o.), der auf Basis der potenziellen Altersrente und entsprechend der genannten Rentenformel berechnet und gewährt wird.
Die Leistung wird gezahlt, bis das Kind 18 Jahre alt ist (24 Jahre unter bestimmten Bedingungen) oder für den Zeitraum der Behinderung bei Kindern mit Behinderung seit der Kindheit.
Sie wird monatlich gezahlt und es werden keine zusätzlichen Zahlungen geleistet.</t>
  </si>
  <si>
    <t>1. Säule:
   * Halbwaisen: 40% der hypothetischen Rente des verstorbenen Elternteils,
   * Vollwaisen: 2 Waisenrenten (jeweils 40% der hypothetischen Rente des verstorbenen Elternteils).
   * Die Leistung wird keiner Bedürftigkeitsprüfung unterzogen“
   * Die Leistungszahlungen erfolgen monatlich, im Dezember erfolgt eine zusätzliche Rentenzahlung als Weihnachtsgeld.
2. Säule:
   * Waisenrenten von jährlich mindestens 6% des versicherten Lohns.
   * Beim Tod einer Person, die eine Alters- oder Invalidenrente bezogen hat, beträgt die Waisenrente je 20% der zuletzt ausgerichteten Alters- und Invalidenrente.
   * Die Leistung wird keiner Bedürftigkeitsprüfung unterzogen“
Im Übrigen gelten für den Anspruch zusätzlich und sinngemäß die entsprechenden Bestimmungen der 1. Säule.
Die Leistungszahlungen erfolgen monatlich.</t>
  </si>
  <si>
    <t>Kinder, die ein Elternteil verloren haben:
Der Betrag der Waisenrente (Našlaičio pensija) ist 50% der Summe des allgemeinen und individuellen Teils der Rente, die der verstorbenen Person zugestanden hätte. Der Betrag wird entweder auf der Basis der staatlichen Behindertenrente für diejenigen festgelegt, die 65% oder mehr ihres Grades der Teilhabefähigkeit eingebüßt haben, oder auf der Basis der Altersrente. Gibt es mehr als ein Kind mit Anspruch auf die Rente, erhalten sie alle gleiche Teile des zahlbaren Betrags.
Vollwaisen:
Rentenanspruch für beide Elternteile.
Die Leistung unterliegt keiner Bedürftigkeitsprüfung.
Keine Zusatzzahlungen zu bestimmten Zeiten im Jahr.</t>
  </si>
  <si>
    <t>Halbwaisen:
   * 1/3 der von der Versicherungsdauer abhängigen Pauschalleistung (majorations forfaitaires) und der pauschalen Zurechnungszulage (majorations forfaitaires spéciales), auf die der Versicherte Anspruch hatte oder gehabt hätte.
   * 1/3 der Zulage zum Jahresende (allocation de fin d'année).
   * 1/4 des einkommensabhängigen Rententeilbetrags (majorations proportionnelles) und der einkommensabhängigen Zurechnungszulage (majorations proportionnelles spéciales), auf die der Versicherte Anspruch hatte oder gehabt hätte.
Vollwaisen:
Das Doppelte der Halbwaisenrente. Wenn Rentenansprüche von beiden Elternteilen vorliegen, wird der höhere Betrag verdoppelt.
Kumulation mit Kindergeld möglich.
Monatlich ausgezahlte Renten.
Waisenrente wird bis zum 18. Lebensjahr gezahlt. Die Waisenrente wird bis zum 27. Lebensjahr gezahlt, wenn die Waise aufgrund der wissenschaftlichen oder fachlichen Vorbereitung auf den künftigen Beruf nicht für ihren Lebensunterhalt aufkommen kann.</t>
  </si>
  <si>
    <t>Halbwaisen:
Sie haben Anspruch auf Kindergeld (Allowance tat-Tfal) (siehe Tabelle IX, „Familienleistungen, „Leistungen, Beträge“).
Vollwaisen:
Sie haben Anspruch auf Waisengeld (Allowance ta' Ltim) in Höhe von €79,58 pro Woche pro Kind und Ergänzendes Waisengeld (Allowance Supplimentari ta' Ltim) in Höhe von €130,16 pro Woche pro Kind.
Dies ist eine alle 4 Wochen zahlbare Pauschalleistung. Die Leistung unterliegt keiner Bedürftigkeitsüberprüfung.
Kindergeld wird zusätzlich zum Waisengeld gezahlt.
Leistungsempfänger sind anspruchsberechtigt auf eine staatliche Prämie in Höhe von €135,10 im Juni und Dezember und eine zusätzliche Prämie in Höhe von €3,12 pro Woche.
Leistungsempfänger sind auch anspruchsberechtigt auf einen wöchentlichen Lebenshaltungskosten-zuschlag. Abhängig vom ersten Erhalt der Beihilfe rangiert dessen Höhe zwischen €21,53 für Beihilfen, die im Jahr 2008 oder früher gewährt wurden und €15,96 für Beihilfen, die im Jahr 2025 gewährt wurden.</t>
  </si>
  <si>
    <t>Vollwaisen (keine Beschränkung der Kumulation mit Familienleistungen) haben Anspruch auf folgende Leistungen für Waisen:
   * jedes Kind unter 10 Jahren: €536,59 monatlich, plus eine monatliche Brutto-Urlaubsbeihilfe in Höhe von €38,94, einmal jährlich gezahlt als Pauschalbetrag.
   * jedes Kind zwischen 10 und 16 Jahren: €794,30 monatlich, eine monatliche Brutto-Urlaubsbeihilfe in Höhe von €58,42, einmal jährlich gezahlt als Pauschalbetrag.
   * jedes Kind zwischen 16 und 21 Jahren: €1.052,01 monatlich, plus eine monatliche Brutto-Urlaubsbeihilfe in Höhe von €77,89 einmal jährlich gezahlt als Pauschalbetrag.
Die monatliche Anw-Beihilfe in Höhe von €21,16 ist in den oben genannten Beträgen enthalten.
Die Bruttohinterbliebenenleistung ist auf einer solchen Höhe festgelegt, dass die Nettohinterbliebenenleistung 70% des Nettomindestlohns entspricht. Die Waisenbeihilfe entspricht einem Prozentsatz des Mindestnettolohns:
   * 32% für Waisen unter 10 Jahren,
   * 48% für Waisen im Alter von 10-15 Jahren und
   * 64% für Waisen im Alter von 16-20 Jahren.
Die Bruttoferienzahlung auf die Hinterbliebenenleistung wird so festgelegt, dass die Nettoferienzahlung auf die Hinterbliebenenleistung 70% der monatlichen Nettomindestferienzahlung entspricht.</t>
  </si>
  <si>
    <t>Hat das verstorbene Elternteil mindestens 40 Jahre lang Versicherungsbeiträge in Norwegen geleistet, erhält das hinterbliebene Kind:
   * eine jährliche Rente entsprechend dem Grundbetrag (grunnbeløpet (NOK 130.160 (€11.038)), wenn ein Elternteil verstorben ist;
   * eine jährliche Rente entsprechend dem 2,25-fachen des Grundbetrags (grunnbeløpet), wenn beide Elternteile verstorben sind.
Hat das verstorbene Elternteil weniger als 40 Jahre lang Versicherungsbeiträge in Norwegen geleistet, werden die Beträge anteilig vermindert. Sind beide Elternteile verstorben, wird die Versicherungszeit der Person als Grundlage genommen, die am längsten Beiträge geleistet hat.
Die Leistung unterliegt keiner Bedürftigkeitsprüfung.
Bezieht das Kind eine Invaliditätsleistung, wird die Rente für hinterbliebene Kinder anteilig gekürzt. Dies gilt nur zwischen dem 18. und 20. Lebensjahr, da ein Kind mindestens 18 Jahre alt sein muss, um eine Invaliditätsleistung zu erhalten, und die Rente für hinterbliebene Kinder bis zum Alter von 20 Jahren gezahlt wird.
Renten der Volksversicherung werden monatlich ausgezahlt. Es gibt keine zusätzlichen Zahlungen, im Zusammenhang z.B. mit Sommer oder Weihnachten; von der Dezemberzahlung werden jedoch keine Steuern abgezogen.</t>
  </si>
  <si>
    <t>40% (Halbwaisen) bzw. 60% (Vollwaisen) der auf der Grundlage von 60% berechneten Witwen:Witwerrente je Kind bis zur Vollendung des 18. Lebensjahres bzw. des 27. Lebensjahres bei Studium oder Berufsausbildung (aber in Kombination mit Arbeit sollen mehr Stunden für die Ausbildung als für die Arbeit aufgewendet werden), kein Alterslimit bei Behinderung des Kindes.
Daneben eigener Anspruch auf Familienbeihilfe (siehe Tabelle IX).
Die Leistung wird keiner Bedürftigkeitsprüfung unterzogen.
Die Auszahlung der Rente erfolgt im Nachhinein, jeweils am Ersten des folgenden Monats.
Die Rente wird 14-mal jährlich gezahlt (Sonderzahlungen im April und Oktober).</t>
  </si>
  <si>
    <t>Halbwaisen:
Leistung wird gleichmäßig zwischen allen berechtigten Hinterbliebenen aufgeteilt, siehe oben „Leistungen: 1. Hinterbliebener Ehegatte, geschiedener Ehegatte, hinterbliebener Lebenspartner").
Vollwaisen:
   * Leistung wird gleichmäßig zwischen allen berechtigten Hinterbliebenen aufgeteilt (siehe oben „Leistungen: 1. Hinterbliebener Ehegatte, geschiedener Ehegatte, hinterbliebener Lebenspartner ");
   * Zulage von PLN 654,48 (€154) pro Monat, Anpassung wie Renten.
Die Leistung unterliegt keiner Bedürftigkeitsprüfung und wird zwölfmal pro Jahr (monatlich) ausbezahlt.
Eine zusätzliche jährliche Geldleistung (Dodatkowe roczne świadczenie pieniężne) wird wie folgt gezahlt:
   * im April – der Betrag ist derselbe wie der der Mindestaltersrente;
   * im September – der Betrag ist abhängig von der Höhe der Rente, d.h.: 
   * für Personen, deren Rente PLN 2.900 (€684) brutto monatlich nicht überschreitet, ist der Betrag derselbe wie der der Mindestaltersrente;
   * übersteigt die Rente PLN 2.900 (€684) brutto monatlich, wird der Mechanismus namens "Zloty für Zloty" angewendet;
   * liegt die Leistung unter PLN 50 (€12), wird sie nicht ausgezahlt.</t>
  </si>
  <si>
    <t>Jeweils 20, 30 und 40% der Rente für ein, zwei oder drei und mehrere Kinder.
Die Beträge verdoppeln sich, wenn es keinen hinterbliebenen Ehegatten oder anspruchsberechtigten früheren Ehegatten gibt.
Monatliche Leistung - 14 Auszahlungen pro Jahr: Weihnachtsgeld und Urlaubsgeld in Höhe der für den entsprechenden Monat ausgezahlten Leistung.
Keine bedürftigkeitsabhängigen Leistungen (außer für Nachkommen über den ersten Grad hinaus, die nur dann Anspruch auf eine Rente haben, wenn sie gegenüber dem verstorbenen Leistungsempfänger zum Zeitpunkt seines Versterbens unterhaltsberechtigt sind, über kein Einkommen verfügen und im selben Haushalt leben).
Für Kinder gelten Altersgrenzen (siehe 5. Kinder), es sei denn, es handelt sich um Kinder mit Behinderungen, die Anspruch auf Kindergeld haben.</t>
  </si>
  <si>
    <t>Halbwaisen:
Ähnliche Formel wie für den Hinterbliebenen Ehegatten.
Vollwaisen:
Ähnliche Formel wie für den Hinterbliebenen Ehegatten. Die Hinterbliebenenrente (pensie de urmas) wird für jeden Elternteil berechnet und dann summiert.
Bis zum Alter von 16 Jahren (oder dem Alter von Hochschulabsolventen, höchstens jedoch 26 Jahre).
Wird monatlich ausbezahlt.
Finanzielle Unterstützung von RON 800 (€157), die in zwei gleichen Raten von RON 400 (€79) jeweils im April und Dezember 2025 an hinterbliebene Rentner gezahlt wird, deren monatliches Renteneinkommen sich auf insgesamt höchstens RON 2.574 (€506) beläuft.</t>
  </si>
  <si>
    <t>Die Kinderrente(barnpension) beträgt 35% (bzw. 30%, wenn das jüngste Kind 12 Jahre alt wird) der einkommensbezogenen Rentenbasis der verstorbenen Person.
Bei mehr als einem verwaisten Kind, wird dieser Betrag für jedes weitere Kind um 25 Prozentpunkte (20 Prozentpunkte, wenn das jüngste Kind 12 Jahre alt wird) erhöht und zu gleichen Teilen unter den Kindern aufgeteilt.
Wenn beide Eltern verstorben sind, beträgt die Kinderrente35% der Rente beider Eltern.
Eine Waisenbeihilfe (efterlevandestöd till barn) kann gewährt werden, falls das Kind keine oder nur eine niedrige Kinderrente(barnpension) erhält. Diese Beihilfe beläuft sich auf 40% des Grundbetrags (prisbasbelopp).
Wenn beide Eltern verstorben sind, beträgt die Waisenbeihilfe 80% des Grundbetrags.
Die Zahlungsfrequenz ist monatlich (12 mal/Jahr).</t>
  </si>
  <si>
    <t>1. Säule (Grundsystem):
   * Halbwaisen: 40% der dem maßgebenden durchschnittlichen Jahreseinkommen entsprechenden Altersrente.
   * Vollwaisen: zwei Waisenrenten. Sie werden gekürzt, wenn sie zusammen 60% der Höchstaltersrente übersteigen, nämlich CHF1.512 (€1.615) pro Monat.
2. Säule (obligatorische Mindestvorsorge):
   * Halbwaisen: 20% der ganzen Invalidenrente, auf die der Verstorbene Anspruch gehabt hätte oder, während dem Aufschub des Bezugs der Altersleistung, der Altersrente, auf welche die versicherte Person Anspruch gehabt hätte.
   * Vollwaisen: zwei Waisenrenten.
Keine Bedürftigkeitsprüfung.
Grundsätzlich monatliche Zahlung. Keine zusätzliche Zahlung.</t>
  </si>
  <si>
    <t>Waisenrente (Sirotský dôchodok):
Jedes Kind erhält 40% der Altersrente, vorgezogenen Altersrente oder Invalidenrente, auf die der verstorbene Elternteil (oder der adoptierende Elternteil) zum Zeitpunkt seines Todes Anspruch hatte oder gehabt hätte.
Sie wird monatlich, 12 Mal im Jahr gezahlt. Zusätzlich wird jährlich im Dezember eine dreizehnte Rente in Höhe der nationalen monatlichen Waisenrente des vergangenen Jahres, d.h. mindestens €300 gezahlt (siehe Tabelle VI „Alter”, „Leistungen, 1. Berechnungsmethode, Rentenformel oder Beträge“).
Die Leistung unterliegt keiner Bedürftigkeitsprüfung.
Die Waisenrente beträgt gemäß der 2. Säule 100% der Altersversorgung der/des Verstorbenen und wird für eine Höchstdauer von zwei Jahren gezahlt (einschließlich der Leistung für Erwachsene).</t>
  </si>
  <si>
    <t>Halbwaisen:
Die Höhe der Hinterbliebenenrente (družinska pokojnina) in Prozent der Rente der verstorbenen Person zum Todeszeitpunkt hängt von der Anzahl der berechtigten Personen ab:
   * ein Anspruchsberechtigter: 70% der Rente des Verstorbenen zum Todeszeitpunkt;
   * zwei Anspruchsberechtigte: 80% dieser Bemessungsgrundlage;
   * drei Anspruchsberechtigte: 90% dieser Bemessungsgrundlage;
   * vier oder mehr Anspruchsberechtigte: 100% dieser Bemessungsgrundlage.
Vollwaisen:
Ein Anspruchsberechtigter auf Hinterbliebenenrente bezieht 100% der vorgeschriebenen Grundlage der höheren Rente der verstorbenen Eltern zum Zeitpunkt des Todes. Bei zwei oder mehr Anspruchsberechtigten basiert die Hinterbliebenenrente auf 100% beider Renten der verstorbenen Eltern. Diese Renten werden zu gleichen Teilen entsprechend der Anzahl der Kinder geteilt. Wenn die Teilung in gleiche Teile nicht möglich ist, geht der restliche Teil an das älteste Kind.
Die Höchstdauer des Leistungsbezugs beruht auf folgenden Bedingungen:
   * 26 Jahre alt sein;
   * eine Anstellung haben;
   * sich nicht in der Ausbildung befinden.
Leistungen werden monatlich gezahlt.
Keine zusätzlichen Zahlungen.
Die Leistung unterliegt keiner Bedürftigkeitsprüfung.</t>
  </si>
  <si>
    <t>Waisengeld (Pensión de orfandad):
Für jeden Waisen in Höhe von 20% der Berechnungsgrundlage. Entsprechend des Witwen-/Witwergeldes erhöht sich dieser Satz um einen zusätzlichen Prozentsatz, für gewöhnlich, falls es keinen hinterbliebenen Ehepartner gibt (Vollwaise). Sind mehrere Berechtigte vorhanden, darf die Summe des Waisengeldes und des Witwen-/Witwergeldes 100% der Berechnungsgrundlage in bestimmten Umständen (z.B. bei familiären Verpflichtungen) übersteigen. Hat der Empfänger als Vollwaise Anspruch auf Leistungen beider Elternteile, so gilt eine Erhöhung nur für die Leistung eines Elternteils.
Die Leistung unterliegt einer Bedürftigkeitsprüfung (siehe Tabelle VII, „Bedingungen: Kinder“).
Leistung für Waisen durch Gewalt gegen Frauen (prestación de orfandad por violencia contra la mujer):
20% der Berechnungsgrundlage für jede Waise oder 70%, wenn das Haushaltseinkommen pro Mitglied 75% des Mindestlohnes (Salario Mínimo Interprofesional) nicht überschreitet.
Die Leistungen werden monatlich 14 Mal pro Jahr ausgezahlt.
Zur Berechnungsgrundlage: siehe Tabelle VII, „Leistungen: Hinterbliebener Ehepartner, geschiedener Ehepartner, hinterbliebener Lebenspartner".</t>
  </si>
  <si>
    <t>Grundbetrag (Základní složka):
Pauschale (10% des nationalen monatlichen Bruttodurchschnittslohns) von CZK 4.660 (€188) monatlich.
Prozentualer Betrag (Procentní část):
   * Halbwaisen: 40% des prozentualen Betrags der Alters- oder Invaliditätsrente dritten Grades, auf den der Verstorbene Anspruch hatte oder gehabt hätte.
   * Vollwaisen: 40% des prozentualen Betrags der Alters- oder Invaliditätsrente beider Elternteile.
Die Leistung ist nicht bedürftigkeitsabhängig.
Jedes hinterbliebene Kind ist bis zum Alter von 26 Jahren anspruchsberechtigt für Hinterbliebenenleistung, so lange es unterhaltsberechtigt ist (sich in Vollzeitausbildung befindet oder eine Behinderung hat).
Zahlungen erfolgen monatlich.
Keine zusätzlichen Zahlungen.</t>
  </si>
  <si>
    <t>Waisenrente (Árvaellátás):
Für Halbwaisen 30% der Altersrente des verstorbenen Elternteils für jedes Kind. Der Anspruch des Waisen bleibt auch nach einer Wiederheirat der Mutter oder einer Adoption des Kindes bestehen.
60% der Altersrente des verstorbenen Elternteils für Vollwaisen (hat ein Kind durch beide Eltern einen Rentenanspruch, erhält es die höhere der beiden Leistungen) oder Waisen, deren lebendes Elternteil als Person mit veränderter Erwerbsfähigkeit angesehen wird.
Die Leistung unterliegt keiner Bedürftigkeitsprüfung.
Sie wird ab dem Todesdatum des Verstorbenen gezahlt bis zum 16. Geburtstag des Kindes. Geht das Kind einer Vollzeitausbildung nach, wird die Rente für den Zeitraum der Ausbildung gezahlt, allerdings nur bis zum 25. Geburtstag des Kindes (oder bis zum Alter von 27 Jahren unter besonderen Bedingungen).
Wird monatlich gezahlt. Zusätzliche Zahlungen: ein 13. Monat wird gezahlt (im Februar) sowie eine Rentenprämie (wird im November ausgezahlt, sofern das BIP um mehr als 3,5% gewachsen ist und das im Haushaltsgesetz festgelegte Ziel für den Haushaltsausgleich erreicht wurde).</t>
  </si>
  <si>
    <t>Halbwaisen:
20 % des versicherungspflichtigen Grundentgelts (Βασικές Ασφαλιστέες Αποδοχές) = € 42,71 pro Woche pro Waise für bis zu drei Waisen.
Vollwaisen:
Grundrente (Βασική Σύνταξη) : 40 % des versicherungspflichtigen Grundentgelts = € 85,42 pro Woche für jedes Kind.
Zusatzrente (Συμπληρωματική Σύνταξη) : 50 % der Zusatzrente zur Witwenrente, die gezahlt wurde oder gezahlt worden wäre (siehe Hinterbliebene – Leistungen, Hinterbliebener Ehegatte, geschiedener Ehegatte, hinterbliebener Partner“) bei einem Kind und 100 % bei zwei oder mehr Kindern.
Renten und sonstige Leistungen werden monatlich gezahlt (13-mal jährlich).
Waisen, die vor Vollendung des 17. Lebensjahres nicht mehr abhängig sind, haben Anspruch auf eine einmalige Zahlung in Höhe eines Jahresbetrags der Waisenrente. Der Pauschalbetrag entspricht 1 Jahr der Waisenrente, die im Falle eines Anspruch gezahlt würde.</t>
  </si>
  <si>
    <t>Siehe „Leistungen: Hinterbliebener Ehegatte, geschiedener Ehegatte, hinterbliebener Lebenspartner“.</t>
  </si>
  <si>
    <t>Der Betrag der Hinterbliebenenrente (siehe Tabelle VII „Leistungen: 1. Hinterbliebener Ehegatte“) wird zu gleichen Teilen unter den Berechtigten aufgeteilt.</t>
  </si>
  <si>
    <t>Für Eltern oder Geschwister: 15% der Rente des Versicherten, sofern es keine anderen Hinterbliebenen gibt.
Die Leistungen werden monatlich gezahlt.
Die Dauer unterliegt keiner Obergrenze, so lange die Bedingungen zum Erhalt der Leistung erfüllt sind.</t>
  </si>
  <si>
    <t>Auf Basis der allgemeinen Invaliditäts- oder der Altersrente, die der Verstorbene zum Todeszeitpunkt bezogen hat oder bezogen hätte (siehe Tabellen V „Invalidität”, „Leistungen” und VI „Alter”, „Leistungen”). Die Höhe der Leistung richtet sich nach der Anzahl der abhängigen Familienmitglieder:
   * ein Hinterbliebener: 77%,
   * zwei Hinterbliebene: 88%,
   * drei Hinterbliebene: 100%,
   * vier oder mehr Hinterbliebene: 110%.
Für Leistungsempfänger, die eine Rente gemäß den allgemeinen Regelungen oder Sonderregeln erhalten, wurde eine jährliche Rentenzulage eingeführt. Sie wird für jedes Jahr gewährt, in dem die Rente gezahlt wurde. Der Betrag wird errechnet, indem die Beitragsjahre mit einem jährlichen Wert multipliziert werden, den die Regierung von Kroatien festlegt.</t>
  </si>
  <si>
    <t>Die Gesamtrente wird für Brüder, Schwestern und Enkel ab der potenziellen Altersrente des Verstorbenen berechnet. Gleiche Bedingungen wie für Waisen.
Die Leistung unterliegt nicht der Bedürftigkeitsprüfung. Die Leistung wird gezahlt, bis das Kind 18 Jahre alt ist (24 Jahre unter bestimmten Bedingungen) oder für den Zeitraum der Behinderung bei Kindern mit Behinderung seit der Kindheit.
Sie wird monatlich gezahlt und es werden keine zusätzlichen Zahlungen geleistet.</t>
  </si>
  <si>
    <t>Nicht anwendbar</t>
  </si>
  <si>
    <t>Gleiche Berechnungsregeln für hinterbliebenen Ehepartner.</t>
  </si>
  <si>
    <t>Die Person, die sich um ein verwaistes Kind kümmert (gesetzlicher Vormund) erhält das Waisengeld (Allowance ta’Ltim), das für jedes Kind gezahlt wird (siehe Tabelle VII, „Leistungen, Kinder“), wenn mindestens eines der Eltern zum Todeszeitpunkt versichert gewesen ist.</t>
  </si>
  <si>
    <t>Leistung wird gleichmäßig zwischen allen berechtigten Hinterbliebenen aufgeteilt (siehe oben „Leistungen: hinterbliebener Ehepartner, geschiedener Ehepartner, hinterbliebener Lebenspartner”).
Die Leistung unterliegt keiner Bedürftigkeitsprüfung und wird zwölfmal pro Jahr (monatlich) ausbezahlt.
Eine zusätzliche jährliche Geldleistung (Dodatkowe roczne świadczenie pieniężne) wird wie folgt gezahlt:
   * im April – der Betrag ist derselbe wie der der Mindestaltersrente;
   * im September – der Betrag ist abhängig von der Höhe der Rente, d.h.: 
   * für Personen, deren Rente PLN 2.900 (€684) brutto monatlich nicht überschreitet, ist der Betrag derselbe wie der der Mindestaltersrente;
   * übersteigt die Rente PLN 2.900 (€684) brutto monatlich, wird der Mechanismus namens "Zloty für Zloty" angewendet;
   * liegt die Leistung unter PLN 50 (€12), wird sie nicht ausgezahlt.</t>
  </si>
  <si>
    <t>Von den verstorbenen Versicherten unterhaltene Eltern haben Anspruch auf 30%, 50% oder 80% der Rente, je nachdem, ob es sich um eine, zwei oder drei und mehr Personen handelt, wenn kein Ehepartner, geschiedener Ehegatte oder keine Nachkommen vorhanden sind, die einen Rentenanspruch haben. Außerdem müssen sie
im selben Haushalt wie der Leistungsempfänger leben und kein eigenes Einkommen haben, das höher als die Sozialrente (pensão social) ist, oder doppelt so hoch, wenn sie verheiratet sind.
Die Leistung wird monatlich 14 Mal pro Jahr ausgezahlt: Weihnachtsgeld und Urlaubsgeld in Höhe der für den entsprechenden Monat ausgezahlten Leistung.</t>
  </si>
  <si>
    <t>Nicht anwendbar (keine sonstigen Berechtigten).</t>
  </si>
  <si>
    <t>1. Säule (Grundsystem)/2. Säule (obligatorische Mindestvorsorge):
Keine sonstigen Berechtigten.</t>
  </si>
  <si>
    <t>Das Anrecht auf Hinterbliebenenrente kann auch erworben werden von:
   * Enkeln, Stiefkindern und anderen elternlosen Kindern, die von der verstorbenen Person zum Todeszeitpunkt unterhalten wurden (sofern sie die für Kinder festgelegten Bedingungen erfüllen);
   * Eltern, die von der verstorbenen Person unterhalten wurden, wenn sie ein Alter von 60 Jahren erreicht haben oder wenn sie zum Todeszeitpunkt der versicherten Person vollständig arbeitsunfähig waren (erreichen sie in diesem Fall das 60. Lebensalter während des Bezugs der Hinterbliebenenrente, erhalten sie darauf einen dauerhaften Anspruch).
Für den Leistungsbetrag siehe Tabelle VII, „Leistungen, Kinder“.</t>
  </si>
  <si>
    <t>Leistung für Angehörige (Pensión en favor de familiares):
Unter gewissen Bedingungen 20% der Berechnungsgrundlage. Mit Bedürftigkeitsprüfung. Bei den berücksichtigten Mitteln handelt es sich um Erwerbseinkommen oder Kapital und Sozialleistungen.
Die Leistung wird 14 Mal pro Jahr gezahlt.
Befristete Beihilfe an Angehörige (subsidio temporal en favor de familiares): 20% der Berechnungsgrundlage höchstens für einen Zeitraum von 12 Monaten.
Die Leistung wird 14 Mal jährlich auf Monatsbasis gezahlt.
Zur Berechnungsgrundlage siehe Tabelle VII, „Leistungen: Hinterbliebener Ehepartner, geschiedener Ehepartner, hinterbliebener Lebenspartner“.</t>
  </si>
  <si>
    <t>Elternrente (Szülői nyugdíj):
Der Betrag der Elternrente entspricht der dauerhaften Witwen- bzw. Witwerrente (Özvegyi nyugdíj).
Siehe Tabelle VII, „Leistungen, Hinterbliebener Ehegatte, geschiedener Ehegatte, hinterbliebener Lebenspartner“.
Die Leistung unterliegt einer Bedürftigkeitsprüfung. Ein Elternteil oder Großelternteil gilt als überwiegend unterhaltsberechtigt, wenn die Rente des Elternteils zum Todeszeitpunkt des Kindes (Enkelkindes) unterhalb des Mindestbetrags der Altersrente liegt.
Die Leistung wird jeden Monat ausgezahlt. Ein 13. Monat wird gezahlt. Rentenprämie (wird im November ausgezahlt, sofern das BIP um mehr als 3,5% gewachsen ist und das im Haushaltsgesetz festgelegte Ziel für den Haushaltsausgleich erreicht wurde).</t>
  </si>
  <si>
    <t>Zulagen für Eltern oder jüngere Geschwister, die überwiegend von der versicherten Person unterhalten werden.</t>
  </si>
  <si>
    <t>Die Rente, auf die der/die Verstorbene zum Todeszeitpunkt Anspruch gehabt hätte.</t>
  </si>
  <si>
    <t>Kein Höchstbetrag für die Gesamtleistungen, die zusammengerechnet an alle Hinterbliebenen des Verstorbenen ausgezahlt werden.</t>
  </si>
  <si>
    <t>100% der Rente der verstorbenen Person.</t>
  </si>
  <si>
    <t>Volksrente (Perhe-eläke):
Keine Begrenzung.
Gesetzliche einkommensbezogene Rente (Työeläke):
100% der Rente des/der Verstorbenen.</t>
  </si>
  <si>
    <t>1/Basissystem (Régime de base): 54% der maximalen Altersrente: €1.059,75 pro Monat.
2/Zusatzrentensysteme (Agirc-Arrco): kein Höchstbetrag.</t>
  </si>
  <si>
    <t>Der Gesamtbetrag der an den überlebenden Ehepartner und Kinder gezahlten Rente darf die Rente, die der/die Verstorbenen erhalten hat, übersteigen. Wenn der Betrag der Anteile der Begünstigten den Betrag der Rente übersteigt, die der/die Verstorbene erhalten hat, werden die Anteile der Kinder gleichmäßig gekürzt.</t>
  </si>
  <si>
    <t>100% der Rente des Versicherten.</t>
  </si>
  <si>
    <t>100% der Rente, die der Verstorbene bezogen hat oder bezogen hätte, einschließlich der Anhebung, falls der Verstorbene eine aufgeschobene Rente bezogen hat oder bezogen hätte.</t>
  </si>
  <si>
    <t>Keine Höchstgrenze.</t>
  </si>
  <si>
    <t>1. Säule: Waisenrenten werden gekürzt, soweit sie zusammen mit der Rente des Vaters oder der Mutter das der Rentenberechnung zugrunde liegende "maßgebende durchschnittliche Jahreseinkommen" um mehr als 10% übersteigen.
2. Säule: Kein Höchstbetrag.</t>
  </si>
  <si>
    <t>Renten an Waisen:
100% der Rente der verstorbenen Person (maximal 50% pro Waisen).</t>
  </si>
  <si>
    <t>100% der Rente des Versicherten. Übersteigt die Summe aller Hinterbliebenenrenten diese Grenze, so werden sie anteilsmäßig gekürzt.</t>
  </si>
  <si>
    <t>Es gibt für anspruchsberechtigte Personen keinen Höchstgesamtbetrag.</t>
  </si>
  <si>
    <t>Kein Höchstbetrag für Gesamtleistungen an alle Berechtigten.
Es besteht jedoch eine Höchstgrenze für die Leistung an Einzelpersonen (siehe Tabelle VII, Anspruchsvoraussetzungen 2. Hinterbliebener Ehegatte).</t>
  </si>
  <si>
    <t>95% der Rente der verstorbenen Person.</t>
  </si>
  <si>
    <t>100% der Rente des Versicherten.
Bei Vorhandensein von zwei Ehepartnern mit Rentenanspruch: 110%.</t>
  </si>
  <si>
    <t>100% der Rente, auf die der Verstorbene Anspruch hatte oder gehabt hätte (Auszahlung nur bei drei oder mehr Hinterbliebenen).</t>
  </si>
  <si>
    <t>Die Hinterbliebenen können gemeinsam maximal 100% der berechneten Altersrente des Verstorbenen beziehen.</t>
  </si>
  <si>
    <t>1. Säule (Grundsystem):
Kinderrenten und Waisenrenten werden gekürzt, wenn sie zusammen mit der Rente des Vaters oder der Mutter 90% des maßgebenden durchschnittlichen Jahreseinkommens für die Berechnung der Rente des Vaters oder der Mutter übersteigen.
2. Säule (obligatorische Mindestvorsorge):
Kürzung der Leistungen soweit sie zusammen mit anderen Leistungen gleicher Art und Zweckbestimmung sowie weitere anrechenbaren Einkünften 90% des mutmaßlich entgangenen Verdienstes übersteigen.</t>
  </si>
  <si>
    <t>100% der Rente des Versicherten. Übersteigt die Summe der Hinterbliebenenrenten diesen Wert, werden sie proportional verringert.
Dieser Grundsatz gilt auch für Leistungen, die unter der 2. Säule gewährt werden.</t>
  </si>
  <si>
    <t>100% der Rente des Verstorbenen.</t>
  </si>
  <si>
    <t>Die Summe aller Hinterbliebenenleistungen darf 100% der Berechnungsgrundlage nicht übersteigen, mit einigen Ausnahmen.</t>
  </si>
  <si>
    <t>Kein Höchstbetrag, die Summe der Hinterbliebenenrenten kann den Betrag der Rente, die der Verstorbenen bezog oder erhalten hätte, übersteigen.</t>
  </si>
  <si>
    <t>Witwen bzw. Witwer:
   *              Grundrente (Βασική Σύνταξη) : 100 % des versicherungspflichtigen Grundentgelts (Βασικές Ασφαλιστέες Αποδοχές) (im Fall von 3 abhängigen Familienmitgliedern). 
   *              Zusatzrente (Συμπληρωματική Σύνταξη) : Keine gesetzliche Höchstrente. Basierend auf der Beitragsbemessungsgrenze beträgt der Höchstbetrag der Zusatzrente € 1.572,43 pro Monat (für Personen, die im Jahr 2025 berechtigt werden). 
Halbwaisen:
   *              Grundrente (Βασική Σύνταξη) : 20 % des versicherungspflichtigen Grundentgelts (Βασικές Ασφαλιστέες Αποδοχές) = € 42,71 pro Woche pro Waise für bis zu drei Waisen. 
Vollwaisen:
   *              Grundrente (Βασική Σύνταξη) : 40 % des versicherungspflichtigen Grundentgelts = € 85,42 pro Woche für jedes Kind. 
   *              Zusatzrente (Συμπληρωματική Σύνταξη) : Bei mehr als zwei Waisen kann der Betrag der Zusatzrente für Witwen bzw. Witwer nicht überschritten werden. 
Für die Definition von versicherungspflichtigem Entgelt siehe Tabelle I zu Finanzierung – Allgemeine Sozialbeitragssätze.</t>
  </si>
  <si>
    <t>Keine weiteren Leistungen.</t>
  </si>
  <si>
    <t>Sterbegeld (Помощ при смърт на осигурено лице):
Jährlich festgelegte einmalige Leistung: BGN 540 (€ 276).</t>
  </si>
  <si>
    <t>Bestattungsbeihilfe (begravelseshjælp): Siehe Tabelle III „Krankheit – Geldleistungen“. Kann zusätzlich zu Leistungen für Hinterbliebene gezahlt werden.
Hinterbliebenenhilfe (efterlevelseshjælp): Ehepartner (oder Lebensgefährten nach mindestens 3-jähriger Zeit des Zusammenlebens) erhalten eine von der Höhe ihres Einkommens und Vermögens abhängige Pauschalabfindung. Höchstbetrag: DKK 16.680 (€2.235). Die Leistung entfällt bei einem Jahreseinkommen von mehr als DKK 429.079 (€57.507). Kann zusätzlich zu Leistungen für Hinterbliebene gezahlt werden.
Bei Bedürftigkeit kann eine Unterhaltshilfe (hjælp til forsørgelse) gewährt werden. Siehe Tabelle XI „Mindestsicherung.
Sonderbeihilfe zu einem Studium oder einer Berufsausbildung, falls dies für die Eingliederung in das Arbeitsleben erforderlich ist. Siehe Tabelle XI „Mindestsicherung“.</t>
  </si>
  <si>
    <t>Der Witwe oder dem Witwer wird für die ersten 3 Monate nach dem Tod des Versicherten die Hinterbliebenenrente in Höhe der vollen Rente des Versicherten gezahlt.
Bei einer Ehescheidung nach dem 30.06.1977 hat der geschiedene Ehegatte, der ein eigenes Kind oder ein Kind des Verstorbenen erzieht bis zum Erreichen der Regelaltersgrenze einen Anspruch auf Erziehungsrente, wenn er nicht wieder geheiratet hat und bis zum Tod des geschiedenen Ehegatten die allgemeinen Wartezeiten erfüllt hat. Dies gilt auch für eingetragene Lebenspartnerschaften. Einkommensanrechnung wie bei Witwen- und Witwerrenten.
Für Ehepartner die nach dem 01.01.1962 geboren sind, oder die nach dem 31.12.2001 geheiratet haben, besteht die Möglichkeit, statt einer Hinterbliebenenversorgung das Rentensplitting zu wählen. Dabei werden die in der Ehezeit erworbenen Rentenanwartschaften geteilt. Die Einkommensanrechnung wie bei Witwen‑ und Witwerrenten findet nicht statt.
Die Leistungsansprüche gelten entsprechend auch für eingetragene Lebenspartner.</t>
  </si>
  <si>
    <t>Die Bestattungsbeihilfe wird von der Lokalverwaltung gewährt und aus dem Staatshaushalt finanziert. Jede Lokalverwaltung stellt die Bedingungen für die Beantragung von Bestattungsbeihilfe. Lokalverwaltungen können entweder eine Leistung an die Hinterbliebenen zahlen oder die Bestattung organisieren, wenn die verstorbene Person keine Angehörigen hatte.</t>
  </si>
  <si>
    <t>Für alle Arbeitnehmer besteht aufgrund von Tarifvereinbarungen eine Gruppenversicherung. Die altersabhängige Leistung ist ein Pauschalbetrag und beträgt €16.430, falls der Tod vor dem Alter von 49 Jahren eintritt und verringert sich schrittweise bis auf €4.570, falls der Tod zwischen 60 und 65 Jahren eintritt.
Kinderzulage: €7.400/Kind unter 18 Jahren.
Bei Unfalltod erhöht sich der Betrag um 50%.</t>
  </si>
  <si>
    <t>1/Basissystem (Régime de base):
Witwenbeihilfe (allocation veuvage) (wird vor dem Erreichen des Alters gezahlt, ab dem Anspruch auf eine Hinterbliebenenrente besteht):
Der überlebende Empfänger der Beihilfe muss unter 55 Jahren sein und darf nicht in einer Partnerschaft leben. Er muss in Frankreich wohnhaft sein oder, je nach seiner Staatsangehörigkeit oder der des verstorbenen Versicherten, in einem EU-Mitgliedstaat, dem EWR, der Schweiz oder einem Staat, der mit Frankreich ein Abkommen über soziale Sicherheit abgeschlossen hat.
Der Verstorbene muss im Jahr vor seinem Tod mindestens 3 Monate Beiträge zur Rentenversicherung entrichtet haben. Die Beihilfe (Bedürftigkeitsprüfung) wird für höchstens zwei Jahre ab dem Todestag gezahlt: €713,17 pro Monat.
Ausnahme: Ist der überlebende Leistungsempfänger zum Zeitpunkt des Todes mindestens 50 Jahre alt, kann die Beihilfe bis zu seinem 55. Lebensalter weiter gewährt werden.
2/Zusatzrentensysteme (Agirc-Arrco):
Keine sonstigen Leistungen.</t>
  </si>
  <si>
    <t>Eine einmalige Beihilfe für verwitwete oder hinterbliebene Lebenspartner (Widowed or Surviving Civil Partner Grant) von €8.000 wird gezahlt, falls die hinterbliebene Person wenigstens ein Kind unterhält.</t>
  </si>
  <si>
    <t>Volksrente (lífeyrir almannatrygginga):
Es wird ein Sterbegeld (dánarbætur) von monatlich ISK 71.692 (€498) sechs Monate an den hinterbliebenen Ehegatten vor Erreichen des 67. Lebensjahres nach dem Sozialhilfegesetz (Lög um félagslega aðstoð) gezahlt. Die Leistungsdauer kann auf mindestens 12 Monate ausgedehnt werden, wenn der Empfänger ein Kind unter 18 Jahren versorgt oder aufgrund anderer besonderer Umstände, aber nur auf höchstens 48 Monate; in diesem Fall beträgt das Sterbegeld ISK 53.704 (€373) pro Monat.
Arbeitsrente (lögbundnir lífeyrissjóðir):
Keine sonstigen Leistungen.
Weitere Leistungen können gewährt werden, wenn der Tod innerhalb von 2 Jahren aufgrund eines Arbeitsunfalls eintritt (siehe Tabelle Arbeitsunfall und Berufskrankheit - Tod).</t>
  </si>
  <si>
    <t>Wenn die versicherte Person noch keinen Rentenanspruch geltend machen kann und mindestens 1 Jahr in den vergangenen 5 Jahren Beiträge geleistet hat: einmalige Beihilfe (Indennità „una tantum“) in Höhe des 45-fachen der gesamten gezahlten Beiträge:
   * Minimum: €22,31,
   * Maximum: €66,93.
Erstmals ab 1. Januar 1996 Versicherte:
€538,69 (entspricht dem monatlichen Betrag der Sozialhilfeleistung (assegno sociale)) mal der Beitragsjahre des Verstorbenen.
Prioritätenfolge: Ehegatte oder Lebenspartner, Kinder, Verwandte in aufsteigender Linie.</t>
  </si>
  <si>
    <t>Keine anderen Leistungen.</t>
  </si>
  <si>
    <t>Falls auf Grund von nicht erfüllter Mindestversicherungszeit keine Hinterbliebenenrente gewährt wird, erhält die Waise die Staatliche Grundleistung der sozialen Sicherheit (Valsts sociālā nodrošinājuma pabalsts). Der Betrag ist €189 pro Monat für ein Kind unter 7 Jahren und €226 pro Monat für ein Kind über 7 Jahren. Für Waisen wird die Rente für jeden Elternteil gesondert berechnet und kann nicht unter den genannten Beträgen liegen.
Bestattungsbeihilfe (Apbedīšanas pabalsts): Beim Tod eines Rentenempfängers oder Empfängers der Staatlichen Grundleistung der sozialen Sicherheit erhält die Person, die die Beerdigung organisiert, eine Pauschale in doppelter Höhe der monatlichen Rente und des Zuschlags oder der Staatlichen Grundleistung der sozialen Sicherheit des Verstorbenen.</t>
  </si>
  <si>
    <t>Keine sonstigen Leistungen.</t>
  </si>
  <si>
    <t>Hat die verstorbene Person Anspruch auf die Sozialversicherungsrente für Waisen, die geringer ist als die Sozialhilferente für Waisen, wird eine Sozialhilferente für Waisen an die Kinder oder Adoptivkinder gezahlt, die die folgenden Bedingungen erfüllen:
   * unter 18 Jahren alt sein;
   * zwischen 18 und 24 Jahren in einer Vollzeit-Ausbildung an einer anerkannten Einrichtung der höheren oder beruflichen Bildung sein;
   * vor oder nach der Vollendung des 24. Lebensjahres als behindert eingestuft worden sein (aber nicht nach Vollendung des 26. Lebensalters) aufgrund von Krankheiten oder Verletzungen vor dem 24. Lebensjahr.
Die Sozialhilferente für Waisen beläuft sich für jedes Kind auf 0,5 der Sozialhilferentenbasis (Šalpos pensijų bazė) (d.h. €124 im Jahr 2025). Sind vier oder mehr rentenberechtigte leibliche oder adoptierte Kinder vorhanden, so wird ein Betrag entsprechend des 1,5-fachen der Sozialhilferentenbasis der verstorbenen Person (d.h. €372 im Jahr 2025) unter allen Kindern (oder adoptierten Kindern) aufgeteilt.
Die Sozialhilferentenbasis (Šalpos pensijų bazė): Der Betrag wird von der Regierung festgesetzt und beläuft sich 2025 auf €248.</t>
  </si>
  <si>
    <t>Die volle Rente der versicherten verstorbenen Person wird für drei Monate an Hinterbliebene gezahlt, die mit dem Verstorbenen im gemeinsamen Haushalt gelebt haben.
War der Verstorbene noch nicht Bezieher einer Rente, werden die Renten der Hinterbliebenen, die mit dem Versicherten zusammengelebt haben, in dem Monat des Todes und den 3 folgenden Monaten auf die Höhe der Rente aufgestockt, auf die der Verstorbene Anspruch gehabt hätte.</t>
  </si>
  <si>
    <t>Hinterbliebene Ehepartner oder Partner, die ein Kind unter 16 Jahren (unter 18 Jahren, falls das Kind noch die Schule besucht und keine Studienbeihilfen erhält) unterhalten, haben Anspruch auf eine zusätzliche Kindererziehungszulage (Suppliment ghat-trobbija tat-tfal).
Kindererziehungszulage (Suppliment ghat-trobbija tat-tfal):
Zusätzliche Beihilfe in Höhe von €10 pro Woche.</t>
  </si>
  <si>
    <t>Sterbegeld (Overlijdensuitkering): 100% des Bruttoarbeitseinkommens für den Monat nach dem Todestag, gezahlt vom Arbeitgeber an die Witwe/den Witwer, den Ex-Partner (mit dem die verstorbene Person die Haushaltskosten teilte) oder die minderjährigen Kinder der verstorbenen Person.</t>
  </si>
  <si>
    <t>Bestattungsbeihilfe (gravferdsstønad) bei Bedürftigkeitsnachweis von bis zu NOK 29.853 (€2.532). Die Bedürftigkeitsprüfung entfällt, wenn die verstorbene Person jünger als 18 Jahre war.
Zusätzlich können anfallende Kosten übernommen werden, wenn der Sarg mit der verstorbenen Person in Zusammenhang mit der Beerdigung mehr als 20 km weit transportiert werden muss. Es gibt keine Obergrenze für die Unterstützung, aber es muss eine Selbstbeteiligung von 20% der maximalen Bestattungsbeihilfe gezahlt werden.</t>
  </si>
  <si>
    <t>Wenn die Hinterbliebenenrenten mangels Erfüllung der Wartezeit nicht anfallen, aber mindestens ein Beitragsmonat des:der Verstorbenen vorliegt: Abfindung in der Höhe der sechsfachen Bemessungsgrundlage, sofern die Bestimmungen des ASVG zur Anwendung gelangen. Kommen die Bestimmungen des APG zur Anwendung, beträgt die Abfindung sechs Vierzehntel jener Bemessungsgrundlage, die bei einem Arbeitsunfall gegolten hätte. (Referenzeinkommen bzw. Berechnungsgrundlage, siehe Tabelle VI).
Wenn die Wartezeit für Hinterbliebenenrenten erfüllt ist, aber keine anspruchsberechtigten Hinterbliebenen vorhanden sind: Abfindung in der Höhe der dreifachen Bemessungsgrundlage, sofern die Bestimmungen des ASVG zur Anwendung gelangen. Kommen die Bestimmungen des APG zur Anwendung, beträgt die Abfindung drei Vierzehntel der Bemessungsgrundlage, die bei einem Arbeitsunfall gegolten hätte. (Referenzeinkommen bzw. Berechnungsgrundlage, siehe Tabelle VI) der Reihe nach an die Kinder, die Mutter, den Vater oder die Geschwister des Verstorbenen, wenn diese im Zeitpunkt des Todes des:der Versicherten in Hausgemeinschaft gelebt haben und überwiegend von dem:der Verstorbenen versorgt worden sind.
Sofern die Rente einschließlich sonstiger Einkünfte die folgenden Richtsätze nicht erreicht, gebührt eine Ausgleichszulage in Höhe des Differenzbetrages:
   * Witwe:Witwer/Hinterbliebene:r eingetragene:r Partner:in: €1.273,99 (2025) pro Monat.
   * Halbwaisen bis zum 24. Lebensjahr €468,58 (2025) pro Monat, nach dem 24. Lebensjahr €832,68 (2025) pro Monat.
   * Vollwaisen bis zum 24. Lebensjahr €703,58 (2025) pro Monat, nach dem 24. Lebensjahr €1.273,99 (2025) pro Monat.
Zur Mindestgrenze der Witwen:Witwerrente unter Berücksichtigung des Einkommens des:der Hinterbliebenen siehe Tabelle VII, Leistungen 7. Mindestleistung („Schutzbetrag“).
Für zusätzlichen Anspruch auf Familienbeihilfe siehe Tabelle IX, für zusätzlichen Anspruch auf Pflegegeld siehe Tabelle XII.</t>
  </si>
  <si>
    <t>Befristete Hinterbliebenenbeihilfe (Okresowa renta rodzinna):
Leistung an Witwen, die keinen Anspruch auf Hinterbliebenenrente (Renta rodzinna) haben und über keine sonstigen finanziellen Mittel verfügen. 85% der Alters- oder Invaliditätsrente, auf die der Verstorbene Anspruch hatte oder gehabt hätte. Wird ein Jahr lang nach dem Tod des Ehegatten oder höchstens 2 Jahre während der Teilnahme an beruflichen Rehabilitationskursen gewährt.
Pflegezulage (Dodatek pielęgnacyjny):
Leistung an Personen mit Anspruch auf eine Alters-, Invaliditäts- oder Hinterbliebenenrente, die vollständig erwerbsunfähig und auf fremde Hilfe angewiesen sind oder die das 75. Lebensjahr vollendet haben. Betrag: Die Zulage beträgt monatlich PLN 348,22 (€82) (Anpassung wie bei Renten).
Bestattungsbeihilfe (Zasiłek pogrzebowy):
Pauschale für Personen, die die Bestattungskosten für einen Rentner oder einen Familienangehörigen getragen haben. Betrag: PLN 4.000 (€944).</t>
  </si>
  <si>
    <t xml:space="preserve">
   * Sterbegeld (subsídio por morte): wird in der Regel Personen gewährt, die auch die Hinterbliebenenrente beziehen, jedoch ohne Anspruchsbedingungen. Betrag entspricht dem 3-Fachen des Indexwerts für soziale Unterstützungen IAS (indexante dos apoios sociais), Einmalzahlung, zusätzlich zur Hinterbliebenenrente. Aufteilung wie bei der Hinterbliebenenrente nach der Anzahl der berechtigten Personen.
   * Bestattungskostenbeihilfe (subsídio para despesas de funeral): wird Personen gewährt, die die Bestattungskosten tragen, wenn kein Familienmitglied Anspruch auf Sterbegeld hat. Einmalig gezahlter Höchstbetrag : 3-Fache des IAS.
   * Pflegezulage (complemento por dependência): Zulage an Empfänger einer Invaliden-, Alters- oder Hinterbliebenenrente, die auf ständige Fremdhilfe angewiesen sind. Monatlicher Betrag, der an den Wert der Sozialrente (pensão social) gekoppelt ist: € 127,63 oder € 229,73 entsprechend der Pflegestufe (1. oder 2. Pflegestufe).
   * Solidarzulage für ältere Menschen (complemento solidário para idosos): Zulage an Rentner im Alter von über 66 Jahren und 7 Monaten (im Jahr 2025), die in den 6 dem Antragsdatum vorausgegangenen Jahren in Portugal lebten und deren Jahreseinkünfte unter € 7.568,00 (alleinstehende Person) bzw. € 13.244,00 (Paar) liegen. Die Rentner erhalten eine monatliche Differenzialzulage bis zur Höhe dieses Betrages. Jährlich erfolgen 12 Leistungen.</t>
  </si>
  <si>
    <t>Geldleistungen, z. B.:
Sterbegeld (ajutor de deces). Wird zusätzlich zu den Leistungen des Hinterbliebenen ausbezahlt. Dies ist eine Pauschalzahlung zur Abdeckung von Begräbniskosten an alle, die solche Ausgaben getätigt haben.</t>
  </si>
  <si>
    <t>Wohnzulage (bostadstillägg):
Wohnsitzgebundene Leistung für Personen mit geringer oder ohne Rente. Kann auch an Hinterbliebene mit Witwenrente (änkepension) gezahlt werden. Die Leistung unterliegt einer Bedürftigkeitsprüfung.
Für das Jahr 2025 liegt die Obergrenze für die Wohnzulage bei SEK 7.290 (€663) pro Monat für Alleinstehende und SEK 3.645 (€331) monatlich für Verheiratete oder zusammenlebende Personen.
Bei der Berechnung des Leistungsbetrags werden folgende monatliche Wohnkosten für Alleinstehende berücksichtigt:
   * 100% bis zu SEK 3.000 (€273),
   * 90% zwischen SEK 3.001 (€273) und SEK 5.000 (€455),
   * 70% zwischen SEK 5.001 (€455) und SEK 7.000 (€636);
   * 50% zwischen SEK 7.001 (€636) und SEK 7.500 (€682).
   * Zusätzlich SEK 840 (€76) pro Monat für alleinstehende Leistungsempfänger.
Für verheiratete Leistungsempfänger gilt die Hälfte des Betrags.
Einkommenshilfe für ältere Menschen (äldreförsörjningsstöd): Hilfe Wohnsitzgebundene Leistung für Personen, die eine geringe oder gar keine Rente haben. Sie kann auch an Hinterbliebene mit Witwenrente (änkepension) gezahlt werden. Der Leistung unterliegt einer Bedürftigkeitsprüfung.
Für alleinstehende Personen  gelten SEK 7.525 (€684) pro Monat als angemessener Lebensstandard. Angemessene Wohnkosten von bis zu SEK 7.500 (€681) pro Monat können eingerechnet werden.
Für Verheiratete, zusammen lebende Personen oder Menschen in eingetragenen Partnerschaften gelten SEK 6.053 (€550) pro Monat (im Jahr 2025) als angemessener Lebensstandard. Angemessene Wohnkosten von bis zu SEK 3.750 (€341) pro Monat können eingerechnet werden.
Für Verheiratete wird das Einkommen mit dem des Partners kombiniert. Ihr Gesamteinkommen wird dann durch zwei geteilt.</t>
  </si>
  <si>
    <t>1. Säule (Grundsystem):
   * Außerordentliche Rente.
   * Ergänzungsleistungen zur 1. Säule (vgl. Tabelle XI „Mindestsicherung“).
2. Säule (obligatorische Mindestvorsorge):
   * Abfindung in Höhe von 3 Jahresrenten für den hinterbliebenen Ehegatten/Partner, welcher die Voraussetzungen für eine Rente nicht erfüllt.
   * Die Vorsorgeeinrichtung kann eine Kapitalleistung ausrichten, wenn die Rente des hinterbliebenen Ehegatten/Partners weniger als 6%, die Waisenrente weniger als 2% der Mindestrente der Alters- und Hinterlassenenversicherung AHV (1. Säule, Grundsystem) beträgt.</t>
  </si>
  <si>
    <t>Sterbegeld (Príspevok na pohreb) siehe Tabelle III, Krankheit – Sonstige Leistungen.</t>
  </si>
  <si>
    <t>Finanzielle Sozialhilfe in Sonder- und Notfällen nach dem Tod eines Familienmitglieds (posebna oblika izredne denarne socialne pomoči po smrti družinskega člana - posmrtnina) und finanzielle Sozialhilfe in Sonder- und Notfällen zur Deckung der Begräbniskosten (posebna oblika izredne denarne socialne pomoči kot pomoč pri kritju stroškov pogreba – pogrebnina) sind einmalige Zahlungen an Personen, die eine Anrecht auf finanzielle Sozialhilfe haben (siehe Tabelle XI, „Mindestsicherung“) im Falle des Tods des Ehepartners, Lebenspartners, Kinds, Stiefkinds, von Geschwistern, Nichten, Neffen und Enkeln oder Eltern, die die gesetzlich festgelegten Bedingungen erfüllen. Sie betragen:
   * €421,89 für finanzielle Sozialhilfe in Sonder- und Notfällen nach dem Tod eines Familienmitglieds;
   * €843,78 für finanzielle Sozialhilfe in Sonder- und Notfällen zur Deckung der Begräbniskosten.</t>
  </si>
  <si>
    <t>Zulage zur Verringerung des Lohngefälles zwischen den Geschlechtern (complemento para la reducción de la brecha de género) von €35,90/monatlich pro Kind im Jahr 2025 (mit einer Obergrenze von 4 Kindern).
Sterbegeld (auxilio por defunción): Pauschalleistung von €46,50.
Diese Leistungen werden zusätzlich zu den Hinterbliebenenleistungen gezahlt.</t>
  </si>
  <si>
    <t>Bestattungsbeihilfe (Pohřebné): Pauschale, beitragsunabhängige Leistung von CZK 5.000 (€202) an die Person, die die Beerdigung
   * des unterhaltsberechtigten Kindes oder eines Fötus nach einer Fehlgeburt oder einem Schwangerschaftsabbruch aus medizinischen Günden;
   * des Elternteils des unterhaltsberechtigten Kindes organisiert hat.
Sonderzulagen zu den Renten von Mitgliedern der Widerstandsbewegung während des 1. und 2. Weltkriegs sowie politischen Gefangenen des kommunistischen Regimes.</t>
  </si>
  <si>
    <t>Sterbegeld (Βοήθημα Κηδείας) :
   *              Beim Tod einer versicherten Person oder eines Rentenempfängers: Pauschale von € 621,82 (ab dem 1. Januar 2025). 
   *              Beim Tod eines abhängigen Familienmitglieds einer versicherten Person oder eines Rentenempfängers: Pauschale von € 310,91 (ab dem 1. Januar 2025). 
Die Bedingungen für diese Leistung entsprechen den Bedingungen für die Witwenrente im Fall eines Unfalltodes (kein Arbeitsunfall).
Bei Tod durch Arbeitsunfall oder Berufskrankheit wird die Leistung auch dann gewährt, wenn die Versicherungsbedingungen nicht erfüllt sind.
Beim Tod eines Rentenempfängers wird das Sterbegeld ohne zusätzliche Bedingungen gezahlt.</t>
  </si>
  <si>
    <t>Garantiertes Minimum. Anteiliger Betrag, wenn mindestens 2/3 des vollständigen Versicherungsverlaufs erreicht werden: € 21.415,22.
Garantiertes Minimum bei vollständigem Versicherungsverlauf des Versicherten: € 21.415,22 im Jahr.</t>
  </si>
  <si>
    <t>Der Gesamtbetrag der Hinterbliebenenrente an alle Empfänger darf 75% des Mindestbetrags der beitragsabhängigen Altersrente, d. h. zurzeit BGN 472,88 (€ 242), nicht unterschreiten.</t>
  </si>
  <si>
    <t>Keine Mindestrente, aber de facto besteht eine Mindestrente, resultierend aus der Berechnungsmethode.</t>
  </si>
  <si>
    <t>Keine Mindestrente jedoch ein de facto Maximum resultierend aus der Berechnungsmethode.</t>
  </si>
  <si>
    <t>50% der Altersrente (vanaduspension) einer Person mit 30 Jahren versicherter Beschäftigung.
Wenn die verstorbene Person nicht über die erforderliche Rentenanwartschaftszeit verfügte: 50% der Volksrente (rahvapension).</t>
  </si>
  <si>
    <t>1/Basissystem (Régime de base):
Hinterbliebenenrente (pension de réversion):
Mindestbetrag: €331,94 pro Monat, wenn der Verstorbene 60 Versicherungsquartale aufweist. Bei geringerer Versicherungsdauer anteilige Kürzung des Betrags. Erhöhung um 10%, wenn der Betreffende mindestens 3 Kinder 9 Jahre lang vor Vollendung ihres 16.Lebensjahres erzogen hat.
Invaliditätsrente für Witwer/Witwen (pension d‘invalidité de veuf ou de veuve) und Altersrente für Witwer/Witwen (pension de vieillesse de veuf ou de veuve):
Mindestbetrag: €335,29 pro Monat. Erhöhung um 10%, wenn der Betreffende mindestens 3 Kinder 9 Jahre lang vor Vollendung ihres 16.Lebensjahres erzogen hat.
Waisenrente:
Mindestbetrag am 1. Januar 2025: €107,61 brutto pro Monat.
2/Zusatzrentensysteme (Agirc-Arrco):
Keine Mindestleistung (wenn der Verstorbene zu wenig Rentenpunkte erworben hat, kann die Rente durch eine Einmalzahlung ersetzt werden.)</t>
  </si>
  <si>
    <t>Gesetzliche Mindestleistung: €409,13 pro Monat, wenn der Verstorbene über weniger als 15 Versicherungsjahre verfügt.
Gilt für jede der anspruchsberechtigten Personen.
Die Mindest(Grund-)leistung unterliegt nicht der Bedürftigkeitsprüfung.</t>
  </si>
  <si>
    <t>Nicht anwendbar. Pauschalbeträge – siehe Hinterbliebene - Leistungen – Hinterbliebener Ehepartner, geschiedenener Ehepartner, hinterbliebener Lebenspartner.</t>
  </si>
  <si>
    <t>Volksrente (lífeyrir almannatrygginga):
Kein gesetzlicher Mindestbetrag. Pauschale Leistungen.
Arbeitsrente (lögbundnir lífeyrissjóðir):
Keine gesetzliche Mindestrente. Die Leistungen an Hinterbliebene kann sich in den Rentenfonds unterscheiden.</t>
  </si>
  <si>
    <t>€603,40 im Monat für die verschiedenen Hinterbliebenengruppen, €619,69 für Rentner ab 75 Jahren.</t>
  </si>
  <si>
    <t>1. Säule:
Kein Mindestbetrag, sondern ein De-facto-Mindestbetrag, der aus der Berechnungsmethode resultiert.
Die Mindestrente wird auf der Grundlage der pensionsfähigen Dienstjahre und des tatsächlichen Rentenwerts am Tag des Anspruchs ermittelt. Für jedes Jahr pensionsfähiger Dienstzeit werden 106% des tatsächlichen Rentenwerts angewendet. Die Mindestrente wird durch die Anwendung des Anfangsfaktors und des Rentenfaktors bestimmt.
Der Mindestruhegehalt für ein Jahr pensionsfähiger Dienstzeit beträgt €15,32.
Alle Rentenberechtigten, deren berechnete Rente unter diesem Mindestbetrag liegt, haben Anspruch auf die Mindestrente.
2. Säule:
Keine gesetzliche Mindestrente.</t>
  </si>
  <si>
    <t>Die Mindestrente wird Waisen gewährt und wird für jedes Kind altersabhängig festgelegt: bis zu 7 Jahren €189 pro Monat; über 7 Jahren €226 monatlich (gleicher Betrag für Behinderung seit Kindheit). Für Vollwaisen wird die Rente für jeden Elternteil gesondert berechnet.
Die Mindestleistung unterliegt nicht der Bedürftigkeitsprüfung.</t>
  </si>
  <si>
    <t xml:space="preserve">1. Säule: Keine gesetzliche Mindestrente, aber de facto gibt es für die 1. Säule die folgenden Mindestbeträge:
   * Verwitwetenrente:  CHF 952 (€1.017) pro Monat (13 x im Jahr)
   * Waisenrente:  CHF 476 (€509) pro Monat (13 x im Jahr) bei lückenloser Beitragsdauer.
2. Säule:
   * Verwitwetenrente: jährlich 18% des versicherten Lohns. Beim Tod einer Person die eine Alters- oder Invalidenrente bezogen hat, beträgt eine Verwitwetenrente 60% der zuletzt ausgerichteten Alters- oder Invalidenrente.
   * Waisenrente: jährlich je 6% des versicherten Lohns. Beim Tod einer Person, die eine Alters- oder Invalidenrente bezogen hat, beträgt die Waisenrente je 20% der zuletzt ausgerichteten Alters- und Invalidenrente.
</t>
  </si>
  <si>
    <t>Die Aufstockung zur Mindestrente (complément de la pension minimum), auf die der Verstorbene Anspruch hatte oder gehabt hätte, wird zu ¼ jedem hinterbliebenen Kind gewährt (€642,06 pro Monat bei voller Versicherungslaufbahn von 40 Jahren des Hauptversicherten).
Die Hinterbliebenenrente des Ehepartners wird bis zur Höhe der Mindestrente aufgestockt, auf die der verstorbene Versicherte Anspruch hatte oder gehabt hätte (€2.350,89 pro Monat bei voller Versicherungslaufbahn von 40 Jahren des Hauptversicherten).</t>
  </si>
  <si>
    <t>Witwen-/Witwerrente (Pensjoni tar-Romol): Die garantierte Mindestrente beträgt €180,97 pro Woche für hinterbliebene Ehepartner oder Partner, deren Partner in durchschnittlich 50 Wochen pro Jahr Beiträge gezahlt hat. Für Personen mit einem geringeren Beitragsdurchschnitt wird die Rente anteilig gekürzt.
Derselbe Mindestbetrag gilt für Hinterbliebenenrenten (Pensjoni tas-Superstiti).
Waisengeld (Allowance ta' Ltim) und Ergänzendes Waisengeld (Allowance Supplimentari ta' Ltim):
nicht anwendbar - Pauschalleistungen.</t>
  </si>
  <si>
    <t>Anw Leistung: Keine gesetzliche Mindestrente, sondern bedarfsorientierte Pauschalleistung. Dieser Betrag wird proportional vermindert, wenn das Bruttoarbeitseinkommen €1.122,90 monatlich übersteigt. Keine Leistung, wenn das monatliche Bruttoeinkommen €3.538,97 übersteigt.
Die Höhe der Anw Leistung, die Sie beziehen können, ist abhängig vom Einkommen. Einige Einkommenstypen werden vollständig von der Anw Leistung abgezogen. Andere Einkommenstypen wird entweder teilweise abgezogen oder gar nicht.
Für Waisenleistung wird das Einkommen nicht berücksichtigt.</t>
  </si>
  <si>
    <t>Keine gesetzliche Mindestrente, aus der Berechnungsmethode ergibt sich jedoch ein De-facto-Mindestbetrag. Dies gilt sowohl für die Anpassungszulage als auch die Kinderrente.</t>
  </si>
  <si>
    <t xml:space="preserve">Erreicht die Summe aus gekürzter Hinterbliebenenrente und eigenem Einkommen des:der Hinterbliebenen nicht monatlich €2.547,91 brutto (2025), so ist ein entsprechender Differenzbetrag bis zum Maximum von 60% der Rente des:der Verstorbenen zu gewähren, bis das Gesamteinkommen €2.547,91 brutto (2025) erreicht („Schutzbetrag“).
Sofern die monatliche Rente bzw. Renten einschließlich sonstiger Einkünfte die folgenden Beträge nicht erreichen, gebührt eine Ausgleichszulage in der Höhe des Differenzbetrages:
   * Alleinstehende:r Rentenbezieher:in: €1.273,99 (2025) pro Monat.
   * Halbwaisen bis zum 24. Lebensjahr €468,58 (2025) pro Monat, nach dem 24. Lebensjahr €832,68 (2025) pro Monat.
   * Vollwaisen bis zum 24. Lebensjahr €703,58 (2025) pro Monat, nach dem 24. Lebensjahr €1.273,99 (2025) pro Monat.
</t>
  </si>
  <si>
    <t>PLN 1.878,91 (€443) pro Monat.</t>
  </si>
  <si>
    <t>Es gibt Mindestrenten bei Invalidität und Alter, auf die die Prozentwerte angewendet werden, die bei der Berechnung der Hinterbliebenenrente festgelegt werden (60 oder 70%) (siehe Tabellen V „Invalidität“ und VI „Alter“).
Die beitragsunabhängige Hinterbliebenenrente (Witwen- oder Witwerrente (pensão de viuvez)) beträgt 60% der Sozialrente, die einen Pauschalbetrag darstellt.</t>
  </si>
  <si>
    <t>Rentner beziehen die Sozialbeihilfe für Rentner (indemnizatie sociala pentru pensionari) in Höhe von RON 1.281 (€252) monatlich, wenn ihre Hinterbliebenenrente unterhalb dieses Betrags liegt.</t>
  </si>
  <si>
    <t>Es gibt folgende Mindestleistungen:
   * Waisenbeihilfe (efterlevandestöd till barn): SEK 1.960 (€178) pro Monat im Jahr 2025.
   * Garantierte Anpassungsrente (garantipension till omställningspension): 2,13 Grundbeträge (Grundstufe), d. h. SEK 10.437 (€949) pro Monat im Jahr 2025.  Um Anspruch auf eine volle garantierte Anpassungsrente zu haben, müssen dem Verstorbenen 40 Versicherungsjahre angerechnet werden. Wenn es weniger als 40 Jahre sind, wird der Basiswert für jedes fehlende Jahr um ein Vierzigstel reduziert.
   * Garantierte Witwenrente (garantipension till änkepension): Wenn dem Verstorbenen 30 Jahre Rentenpunkte bis 1989 gutgeschrieben werden, wird die garantierte Witwenrente auf der Grundlage eines Grundbetrags von 2,15 Euro berechnet, was SEK 10.535 (€958) pro Monat im Jahr 2025 entspricht. Der Grundbetrag wird um einen Betrag gekürzt, der 100% der Witwenrente oder Anpassungsrente entspricht, soweit er 1,49 Grundbeträge nicht übersteigt. Übersteigt die Witwenrente oder Anpassungsrente 1,49 Grundbeträge, so wird die Garantierente zusätzlich um 40% des Teils der Witwenrente oder Anpassungsrente gekürzt, der 1,49 Grundbeträge übersteigt.</t>
  </si>
  <si>
    <t>1. Säule (Grundsystem):
Vollrenten:
Rente des hinterbliebenen Ehegatten/Partners: CHF1.008 (€1.077) pro Monat.
Waisenrente: CHF504 (€538) pro Monat.
2. Säule (obligatorische Mindestvorsorge):
Keine Mindestleistung, jedoch ein de facto Minimum resultierend aus der Berechnungsmethode.</t>
  </si>
  <si>
    <t>Eine versicherte Person mit Anspruch auf Witwen-/Witwerrente (vdovska pokojnina) oder Hinterbliebenenrente (družinska pokojnina) erhält eine Mindestrente in Höhe von 38% der Mindest-Rentenberechnungsbasis (pokojninska osnova) von €1.219,95 (brutto) (seit Januar 2025), d.h. €352,58 pro Monat. Die Mindest-Rentenberechnungsbasis wird durch die Renten- und Invaliditätsversicherungsanstalt Sloweniens (Zavod za pokojninsko in invalidsko zavarovanje Slovenije) festgelegt. Hauptanspruchsbedingung sind 15 Versicherungsjahre.
Die garantierte Mindestrente (zagotovljena pokojnina) für alle Empfänger von Alters- oder Invaliditätsrente, die Beiträge in das Rentensystem (1. Säule) für den zum Erhalt einer Vollrente erforderlichen Zeitraum leisten, darf nicht weniger als €781,94 pro Monat (seit 1. Januar 2025) betragen.
Bezog die verstorbene Person eine garantierte Mindestrente (zagotovljena pokojnina), wird die Witwen-/Witwerrente (vdovska pokojnina) oder Hinterbliebenenrente (družinska pokojnina) aus der garantierten Mindestrente veranschlagt.
Witwen und Witwern, die die gesetzlichen Bedingungen erfüllen, wird somit eine Rente in Höhe der Summe ihrer Altersrente, vorgezogenen oder Invaliditätsrente und der Höhe der Bewertungsgrundlage für die Witwenrente garantiert, jedoch nicht mehr als der Betrag der Garantierente, welche sich ab 1. Januar 2025 auf €781,94 beläuft, in der Zukunft jedoch auf gleiche Weise angepasst werden wird wie andere Renten.</t>
  </si>
  <si>
    <t xml:space="preserve">Gesetzlich festgelegte Mindestleistung mit Bedürftigkeitsprüfung.
Monatsbeträge (14 Zahlungen im Jahr):
Hinterbliebener Ehegatte:
   * mit Unterhaltsberechtigten: €1.127,60;
   * über 65 Jahren oder mit einer Erwerbsminderung um mindestens 65%: €874,40;
   * von 60 bis 64 Jahren: €818;
   * unter 60 Jahren: €662,50.
Halbwaisen: €267,50.
Waisen unter 18 Jahren mit einem Invaliditätsgrad von mindestens 65%: €525,80.
Vollwaisen: €930 pro Kind. Die Mindestleistung wird um €662,50/monatlich erhöht, verteilt auf die Leistungsempfänger.
Waisen durch Gewalt gegen Frauen: €793,80 für Einzelempfänger oder €1.338,12, verteilt auf die Leistungsempfänger.
Andere Berechtigte: €267,50.
Einziger Empfänger:
   * über 65: €646;
   * unter 65 Jahren: €608,80.
Folgendes Vermögen wird berücksichtigt: Arbeitseinkommen, Kapital, oder wirtschaftliche Aktivitäten, und Kapitaleinkünfte laut dem für solche Einkommen im Einkommensteuergesetz geregelten Konzept.
Folgendes ist vom Bruttoeinkommen des Rentners, welches laut den im Steuergesetz festgelegten Bedingungen berechnet wurde, ausgenommen:
   * abzugsfähige Aufwendungen für Brutto-Arbeitseinkommen;
   * abzugsfähige Aufwendungen für Brutto-Einkommen aus wirtschaftlichen Aktivitäten;
   * abzugsfähige Aufwendungen für Brutto-Einkommen aus Immobilienvermögen.
</t>
  </si>
  <si>
    <t>Keine gesetzliche Mindestrente.
Grundbetrag (Základní složka):
Pauschale (10% des nationalen monatlichen Bruttodurchschnittslohns) von CZK 4.660 (€188) monatlich.
Prozentualer Betrag (Procentní část):
   * Witwe/r: Mindestbetrag: CZK 385 (€16) monatlich;
   * Waisen: Mindestbetrag CZK 308 (€12) monatlich.
Die Leistung ist nicht bedürftigkeitsabhängig.
Zahlungen erfolgen monatlich.</t>
  </si>
  <si>
    <t>Befristete und dauerhafte Witwen- bzw. Witwerrente (Özvegyi nyugdíj): Kein Mindestbetrag.
Elternrente (Szülői nyugdíj): Kein Mindestbetrag.
Waisenrente (Árvaellátás): Mindestbetrag: HUF50.000 (€125) pro Monat/Kind.</t>
  </si>
  <si>
    <t>Witwe/r: 85 % der vollen Grundrente (Βασική Σύνταξη).
Die Mindestleistung unterliegt keiner Bedürftigkeitsprüfung.</t>
  </si>
  <si>
    <t>Im System der Arbeitnehmer und bezüglich des Sozialstatus von Selbstständigen gibt es keine gesetzlich fixierte Höchstrente, jedoch die Anwendung eines Höchstbetrags, der sich de facto aus der Berechnungsmethode ergibt.</t>
  </si>
  <si>
    <t>Der Gesamtbetrag, der aus einer oder mehreren Renten bezogen werden kann (Zulagen ausgenommen), ist für das Jahr 2025 festgelegt auf: BGN 3.400 (€1.738).</t>
  </si>
  <si>
    <t>Keine Höchstrente, aber de facto besteht eine Höchstrente, resultierend aus der Berechnungsmethode.</t>
  </si>
  <si>
    <t>Keine Höchstrente.</t>
  </si>
  <si>
    <t>1/Basissystem (Régime de base):
Hinterbliebenenrente (pension de réversion), Invaliditätsrente für Witwer/Witwen (pension d‘invalidité de veuf ou de veuve) und Altersrente für Witwer/Witwen (pension de vieillesse de veuf ou de veuve): Die Höchstrente beträgt €1.059,75 pro Monat.
Waisenrente:
Bei mehreren Anspruchsberechtigten darf die Summe der Waisenrenten die Hauptrente des verstorbenen Versicherten nicht übersteigen.
2/Zusatzrentensysteme (Agirc-Arrco):
Kein gesetzlich festgesetzte Höchstbetrag, sondern ein faktischer Höchstbetrag, der sich aus der Berechnungsmethode ergibt (nur ein Teil des beitragspflichtigen Bruttoarbeitsentgelts wird bei der Berechnung der Rentenpunkte berücksichtigt).</t>
  </si>
  <si>
    <t>Höchstleistung: €5.236,80 pro Monate (entsprechend 12 Mal die volle staatliche Rente, 12*€436,40).</t>
  </si>
  <si>
    <t>Kein gesetzlicher Höchstbetrag, pauschale Leistungen.</t>
  </si>
  <si>
    <t>1. Säule:
Kein Höchstbetrag, sondern ein De-facto-Höchstbetrag, der aus der Berechnungsmethode resultiert:
380% des Durchschnittsbruttogehalts über den gesamten Versicherungszeitraum berechnet wird (ist gedeckelt bei 3,8 Punkten pro Versicherungsjahr) – siehe Tabelle VI zu Alter – „Höchstrente“.
2. Säule:
Keine gesetzliche Höchstrente.</t>
  </si>
  <si>
    <t>1. Säule:
   * Verwitwetenrente von  CHF 1.912 (€2.043) pro Monat (13 x im Jahr) bei lückenloser Beitragsdauer.
   * Waisenrente von  CHF 956 (€1.021) pro Monat (13 x im Jahr) bei lückenloser Beitragsdauer.
2. Säule:
Keine gesetzliche Höchstrente.</t>
  </si>
  <si>
    <t>Ein gesetzlicher Höchstbetrag ist nicht vorgesehen.
Dennoch ergibt sich durch die persönliche Höchstrente ein impliziter Höchstbetrag aus der Anwendung der Berechnungsgrundsätze in der Hinterbliebenenversorgung.</t>
  </si>
  <si>
    <t>Witwen-/Witwerrente (Pensjoni tar-Romol): Pauschalleistungen.
Der Höchstbetrag der Hinterbliebenenrente (Pensjoni ta' Superstiti) beläuft sich auf €284,54 pro Woche bei der Bewilligung der Rente. Der Beitrag wird jährlich entsprechend der Entwicklung der Lebenshaltungskosten angepasst.
Waisengeld (Allowance ta' Ltim) und Ergänzendes Waisengeld (Allowance Supplimentari ta' Ltim): nicht anwendbar - Pauschalleistungen.</t>
  </si>
  <si>
    <t>Der maximale Betrag der Anw Hinterbliebenenleistung entspricht 70% des gesetzlichen Mindestlohns (netto) (€1.631,87 monatlich). Zusätzlich wird eine Urlaubszulage (vakantie-uitkering) in Höhe von €121,70 pro Monat zugewiesen und einmal jährlich als Pauschale ausgezahlt.
Bei einem (verwitweten) Ehepartner, der mit jemandem aufgrund eines umfänglichen Pflegebedarfs zusammenlebt, oder weil der/die Mitbewohner/in umfänglichen Maße auf Pflege angewiesen ist, entspricht die maximale Hinterbliebenenrente 50% des gesetzlichen Nettomindestlohns.</t>
  </si>
  <si>
    <t>Keine gesetzliche Höchstente, aus der Berechnungsmethode ergibt sich jedoch ein De-facto-Höchstbetrag. Dies gilt sowohl für die Anpassungszulage als auch die Kinderrente.</t>
  </si>
  <si>
    <t>Keine Höchstleistung, jedoch ein de facto Maximum resultierend aus der Berechnungsmethode. Die Höhe der Hinterbliebenenleistung knüpft an den Rentenanspruch der verstorbenen Pension an, welcher de facto durch die Höchstbeitragsgrundlage begrenzt wird.
Zudem gibt es Einschränkungen der Leistung, wenn die Person auf andere Art ein Einkommen erzielt (s. „Kumulation mit Erwerbseinkommen“).</t>
  </si>
  <si>
    <t>Keine gesetzliche Höchstrente, aber de facto besteht eine Höchstrente resultierend aus der Berechnungsmethode.</t>
  </si>
  <si>
    <t>Kein Maximum.</t>
  </si>
  <si>
    <t>1. Säule (Grundsystem):
Rente des hinterbliebenen Ehegatten/Partners: CHF2.016 (€2.154) pro Monat.
Waisenrente: CHF1.008 (€1.077) pro Monat.
2. Säule (obligatorische Mindestvorsorge):
Keine Höchstleistung, jedoch ein de facto Maximum resultierend aus der Berechnungsmethode.</t>
  </si>
  <si>
    <t>Keine gesetzliche Höchstrente vorgesehen, ergibt sich aber aus dem durch die Berechnungsmethode erhaltenen Höchstbetrag.
Die maximale Rentenberechnungsbasis von €4.879,80 (brutto) (seit Januar 2025) ist das 4-Fache der Mindest-Rentenberechnungsbasis.</t>
  </si>
  <si>
    <t>€3.267,60 pro Monat.
Waisen durch Gewalt gegen Frauen: €793,80 für Einzelempfänger oder €1.338,12, verteilt auf die Leistungsempfänger.</t>
  </si>
  <si>
    <t>Keine gesetzliche Höchstrente, aber de facto besteht eine Höchstrente, die aus der Berechnungsmethode resultiert (siehe oben “3. Referenzeinkommen oder Berechnunggrundlage) .</t>
  </si>
  <si>
    <t>Witwe/r:
Grundrente (Βασική Σύνταξη) :
100 % des versicherungspflichtigen Grundentgelts (Βασικές Ασφαλιστέες Αποδοχές) (einschließlich der Zulagen für maximal 3 abhängige Familienmitglieder).
Zusatzrente (Συμπληρωματική Σύνταξη) :
Der Höchstbetrag der Zusatzrente ist € 1.572,43 pro Monat (für Personen, deren Anspruchsberechtigung im Jahr 2025 beginnt). Der Betrag kann nicht höher sein als die zusätzliche Witwenrente.</t>
  </si>
  <si>
    <t>Die Sozialleistungen (einschließlich Renten) werden automatisch um 2% erhöht, sobald der Gesundheitsindex ein bestimmtes Niveau („Verbraucherpreisindex“ übersteigt.
Der geglättete Gesundheitsindex ist der arithmetische Mittelwert der Gesundheitsindizes des betreffenden Monats und der drei vorhergehende Monate. Die Sozialleistungen werden dann ab dem Monat angepasst, der auf den Monat folgt, in dem der Stand des Verbraucherpreisindex erreicht wurde.
Hinweis: Zusätzlich zur automatischen Indexanpassung existiert zudem ein Mechanismus zur Verbindung des Wohlbefindens mit den Renten von Arbeitnehmern und Selbstständigen, dementsprechend die Renten wie die Arbeitsentgelte ansteigen, um zu verhindern, dass die Ersatzleistungsquote der Altersrenten abgesenkt wird.</t>
  </si>
  <si>
    <t>Siehe Tabelle V „Invalidität“ -Rentenanpassung.</t>
  </si>
  <si>
    <t>Keine gesetzlichen Bestimmungen über eine Indexbindung.
Keine automatische Indexbindung, aber durch eine Entscheidung des ATP-Vorstands geregelt.</t>
  </si>
  <si>
    <t>Die Renten werden jährlich zum 1. Juli angepasst. Dies geschieht, indem die Rente mit dem dann gültigen neuen aktuellen Rentenwert berechnet wird.
Da der aktuelle Rentenwert zum 1. Juli 2024 aufgrund der Niveauschutzklausel nach Mindestsi-cherungsniveau festgesetzt wurde, erfolgt die Rentenanpassung in den Jahren ab 2025 bis zum Ende des Geltens der Haltelinie für das Rentenniveau nach dem Mindestsicherungsniveau.
Das bedeutet, dass die Rentenanpassung in dieser Zeit so erfolgt, dass mit dem aktuellen Rentenwert das Mindestsicherungsniveau – also das Verhältnis von verfügbarer Standardrente (d.h. durchschnittlicher Verdienst und 45 Beitragsjahre) zum verfügbaren Durchschnittsentgelt von 48 Prozent – erreicht wird. Damit folgt die Rentenanpassung nur noch der anpassungsrelevanten Lohnentwicklung unter Berücksichtigung der Entwicklung der Sozialabgaben auf Löhne und Renten.
Der aktuelle Rentenwert wird dabei durch die sogenannte anpassungsrelevante Lohnentwicklung grundsätzlich entsprechend der Entwicklung der Bruttolöhne und -gehälter je Arbeitnehmer im vergangenen Kalenderjahr fortgeschrieben, Maßstab ist die Bruttolohnentwicklung gemäß Volkswirtschaftlichen Gesamtrechnungen (ohne Mehraufwandsentschädigungen für Bezieher von Bürgergeld in Arbeitsgelegenheiten). Zusätzlich wird die Entwicklung der beitragspflichtigen Entgelte bei der Ermittlung der für die Rentenanpassung relevanten Lohnentwicklung berücksichtigt.
Auch bei der Rentenanpassung nach Mindestsicherungsniveau gilt - wie bisher auch - die sogenannte Rentengarantie. Das heißt, eine Minderung des aktuellen Rentenwerts ist ausgeschlossen.
Der aktuelle Rentenwert wurde zum 1. Juli 2025 auf €40,79 angehoben.</t>
  </si>
  <si>
    <t>Rechtsverordnung zur Indexierung.
Renten werden jährlich zum 1. April angepasst. Der Anpassungsindex ist abhängig vom Anstieg der Verbraucherpreise und der Einnahmen aus der Sozialsteuer (sotsiaalmaks) (im Verhältnis von 20:80).</t>
  </si>
  <si>
    <t>Rechtliche Bestimmung nach Indexierung. Der nationale Rentenindex (Perhe-eläke) folgt dem Lebenshaltungskostenindex des finnischen Amts für Statistik (Oktober 1951 = 100). Die Indexpunktzahlen werden für das Basisjahr auf der Grundlage des neuesten Verbraucherpreisindexes bestimmt. Die Anpassung nach dem nationalen Rentenindex erfolgt zu Beginn jedes Kalenderjahres.
Neben den Indexanpassungen unterliegen die Volksrenten auch den Niveauanpassungen durch parlamentarische Entscheidungen.
Gesetzliche einkommensbezogene Rente (Työeläke): Die Rente wird jedes Jahr Anfang Januar angepasst unter Nutzung eines Indexes (der einkommensbezogene Rentenindex), bei dem der Gewichtungskoeffizient von Änderungen im Lohnniveau 0,2 ist und der Gewichtungskoeffizient von Änderungen im Preisniveau 0,8.</t>
  </si>
  <si>
    <t>Jährliche Anpassung zum 1. Januar der Grundrente (gemäß der Entwicklung des Verbraucherpreises ohne Tabak) und zum 1. November der Zusatzrente (gemäß der Entwicklung des mittleren Gehalts der Versicherten, gegebenenfalls angepasst an die wirtschaftliche und demografische Lage).</t>
  </si>
  <si>
    <t>Jährliche Anpassung durch gemeinsame Entscheidung des Ministers für Wirtschaft und Finanzen, Arbeit und soziale Sicherheit, basierend auf einem Koeffizienten, der festgelegt wird durch die Summe der Änderungen des BIP und der Änderungen des Verbraucherpreisindex des vorangegangenen Jahres geteilt durch 2. Die jährliche durchschnittliche Veränderung des Verbraucherpreisindexes darf dabei nicht überschritten werden (Art. 25 Par. 4a von Gesetz 4670/2020).
Für das Jahr 2025 ist der Anpassungskoeffizient von Renten 2,4% (Ministerialentscheidung Nr. 53457/12. Dezember 2024/(B‘6865/16. Dezember 2024)).
Zusätzlich werden Renten alle drei Jahre gemäß einem besonderen Gesetz angepasst, um die langfristige Tragfähigkeit des Sozialversicherungssystems sicherzustellen (Art. 25 Par. 5 von Gesetz Nr. 4670/2020).</t>
  </si>
  <si>
    <t>Keine gesetzliche Regelung zur Indexierung.
Sätze können von der Regierung im Rahmen des jährlichen Haushaltsverfahrens angepasst werden.</t>
  </si>
  <si>
    <t>Die durch das Sozialhilfegesetz gedeckten Leistungen werden jährlich nach dem aktuellen Staatshaushalt angepasst, und generell gilt dasselbe für Sozialleistungen.</t>
  </si>
  <si>
    <t>Leistungen für Hinterbliebene werden normalerweise jährlich entsprechend der Inflation automatisch angepasst, gemäß Rechtsvorschriften zur Indexierung (siehe unter Tabelle IV „Alter, Indexierung“).
Die offizielle Indexierungsrate für das Jahr 2025 liegt bei 0,80%.</t>
  </si>
  <si>
    <t>1. und 2. Säule:
Halbjährliche Anpassung gemäß einer variablen Formel, die von Preis- und Lohnentwicklungen abhängig.</t>
  </si>
  <si>
    <t>Ein Teil der Rente – die nicht das nationale Durchschnittsbruttoentgelt des Vorjahres überschreitet, auf das Beiträge gezahlt wurden - wird gemäß dem Preisindex und 50% des Lohnindexes (am 1. Oktober) angepasst.
Bei politisch unterdrückten Personen, Personen mit Behinderungen der Gruppe I, Beteiligten bei der Beseitigung der Folgen des Unfalls im Kernkraftwerk Tschernobyl, Personen, denen eine Altersrente zu gekürzten Konditionen gewährt wurde wegen Pflege und Erziehung von einem Kind mit Behinderungen oder fünf oder mehr Kindern, wurde die Anpassung auf alle Renten angewandt, unabhängig von deren Betrag.</t>
  </si>
  <si>
    <t>1. Säule:
Wenn wegen steigender Lohn- und Preisentwicklung die Altersrenten erhöht werden, erhöhen sich auch die Renten für die Hinterbliebenen.
2. Säule:
Regelung im Reglement der jeweiligen Vorsorgeeinrichtung.</t>
  </si>
  <si>
    <t>Der Grundbetrag der Witwen-/Witwerrente (Našlių pensija) und der Waisenrenten (Našlaičio pensija) werden jährlich angepasst basierend auf den Indexierungsbedingungen des Grundrentenbetrags und Rentenpunktwertes (siehe Tabelle VI, „Alter“, „Indexierung“).</t>
  </si>
  <si>
    <t>Anpassung der Renten an die Preisentwicklung, sobald sich der Index gegenüber dem Stand bei der letzten Anpassung um 2,5% ändert.
Jährliche Anpassung der Rente an die Entwicklung des Lohnniveaus, jeweils entsprechend der finanziellen Situation des Rentensystems.</t>
  </si>
  <si>
    <t>Leistungen werden jährlich mindestens entsprechend der Entwicklung der Lebenshaltungskosten angepasst. Die Regierung kann Renten entsprechend den im jährlichen Haushaltsgesetz angekündigten Maßnahmen weiter anpassen.</t>
  </si>
  <si>
    <t>Gesetzliche Regelung zur Indexierung: Leistungen werden zweimal jährlich (Januar und Juli) an die Inflation und die Lohn- und Gehaltsentwicklung angepasst.</t>
  </si>
  <si>
    <t>Gesetzliche Bestimmung über die Indexierung gemäß der Lohnentwicklung.</t>
  </si>
  <si>
    <t>Renten werden mit Wirksamkeit ab dem 1. Jänner eines jeden Jahres grundsätzlich mit dem Anpassungsfaktor, der die Inflationsrate berücksichtigt, angepasst: Die jährliche Inflationsrate ist der Preis des gesamten fiktiven Warenkorbs in einem bestimmten Monat im Vergleich zum Preis des Warenkorbs im selben Monat des Vorjahrs. Bei der Ermittlung des Anpassungsfaktors wird die Inflationsrate berücksichtigt. Mittels Beschluss eines "Rentenanpassungsgesetzes" kann der Gesetzgeber davon jedoch abweichen.
Die Höhe wird für jedes Jahr neu festgesetzt. Für das Jahr 2025 erfolgt, abhängig vom monatlichen Gesamtrenteneinkommen* (brutto), die Rentenerhöhung wie folgt:
   * bis €6.060 mit 4,6% des Gesamtrenteneinkommens (entspricht dem Anpassungsfaktor für das Jahr 2025)
   * ab €6.060,01 mit einem Fixbetrag in Höhe von €278,76.
*Zum Gesamtrenteneinkommen zählen die Renten aus der gesetzlichen Rentenversicherung, alle Sonderrenten nach dem Sonderpensionenbegrenzungsgesetz sowie die Ruhe- und Versorgungsbezüge nach dem Bundestheaterpensionsgesetz und dem Bundesbahn-Pensionsgesetz, auf die am 31. Dezember 2024 Anspruch besteht.
Die Ausgleichszulagenrichtsätze werden im Jahr 2025 um 4,6% erhöht.</t>
  </si>
  <si>
    <t>Hinterbliebenenrente (Renta rodzinna), befristete Hinterbliebenenbeihilfe (Okresowa renta rodzinna) und Pflegezulage (Dodatek pielęgnacyjny): Rechtliche Bestimmung der Indexierung nach dem festen Indexierungssatz.
Bestattungsbeihilfe (Zasiłek pogrzebowy): Keine automatische Indexierung, aber regelmäßige Erhöhung der Leistungen nach staatlichem Entscheid.</t>
  </si>
  <si>
    <t>Jährliche Erhöhung zusammen mit den anderen Renten, indem die jeweiligen Prozentsätze auf die Beträge der Invaliden- und Altersrente als Berechnungsgrundlage angewendet werden.
Die Anpassung erfolgt unter Berücksichtigung der Entwicklung des Bruttoinlandsprodukts (BIP) und des Verbraucherpreisindex (VPI) (ohne Wohnung); für die niedrigsten Renten wird die günstigste Berechnung angewendet.</t>
  </si>
  <si>
    <t>Der Referenzpunktwert wird jährlich auf der Grundlage der durchschnittlichen jährlichen Inflationsrate angepasst, ergänzt um 50% des realen Wachstums des durchschnittlichen Bruttolohns (anwendbar ab 2026). Die Anpassung darf jedoch weder den prozentualen Anstieg der Einnahmen aus den Sozialbeiträgen noch die durchschnittliche jährliche Inflationsrate der letzten 2 Jahre übersteigen.</t>
  </si>
  <si>
    <t>Die Anpassungsrate wird jedes Jahr entsprechend der Preisentwicklung festgesetzt, daher erfolgt jedes Jahr eine Anpassung basierend auf dem für das laufende Jahr festgelegten Grundbetrag (prisbasbelopp).</t>
  </si>
  <si>
    <t>1. Säule (Grundsystem):
Grundsätzlich alle zwei Jahre Anpassung der Renten an die Entwicklung der Löhne und Preise (im Grundsatz arithmetisches Mittel des Lohnindexes und des Landesindexes der Konsumentenpreise). Vorgezogene Anpassung, wenn der Konsumentenpreisindex in einem Jahr um mehr als 4% gestiegen ist.
2. Säule (obligatorische Mindestvorsorge):
Die seit 3 Jahren laufenden Hinterlassenenrenten werden an die Preisentwicklung angepasst, bis zum Referenzalter (Rentenalter).</t>
  </si>
  <si>
    <t>Jährliche Leistungsanpassung (zum 1. Januar) entsprechend der Entwicklung der Verbraucherpreise von Rentnerhaushalten.
Außerordentliche Anpassung der Rentenleistungen: wenn der kumulative Anstieg der Verbraucherpreise für Rentnerhaushalte seit der letzten Erhöhung der Rentenleistungen 5% übersteigt.</t>
  </si>
  <si>
    <t>Rechtliche Grundlage der Anpassung.
Die Renten werden regelmäßig einmal jährlich (im Februar) entsprechend der Erhöhung der durchschnittlichen Bruttomonatsentgelte und des durchschnittlichen Anstiegs der Verbraucherpreise angepasst. Im Januar 2025 lag der Indexierungssatz bei 4,5%.</t>
  </si>
  <si>
    <t>Rentenanpassung erfolgt automatisch jeden Januar entsprechend 100% der Veränderung des Verbraucherpreisindexes für Rentner und um die Hälfte der Steigerung des durchschnittlichen Reallohns. Weitere Anpassungen werden vorgenommen, wenn die Änderung des Preisindexes 5% übersteigt.
Der Prozentuale Anteil (Procentní část) von Renten kann weiter erhöht werden, so dass die Erhöhung der Durchschnittsrente 2.7% beträgt, wenn die automatische Inflationsbereinigung für Preise und Löhne niedriger ist.
Hinterbliebenenrenten werden darüber hinaus automatisch angepasst, wenn Rentner ein Alter zwischen 85 und 100 Jahren erreichen.</t>
  </si>
  <si>
    <t>Jährliche Anpassung der Witwen- bzw. Witwerrente (Özvegyi nyugdíj), Waisenrente (Árvaellátás) und Elternrente (Szülői nyugdíj) entsprechend des voraussichtlichen Anstiegs der Verbraucherpreise (Inflation) im Januar. 3,2% Anstieg im Januar 2025.
Im November werden Korrekturen gemäß der vorhergesagten jährlichen Erhöhung der Verbraucherpreise vorgenommen (berechnet auf Grundlage der für die ersten acht Monate erhältlichen Daten) und dem Verbraucherpreisindex für Rentner.</t>
  </si>
  <si>
    <t xml:space="preserve">
   *              Versicherungspflichtiges Grundentgelt (Βασικές Ασφαλιστέες Αποδοχές) : jährliche Anpassung entsprechend den Löhnen und Gehältern. 
   *              Grundrenten (Βασική Σύνταξη) werden jeweils zum Jahresanfang entsprechend der Steigerung des versicherungspflichtigen Grundentgelts angepasst.  
   *              Die Zusatzrente (Συμπληρωματική Σύνταξη) wird am gleichen Tag an die Grundrente entsprechend der Steigerung des Lebenshaltungsindex angepasst (Vergleich zwischen den zweiten Halbjahren der letzten beiden Jahre). Die Steigerung der Zusatzrente kann die Steigerung der Grundrente nicht überschreiten. 
   *              Die Renten (Grund- und Zusatzrente) werden zusätzlich jeden Juli an die Steigerung des Lebenshaltungsindex (Vergleich des ersten Halbjahrs eines Jahres mit dem zweiten Halbjahr des vorangegangenen Jahres) angepasst, wenn diese mindestens 1 % beträgt. Diese Steigerung wird bei der Rentenanpassung zu Beginn des Folgejahres berücksichtigt. 
Für die Definition von versicherungspflichtigem Entgelt siehe Finanzierung – Allgemeine Sozialbeitragssätze.</t>
  </si>
  <si>
    <t>Kumulation mit einem Erwerbseinkommen:
Bezieher einer Hinterbliebenenrente (overlevingspensioen), die noch nicht 65 Jahre alt sind, können diese mit einer Erwerbstätigkeit kumulieren, hierbei gelten für das Einkommen im Jahr 2025 die folgenden Grenzwerte:
   *  für eine Tätigkeit als Arbeitnehmer: € 23.555,00 pro Jahr (ohne unterhaltsberechtigtes Kind) oder € 35.333,00 pro Jahr (mit 1 unterhaltsberechtigtem Kind) + € 5889,00 pro zusätzlichem unterhaltsberechtigtem Kind pro Jahr. 
   *  für eine Tätigkeit als Selbstständiger oder eine kombinierte Tätigkeit: € 18.844,00 pro Jahr (ohne unterhaltsberechtigtes Kind) oder € 28.266,00 pro Jahr (mit 1 unterhaltsberechtigtem Kind) + € 4.711,00 pro zusätzlichem unterhaltsberechtigtem Kind pro Jahr. 
Für Bezieher einer Hinterbliebenenrente, die 65 Jahre und älter sind, sind die folgenden Beträge zulässig.
   * für eine Tätigkeit als Arbeitnehmer: € 29.221,00 pro Jahr (ohne unterhaltsberechtigtes Kind) oder € 35.544,00 pro Jahr (mit unterhaltsberechtigtem Kind);
   * für eine Tätigkeit als Selbstständiger oder eine kombinierte Tätigkeit: € 23.377,00 pro Jahr (ohne unterhaltsberechtigtes Kind) oder € 28.435,00 pro Jahr (mit unterhaltsberechtigtem Kind). 
Das Übergangsgeld kann unbegrenzt mit Arbeitseinkommen kumuliert werden.</t>
  </si>
  <si>
    <t>Es ist möglich, den Bezug von Hinterbliebenenleistungen ohne Verminderung des Leistungsbetrags mit Einkünften aus Erwerbstätigkeit zu kombinieren.</t>
  </si>
  <si>
    <t>Kumulierung mit Einkünften aus Erwerbstätigkeit (ohne Bedingungen). Der Leistungsbetrag wird nicht gekürzt.</t>
  </si>
  <si>
    <t>Kumulierung mit Einkommen aus Erwerbstätigkeit möglich.
Auf Witwen- und Witwerrenten wird eigenes Bruttoeinkommen angerechnet, wenn es einen Freibetrag übersteigt (vom 1. Juli 2025 bis 30. Juni 2026 €1.076,86 zzgl. Zuschlag für jedes grundsätzlich waisenrentenberechtigte Kind (vom 1. Juli 2025 bis 30. Juni 2026 €228,42.
Das übersteigende Einkommen wird zu 40% angerechnet. Die Hinterbliebenenrente wird insoweit gekürzt. Bei entsprechend hohem Einkommen kann sie ganz zum Ruhen kommen. Zu den Einkommen zählen auch eigene Renten des Hinterbliebenen.</t>
  </si>
  <si>
    <t>Ein Kind (oder der rechtliche Vormund) unter 18 Jahren oder unter 24 Jahren, sofern in Ausbildung, oder älter, sofern vor diesen Altersgrenzen dauerhaft behindert erklärt, kann gleichzeitig Hinterbliebenenleistungen und Arbeitseinkommen beziehen. Die Leistung wird nicht gekürzt.
Andere Leistungsempfänger haben keinen Anspruch auf Hinterbliebenenleistungen, wenn sie ein Arbeitseinkommen beziehen.</t>
  </si>
  <si>
    <t>Volksrente (Perhe-elä`ke)
Die ständige Rentenzulage ist nicht zahlbar, wenn der Betrag der Einkünfte aus Erwerbsarbeit und anderer Einkünfte (einschließlich aller Sozialleistungen) €1.139,38 bis €1.324,88 pro Monat im Jahr 2025 übersteigt, je nachdem, ob der Ehepartner allein lebt oder Kinder unter 18 Jahren hat.
Gesetzliche einkommensbezogene Rente (Työeläke):
Der hinterbliebene Ehegatte kann die Einkünfte aus Beschäftigung mit der Hinterbliebenenrente kombinieren. In diesem Fall wird der Rentenbetrag nicht gekürzt.</t>
  </si>
  <si>
    <t>1/Basissystem (Régime de base):
Hinterbliebenenrente (pension de réversion):
Kumulierung mit einem Erwerbseinkommen bis zu einer Höchstgrenze des Jahreseinkommens:
   * €24.710,40 für eine alleinlebende Person;
   * €39.536,64 für eine Person, die in einer Partnerschaft lebt.
Das Jahreseinkommen wird unter Berücksichtigung von 70% des Erwerbseinkommens berechnet. Ab der Einkommensgrenze wird die Rente um den Betrag der Überschreitung gekürzt.
Invaliditätsrente für Witwen/Witwer (pension d'invalidité de veuf ou de veuve):
Kumulierung beschränkt auf eine Bemessungsgrenze mit einem Erwerbseinkommen möglich.
Waisenrente:
Berücksichtigung des Erwerbseinkommens ab dem 21. Lebensjahr des Anspruchsberechtigten: Das Einkommen der letzten 12 Monate darf eine bestimmte Grenze nicht überschreiten (12 x 55% des Bruttomindestlohns (salaire minimum interprofessionnel de croissance, SMIC) pro Stunde am 1. Januar x 169). Die Waisenrente wird ab dem Monat, der auf die Überschreitung folgt, endgültig gestrichen.
2/Zusatzrentensysteme (Agirc-Arrco):
Kumulierung mit einem Erwerbseinkommen möglich. Die Höhe der Hinterbliebenenrente ist unabhängig vom Erwerbseinkommen, und die Hinterbliebenenrente wird ohne Einkommensgrenze gezahlt.</t>
  </si>
  <si>
    <t>Kumulierung mit Erwerbseinkommen ist möglich für den hinterbliebenen Ehepartner, geschiedenen Ehepartner, hinterbliebenen Lebenspartner und Waisen.
Für die ersten drei Jahre des Bezugs von Hinterbliebenenrente gibt es keine Kürzungen. Aber anschließend erhält der hinterbliebene Ehepartner, der erwerbstätig oder Rentner ist, 50% der Rente des Verstorbenen (d.h. 35% der Rente, die der Verstorbene erhielt oder auf die er Anspruch hatte).</t>
  </si>
  <si>
    <t>Kumulation mit Einkünften ist zulässig. Einkünfte wirken sich nicht auf die ausgezahlte Rentenhöhe aus.</t>
  </si>
  <si>
    <t>Die Kumulierung mit Beschäftigungseinkünften ist möglich. Hinterbliebenenleistungen werden in den ersten sechs Monaten nach dem Tod eines Ehepartners als fester, einkommensunabhängiger Betrag gezahlt. Der Anspruch auf eine Verlängerung des Leistungszeitraums unterliegt jedoch einer Beurteilung der Umstände, bei der die finanzielle Situation und das Einkommen des Antragstellers in der Regel von wesentlicher Bedeutung sind.</t>
  </si>
  <si>
    <t>Der Bezug von Leistungen für Hinterbliebene kann mit dem Bruttoarbeitsentgelt des Hinterbliebenen kumuliert werden. In solchen Fällen, in denen die Leistungen des Hinterbliebenen mit einem jährlichen Arbeitsentgelt kumuliert werden, das sich beläuft auf:
   * bis zu €23.532,60 (entspricht dem 3-fachen des Mindesteinkommens im Jahr 2025), keine Kürzungen;
   * bis zu €31.376,80 (entspricht dem 4-fachen des Mindesteinkommens im Jahr 2025), bis zur Höhe von 45% der Leistungen des verstorbenen Rentenempfängers;
   * bis zu €39.221 (entspricht dem 5-fachen des Mindesteinkommens im Jahr 2025), bis zur Höhe von 36% der Leistungen des verstorbenen Rentenempfängers;
   * über €39,221 bis zu 30% der Leistungen des verstorbenen Rentenempfängers.
Einkommen aus Erwerbstätigkeit bis zu einer bestimmten Bemessungsgrenze, d.h. €10.197,46 (entsprechend dem Betrag des jährlichen Mindesteinkommens + 30% im Jahr 2025), die im Fall ewerbstätiger Kinder mit Behinderung verdoppelt wird und mit der Hinterbliebenenleistung der Kinder kumuliert werden kann, bis sie aufgrund ihres Alters selbst anspruchsberechtigt darauf sind.</t>
  </si>
  <si>
    <t>Die Kumulierung von Hinterbliebenenrente mit Einkünften aus Teilzeitarbeit ist möglich.</t>
  </si>
  <si>
    <t>Kumulierung mit Erwerbseinkommen ohne Bedingungen möglich. Die Höhe der Leistung wird nicht gekürzt.</t>
  </si>
  <si>
    <t>Eine Kombination einer Hinterbliebenenleistung mit einem Einkommen aus Erwerbstätigkeit ist zulässig.</t>
  </si>
  <si>
    <t>Alle Leistungen für Hinterbliebene können mit Einkünften aus einer Erwerbstätigkeit kumuliert werden.</t>
  </si>
  <si>
    <t>Kumulation mit Erwerbseinkommen möglich.
Übersteigt die Hinterbliebenenrente, zusammen mit Erwerbseinkommen, Einkommensersatzleistungen oder persönlichen Renten einen Schwellenwert, der dem um 50% erhöhten Referenzbetrag entspricht (d. h. €3.918,15 pro Monat), wird sie um 30% des Betrags der persönlichen Einkünfte gekürzt; hiervon ausgenommen ist die Differenz zwischen der Hinterbliebenenrente und dem vorgesehenen Schwellenwert, wenn die Hinterbliebenenrente unter dem Schwellenwert liegt.
Der Schwellenwert wird für jedes Kind um 4% angehoben und begründet einen Anspruch auf die Berücksichtigung von Babyjahren (années-bébés) oder Ausbildungspauschalen (forfait d'éducation). Dieser Prozentsatz erhöht sich auf 12% für jedes Kind und begründet einen Anspruch auf Waisenrente.
Vom Erwerbseinkommen oder den mit einer Erwerbstätigkeit verbundenen Einkommensersatzleistungen wird jedoch ein Betrag in Höhe von 2/3 des Referenzbetrags (d. h. €1.741,40 im Monat) nicht berücksichtigt.</t>
  </si>
  <si>
    <t>Empfänger von Hinterbliebenenrenten und Witen-/Witwerrenten können ohne jede Einkommensbeschränkung jeder Erwerbstätigkeit nachgehen.</t>
  </si>
  <si>
    <t>Kumulation mit Arbeitseinkommen ist möglich. Beträgt das Arbeitseinkommen weniger als €1.122,90 pro Monat, wird die Anw-Hinterbliebenenleistung in voller Höhe ausgezahlt. Liegt das Einkommen über €1.122,90 pro Monat, wird ein anteilig niedrigerer Betrag ausgezahlt.</t>
  </si>
  <si>
    <t>Die Kombination von Bezügen in Form von Anpassungszulage und Erwerbseinkommen ist möglich. Die Zulage unterliegt jedoch einer Bedürftigkeitsprüfung (siehe Tabelle VII, „Leistungen 1. Hinterbliebener Ehepartner, geschiedener Ehepartner, hinterbliebener Partner“). Hat der Hinterbliebene ein jährliches Erwerbseinkommen von mehr als der Hälfte des Grundbetrags (Grunnbeløpet), also mehr als NOK 65.080 (€5.519), so wird die Zulage um 45% des diese Grenze übersteigenden Einkommens gekürzt.</t>
  </si>
  <si>
    <t>Witwen:Witwerrenten können grundsätzlich mit Einkommen aus Erwerbstätigkeit kombiniert werden. Allerdings wird das Einkommen aus Erwerbstätigkeit bei der Mindestgrenze („Schutzgrenze“) der Witwen:Witwerrente berücksichtigt, was in Folge zu einer Reduktion der Leistung führen kann. Die Voraussetzungen und Berechnung wird oben unter „Leistungen“ beschrieben.
Wenn das monatliche Erwerbseinkommen oder Erwerbsersatzeinkommen (z.B. Rente, Kranken- oder Wochengeld, Arbeitslosengeld) das Doppelte der monatlichen Höchstbeitragsgrundlage des Jahres 2012 überschreitet (monatlich €8.460 brutto), so wird die Witwen:Witwerrente so weit vermindert, dass die Summe aus eigenem Einkommen und der Rente diese Grenze nicht mehr überschreitet.
Der Anspruch auf Waisenpension entfällt, wenn das Kind durch eigenes Einkommen selbsterhaltungsfähig ist.</t>
  </si>
  <si>
    <t>Kumulation mit Erwerbseinkommen ist möglich, aber die Rente wird ausgesetzt oder gesenkt, wenn die Einkünfte des Leistungsempfängers über den folgenden Grenzwerten liegen:
   * zwischen 70% und 130% des nationalen Durchschnittslohns: Kürzung des Grundbetrags der Rente um 24%;
   * mehr als 130% des nationalen Durchschnittslohns: Rente wird eingestellt.</t>
  </si>
  <si>
    <t>Die Hinterbliebenenrente, die an den hinterbliebenen oder geschiedenen Ehegatten oder Lebenspartner gezahlt wird, kann mit einem Arbeitseinkommen kumuliert werden.
Die Rente kann bei Kindern über 18 Jahren nicht mit einer beruflichen Tätigkeit kombiniert werden, für die Sozialbeiträge geleistet wird. Die Hinterbliebenenrente kann jedoch mit einer Berufstätigkeit kumuliert werden, die im Rahmen eines Arbeitsvertrags während der Schulferien ausgeübt wird, deren Jahreseinkommen höchstens dem 14-Fachen des garantierten Mindestlohns entspricht und sofern die Altersvoraussetzungen erfüllt sind (siehe „Leistungen - Kinder“)..</t>
  </si>
  <si>
    <t>Kumulation mit Erwerbseinkommen:
   * Hinterbliebener Ehepartner: Kumulation erlaubt, wenn das Bruttoeinkommen unterhalb des Mindestbruttolohns, d. h. RON 4.050 (€797) monatlich, liegt;
   * Vollwaisen: Kumulation erlaubt.
Der Leistungsbetrag wird nicht gekürzt.</t>
  </si>
  <si>
    <t>Der Bezug der Waisenbeihilfe kann mit dem Einkommen aus Erwerbstätigkeit kombiniert werden. Die Leistung wird nicht reduziert und es gibt keine Begrenzung des Betrags, der verdient werden kann.</t>
  </si>
  <si>
    <t>1. Säule (Grundsystem)/2. Säule (obligatorische Mindestvorsorge):
Kumulation mit Erwerbseinkommen erlaubt. Ohne Bedingungen.</t>
  </si>
  <si>
    <t>Die Kumulation der Witwenrente (Vdovský dôchodok) oder der Witwerrente (Vdovecký dôchodok) mit Einkünften ist ohne eine Senkung der Rente möglich. Die Kumulation einer vorgezogenen Altersrente (Predčasný starobný dôchodok) mit Einkommen ist unter bestimmten Umständen (z. B. Geldverdienst während der Schulausbildung) möglich.</t>
  </si>
  <si>
    <t>Eine Kumulierung mit Erwerbseinkommen ist nicht möglich.</t>
  </si>
  <si>
    <t>Witwen-/Witwerrenten können mit jeder Einkommensart kumuliert werden, die der Leistungsempfänger erhält, ebenso mit Altersrente oder Erwerbsunfähigkeitsrente, auf die dieser Anspruch hat.
Waisengeld kann bis zum Alter von 21 Jahren mit Arbeitseinkommen kumuliert werden, ebenso wenn die Erwerbsfähigkeit der Waise bis zu einem Grad reduziert ist, der einen Anspruch auf absolute dauerhafte Berufsunfähigkeit oder eine schwere Behinderung begründet.
Das Waisengeld für Leistungsempfänger ohne Behinderung über 21 kann nur mit Arbeitseinkommen kumuliert werden, wenn dieses 100% des Mindestlohns nicht übersteigt.
Die Beträge dieser Leistungen werden in solchen Fällen nicht gekürzt.</t>
  </si>
  <si>
    <t>Kumulation mit Einkommen aus Arbeit möglich: die Rente wird nicht reduziert und es gibt keine Einkommensgrenze.</t>
  </si>
  <si>
    <t>Witwen- bzw. Witwerrente (Özvegyi nyugdíj): Kumulierung mit Lohneinnahmen ist unbegrenzt möglich. Der Rentenbetrag wird nicht reduziert.
Waisenrente (Árvaellátás): Kumulierung mit Lohneinnahmen ist möglich. Der Rentenbetrag wird nicht reduziert.
Elternrente (Szülői nyugdíj): Kumulierung mit Lohneinnahmen ist möglich. Der Rentenbetrag wird nicht reduziert.</t>
  </si>
  <si>
    <t>Kumulierung mit Einkommen ist möglich (bei einem Witwer muss dieser arbeitsunfähig sein, um einen Anspruch zu haben).
Bezieher einer vorgezogenen Rente, die weiter erwerbstätig sind, haben bis zur Vollendung des 65. Lebensjahres Sozialversicherungsbeiträge zu entrichten.</t>
  </si>
  <si>
    <t>Kumulierung mit anderen Sozialversicherungsleistungen:
Eine Hinterbliebenenrente kann im Prinzip nicht mit Leistungen bei Krankheit oder Invalidität,
bei Arbeitslosigkeit, Zeitguthaben, Unterbrechung der Erwerbstätigkeit, reduzierten Leistungen oder Vorruhestandsrente auf tarifvertraglicher Basis kumuliert werden.
Diese Kumulierung ist jedoch einmalig für einen Zeitraum von 12 Monaten (fortlaufend oder nicht) möglich. Der monatliche Bruttobetrag der Hinterbliebenenrente ist demzufolge auf € 1.032,95 begrenzt.
Der Rentenempfänger muss zwischen der Rente und der Sozialleistung wählen.
Das Übergangsgeld kann jedoch unbegrenzt mit Arbeitseinkommen kumuliert werden.
Kumulierung der Hinterbliebenenrente eines Arbeitnehmers mit einer Altersrente: 
Die Kumulierung der Hinterbliebenenrente eines Arbeitnehmers mit einer oder mehreren Altersrenten ist bis zu einem Höchstbetrag von 110% des Betrags der Hinterbliebenenrente für eine volle Berufslaufbahn zulässig.
Dieser Betrag für eine volle Laufbahn ergibt sich aus der Multiplikation der Höhe der Hinterbliebenenrente mit dem umgekehrten Anteil der anerkannten Laufbahn, ausgedrückt in Vollzeitäquivalenten.</t>
  </si>
  <si>
    <t>Siehe Tabelle V „Invalidität“, „Kumulation mit anderen Leistungen der sozialen Sicherheit“.</t>
  </si>
  <si>
    <t>Kumulierung mit anderen Leistungen der sozialen Sicherheit möglich.
Der Betrag von Leistungen für Hinterbliebene wird nicht gekürzt; einige bedürftigkeitsabhängige Sozialleistungen (z.B. Sozialhilfe (kontanthjælp)) können aber aufgrund des Bezugs von Leistungen für Hinterbliebene gekürzt werden.</t>
  </si>
  <si>
    <t>Auf Witwen- und Witwerrenten wird eigenes Bruttoeinkommen angerechnet, wenn es einen Freibetrag übersteigt (vom 1. Juli 2025 bis 30. Juni 2026 €1.076,86 zzgl. Zuschlag für jedes grundsätzlich waisenrentenberechtigte Kind (vom 1. Juli 2025 bis 30. Juni 2026 €228,42.
Das übersteigende Einkommen wird zu 40% angerechnet. Die Hinterbliebenenrente wird insoweit gekürzt. Bei entsprechend hohem Einkommen kann sie ganz zum Ruhen kommen. Zu den Einkommen zählen auch eigene Renten des Hinterbliebenen.</t>
  </si>
  <si>
    <t>Kumulierung mit anderen Sozialversicherungsleistungen möglich, ausgenommen Altersrente, Erwerbsunfähigkeitsrente oder Leistung zur Arbeitsfähigkeit. Ein Waise kann gleichzeitig zwei Hinterbliebenenrenten beziehen.</t>
  </si>
  <si>
    <t>Volksrente (Perhe-eläke)
Kumulierung ist möglich mit Arbeitslosengeld, Krankengeld, Leistungen bei Mutterschaft- und Elternschaft, Erwachsenenfortbildungszuschüsse, Arbeitswechselentschädigung, Kinderbetreuungsbeihilfe als Pflegegeld, Teilpflegegeld, Kommunalzulage, Pflegegeld für private Tagespflege, Pflegezulage und ev. kommunale Zulagen etc.
Die ständige Rentenzulage wird nicht gezahlt, wenn die Höhe der Einkünfte aus Erwerbsarbeit und anderen Einkünften (darin enthalten auch andere Sozialleistungen) €1.139,38 - €1.324,88 im Monat überschreitet im Jahr 2025, je nachdem, ob der Ehepartner alleinstehend ist oder nicht und ob der Ehepartner Kinder unter 18 Jahren hat.
Der Hinterbliebene kann die für ihn günstigste Rente auswählen, wenn Anspruch sowohl auf die bestehende Rente als auch die Volksrente besteht oder eine ähnliche Rente aus dem Ausland.
Gesetzliche einkommensbezogene Rente (Työeläke): Der hinterbliebene Ehegatte kann sonstigen Sozialleistungen mit der Hinterbliebenenrente kombinieren. Grundsätzlich gilt, dass die gesetzliche einkommensbezogene Rente gesenkt wird, wenn die eigene (oder zu erwartende) Rente des hinterbliebenen Ehegatten höher ist als €836,50 pro Monat.</t>
  </si>
  <si>
    <t>Hinterbliebenenrente:
1/Hinterbliebenenrente aus dem Basissystem: Kumulierung mit allen Sozialversicherungsleistungen innerhalb der Einkommensgrenze des Überlebenden für den Anspruch auf die Hinterbliebenenrente möglich.
2/Hinterbliebenenrente aus dem Zusatzsystem (Agirc-Arrco): Kumulierung mit allen Sozialversicherungsleistungen möglich.
Invaliditätsrente für Witwer/Witwen (pension d‘invalidité de veuf ou de veuve) und Altersrente für Witwer/Witwen (pension de vieillesse de veuf ou de veuve):
Keine Kumulierung mit einer Hinterbliebenenrente desselben Ehegatten möglich (Zahlung der höheren Rente).
Kumulierung mit einer Grundrente oder einer Hinterbliebenenrente aus der Versicherung für Arbeitsunfälle und Berufskrankheiten ist beschränkt (Kürzung der Rente bei Überschreitung).
Invaliditätsrente für Witwer/Witwen (pension d‘invalidité de veuf ou de veuve):
Einkommensabhängige Kumulierung mit der Zusätzlichen Invaliditätsbeihilfe (allocation supplémentaire d’invalidité, ASI) möglich.
Kumulierung mit einer Rente im Zusammenhang mit einem Arbeitsunfall oder einer Berufskrankheit (bis zur Höhe des Bruttolohns, den ein erwerbsfähiger Arbeitnehmer in der gleichen Berufsgruppe erhält), wenn der Grad der Erwerbsunfähigkeit mindestens 2/3 beträgt und es sich um eine Invalidität handelt, die nicht durch die Gesetzgebung über Arbeitsunfälle und Berufskrankheiten entschädigt werden kann.
Waisenrente:
Kumulierung mit der Unterhaltszulage möglich. In diesem Fall keine Kürzung des Rentenbetrags.</t>
  </si>
  <si>
    <t>Kumulierung mit Altersrente oder invalidenrente ist möglich. Es gibt während der ersten drei Jahre des Bezugs keine Kürzung des Betrags der Hinterbliebenenrente. Aber anschließend erhält der hinterbliebene Ehepartner, der erwerbstätig oder Rentner ist, 50% der Rente des Verstorbenen (d.h. 35% der Rente, die der Verstorbene erhielt oder auf die er Anspruch hatte).</t>
  </si>
  <si>
    <t>Kumulation möglich:
   * zum vollen Satz mit Familienbeihilfen;
   * zum halben Satz mit Mutterschaftsgeld bzw. Adoptionsgeld (Maternity and Adoptive Benefit) oder Beihilfe für Pflegepersonen (Carer's Allowance).</t>
  </si>
  <si>
    <t>Die Kumulierung mit anderen Leistungen der sozialen Sicherung ist möglich. In den ersten sechs Monaten nach dem Tod eines Ehepartners werden Hinterbliebenenleistungen als fester einkommensunabhängiger Betrag gezahlt und nicht gekürzt. Für eine über diesen Zeitraum hinausgehende Verlängerung wird die finanzielle Situation und das Einkommen des Antragstellers einer Beurteilung unterzogen.</t>
  </si>
  <si>
    <t>Im Fall von Unterstützungsbeihilfe oder einer Entschädigung in Verbindung mit Arbeitsunfällen gelten keine spezifischen Bedingungen hinsichtlich der Kumulierung der Leistungen.</t>
  </si>
  <si>
    <t>Kumulierung mit Leistungen aus anderen Bereichen der Sozialversicherung:
Kumulierung möglich mit Kindergeld und Sozialhilfeleistungen sowie mit Beihilfe bei körperlicher Schädigung (novčana naknada za tjelesno oštećenje).
Das monatliche Nettoeinkommen pro Haushaltsmitglied sollte im Falle von Kumulierung mit Kindergeld €309 nicht übersteigen und im Falle von Kumulierung mit Beihilfe zur Betreuung und Pflege €133 (€166 für eine alleinstehende Person).
Es ist möglich, Altersrente, vorgezogene Alterspension und Behindertenrente mit einer Teilhinterbliebenenrente zu kumulieren, sobald der Leistungsempfänger 65 Jahre alt geworden ist. Sie beträgt 27% der Hinterbliebenenrente für ein Familienmitglied. Die Summe aller Renten darf 80% der festgelegten Hinterbliebenenrente nicht übersteigen.
Die Kumulierung mit Beihilfe bei körperlicher Schädigung unterliegt keiner Begrenzung.</t>
  </si>
  <si>
    <t>Kumulierung ohne Bedingungen möglich mit Krankengeld, Elterngeld, Mutterschaftsgeld, Vaterschaftsgeld, Kinderbetreuungsgeld, staatlicher Sozialhilfe bei Behinderung sowie Hinterbliebenenentschädigung (für das andere verstorbene Elternteil). Die Höhe der Hinterbliebenenleistung wird nicht reduziert.
Kumulierung ist nicht möglich mit Invalidenrente, Dienstrente und Arbeitslosengeld.</t>
  </si>
  <si>
    <t>Der Bezug von verschiedenen Leistungen der sozialen Sicherheit ist möglich. Allerdings gibt es Koordinierungsvorschriften, die verhindern, dass die Sozialversicherungsleistungen insgesamt höher sind als der zuvor erzielte und versicherte Verdienst.</t>
  </si>
  <si>
    <t>Alle Leistungen für Hinterbliebene können mit anderen sozialen Leistungen (z.B. Alters- oder Behindertenrente) kumuliert werden.</t>
  </si>
  <si>
    <t>Kumulierung mit anderen Sozialversicherungsleistungen möglich.
Wenn die Hinterbliebenenrente zusammen mit Berufseinkommen, Ersatzeinkommen oder persönlichen Renten eine Obergrenze überschreitet, die dem Referenzbetrag zzgl. 50% entspricht (d.h. €3.918,15 monatlich), wird sie um 30% des Betrags der persönlichen Einkommen gekürzt, mit Ausnahme der Einkommen, die die Differenz zwischen der Hinterbliebenenrente und der genannten Obergrenze darstellen, falls die Hinterbliebenenrente unter dieser Obergrenze liegt.
Diese Obergrenze wird für jedes Kind, das Anspruch auf Anrechnung von Babyjahren oder Erziehungspauschalen hat, um 4% erhöht. Dieser Prozentsatz wird auf 12% für jedes Kind angehoben, das Anspruch auf eine Waisenrente hat.
Von den Erwerbseinkommen oder Ersatzeinkommen aus beruflicher Tätigkeit wird jedoch ein Betrag in Höhe von 2/3 des Referenzbetrags (d.h. €1.741,40 monatlich) nicht berücksichtigt.</t>
  </si>
  <si>
    <t>Kumulation mit Kindergeld (Allowance tat-Tfal) und Leistungen bei Krankheit, Arbeitslosigkeit und Verletzung ist bei Hinterbliebenen möglich, die gleichzeitig erwerbstätig sind und unterhaltsberechtigte Kinder haben, die im gleichen Haushalt leben.</t>
  </si>
  <si>
    <t>Kumulation mit Arbeitseinkommen und anderen Sozialleistungen ist möglich, aber die Leistung kann reduziert werden, abhängig von der Art des Einkommens oder der Sozialleistung und ihrer Höhe.</t>
  </si>
  <si>
    <t>Die Kombination von Bezügen der Anpassungszulage mit anderen Sozialleistungen wie Arbeitslosengeld, Krankengeld und Rehabilitationsleistungen ist möglich. Die Anpassungszulage wird bei einer Kombination mit Erwerbseinkommen jedoch gekürzt. Weitere Bedingungen für die Kumulierung gibt es nicht.</t>
  </si>
  <si>
    <t>Witwen:Witwerrenten können mit anderen Leistungen der sozialen Sicherheit kombiniert werden.
Zur Bestimmung der Höhe der Leistungen siehe Tabelle VII, Kumulation mit Erwerbseinkommen.</t>
  </si>
  <si>
    <t>Ab dem 1. Juli 2025 ist es möglich, die Altersrente mit der Hinterbliebenenrente zu kumulieren. In diesem Fall werden die Renten wie folgt ausgezahlt: 100% der Altersrente und 15% der Hinterbliebenenrente oder umgekehrt, wenn dies günstiger ist (d. h. 15% der Altersrente und 100% der Hinterbliebenenrente).</t>
  </si>
  <si>
    <t>Die Hinterbliebenenrente kann kumuliert werden mit :
   * Renten, die aus beitragsabhängigen Sozialversicherungssystemen oder anderen Systemen der sozialen Absicherung, insbesondere im Ausland, gezahlt werden;
   * Nicht beitragsabhängigen Altersrenten oder mit Invaliden-, Alters- oder Hinterbliebenenrente von Systemen, die dem nicht beitragsabhängigen System weitgehend entsprechen, bis zu einem Mindestbetrag, der für die Invaliden- und Altersrente des allgemeinen Sozialversicherungssystems garantiert wird. Wird dieser Betrag überschritten, wird die im Rahmen des nicht beitragsabhängigen Systems gezahlte Rente entsprechend gekürzt.
Wird eine Hinterbliebenenrente des allgemeinen Systems mit einer im Rahmen der Absicherung gegen Arbeitsunfälle und Berufskrankheiten gezahlten Rente kumuliert, so wird die Hinterbliebenenrente des allgemeinen Systems nur entsprechend dem Betrag angepasst, der den Betrag der Rente im Bereich des Schutzes gegen Berufskrankheiten übersteigt.</t>
  </si>
  <si>
    <t>Kumulation mit Sozialhilfeleistungen und Geldleistungen bei Pflegebedürftigkeit ist unter den Bedingungen dieses Systems erlaubt. Kumulation mit einer anderen Pensionskategorie und Arbeitslosengeld ist nicht erlaubt.
Im Fall einer Kumulation kommt es zu keiner Reduktion der Rentenansprüche.</t>
  </si>
  <si>
    <t>Der Bezug der Anpassungsrente (omställningspension) kann mit allen anderen Sozialleistungen kombiniert werden, ohne dass die Anpassungsrente gekürzt wird.
Der Bezug von Witwenrente (änkepension) mit anderen Altersleistungen ist möglich, die Witwenrente wird in bestimmten Fällen jedoch gekürzt.</t>
  </si>
  <si>
    <t>1. Säule (Grundsystem):
Keine Kumulation mit einer Alters- oder Invalidenrente der 1. Säule erlaubt (es sei denn, die Witwen- oder Witwerrente ist höher). Kumulation mit den anderen Leistungen erlaubt, ohne Kürzung der Rente.
2. Säule (obligatorische Mindestvorsorge):
Kumulation mit anderen Leistungen der sozialen Sicherheit erlaubt. Kürzung der Leistungen soweit sie zusammen mit anderen Leistungen gleicher Art und Zweckbestimmung sowie weiteren anrechenbaren Einkünften 90% des mutmaßlich entgangenen Jahresverdienstes übersteigen.</t>
  </si>
  <si>
    <t>Kumulation mit anderen Leistungen ist möglich, es können aber andere Bedingungen Anwendung finden, z.B.:
   * Kumulation der Altersrente: die höhere Leistung ist fällig zuzüglich der Hälfte der niedrigeren Leistung;
   * Kumulation mit der Rente für Dienstjahre als Soldat mit anderen Bedingungen ist möglich.</t>
  </si>
  <si>
    <t>Eine Kumulierung mit anderen Leistungen ist nicht möglich.</t>
  </si>
  <si>
    <t>Witwen-/Witwerrenten können mit Alters- oder dauerhafter Erwerbsunfähigkeitsrente kumuliert werden, wenn darauf Anspruch besteht. Die Summe der Leistungen darf jedoch den Höchstrentenbetrag (€3.267,60 monatlich) nicht übersteigen.
Waisen mit Behinderung, erwerbsunfähige Waisen und Waisen mit Anspruch auf Waisengeld, die später einen Anspruch auf eine Sozialleistung erlangen, der aus derselben Behinderung abgeleitet ist, müssen sich für eine der Leistungen entscheiden.
Wurde die Waise vor dem 18. Lebensjahr als erwerbsunfähig deklariert, kann das Waisengeld mit Ansprüchen auf andere dauerhafte Erwerbsunfähigkeitsrenten kumuliert werden, die nach dem Erreichen des 18. Lebensjahrs in Folge anderer Verletzungen als derer, die den Anspruch auf Waisenrente begründeten, kumuliert werden oder, falls zutreffend, mit der Altersrente.</t>
  </si>
  <si>
    <t>Bei Anspruch auf Altersrente und eine Hinterbliebenenrente (Witwer-, Witwen- oder Halbwaisen-/Waisenrente) wird der volle Betrag der höchsten Rente sowie die Hälfte des Prozentualen Anteils (Procentní část) der anderen Rente gezahlt.
Kumulation mit anderen Sozialleistungen möglich: Der Rentenbetrag wird nicht reduziert und im Rentengesetz sind keine Kumulationsbedingungen festgelegt.</t>
  </si>
  <si>
    <t>Witwen- bzw. Witwerrente (Özvegyi nyugdíj): Kumulierung ist möglich mit einer eigenen Leistung (d.h. Invaliditätsleistung (Rokkantsági ellátás), Rehabilitationsleistung (Rehabilitációs ellátás), Altersrente (Öregségi nyugdíj), Leistung vor dem Rentenalter (Korhatár előtti ellátás), Leistungen für das Militär (Szolgálati járandóság), Leibrente für Tanzkünstler (Táncművészeti életjáradék) oder Übergangsrente für Bergleute (Átmeneti bányászjáradék). In diesem Fall beträgt die Witwen-/Witwerrente 30% der Rente des Verstorbenen.
Waisenrente (Árvaellátás): Kumulierung mit anderen Sozialleistungen ist möglich. Der Rentenbetrag wird nicht reduziert.
Elternrente (Szülői nyugdíj): Kumulierung mit anderen Sozialleistungen ist möglich. Der Rentenbetrag wird nicht reduziert.</t>
  </si>
  <si>
    <t>Kumulierung mit anderen Sozialversicherungsleistungen ist möglich (bei einem Witwer muss dieser arbeitsunfähig sein, um einen Anspruch zu haben).
Bezieher einer vorgezogenen Rente, die weiter erwerbstätig sind, haben bis zur Vollendung des 65. Lebensjahres Sozialversicherungsbeiträge zu entrichten.</t>
  </si>
  <si>
    <t>Die Leistungen unterliegen der Besteuerung.</t>
  </si>
  <si>
    <t>Die Leistungen unterliegen nicht der Besteuerung.</t>
  </si>
  <si>
    <t>Zusatzrente (arbejdsmarkedets tillægspension, ATP) und obligatorisches Rentensystem (Obligatorisk Pensionsordning):
Bei der Auszahlung von Kapitalabfindungen, auch im Todesfall, wird eine Quellensteuer von 40% einbehalten. Laufende Renten unterliegen der Besteuerung.</t>
  </si>
  <si>
    <t>Schrittweiser Übergang zum System der nachgelagerten Besteuerung (Übergangszeitraum 2005 bis 2058).
Bei Bezug einer Hinterbliebenenrente richtet sich die Höhe des Besteuerungsanteils grundsätzlich nach dem Jahr des Rentenbeginns. Wie bei der Besteuerung von Altersrenten aus der gesetzlichen Rentenversicherung wird die Rente bei Personen, die erstmals bis Ende 2005 eine Rente erhalten haben zu 50% für die Besteuerung (Besteuerungsanteil) herangezogen. Auf dieser Basis wird ein steuerfreier Teil der Rente festgeschrieben, der dem Rentenbezieher jährlich zu gewähren ist. Für jeden neu hinzukommenden Rentenjahrgang wurde der Besteuerungsanteil – auf dessen Grundlage der steuerfreie Teil der Rente ermittelt wird - bis zum Jahr 2020 jährlich um jeweils 2 Prozentpunkte, in 2021 und 2022 um jeweils 1 Prozentpunkt angehoben. Ab 2023 wird er um jeweils 0,5 Prozentpunkte angehoben. Folgt die Hinterbliebenenrente einer Altersrente nach, gilt für die Ermittlung des Besteuerungsanteils als Zeitpunkt des Rentenbeginns grundsätzlich der Beginn der Altersrente.</t>
  </si>
  <si>
    <t>Renten unterliegen der Einkommenssteuer. Ist die Person, die die Rente bezieht, nicht in rentenfähigem Alter, unterliegt Einkommen von weniger als €654 pro Monat (€7.848 pro Jahr) nicht der Besteuerung. Hat der Empfänger der Hinterbliebenenrente das Altersrentenalter erreicht, gelten dieselben Regeln wie für die Altersrente: Steuerfreibetrag von €776 pro Monat (oder €9.312 pro Jahr).</t>
  </si>
  <si>
    <t>Renten unterliegen der Besteuerung.
Gibt es neben der Volksrente (Kansaneläke) kein weiteres Einkommen, bleibt die Rente einkommensteuerfrei.
Wohngeld und Leistungen der Gruppenlebensversicherung unterliegen nicht der Besteuerung.</t>
  </si>
  <si>
    <t>Die Leistungen unterliegen der Steuer.</t>
  </si>
  <si>
    <t>Volksrente (lífeyrir almannatrygginga):
Mit Ausnahme der Kinderrente (barnalífeyrir) unterliegen die Leistungen der Besteuerung.
Arbeitsrente (lögbundnir lífeyrissjóðir):
Die Leistungen unterliegen der Besteuerung.</t>
  </si>
  <si>
    <t>Renten, die vor dem 01.01.1996 gewährt wurden, unterliegen nicht der Besteuerung.
Renten, die nach dem 01.01.1996 gewährt oder neu berechnet wurden, unterliegen der Besteuerung.</t>
  </si>
  <si>
    <t>1.Säule: Hinterlassenenrenten unterliegen der privilegierten Besteuerung (nur ein Teil des Gesamtbetrages wird als steuerbares Einkommen angerechnet).
2. Säule: Hinterlassenenleistungen (Renten und Kapitalleistungen) unterliegen der Besteuerung.</t>
  </si>
  <si>
    <t>Sowohl die Anpassungszulage als auch die Kinderrente unterliegen der Besteuerung.</t>
  </si>
  <si>
    <t>Hinterbliebenenrente (Renta rodzinna) und befristete Hinterbliebenenbeihilfe (Okresowa renta rodzinna): Leistungen unterliegen der Besteuerung.
Pflegezulage (Dodatek pielęgnacyjny) und Bestattungsbeihilfe (Zasiłek pogrzebowy), Zulage für Vollwaisen: Leistungen unterliegen nicht der Besteuerung.</t>
  </si>
  <si>
    <t>Die Hinterbliebenenrente (pensie de urmas): Leistungen unterliegen der Besteuerung, mit Ausnahme derer, die Beziehern von Hinterbliebenenrente mit schweren und hochgradigen Behinderungen gewährt werden.</t>
  </si>
  <si>
    <t>Die Leistungen unterliegen der Besteuerung, ausgenommen hiervon sind die Wohnzulage (bostadstillägg), die Beihilfe für Waisen (efterlevandestöd till barn), die Einkommenshilfe für Ältere (äldreförsörjningsstöd).
Die Kinderrente (barnpension) unterliegt teilweise der Besteuerung.</t>
  </si>
  <si>
    <t>1. Säule (Grundsystem)/ 2. Säule (obligatorische Mindestvorsorge):
Die Renten unterliegen der Besteuerung.</t>
  </si>
  <si>
    <t>Alle Renten und Geldleistungen der Invalidenversicherung unterliegen der Besteuerung.</t>
  </si>
  <si>
    <t>Die Leistungen außer dem Waisengeld unterliegen der Besteuerung.</t>
  </si>
  <si>
    <t>Die Leistungen unterliegen nicht der der Besteuerung.</t>
  </si>
  <si>
    <t>Die Witwenrente (Σύνταξη Χηρείας) unterliegt der Besteuerung. Die übrigen Leistungen (z.B. Waisenrente) unterliegen nicht der Besteuerung.</t>
  </si>
  <si>
    <t>Nicht anwendbar: Die Leistungen unterliegen nicht der Besteuerung.</t>
  </si>
  <si>
    <t>Allgemeine Besteuerungsregeln finden Anwendung. Keine Einkommensgrenzen für die Besteuerung von Leistungen.</t>
  </si>
  <si>
    <t>Besteuerung des steuerpflichtigen Teils (vgl. Tabelle VII, ‘Besteuerung und Sozialabgaben - 1. Besteuerung von Geldleistungen’) der Rente nach allgemeinen Regeln.</t>
  </si>
  <si>
    <t>Besteuerung nach allgemeinen Regeln. Keine Einkommensgrenzen für die Besteuerung von Leistungen.</t>
  </si>
  <si>
    <t>Für Renteneinkommen gelten Steuerfreibeträge:
   * voller Abzug bei einem jährlichen Renteneinkommen unter €11.030;
   * Steuern werden fällig, wenn das jährliche Renteneinkommen über €13.756 liegt;
   * Kein Abzug bei einem jährlichen Renteneinkommen über €48.931.
5,85% Zusatzsteuer auf den Teil des jährlichen Renteneinkommens, der €47.000 überschreitet.</t>
  </si>
  <si>
    <t>Allgemeine Besteuerungsregeln. Hinterbliebenenrente (pension de réversion) und Witwenbeihilfe (allocation veuvage): Abschlag von 10% auf den gesamten Rentenbetrag, mit einer jährlichen Höchstgrenze von €4.399 pro steuerpflichtigem Haushalt.</t>
  </si>
  <si>
    <t>Es gelten allgemeine Regeln der Besteuerung. Ausnahmen für bestimmte Gruppen wie Kriegsversehrte, Kriegsopfer und ihre Familien, Blinde und Querschnittsgelähmte.</t>
  </si>
  <si>
    <t>Besteuerung nach allgemeinen Vorschriften. Keine Sonderregeln für Sozialleistungen.</t>
  </si>
  <si>
    <t>Besteuerung nach allgemeinem Recht. Keine Sonderregeln für Sozialleistungen.</t>
  </si>
  <si>
    <t>Steuerfreibetrag für Rentner, deren Renten, nach dem 01.01.1996 gewährt oder neu berechnet wurden:
Steuerbefreiungsschwelle: €12.000 jährlich seit 01.01.2025.
Zusätzlicher Steuerfreibetrag für Personen mit Behinderung:
   * Gruppen I &amp; II: €1.848 jährlich,
   * Gruppe III: €1.440 jährlich.
Zusätzlicher Steuerfreibetrag für politisch unterdrückte Personen oder Mitglieder der nationalen Widerstandsbewegung (€1.848 jährlich) oder für unterhaltsberechtigte Personen (€3.000 jährlich).</t>
  </si>
  <si>
    <t>1.Säule: Bei den Renten wird ein Freibetrag von 70% gewährt.
2. Säule: Besteuerung nach allgemeinen Regeln. Keine Sonderbestimmungen für Sozialleistungen.</t>
  </si>
  <si>
    <t>Es gelten die allgemeinen Besteuerungsregeln. Keine Einkommensobergrenze für die Besteuerung von Leistungen.</t>
  </si>
  <si>
    <t>Rentner, die zu einem spezifischen Steuersatz für Verheiratete besteuert werden, sind von der Besteuerung der ersten €20.236 der Rente befreit, während jene, für die ein spezifischer Steuersatz für Alleinstehende angewendet wird, von der Besteuerung der ersten €16.636 befreit sind.
Oberhalb der genannten Schwellenwerte gelten allgemeine Regeln der Besteuerung.</t>
  </si>
  <si>
    <t>Besteuerung nach allgemeinen Regeln. Keine Sonderbestimmungen für Sozialleistungen.</t>
  </si>
  <si>
    <t>Für die Anpassungszulage gelten allgemeine Regeln der Besteuerung. Keine Einkommensgrenze für die Besteuerung von Leistungen.
Kinderrente wird auf die gleiche Weise besteuert wie Kapitalerträge.</t>
  </si>
  <si>
    <t>Besteuerung nach allgemeinen Regeln. Keine Einkommensgrenzen für die Leistungen.</t>
  </si>
  <si>
    <t>Hinterbliebenenrente (Renta rodzinna) und befristete Hinterbliebenenbeihilfe (Okresowa renta rodzinna):
Es gelten allgemeine Regeln der Besteuerung. Keine besonderen Einkommensgrenzen für die Besteuerung von Leistungen.</t>
  </si>
  <si>
    <t>Der Leistungsbetrag, der RON 3.000 (€590) monatlich übersteigt, unterliegt der Besteuerung.</t>
  </si>
  <si>
    <t>Es gilt die Besteuerung nach allgemeinem Regeln. Keine Einkommensgrenzen bei der Besteuerung von Leistungen.</t>
  </si>
  <si>
    <t>1. Säule (Grundsystem)/ 2. Säule (obligatorische Mindestvorsorge):
Besteuerung nach allgemeinen Regeln. Keine Einkommensgrenzen für die Besteuerung von Leistungen.</t>
  </si>
  <si>
    <t>Nicht anwendbar. Leistungen unterliegen nicht der Besteuerung.</t>
  </si>
  <si>
    <t>Es gelten allgemeine Regeln der Besteuerung. Keine Einkommensgrenze für die Besteuerung von Leistungen.</t>
  </si>
  <si>
    <t>Besteuerung nach allgemeinen Regeln, keine besonderen Steuerfreibeträge für Renten.</t>
  </si>
  <si>
    <t>Abzug von 3,55% für die Kranken- und Invaliditätsversicherung, sofern die Rente nicht unter einen Betrag von monatlich € 2.414,97 bzw. - für Personen ohne Unterhaltsberechtigte - unter € 2.037,72 sinkt.
Solidaritätsbeitrag (cotisation de solidarité/solidariteitsbijdrage) im Rentensektor von 0,5% bis 2% je nach Unterhaltsverpflichtungen und dem Bruttobetrag sämtlicher gesetzlichen und sonstigen Renten. Der Solidaritätsbeitrag ist ab € 3.729,35 (Haushalt) oder € 3.225,74 (Alleinstehende) zu zahlen.</t>
  </si>
  <si>
    <t>Der Krankenversicherungsbeitragsanteil für pflichtversicherte Rentner beträgt 7,3% (Hälfte des allgemeinen Beitragssatzes der gesetzlichen Krankenversicherung von 14,6 Prozent). Den verbleibenden Beitragsanteil von 7,3% zahlt der Rentenversicherungsträger. Je nach Krankenkasse ist ein individueller Zusatzbeitrag zu zahlen, der ebenfalls paritätisch vom Rentenversicherungsträger und dem pflichtversicherten Rentner getragen wird.
Der Pflegeversicherungsbeitrag beträgt 3,4% von der Rente und ist vom Rentner zu zahlen. Ab 1940 geborene kinderlose Rentner zahlen ab Vollendung des 23. Lebensjahres zusätzlich einen Zuschlag von 0,6 Prozentpunkten, also insgesamt 4 % der Rente.
Die Waisenrentner sind unter bestimmten Voraussetzungen von der Beitragszahlung der GKV und GPV befreit.</t>
  </si>
  <si>
    <t>Krankenversicherung (Sairausvakuutus/ Sairaanhoitovakuutus):
Der Versichertenbeitrag beträgt 1,45% von Renten und anderen Sozialleistungen mit der Ausnahme von Renten, die nicht steuerpflichtig sind oder einer Rentenkürzung unterliegen.</t>
  </si>
  <si>
    <t>Allgemeiner Sozialbeitrag (contribution sociale généralisée, CSG) entsprechend dem zu versteuernden Referenzeinkommen: 8,3%, 6,6% oder 3,8% oder Befreiung; Beitrag zur Tilgung der Sozialschuld (contribution pour le remboursement de la dette sociale, CRDS): 0,5% oder Befreiung; zusätzlicher Solidaritätsbeitrag für eigenständige Lebensführung (contribution additionnelle de solidarité pour l’autonomie, Casa): 0,3% oder Befreiung.
Einzig auf die Zusatzrenten (Agirc-Arrco) wird ein Krankenversicherungsbeitrag von 1% erhoben.</t>
  </si>
  <si>
    <t xml:space="preserve">
   * 6% der Hauptrente für Gesundheitsversorgung, nach Abzug des sozialen Solidaritätsbeitrags für Rentenempfänger.
   * sozialer Solidaritätsbeitrag für Rentenempfänger (ΕΙΣΦΟΡΑ ΑΛΛΗΛΕΓΓΥΗΣ ΣΥΝΤΑΞΙΟΥΧΩΝ, ΕΑΣ) wird auf monatliche Renten erhoben, die €1.433,61 übersteigen.
Spezifische Kategorien von Rentnern sind von den oben genannten Beiträgen ausgenommen, z.B. Rentner mit Anspruch auf Leistungen für nicht-stationäre Pflege (ΕΞΩΙΔΡΥΜΑΤΙΚΟ ΕΠΙΔΟΜΑ).
Siehe Tabelle V „Invalidität“, „Besteuerung und Sozialabgaben, Sozialabgaben von der Rente“ für nähere Informationen.</t>
  </si>
  <si>
    <t>Keine Beiträge zu zahlen.</t>
  </si>
  <si>
    <t>Keine zahlbaren Sozialabgaben.</t>
  </si>
  <si>
    <t>Keine Beitragszahlungen.</t>
  </si>
  <si>
    <t>Beiträge für die Sachleistungen bei Krankheit (2,8%) und die Pflegeversicherung (1,4%).</t>
  </si>
  <si>
    <t>Sozialversicherungsbeiträge zum Allgemeinen Hinterbliebenengesetz (Algemene Nabestaandenwet, Anw) werden von der Rente einbehalten.</t>
  </si>
  <si>
    <t>Sozialversicherungssteuer wird auf die Anpassungszulage (7,7%) gezahlt, nicht aber auf die Kinderrente.</t>
  </si>
  <si>
    <t>Ab 1. Juni 2025 Anhebung des Krankenversicherungsbeitrages von 5,1% auf 6,0%.
Ausnahme: Bei Personen, die eine Ausgleichszulage (nicht aber einen Ausgleichszulagenbonus / Rentenbonus) beziehen sowie deren im gemeinsamen Haushalt lebende und im Familienrichtsatz berücksichtigte (Ehe)Partner ist weiterhin ein Krankenversicherungsbeitrag in der Höhe von 5,1% in Abzug zu bringen.</t>
  </si>
  <si>
    <t>Hinterbliebenenrente (Renta rodzinna) und befristete Hinterbliebenenbeihilfe (Okresowa renta rodzinna).
Abzug der Beiträge zur Krankenversicherung.</t>
  </si>
  <si>
    <t>Keine Sozialabgaben zu entrichten.</t>
  </si>
  <si>
    <t>1. Säule (Grundsystem)/2. Säule (obligatorische Mindestvorsorge):
Keine Sozialabgaben.</t>
  </si>
  <si>
    <t>Beitrag von 5,96% für Gesundheitsleistungen und die Erstattung von Reisekosten im Krankheitsfall. Keine Bemessungsgrenze.</t>
  </si>
  <si>
    <t>Keine Beiträge zu bezahlen.</t>
  </si>
  <si>
    <t>Selbstständige sind über ein besonderes System versichert, das sich vom Versicherungssystem für Arbeitnehmer unterscheidet.
Entspricht den Altersleistungen.</t>
  </si>
  <si>
    <t>Selbstständige sind vom allgemeinen System abgedeckt.
Als Selbstständige zählen Freiberufler oder ausgebildete Handwerker, Einzelunternehmer, Unternehmensinhaber oder -partner, Mitglieder rechtsfähiger Vereine, Besteuerte nach Artikel 26(7) des Einkommenssteuergesetzes sowie eingetragene Landwirte und Tabakproduzenten.</t>
  </si>
  <si>
    <t>Gesetzliche einkommensabhängige Rente, Staatliche Rente: Selbstständige und Landwirte sind durch die gleichen Systeme der sozialen Sicherung abgedeckt wie Arbeitnehmer und alle anderen Personen, die ihren dauerhaften Wohnsitz in Finnland haben.</t>
  </si>
  <si>
    <t>Handwerker, Kaufleute und Gewerbetreibenden fallen unter das allgemeine Versicherungssystem (Verwaltung von Leistungen durch die Carsat).
Die freien Berufe sind im Allgemeinen über die Staatliche Kasse für die Altersversicherung (caisse nationale d'assurance vieillesse des professions libérales, CNAVPL) für Hinterbliebenenrenten des Basissystems versichert. Zusatzleistungen werden durch die Berufskategorien der Staatlichen Kasse für die Altersversicherung (caisse nationale d'assurance vieillesse des professions libérales, CNAVPL) verwaltet und unterscheiden sich je nach Branche.
Landwirte fallen unter das landwirtschaftliche Sozialversicherungssystem (mutualité sociale agricole, MSA).</t>
  </si>
  <si>
    <t>Selbstständige können auf der gleichen Basis Anspruch auf Beitragsabhängige Rente für Witwen, Witwer und hinterbliebene Lebenspartner  erwerben wie Arbeitnehmer.</t>
  </si>
  <si>
    <t>Selbständige werden vom allgemeinen Rentensystem (staatliche Rente (lífeyrir almannatrygginga)) und dem beruflichen Rentensystem (Arbeitsrente (lögbundnir lífeyrissjóðir)) ebenso erfasst wie Arbeitnehmer.</t>
  </si>
  <si>
    <t>Sozialschutz für Hinterbliebene ist durch das Sondersystem für Selbstständige, der Allgemeinen Pflichtversicherung (AGO) für traditionelle Selbstständige abgedeckt und durch das gesonderte Rentensystem der sogenannten “Gestione separata” für andere Kategorien von Selbstständigen.</t>
  </si>
  <si>
    <t>Selbstständige sind durch das gleiche allgemeine System wie Arbeitnehmer abgedeckt.</t>
  </si>
  <si>
    <t>Selbstständige und freischaffende Personen sind durch das allgemeine System abgedeckt.</t>
  </si>
  <si>
    <t>Selbstständige werden vom allgemeinen System abgedeckt, das auch Arbeitnehmer abdeckt.</t>
  </si>
  <si>
    <t>Selbstständige sind vom allgemeinen System abgedeckt, welches auch Arbeitnehmer abdeckt.</t>
  </si>
  <si>
    <t>Es gibt unterschiedliche spezifische Systeme für
   * Landwirte (BSVG);
   * Gewerbetreibende und Personen, die auf Grund einer betrieblichen Tätigkeit Einkünfte aus freiberuflicher oder anderer selbstständiger Erwerbstätigkeit (GSVG),
   * weiters auch jene nach dem FSVG Versicherten und freiberuflich tätige Rechtsanwälte</t>
  </si>
  <si>
    <t>Selbstständige
Abgedeckt durch das allgemeine System.
Landwirte
Abgedeckt durch ein besonderes System für alle Landwirte.</t>
  </si>
  <si>
    <t>Selbstständige sind über das allgemeine System versichert, das auch Arbeitnehmern Versicherungsschutz gewährt.</t>
  </si>
  <si>
    <t>Das Versicherungspflichtsystem richtet sich nach dem Ort der Selbstständigkeit.
Entspricht den Altersleistungen.</t>
  </si>
  <si>
    <t>Freiwilliges auf Erwerbstätigkeit beruhendes („Opt-in“) Sozialversicherungssystem.</t>
  </si>
  <si>
    <t>Versicherungs- und arbeitsgebunden.
Rentenversicherungspflichtige Selbstständige: Pflichtmitgliedschaft in der gesetzlichen Rentenversicherung.
Sonstige Selbstständige: Möglichkeit, dem gesetzlichen Rentenversicherungssystem beizutreten (Opt-in), je nach Voraussetzung über eine Versicherungspflicht auf Antrag oder eine freiwillige Versicherung.
Freie Berufe: Pflichtmitgliedschaft in einem berufsständischen Versorgungswerk.
Selbstständige Künstler und Publizisten: Grundsätzlich Versicherungspflicht in der gesetzlichen Rentenversicherung nach dem Künstlersozialversicherungsgesetz.
Landwirte: Pflichtmitgliedschaft, wenn das Unternehmen eine bestimmte Größe erreicht (z. B. 8 ha landwirtschaftliche Fläche oder 75 ha Forst).</t>
  </si>
  <si>
    <t>Gleiche Leistungen wie bei Alter.</t>
  </si>
  <si>
    <t>Gesetzliche einkommensabhängige Rente: Gleiche Bedingungen wie für Altersleistungen.
Staatliche Rente: obligatorisches wohnsitzgebundenes System.</t>
  </si>
  <si>
    <t>Wie für Erwerbsunfähigkeits- und Altersleistungen.
Keine freiwilligen Systeme.</t>
  </si>
  <si>
    <t>Obligatorisches wohnsitz- und versicherungsgebundenes System.</t>
  </si>
  <si>
    <t>Das allgemeine Rentensystem ist universal/wohnsitzabhängig. Das obligatorische berufliche Rentensystem basiert auf Beiträgen.
Beide sind Pflichtsysteme.</t>
  </si>
  <si>
    <t>Das System ist obligatorisch und versicherungsgebunden.</t>
  </si>
  <si>
    <t>Obligatorisches- und arbeitsgebundenes Versicherungssystem.</t>
  </si>
  <si>
    <t>Arbeitsgebundenes Versicherungspflichtsystem.</t>
  </si>
  <si>
    <t>Obligatorisches versicherungsgebundenes System, das alle Personen abdeckt, die in den Niederlanden leben und/oder arbeiten und der Einkommenssteuer unterliegen.</t>
  </si>
  <si>
    <t>Selbständige sind durch ein Versicherungssystem abgedeckt. Das System ist arbeitsgebunden.
Es besteht Pflichtmitgliedschaft, bei Wegfall der Versicherungspflicht ist eine freiwillige Weiterversicherung möglich.
Folgende Ausnahmen von der Pflichtversicherung sind hervorzuheben:
BSVG: Wegfall der Versicherungspflicht, wenn der Einheitswert* des Betriebes weniger als €1.500 ist und der Lebensunterhalt nicht überwiegend aus Ertrag des Betriebes bestritten wird.
(* Der Einheitswert ist ein vom Finanzamt für Steuerzwecke festgestellter Wert, der die Ertragsfähigkeit des land- und forstwirtschaftlichen Betriebes ausdrückt.)GSVG: Ausnahmen von der Versicherungspflicht
   * Opting out: Jene Gruppen von Freiberuflern, die in gesetzlichen Interessenvertretungen (Kammern) organisiert sind, haben die Möglichkeit, aus der Pensions- bzw. Krankenversicherung auszutreten, wenn im jeweiligen Versicherungszweig eine gleichartige oder zumindest annähernd gleichwertige Versorgung der Kammermitglieder sichergestellt ist. Diese Möglichkeit besteht auch für die vom FSVG umfassten Berufsgruppen.
   * Ausnahme wegen „geringfügiger“ Einkünfte (gilt für Gewerbetreibende und Inhaber einer Konzession, nicht aber für Gesellschafter); „Kleinunternehmerregelung“: Personen, deren Umsätze €55.000 im Jahr nicht übersteigen sowie deren Einkünfte aus dieser Tätigkeit €6.613,20 (2025) im Jahr nicht übersteigen können die Ausnahme von der GSVG Kranken-, und Pensionsversicherung beantragen wenn sie: 
   * innerhalb der letzten 60 Kalendermonate nicht mehr als zwölf Kalendermonate nach dem GSVG/FSVG pflichtversichert waren oder
   * das Regelpensionsalter erreicht haben oder
   * das 57. Lebensjahr vollendet haben und innerhalb der letzten fünf Kalenderjahre vor Antragstellung die oben genannte Umsatz- bzw. Einkommensgrenze nicht überschritten haben.
Nichterreichen der Versicherungsgrenze: Als Freiberufler oder Neuer Selbständiger fällt man nur dann unter die Pflichtversicherung, wenn die versicherungspflichtigen Erwerbseinkünfte über einer bestimmten Grenze liegen. Die Versicherungsgrenze beträgt im Kalenderjahr 2025 €6.613,20, dies unabhängig davon, ob neben der selbständigen Erwerbstätigkeit auch andere Jobs ausgeübt oder Einkommen aus anderen Quellen bezogen werden.
Bei den oben beschriebenen Ausnahmen von der Pflichtversicherung besteht in gewissen Fällen die Möglichkeit einer freiwilligen Teilnahme an der Pensionsversicherung.</t>
  </si>
  <si>
    <t>Wie für Altersleistungen.</t>
  </si>
  <si>
    <t>Pflichtsystem, das aus zwei Teilen besteht:
   * versicherungsgebunden zur Erbringung von einkommensbezogenen Anpassungsrenten für Erwachsene und Kinder auf der Grundlage der Rentenansprüche der verstorbenen Person;
   * steuer- und wohnsitzgebunden zur Erbringung einer Garantierente.</t>
  </si>
  <si>
    <t>1. Säule (Grundsystem):
Versicherungsbasiertes und universelles System, das alle Personen, die in der Schweiz wohnen oder arbeiten, obligatorisch abdeckt.
2. Säule:
Freiwilliges Versicherungssystem für Selbstständige („Opt-in“ System).</t>
  </si>
  <si>
    <t>Wie für Leistungen bei Krankheit.</t>
  </si>
  <si>
    <t>Entspricht den Altersleistungen. Keine besonderen Bedingungen für Selbstständige.</t>
  </si>
  <si>
    <t>Keine spezifischen Voraussetzungen für Selbständige.</t>
  </si>
  <si>
    <t>Gleiche Bedingungen wie für Altersleistungen.</t>
  </si>
  <si>
    <t>Selbstständige müssen mindestens €5.000 pro Jahr durch ihre selbstständige Tätigkeit verdienen, um zur Zahlung von Sozialbeiträgen verpflichtet zu sein.</t>
  </si>
  <si>
    <t>Selbstständige, die im gesonderten Rentensystem gemeldet sind, können Beiträge in das System einzahlen, vorausgesetzt, dass ihr jährliches Arbeitseinkommen €5.000 übersteigt.</t>
  </si>
  <si>
    <t>Keine besonderen Anspruchsbedingungen für Selbstständige.</t>
  </si>
  <si>
    <t>Keine bestimmten Bedingungen: bei Wegfall der Pflichtversicherung ist eine freiwillige Weiterversicherung möglich.
Versicherungsgrenze für „Neue Selbständige“ im GSVG (= jährliche Geringfügigkeitsgrenze nach dem ASVG. Diese liegt 2025 bei €6.613,20).
Mindesteinheitswert* im BSVG (€1.500).
(* Der Einheitswert ist ein vom Finanzamt für Steuerzwecke festgestellter Wert, der die Ertragsfähigkeit des land- und forstwirtschaftlichen Betriebes ausdrückt.)</t>
  </si>
  <si>
    <t>Keine zusätzlichen Anspruchsvoraussetzungen.</t>
  </si>
  <si>
    <t>Keine zusätzlichen Anspruchsvoraussetzungen (gleiche Bedingungen für Arbeitnehmer).</t>
  </si>
  <si>
    <t>Es existiert eine spezifische Regelung für die Hinterbliebenenrenten und die offenen Übergangsbeihilfen beim Tod eines Arbeitnehmers mit gemischter Laufbahn.</t>
  </si>
  <si>
    <t>Kein Unterschied. Selbstständige zahlen Sozialabgaben auf die Summe ihres versicherbaren Einkommens, aber nicht mehr als das versicherbare Höchsteinkommen (BGN 4.130 (€ 2.112)).</t>
  </si>
  <si>
    <t>Selbstständige in der gesetzlichen Rentenversicherung: Werden mehrere selbstständige Tätigkeiten ausgeübt, kann eine Mehrfachversicherungspflicht entstehen. Auch die Kombination Beschäftigungsverhältnis plus Selbstständigkeit kann zur Mehrfachversicherung führen. Die Beiträge an die gesetzliche Rentenversicherung sind dann grundsätzlich aus jeder einzelnen entstandenen Versicherungspflicht zu zahlen, insgesamt jedoch höchstens bis zur Beitragsbemessungsgrenze.
Freie Berufe: Eigenfinanzierte Versorgungswerke: eigenes Beitrags- und Leistungsrecht.
Landwirte: Die Versicherungspflicht für Landwirte und mitarbeitende Familienangehörige in der Alterssicherung der Landwirte bleibt bestehen, wenn diese einer bezahlten Tätigkeit nachgehen, die eine Versicherungspflicht in anderen Sozialversicherungssystemen (zum Beispiel in der allgemeinen Rentenversicherung) auslöst. Sie können jedoch auf Antrag von der Versicherungspflicht in der Alterssicherung der Landwirte befreit werden, solange sie regelmäßig außerland- bzw. forstwirtschaftliches Arbeitsentgelt, Arbeitseinkommen, vergleichbares Einkommen oder Erwerbsersatzeinkommen beziehen, dass jährlich das Zwölffache der Geringfügigkeitsgrenze nach § 8 Absatz 1a des Vierten Buches Sozialgesetzbuch überschreitet.</t>
  </si>
  <si>
    <t>Wenn der verstorbene Versicherte Ansprüche in mehreren Systemen erworben hatte, werden die Rentenzahlungen entsprechend dem Einkommen des überlebenden Ehegatten angepasst.</t>
  </si>
  <si>
    <t>Wie für Erwerbsunfähigkeits- und Altersleistungen.</t>
  </si>
  <si>
    <t>Siehe oben im Abschnitt zu Invalidität – „Kombination von selbstständiger und unselbstständiger Tätigkeit“.</t>
  </si>
  <si>
    <t>Keine unterschiedlichen Vorschriften.
Begrenzung mit der Höchstbeitragsgrundlage (2025: €90.300). Wird die Höchstbeitragsgrundlage (voraussichtlich) überschritten, kommt es zu einer Differenzbeitragsvorschreibung: Dabei gilt die Rangordnung ASVG/B-KUVG vor GSVG/FSVG vor BSVG. Ausgehend von der (den) vorrangigen Beitragsgrundlage(n) wird die nachrangige Beitragsgrundlage vorläufig in einer Höhe festgesetzt, die voraussichtlich das Überschreiten der Höchstbeitragsgrundlage ausschließt; es kommt also von vornherein zu einer (teilweisen) Befreiung von der Beitragspflicht.</t>
  </si>
  <si>
    <t>Selbstständige haben Vollzeit-Versicherungsdeckung, wenn es nicht anders festgelegt ist.
Personen, die als Arbeitnehmer in Teilzeit tätig sind (aber nicht weniger als 4 Wochenstunden) und zur gleichen Zeit als Selbstständige, müssen für die gesamte Versicherungszeit als Selbstständige abgedeckt sein.</t>
  </si>
  <si>
    <t>Personen, die Selbstständigkeit mit bezahlter Arbeit als Arbeitnehmer kombinieren, dürfen mehr als eine Rente beziehen, vorausgesetzt, dass sie alle notwendigen Voraussetzungen jedes Systems erfüllen.Damit Renten aus mehr als einem System bezogen werden können, müssen sich die Beiträge in jedem einzelnen System für mindestens 15 Jahre überschneiden.</t>
  </si>
  <si>
    <t>Eine auf Teilzeitbasis (siehe Tabelle 0, „Grundprinzipien“ für Selbstständige) erwerbstätige selbstständige Person ist für die Rentenversicherung abgedeckt:
   * wenn Einkommen aus Teilzeit-Selbstständigkeit nach Abzug der Ausgaben mindestens dem „maßgebendem Betrag“ (CZK 111.736 (€4.515)) im vorangegangenen Kalenderjahr entspricht, oder;
   * wenn sie freiwillig Mitglied des Rentenversicherungssystems geworden ist.
Eine geringere Mindestbeitragsgrundlage gilt für Vollzeit-Selbstständige: (CZK 5.122 (€207) monatlich). Beiträge werden getrennt für jede versicherte Wirtschaftstätigkeit gezahlt. Eine einzelne Leistung wird auf die Summe des Entgelts aus allen versicherten Wirtschaftstätigkeiten gezahlt.</t>
  </si>
  <si>
    <t>Entspricht den Altersleistungen.</t>
  </si>
  <si>
    <t>Wie für Arbeitnehmer.
Kinder, Ehepartner und Eltern der verstorbenen Person haben Anspruch auf eine Hinterbliebenenrente.
Kinder müssen das 18. Lebensjahr vollendet haben. Sind sie Studenten, erhalten sie die Rente bis zum Abschluss der Ausbildung, jedoch nicht länger als bis zum 26. Lebensjahr, sowie darüber hinaus, wenn die Invalidität vor Vollendung des 18. bzw. 26. Lebensjahres festgestellt wurde.
Der Ehegatte hat Anspruch auf eine Hinterbliebenenrente 5 Jahre vor Erreichen des Rentenalters oder vor diesem Alter, wenn er erwerbsunfähig ist.
Eltern haben das Recht auf eine Hinterbliebenenrente von ihren Kindern, wenn diese das Rentenalter erreicht haben und keine persönliche Rente beziehen.</t>
  </si>
  <si>
    <t>Versicherungspflichtige (einschl. selbstständiger Künstler und Publizisten) und freiwillig versicherte Selbstständige in der gesetzlichen Rentenversicherung: Identisch mit denen für Arbeitnehmer.
Freie Berufe: Eigenfinanzierte Versorgungswerke: Eigenes Beitrags- und Leistungsrecht.
Für Landwirte gilt für Leistungen an Hinterbliebene eine Mindestversicherungszeit von 5 Jahren.</t>
  </si>
  <si>
    <t>Wie für Arbeitnehmer für das Basissystem. Unterschiedliche Bedingungen für die Zusatzsysteme.</t>
  </si>
  <si>
    <t>Zum Erwerb eines Leistungsanspruchs auf beitragsabhängige Rente für Witwen, Witwer und hinterbliebene Lebenspartner sind 260 Wochen (5 Jahre) geleistete Beitragszahlungen erforderlich.</t>
  </si>
  <si>
    <t>Dieselben wir für Arbeitnehmer.</t>
  </si>
  <si>
    <t>Entspricht den Altersleistungen.
Trauerzuschuss für Selbstständige, wenn sie ihre Berufstätigkeit vorübergehend unterbrechen wegen des Todes
   * ihres Ehe- oder Lebenspartners; 
   * ihres biologischen oder adoptierten Kindes, oder des biologischen oder adoptierten Kindes ihres Ehe- oder Lebenspartners; 
   * eines Pflegekindes. 
 Der Zuschuss beträgt höchstens €103,53/Tag und wird längstens für eine Unterbrechung von 10 vollen Tagen im Jahr nach dem Tod gewährt.</t>
  </si>
  <si>
    <t>Versicherungspflichtige (einschl. selbstständiger Künstler und Publizisten) und freiwillig versicherte Selbstständige in der gesetzlichen Rentenversicherung: Dieselben Leistungen wie für Arbeitnehmer.
Freie Berufe: Eigenfinanzierte Versorgungswerke: Eigenes Beitrags- und Leistungsrecht.
Landwirte: Im Gegensatz zu dem allgemeinen System der Rentenversicherung stellt die Alterssicherung der Landwirte nur eine Teilsicherung dar. Der Teilsicherungscharakter der Alterssicherung der Landwirte schlägt sich in der Höhe der Beiträge und im Niveau der Renten nieder.</t>
  </si>
  <si>
    <t>Wie für Arbeitnehmer für das Basissystem.
Für Versorgungsleistungen an Hinterbliebene im Rahmen von Zusatzsystemen gelten folgende Koeffizienten:
   * 60% für Handwerker, Kaufleute und Gewerbetreibende (gleicher Satz wie bei der Zusatzrente AGIRC-ARRCO für Arbeitnehmer);
   * 54% für Landwirte (Zusatzrentenpflichtversicherung (retraite complémentaire obligatoire, RCO) für Hinterbliebene);
   * variable für reglementierte freie Berufe.
Bestimmte freie Berufe haben die Möglichkeit, eine freiwillige Beitragszahlung für den Ehegatten zu leisten, um diesen Satz auf 100% zu erhöhen.</t>
  </si>
  <si>
    <t>Gleiche Leistungen wie für Arbeitnehmer:innen.</t>
  </si>
  <si>
    <t>Entspricht den Altersleistungen.
Gleiches steuerliches System wie für Arbeitnehmer.</t>
  </si>
  <si>
    <t>BSVG und GSVG: Sowohl Pensionen aus der gesetzlichen Sozialversicherung (z.B. von der Pensionsversicherungsanstalt der Arbeiterinnen/Arbeiter, der Angestellten, der Bauern oder der gewerblichen Wirtschaft) als auch Pensionen des Bundes oder der Bundesländer sind Einkünfte aus nicht selbstständiger Arbeit. Sie unterliegen der Einkommensteuer.</t>
  </si>
  <si>
    <t>Gleiche Bedingungen wie für Arbeitnehmer. (Nur hohe Renten, die jährlich CZK 748.800 (€30.257) übersteigen, d.h. das 36-fache des monatlichen Bruttomindestlohnes, unterliegen der Besteuerung).</t>
  </si>
  <si>
    <t>Wie für Arbeitnehmer. Die Hinterbliebenenrente ist steuerpflichtig. Die anderen Leistungen wie Waisenrenten sind nicht steuerpflichtig. </t>
  </si>
  <si>
    <t>Wie für Arbeitnehmer. Leistungen sind nicht beitragspflichtig.</t>
  </si>
  <si>
    <t>Gleiche Bedingungen wie für Arbeitnehmer. Keine Sozialbeiträge auf Leistungen zahlbar.</t>
  </si>
  <si>
    <t>Wie für Arbeitnehmer. Keine Sozialbeiträge auf Leistungen zahlbar.</t>
  </si>
  <si>
    <t>Wie für Arbeitnehmer. Keine Beiträge.</t>
  </si>
  <si>
    <t>Arbeitsunfälle:
Gesetz vom 10. April 1971 über Arbeitsunfälle (Loi sur les accidents du travail/Arbeidsongevallenwet).
Berufskrankheiten:
Königlicher Erlass vom 3. Juni 1970 über die Koordinierung der Vorschriften bezüglich Berufskrankheiten
(Wetten betreffende de preventie van beroepsziekten en de vergoeding van de schade die uit die ziekten voortvloeit, gecoördineerd op 3 juni 1970).
Verzeichnis der Rechtsakte: Moniteur Belge - Belgisch Staatsblad (fgov.be)</t>
  </si>
  <si>
    <t>Sozialgesetzbuch (Кодекс за социално осигуряване) von 1999, Abschnitt 2003 novelliert.
Gesetz über die Krankenversicherung (Закон за здравното осигуряване) von 1998.
Gesundheitsgesetz (Закон за здравето) von 2004.
Gesetz über Arzneimittel (Закон за лекарствените продукти в хуманната медицина) von 2007.
Gesetz über Berufsorganisationen der Ärzte und Zahnärzte (Закон за съсловните организации на лекарите и на лекарите по дентална медицина) von 1998.
Gesetz über den Haushalt der staatlichen Sozialversicherung für das Jahr 2025 (Закон за бюджета на държавното обществено осигуряване за 2025 г.), 2025.
Verordnung über die medizinische Begutachtung (Наредба за медицинската експертиза) von 2017.
Verordnung über das Verfahren zur Meldung, Registrierung und Bestimmung von Berufskrankheiten und für den Widerspruch gegen diesbezügliche Entscheidungen (Наредба за реда за съобщаване, регистриране, потвърждаване, обжалване и отчитане на професионалните болести) von 2008.
Verordnung über die Bestimmung, Untersuchung, Registrierung und Meldung von Arbeitsunfällen (Наредба за установяване, разследване, регистриране и отчитане на трудовите злополуки) von 1999.
Dekret des Ministerrats (Министерски съвет) Nr. 175 vom 16. Juli 2008 zur Genehmigung der Liste über Berufskrankheiten.</t>
  </si>
  <si>
    <t>Konsolidiertes Gesetz über Ausgleich für Arbeiter Nr. 919 vom 25. Juni 2024 (lov om arbejdsskadesikring) mit Änderungen.
Verzeichnis der Rechtsakte: https://www.retsinformation.dk/</t>
  </si>
  <si>
    <t>Sozialgesetzbuch, Siebtes Buch, vom 7. August 1996.
SGB 7 - nichtamtliches Inhaltsverzeichnis (gesetze-im-internet.de)
Sozialgesetzbuch, Neuntes Buch, vom 23. Dezember 2016.
SGB IX - nichtamtliches Inhaltsverzeichnis (gesetze-im-internet.de)</t>
  </si>
  <si>
    <t>Krankenversicherungsgesetz (Ravikindlustuse seadus) 2002.
Gesetz über die staatliche Rentenversicherung (Riikliku pensionikindlustuse seadus) 2001.
Gesetz zur Arbeitsfähigkeitsbeihilfe (Töövõimetoetuse seadus) 2014
Gesetz über Vertragsrecht (Võlaõigusseadus) 2001.
Gesetz über Gesundheitsschutz und Sicherheit am Arbeitsplatz (Töötervishoiu ja tööohutuse seadus) 1999.
Verzeichnis der Rechtsakte – siehe hier.</t>
  </si>
  <si>
    <t>Arbeitsunfallgesetz (Työtapaturma- ja ammattitautilaki) vom 24. April 2015.
Gesetz über Berufsunfälle, Verletzungen und Krankheiten von Landwirten (Maatalousyrittäjän työtapaturma- ja ammattitautilaki) vom 7. August 2015.
Verzeichnis der Rechtsakte: https://www.finlex.fi/en/</t>
  </si>
  <si>
    <t>Sozialgesetzbuch (Code de la sécurité sociale), Buch IV. Artikel L 411-1 und ff.
Ferner bestehen besondere Sicherungssysteme, insbesondere für die Landwirtschaft.
Verzeichnis der Rechtsakte: https://www.legifrance.gouv.fr/codes/texte_lc/LEGITEXT000006073189/</t>
  </si>
  <si>
    <t>Es gibt keine eigenständige Versicherung gegen Arbeitsunfälle und Berufskrankheiten. Diese Risiken sind durch die Kranken-, Invaliditäts- und Hinterbliebenenversicherungssysteme gedeckt.
Verzeichnis der Rechtsakte: https://search.et.gr/el/</t>
  </si>
  <si>
    <t>Zusammenfassendes Gesetz über die soziale Sicherheit (Social Welfare Consolidation Act) von 2005.
Verordnungen über die soziale Sicherheit (Zusammenfassende Arbeitsunfälle) (Social Welfare (Consolidated Occupational Injuries) Regulations) von 2007 (S.I. Nr. 102 von 2007).
Verzeichnis der Rechtsakte – siehe hier.</t>
  </si>
  <si>
    <t>Gesetz über soziale Sicherheit und Arbeitsunfallversicherung (Lög um slysatryggingar almannatrygginga) Nr. 45/2015 vom Juli 2015.
Sozialversicherungsgesetz (Lög um almannatryggingar) Nr. 100/2007 vom Mai 2007.
Sozialhilfegesetz (Lög um félagslega aðstoð) Nr. 99/2007 vom Mai 2007.
Verzeichnis der Rechtsakte – siehe hier.</t>
  </si>
  <si>
    <t>Arbeitsunfälle und Berufskrankheiten:
Verordnung des Präsidenten der Republik (DPR) Nr. 1124 vom 30. Juni 1965 (Decreto 30 Giugno 1965 n. 1124 - Testo unico delle disposizioni per l‘assicurazione obbligatoria contro gli infortuni sul lavoro e le malattie professionali).
Verordnung des Präsidenten der Republik (DPR) Nr. 336 vom 13. April 1994: Aktualisierte Tabellen zu Berufskrankheiten für die Industrie und das landwirtschaftliche Industriegewerbe (Decreto del Presidente della Repubblica n. 336 del 13 Aprile 1994 - Regolamento recante le nuove tabelle delle malattie professionali nel settore dell'industria e dell'agricoltura).
Gesetz Nr. 493 vom 3. Dezember 1999: Unfälle im Haushalt (Legge 3 Dicembre 1999, n 493 - Norme per la tutela della salute nelle abitazioni e istituzione dell'assicurazione contro gli infortuni domestici).
Gesetzgebende Verordnung Nr. 38 vom 23. Februar 2000 (Decreto Legislativo 23 Febbraio 2000, n. 38 - Disposizioni in materia di assicurazione contro gli infortuni sul lavoro e le malattie professionali, a norma dell‘articolo 55, comma 1, della Legge 17 Maggio 1999, n. 144).
Verordnung des Ministeriums vom 12. Juli 2000 über Entschädigung für dauerhafte körperliche Schäden (indennizzo per danno biologico permanente).
Verordnung vom 9. April 2008 über die neue Tabelle der Berufskrankheiten (Decreto - Nuove tabelle delle malattie professionali) geändert durch Verordnung vom 11. Dezember 2009 (Decreto - aggiornamento).
Verordnung vom 10. Juni 2014 mit aktualisierter Tabelle für Berufskrankheiten (Decreto - Nuove tabelle delle malattie professionali).
Gesetz Nr. 208 vom 28. Dezember 2015 über Bestimmungen für die Aufstellung des jährlichen und mehrjährigen Staatshaushalts – Stabilitätsgesetz 2016 veröffentlicht im Amtsblatt der Italienischen Republik Nr. 300, am 29. Dezember 2014, ordentliches Supplement Nr. 70 (GU Serie Generale n.302 del 30-12-2015) (Disposizioni per la formazione del bilancio annuale e pluriennale dello Stato).
Gesetz Nr. 145 vom 30. Dezember 2018 über den vorläufigen Staatshaushalt für das Finanzjahr 2019 und den mehrjährigen Haushalt für die Jahre 2019-2021 – Haushaltsgesetz 2018 - veröffentlicht im Amtsblatt der Italienischen Republik Nr. 302 vom 31. Dezember 2018 – ordentliches Supplement Nr. 62/L (Bilancio di previsione dello Stato per l'anno finanziario 2019 e bilancio pluriennale per il triennio 2019-2021).
Gesetz gemäß Verordnung Nr. 45 vom 23. April 2019 -aktualisierte Referenztabellen zur Gewährung von Barentschädigung bezüglich körperlichen Schadens für den Zeitraum 2019 – 2021 (Decreto Ministeriale del Ministero del Lavoro e delle Politiche Sociali del 23 aprile 2019, n. 45 – aggiornamento tabelle relative all’indennizzo del danno biologico in capitale valide per triennio 2019 – 2021).
Verordnung des Ministeriums vom 13. November 2019 über häusliche Unfälle: „Bestimmungen für die Durchführung von Artikel 1, Paragraph 534, Haushaltsgesetz vom 30. Dezember 2018, Nr. 145” (Disposizioni per la formazione del bilancio annuale e pluriennale dello Stato).
Gesetzesdekret vom 25. Mai 2021 Nr. 106 (Art. 66, Paragraphen 5, 5-bis, 5-ter) über Bestimmungen zu Sozialschutz und Unterstützung im Unterhaltungssektor. Verlängerung der Versicherungspflicht gegen Arbeitsunfälle und Berufskrankheiten von Mitarbeitern der Opern-sinfonischen Stiftungen – wirksam seit 1. Januar 2022.
Verordnung des Ministeriums vom 9. Juni 2022 Nr. 106 über die jährliche Anpassung von Geldleistungen, gewährt im Zusammenhang mit Arbeitsunfällen und Berufskrankheiten im Industriesektor und der Binnenschiffahrt. Wirksam seit 1. Juli 2022.
Verordnung des Ministeriums vom 15. Juni 2022 Nr. 108, gewährt im Zusammenhang mit Arbeitsunfällen und Berufskrankheiten im Landwirtschaftssektor. Wirksam seit 1. Juli 2022.
Verordnung des Ministeriums Nr. 143 vom 2. August 2022 (Decreto del Ministero del lavoro e delle politiche sociali 2 agosto 2022 n.143. Rivalutazione degli importi degli indennizzi per danno biologico con decorrenza dal 1° luglio 2022).
Verordnung des Ministers für Arbeit und Sozialpolitik im Einverständnis mit dem Minister für Wirtschaft und Finanzen vom 6. September 2022: (Decreto del Ministro del lavoro e delle politiche sociali di concerto con il Ministro dell’economia e delle finanze 6 settembre 2022: Approvazione della deliberazione del Consiglio di amministrazione dell’Inail n. 157 del 26 luglio 2022 concernente la revisione dei premi speciali unitari per l’assicurazione di facchini, barrocciai vetturini ippotrasportatori, pescatori, addetti ai frantoi, candidati all’emigrazione sottoposti a prova d’arte, allievi dei corsi di FP, soggetti impegnati in attività di volontariato, percettori di Rdc coinvolti in PUC.)
Gesetzgebende Verordnung Nr. 163 vom 5. Oktober 2022 (Decreto legislativo 5 ottobre 2022, n. 163. Disposizioni integrative e correttive del decreto legislativo 28 febbraio 2021, n. 36, in attuazione dell'articolo 5 della legge 8 agosto 2019, n. 86, recante riordino e riforma delle disposizioni in materia di enti sportivi professionistici e dilettantistici, nonché' di lavoro sportivo. Estensione della tutela Inail ai lavoratori sportivi titolari di contratti di collaborazione coordinata e continuativa.)
Gesetz Nr. 197 vom 29. Dezember 2022 (Haushaltsgesetz 2023): (Legge 29 dicembre 2022, n. 197 (c.d. legge di bilancio 2023). Art. 1, comma 293, della citata legge, che ha modificato la legge 30 dicembre 2020, n.178, art.1, commi 356 e 357, in materia di benefici economici per i soggetti esposti all’amianto).
Verordnung des Ministeriums vom 21. Juni 2023 Nr. 88 über die jährliche Anpassung von Geldleistungen bei Arbeitsunfällen und Berufskrankheiten im Landwirtschaftssektor. (Decreto del Ministro del lavoro e delle politiche sociali, 21 giugno 2023, n. 88, concernente la rivalutazione, con decorrenza 1° luglio 2023, delle prestazioni economiche per infortunio sul lavoro e malattia professionale nel settore agricoltura).
Verordnung des Ministeriums vom 21. Juni 2023 Nr. 89 über die jährliche Anpassung von Geldleistungen bei Arbeitsunfällen und Berufskrankheiten im Industrie- und Navigationssektor. (Decreto Ministro del lavoro e delle politiche sociali 21 giugno 2023, n. 89 concernente la rivalutazione delle prestazioni economiche per infortunio sul lavoro e malattia professionale per i settori industria e navigazione con decorrenza dal 1° luglio 2023. Art. 1, comma 1: minimale e massimale di rendita dal 1° luglio 2023).
Gesetz Nr. 85 vom 3. Juli 2023 (decreto-legge 4 maggio 2023, n. 48, convertito, con modificazioni, dalla legge 3 luglio 2023, n. 85. Art. 18 - (Estensione della tutela assicurativa degli studenti e del personale del sistema nazionale di istruzione e formazione, della formazione terziaria professionalizzante e della formazione superiore esclusivamente per l'anno scolastico e per l'anno accademico 2023-2024)
Verordnung des Ministeriums Nr. 105 vom 2. August 2023 (Decreto del Ministro del lavoro e delle politiche sociali 2 agosto 2023, n. 105, concernente la rivalutazione, con decorrenza 1° luglio 2023, degli importi degli indennizzi del danno biologico)
Verordnung des Ministers für Arbeit und Sozialpolitik im Einverständnis mit dem Gesundheitsminister vom 10. Oktober 2023 über die neuen Aufstellungen von Berufskrankheiten im Industrie- und Landwirtschaftssektor  - (Decreto 10 ottobre 2023 del Ministro del lavoro e delle politiche sociali, di concerto con il Ministro della salute ai sensi dell’articolo 10, comma 3, del decreto legislativo 23 febbraio 2000, n. 38 finalizzato alla revisione delle tabelle malattie professionali nell'industria e nell'agricoltura, di cui agli articoli 3 e 211 decreto del Presidente della Repubblica n. 1124 del 30 giugno 1965).
Verordnung des Arbeitsministers vom 15. November 2023 mit einem Update der Aufstellung von Berufskrankheiten gemäß dem Ministerialerlass vom 10. Juni 2014 - (Decreto 15 novembre 2023 del Ministro del lavoro e delle politiche sociali finalizzato all’aggiornamento dell’elenco delle malattie di cui al decreto ministeriale del 10 giugno 2014, per le quali è obbligatoria la denuncia ai sensi e per gli effetti dell'articolo 139 del Testo Unico approvato con decreto del Presidente della Repubblica 30 giugno 1965, n. 1124).
Gesetzesdekret vom 9. August 2024 Nr.113, verbunden mit dem Umwandlungsgesetz vom 7. Oktober 2024 Nr. 143 über „Dringende Maßnahmen zu Besteuerung, Ausweitung der Rechtsbegriffe und wirtschaftlichen Interventionen“. (Estensione della tutela assicurativa degli studenti e del personale del sistema nazionale di istruzione e formazione, della formazione terziaria professionalizzante e della formazione superiore esclusivamente per l'anno scolastico e per l'anno accademico 2024-2025).
Verordnung des Ministeriums Nr.119 vom 16. Juli 2024 (Decreto del Ministro del lavoro e delle politiche sociali16 luglio 2024, no. 119, concernente la rivalutazione, con decorrenza 1° luglio 2024, degli importi degli indennizzi del danno biologico).
Verordnung des Ministeriums vom 24. April 2025 Nr. 56 bezüglich der jährlichen Anpassung von Geldleistungen im Zusammenhang mit Arbeitsunfällen und Berufskrankheiten im Industrie- und Schifffahrtssektor sowie häuslichen Unfällen. (Decreto del Ministro del lavoro e delle politiche sociali, 24 aprile 2025, n. 56, concernente la rivalutazione, con decorrenza 1° gennaio 2025, delle prestazioni economiche per infortunio sul lavoro e malattia professionale per i settori industria, navigazione ed infortuni in ambito domestico).
Verordnung des Ministeriums vom 24. April 2025 Nr. 57 bezüglich der jährlichen Anpassung von Geldleistungen im Zusammenhang mit Arbeitsunfällen und Berufskrankheiten im Landwirtschaftssektor. (Decreto del Ministro del lavoro e delle politiche sociali, 24 aprile 2025, n. 57, concernente la rivalutazione, con decorrenza 1° gennaio 2025, delle prestazioni economiche per infortunio sul lavoro e malattia professionale nel settore agricoltura).
Verzeichnis der Rechtsakte: https://www.normattiva.it/</t>
  </si>
  <si>
    <t> Kurzfristige Leistungen:
Gesetz über die Pflichtkrankenversicherung (Zakon o obveznom zdravstvenom osiguranju) von 2013, ABl. Nr. 80/13, und Änderungen.
Gesundheitsgesetz (Zakon o zdravstvenoj zaštiti) von 2008, ABl. Nr. 150/08, und Änderungen.
Arbeitsschutzgesetz (Zakon o zaštiti na radu) von 2014, ABl. Nr. 71/14, und Änderungen.
Gesetz über die Liste der Berufskrankheiten (Zakon o listi profesionalnih bolesti) von 2007, ABl. Nr. 107/07.
Gesetz über die obligatorische Gesundheitsüberwachung von Arbeitnehmern mit berufsbedingter Asbestexposition (Zakon o obveznom zdravstvenom nadzoru radnika profesionalno izloženih azbestu) von 2007, ABl. Nr. 79/07, und Änderungen.
Langfristige Leistungen:
1. Säule:
Rentenversicherungsgesetz (Zakon o mirovinskom osiguranju) von 2025, ABl. Nr. 96/25.
Gesetz über die Höchstrente (Zakon o najvišoj mirovini), ABl. Nr. 162/98 und 82/01.
Gesetz über Zulagen zu Renten, die nach dem Rentenversicherungsgesetz erworben wurden (Zakon o dodatku na mirovine ostvarene prema Zakonu o mirovinskom osiguranju) von 2007, ABl. Nr. 79/07, 114/11 und 115/18.
Verordnung zu Beurteilungsmethoden (Uredba o metodologijama vještačenja) von 2023, ABl.Nr. 96/2023.
Gesetz über die Liste der Berufskrankheiten (Zakon o listi profesionalnih bolesti) von 2007, ABl. Nr. 107/07.
2. Säule:
Gesetz über obligatorische Rentenfonds (Zakon o obveznim mirovinskom fondovima) von 2014, ABl. Nr. 19/14 und Änderungen 93/15, 64/18, 115/18 (in Kraft seit dem 20. Mai 2020).
Gesetz über freiwillige Rentenfonds (Zakon o dobrovoljnim mirovinskom fondovima) von 2014, ABl. Nr. 19/14 und Änderung 29/18 und 115/18 (in Kraft seit dem 1. Januar 2019).
Gesetz über Rentenversicherungsunternehmen (Zakon o mirovinskim osiguravajućim društvima), von 2014, ABl. Nr. 22/14 und Änderung 29/18 und 115/18 (in Kraft seit dem 1. Januar 2019).
Verzeichnis der Rechtsakte – siehe hier.</t>
  </si>
  <si>
    <t>Gesetz über die staatliche Sozialversicherung (Likums „Par valsts sociālo apdrošināšanu“) vom 1. Oktober 1997.
Gesetz über die Pflichtversicherung gegen Arbeitsunfälle und Berufskrankheiten (Likums „Par obligāto sociālo apdrošināšanu pret nelaimes gadījumiem darbā un arodslimībām“) vom 2. November 1995.
Gesetz über Staatliche Sozialleistungen (Valsts sociālo pabalstu likums) vom 1. Januar 2003.
Behindertengesetz (Invaliditātes likums) vom 20. Mai 2010.
Verordnung des Ministerkabinetts Nr. 50 bezüglich der Verfahren für die Gewährung und Berechnung von Versicherungsleistungen für die obligatorische Sozialversicherung gegen Arbeitsunfälle und Berufskrankheiten (MK noteikumi Nr.805 “Noteikumi par prognozējamas invaliditātes, invaliditātes un darbspēju zaudējuma noteikšanas kritērijiem, termiņiem un kārtību”) vom 16. Februar 1999.
Verordnung des Ministerkabinetts Nr. 805 bezüglich der Kriterien vorhersehbarer Behinderung, Behinderung und der Ausstellung des Behindertenausweises (MK noteikumi Nr.805 “Prognozējamas invaliditātes, invaliditātes un darbspēju zaudējuma noteikšanas un invaliditāti apliecinoša dokumenta izsniegšanas noteikumi”) vom 23. Dezember 2014.
Verordnung des Ministerkabinetts Nr. 908 bezüglich Verfahren zur Untersuchung und Registrierung von Berufskrankheiten (Ministru kabineta noteikumi Nr.908 ”Arodslimību izmeklēšanas un uzskaites kārtība”) vom 06. November 2006.Verordnung des Ministerkabinetts Nr. 950 zur Untersuchung und Registrierung von Arbeitsunfällen (Ministru kabineta noteikumi Nr.950 “Nelaimes gadījumu darbā izmeklēšanas un uzskaites kārtība”) 25/08/2009. 
Verzeichnis der Rechtsakte: https://likumi.lv/</t>
  </si>
  <si>
    <t>Gesetz über die obligatorische Unfallversicherung (UVersG), LGBl. 1990 Nr. 46.
Rechtsinformationssystem: www.gesetze.li</t>
  </si>
  <si>
    <t>Gesetz über die Sozialversicherung gegen Arbeitsunfälle und Berufskrankheiten (Nelaimingų atsitikimų darbe ir profesinių ligų socialinio draudimo įstatymas) vom 21. Juni 2016 (Nr. XII-2472).
Gesetz über die Grundlagen des Schutzes der Rechte von Menschen  mit Behinderungen (Asmens su negalia teisių apsaugos pagrindų įstatymas) vom 20. Dezember 2022 (Nr. XIV-1722).
Gesetz über die Grundlagen des Schutzes der Rechte von Menschen  mit Behinderungen (( Lietuvos Respublikos asmens su negalia teisių apsaugos pagrindų įstatymas) vom 28. Dezember 2022 (nr XIV-1722).
Gesetz über Unterstützung bei Todesfällen (Paramos mirties atveju įstatymas) vom 9. Juni 2011 (Nr. XI-1435).
Anordnung des Gesundheitsministers vom 29. Dezember (Nr. V-1087) „Zur Genehmigung der Kriterien von berufsbedingten Krankheiten“ (Sveikatos apsaugos ministro įsakymas “Dėl Profesinių ligų nustatymo kriterijų patvirtinimo“) (überarbeitet im Auftrag des Gesundheitsministers vom 3. Januar 2019 (Nr. V-15).
Verzeichnis der Rechtsaktehttps://e-seimas.lrs.lt/.</t>
  </si>
  <si>
    <t>Band II des Gesetzbuches über soziale Sicherheit (Code de la sécurité sociale).
Verzeichnis der Rechtsakte: https://legilux.public.lu/eli/etat/leg/code/securite_sociale/20250101</t>
  </si>
  <si>
    <t>Gesetz über soziale Sicherheit (Att dwar is-Sigurtà Soċjali) (Kap. 318).
Gesetz über die Förderung von Gesundheit und Sicherheit am Arbeitsplatz (Att dwar il-promozzjoni ghas-Sahha u s- Sigurtà fuq il-Post tax-Xoghol) (Kap. 367).
Verzeichnis der Rechtsakte: https://legislation.mt/Legislation.</t>
  </si>
  <si>
    <t>In den Niederlanden besteht keine besondere Versicherung gegen Arbeitsunfälle und Berufskrankheiten. Diese Risiken sind durch die Krankenversicherung (Sach- und Geldleistungen), Arbeitsunfähigkeitsversicherung (Invalidität) und Hinterbliebenenversicherung gedeckt.</t>
  </si>
  <si>
    <t>Volksversicherungsgesetz (folketrygdloven) vom 28. Februar 1997, Kapitel 13.
Gesetz über die Versicherung gegen Arbeitsunfälle (yrkesskadeforsikringsloven) vom 16. Juni 1989.
Verzeichnis der Rechtsakte – siehe hier.</t>
  </si>
  <si>
    <t>Allgemeines Sozialversicherungsgesetz vom 9. September 1955 (ASVG).
Beamten-Kranken- und Unfallversicherungsgesetz vom 31. Mai 1967 (B-KUVG).
Bauern-Sozialversicherungsgesetz vom 11.Oktober 1978 (BSVG)
Rechtsinformationssystem: https://www.ris.bka.gv.at</t>
  </si>
  <si>
    <t>Gesetz über die Sozialversicherung gegen Arbeitsunfälle und die Versicherung gegen Berufskrankheiten (Ustawa o ubezpieczeniu społecznym z tytułu wypadków przy pracy i chorób zawodowych) vom 30. Oktober 2002.
Arbeitsgesetzbuch (Kodeks pracy) vom 24. Juni 1974.
Regierungsbeschluss vom 30. Juni 2009 über Berufskrankheiten (Rozporządzenie Rady Ministrów z dnia 30 czerwca 2009 r. w sprawie chorób zawodowych).
Verzeichnis der Rechtsakte – siehe https://isap.sejm.gov.pl/.</t>
  </si>
  <si>
    <t>Rechtsordnung Nr. 159/99 vom 11. Mai 1999 über Arbeitsunfälle von Selbstständigen (Decreto-Lei nº 259/99, de 11/5, versão consolidada, Seguro obrigatório de Acidentes de trabalho para os trabalhadores independentes)), geändert.
Rechtsordnung Nr. 352/2007 vom 23. Oktober 2007 über die staatliche Skala zur Arbeitsunfähigkeit durch Arbeitsunfälle und Berufskrankheiten (Decreto-Lei nº 352/2007, de 23/10, versão consolidada, Tabela Nacional de Incapacidades por Acidentes de Trabalho e Doenças Profissionais), geändert.
Durchführungsverordnung Nr. 76/2007 vom 17. Juli 2007 über die Liste der Berufskrankheiten (Decreto Regulamentar nº 76/2007, de 17/7, Lista de doenças profissionais).
Gesetz Nr. 7/2009 vom 12. Februar 2009 über das Arbeitsgesetzbuch (Lei nº 7/2009, de 12/7, versão consolidada, Código do Trabalho), mehrfach geändert.
Gesetz Nr. 98/2009 vom 4. September 2009 über Arbeitsunfälle und Berufskrankheiten, einschließlich beruflicher Rehabilitation und Wiedereingliederung (Lei nº 98/2009, de 4/9, versão consolidada, Regulamenta o regime de reparação de acidentes de trabalho e de doenças profissionais, incluindo a reabilitação e reintegração profissionais), geändert.
Verzeichnis der Rechtsakte - siehe hier.</t>
  </si>
  <si>
    <t>Gesetz Nr. 346 vom 5. Juni 2002 über den Versicherungsschutz bei Arbeitsunfällen und Berufskrankheiten (Legea privind asigurarea pentru accidente de munca şi boli profesionale) mit späteren Änderungen.
Gesetz Nr. 319 vom 11. Oktober 2006 über Sicherheit und Gesundheit am Arbeitsplatz (Legea securitatii si sanatatii in munca), mit späteren Änderungen.
Gesetz Nr. 360 vom 16. Dezember 2023 über das einheitliche System der gesetzlichen Renten (Legea privind sistemul unitar de pensii publice), mit späteren Änderungen.
Verzeichnis der Rechtsakte: https://legislatie.just.ro/Public/Acasa</t>
  </si>
  <si>
    <t>Sozialgesetzbuch (Socialförsäkringsbalk) von 2010, Abschnitt C, Kapitel 38-42.
Verzeichnis der Rechtsakte: Socialförsäkringsbalk (2010:110) | Sveriges riksdag</t>
  </si>
  <si>
    <t>Bundesgesetz vom 20. März 1981 über die Unfallversicherung (UVG).
Bundesgesetz vom 6. Oktober 2000 über den Allgemeinen Teil des Sozialversicherungsrechts (ATSG).
Publikationsplattform des Bundesrechts: https://www.fedlex.admin.ch/fr/cc/internal-law/83</t>
  </si>
  <si>
    <t>Sozialversicherungsgesetz (Zákon o sociálnom poistení) Nr. 461/2003.
Gesetz über Lohnfortzahlung bei Arbeitsunfähigkeit des Arbeitnehmers (Zákon o náhrade príjmu pri dočasnej pracovnej neschopnosti zamestnanca) Nr. 462/2003.
Einkommensteuergesetz (Zákon o dani z príjmu) Nr. 595/2003.
Arbeitsgesetzbuch (Zákonník práce), Gesetz Nr. 311/2001.
Gesetz über Schmerzensgeld und den Ausgleich für die Minderung sozialer Chancen (Zákon o náhrade za bolesť a náhrade za sťaženie spoločenského uplatnenia) Nr. 437/2004.
Gesetz über Sicherheit und Gesundheitsschutz am Arbeitsplatz (Zákon o bezpečnosti a ochrane zdravia pri práci) Nr. 124/2006.
Dekret Nr. 392/2006 über Mindeststandards im Arbeitsschutz für den Einsatz von Arbeitsmitteln.
Dekret Nr. 391/2006 über Mindeststandards im Arbeitsschutz für Arbeitsstätten.
Verordnung des Ministeriums für Gesundheit Nr. 500/2006 über die Einführung einer Mustervorlage zur Meldung von Arbeitsunfällen.
Gesetz über den Schutz, die Unterstützung und Entwicklung der öffentlichen Gesundheit (Zákon o ochrane, podpore a rozvoji verejného zdravia) Nr. 355/2007.
Verzeichnis der Rechtsakte: https://www.slov-lex.sk/pravne-predpisy.</t>
  </si>
  <si>
    <t>Gesetz über die Renten- und Invaliditätsversicherung (Zakon o pokojninskem in invalidskem zavarovanju) (Amtsblatt der Republik Slowenien, Nr. 48/22 in der offiziell konsolidierten Version einschließlich späterer Änderungen).
Gesetz über Sach- und Geldleistungen bei Krankheit (Zakon o zdravstvenem varstvu in zdravstvenem zavarovanju) (Amtsblatt der Republik Slowenien, Nr. 72/2006 – in der offiziell konsolidierten Version einschließlich späterer Änderungen).
Gesetz über Gesundheit und Sicherheit am Arbeitsplatz (Zakon o varnosti in zdravju pri delu) (Amtsblatt der Republik Slowenien, Nr. 43/2011).
Gesetz über die Umsetzung der Haushaltspläne der Republik Slowenien für die Jahre 2025 und 2026 (Zakon o izvrševanju proračunov Republike Slovenije za leti 2025 in 2026) (Amtsblatt der Republik Slowenien, Nr. 104/24 einschließlich späterer Änderungen).
Verzeichnis der Rechtsakte: Pravno-informacijski sistem Republike Slovenije (PISRS)</t>
  </si>
  <si>
    <t>Allgemeines Gesetz über die soziale Sicherheit (Ley General de Seguridad Social) aufgrund des Gesetzgebenden Königlichen Dekret Nr. 8/2015 vom Freitag, 30. Oktober 2015, einschließlich Änderungen.
Arbeitsunfälle:
Neufassung der RechtsRegeln über Arbeitsunfälle durch Verordnung vom 22.6.1956, einschließlich Änderungen.
Berufskrankheiten:
Königliches Dekret Nr. 2609/1982 vom 24.9.1982, einschließlich Änderungen, über die Bewertung und Feststellung von Umständen der Invalidität in der Sozialversicherung (Real Decreto 2609/1982, de 24 de septiembre, sobre evaluación y declaración de las situaciones de invalidez en la Seguridad Social).
Königliches Dekret Nr. 1299/2006 vom 10. 11. 2006 zur Genehmigung der Liste der Berufskrankheiten (Real Decreto 1299/2006, de 10 de noviembre, por el que se aprueba el cuadro de enfermedades profesionales).
Verzeichnis der Rechtsakte: https://www.boe.es/buscar/legislacion.php</t>
  </si>
  <si>
    <t>Konsolidiertes Gesetz Nr. 262/2006. Arbeitsgesetzbuch (Zákoník práce).
Konsolidierte Regierungsverordnung Nr. 276/2015.
Konsolidierte Verordnung Nr. 125/1993.
Konsolidierte Regierungsverordnung Nr. 201/2010.
Konsolidierte Regierungsverordnung Nr. 290/1995
Verzeichnis der Rechtsakte: https://www.zakonyprolidi.cz/.</t>
  </si>
  <si>
    <t>Gesetz CXXII von 2019 über Ansprüche auf Leistungen der sozialen Sicherheit und die Finanzierung dieser Leistungen (törvény a társadalombiztosítás ellátásaira jogosultakról, valamint ezen ellátások fedezetéről).
Gesetz LXXXI von 1997 über Renten der Sozialversicherung (törvény a társadalombiztosítási nyugellátásokról) (Arbeitsunfälle).
Gesetz LXXXIII von 1997 über Leistungen der obligatorischen Krankenversicherung (törvény a kötelező egészségbiztosítás ellátásairól) (Berufskrankheiten).
Gesetz CXCI von 2011 über Leistungen für Personen mit veränderter Erwerbsfähigkeit und Änderungen bestimmter Gesetze (törvény a megváltozott munkaképességű személyek ellátásairól).
Verzeichnis der Rechtsakte: https://njt.hu/</t>
  </si>
  <si>
    <t>Sozialversicherungsgesetz (Νομοθεσία Κοινωνικών Ασφαλίσεων) : Nr. 59 (I) /2010 vom 9. Juli 2010-2025.
Durchführungsverordnungen zu den Leistungen der Sozialversicherung.
Durchführungsverordnungen zu den Sozialversicherungsbeiträgen.</t>
  </si>
  <si>
    <t>Das System für Berufsrisiken ist ein Sondersystem in Belgien.
Obligatorisches Sozialversicherungssystem für Arbeitnehmer mit Sachleistungen und entgeltbezogenen Geldleistungen.
Leistungen bei Arbeitsunfällen werden vorwiegend aus Versicherungsprämien der Arbeitgeber, Leistungen bei Berufskrankheiten überwiegend aus Beiträgen finanziert.</t>
  </si>
  <si>
    <t>Beitragsfinanziertes Sozialversicherungssystem mit entgeltbezogenen Leistungen für Erwerbstätige.
Für nicht durch die Arbeit hervorgerufene Erwerbsunfähigkeit gibt es ein gesondertes System. Es gibt keine Unterscheidung zwischen arbeitsbedingtem und nicht-arbeitsbedingtem Versterben.
Zusätzliches privates Versicherungssystem für Personen, die unter gefährlichen Bedingungen arbeiten.</t>
  </si>
  <si>
    <t>Aus Arbeitgeberbeiträgen finanzierte Pflichtversicherung für alle in Dänemark beschäftigten Arbeitnehmer mit Sachleistungen und einkommensbezogenen Geldleistungen.
Neben Ausgleich für Arbeitsunfälle oder arbeitsbedingte Krankheiten hat der Antragsteller unter Umständen auch Anspruch auf Ausgleich für Einkommensverluste (Krankengeld) und/oder Invaliditätsrente (für weitere Informationen s. Tabelle III „Krankheit – Geldleistungen“ und Tabelle V – „Invalidität“).</t>
  </si>
  <si>
    <t>Beitragsfinanziertes obligatorisches Sozialversicherungssystem für Arbeitnehmer, bestimmte Unternehmer und Selbstständige sowie andere Gruppen mit Sachleistungen und entgeltbezogenen Geldleistungen.</t>
  </si>
  <si>
    <t>Keine eigenständige Versicherung für Arbeitsunfälle und Berufskrankheiten. Diese Risiken sind durch die Krankenversicherung (kurzfristige Geld- und Sachleistungen) und die Rentenversicherung (langfristige Leistungen) gedeckt.
Gesetz über Vertragsrecht (Võlaõigusseadus): Ergänzende Geldleistungen und angemessene zusätzliche Sachleistungen werden vom Arbeitgeber bezahlt, damit der geschädigte Arbeitnehmer sich in einer Situation wiederfindet, die soweit wie möglich der Situation entspricht, in der er sich befinden würde, wenn die Umstände, die die Leistungen verursacht haben, nicht eingetreten wären.</t>
  </si>
  <si>
    <t>Spezielles getrenntes System, welches sowohl Arbeitsunfälle als auch Berufskrankheiten umfasst,
Das System ist sozialversicherungsbasiert und einkommensbezogen.
Es ist obligatorisch und wird aus Prämien und dem Staatshaushalt finanziert mit Sachleistungen und einkommensbezogenen Geldleistungen.</t>
  </si>
  <si>
    <t>Durch Arbeitgeberbeiträge finanziertes obligatorisches Versicherungssystem mit Sachleistungen und entgeltbezogenen Entschädigungen oder Renten.</t>
  </si>
  <si>
    <t>Es gibt keine eigenständige Versicherung gegen Arbeitsunfälle und Berufskrankheiten. Diese Risiken sind durch die Kranken-, Invaliditäts- und Hinterbliebenenversicherungssysteme gedeckt.</t>
  </si>
  <si>
    <t>Beitragsfinanziertes obligatorisches Sozialversicherungssystem für Arbeitnehmer mit Sachleistungen und pauschalen Geldleistungen.</t>
  </si>
  <si>
    <t>Duales System:
   * Aus Steuern, Beiträgen der Arbeitgeber und Selbstständigen und Sonderbeiträgen finanziertes obligatorisches staatliches Unfallversicherungssystem (slysatryggingar almannatrygginga) für alle Erwerbstätigen mit pauschalen Leistungen;
   * Beitragsfinanziertes obligatorisches Arbeitsrentensystem (lögbundnir lífeyrissjóðir) für alle Erwerbstätigen (außer dem öffentlichen Dienst) mit einkommensbezogenen Leistungen, die von den Beiträgen und der Versicherungsdauer abhängen. Für den öffentlichen Dienst gibt es ein Sondersystem mit definierten Leistungen.</t>
  </si>
  <si>
    <t>Das System beruht auf obligatorischer Sozialversicherung für Arbeitnehmer und bestimmte Gruppen von Selbstständigen, finanziert durch Beiträge von Arbeitgebern und Selbstständigen. Es bietet Sach- und einkommensabhängige Geldleistungen.
Leistungen, die im Zusammenhang mit Arbeitsunfällen und Berufskrankheiten gewährt werden, sind Teil eines getrennten Systems.</t>
  </si>
  <si>
    <t>Es gibt keine besondere Versicherung für Arbeitsunfälle und Berufskrankheiten. Diese Risiken werden (mit einigen spezifischen Bestimmungen) von der Rentenversicherung (langfristige Leistungen) und der Krankenversicherung (kurzfristige Leistungen) abgedeckt. Dies sind beitrags- und steuerfinanzierte obligatorische Versicherungssysteme für die aktive Bevölkerung und einige andere Gruppen mit Sachleistungen und einkommensbezogenen Geldleistungen.</t>
  </si>
  <si>
    <t>Beitragsfinanzierte obligatorische Sozialversicherung mit Sachleistungen und entgeltbezogenen Geldleistungen für alle Arbeitnehmer.</t>
  </si>
  <si>
    <t>Eigenständiges System zur Deckung von Nichtberufsunfällen, Berufsunfällen und Berufskrankheiten.
Beitragsfinanziertes obligatorisches Sozialversicherungssystem für Arbeitnehmer mit Sachleistungen und entgeltbezogenen Geldleistungen.</t>
  </si>
  <si>
    <t>Vorwiegend aus Arbeitgeberbeiträgen finanziertes obligatorisches Sozialversicherungssystem für Arbeitnehmer mit entgeltbezogenen Leistungen.</t>
  </si>
  <si>
    <t>Aus Prämien der Arbeitgeber finanziertes obligatorisches Sozialversicherungssystem für die Arbeitnehmer und die Selbstständigen und weitere Gruppen mit Sachleistungen und Geldleistungen, deren Höhe vom erlittenen Schaden und dem Einkommensverlust abhängt.
Die Leistungen fallen unter eine spezifische Regelung.</t>
  </si>
  <si>
    <t>Beitragsfinanziertes gesetzliches Sozialversicherungssystem für alle Arbeitnehmer und Freischaffende mit pauschalen Leistungen, die von in früheren Jahren gezahlten Beiträgen abhängen.
Sachleistungen werden im Rahmen des Nationalen Gesundheitssystems erbracht.</t>
  </si>
  <si>
    <t>Keine besondere Regelung für Arbeitsunfälle und Berufskrankheiten.</t>
  </si>
  <si>
    <t>Volle Kompensation von Einkommenseinbußen und Aufwendungen durch ein duales System:
   * Volles Leistungsspektrum der Volksversicherung (folketrygden) mit einigen günstigeren Bestimmungen (Wegfall der Karenzfrist, keine Pro-rata-Kürzungen, geringere Anforderungen an den Grad der Erwerbsminderung, keine Selbstbeteiligung bei Gesundheitsleistungen usw.);
   * Zusätzliche obligatorische Arbeitsunfallversicherung (yrkesskadeforsikring), die von privaten Versicherungsgesellschaften getragen wird, mit individuellen Ausgleichszahlungen oder pauschalen Entschädigungen zur Kompensation weitergehender Einkommensverluste und Aufwendungen, die nicht vom Volksversicherungssystem übernommen werden.
Beide Sicherungssysteme umfassen auch den Ersatz immateriellen Schadens (ménerstatning).
Sowohl der Verletzte als auch der Hinterbliebene können Leistungen unter beiden Systemen anfragen.
Die vom Arbeitgeber zu zahlende Versicherungsprämie für die Arbeitsunfallversicherung deckt auch die Aufwendungen für Leistungen der Volksversicherung bei Arbeitsunfällen. Die Versicherungsgesellschaften zahlen der Volksversicherung eine Erstattung in Höhe von 120% ihrer gesamten eigenen Leistungen.</t>
  </si>
  <si>
    <t>Eigenständiges beitragsfinanziertes obligatorisches Sozialversicherungssystem für Arbeitnehmer:innen, bestimmte Unternehmer:innen und Selbstständige sowie andere Gruppen mit Sachleistungen und entgeltbezogenen Geldleistungen.
Die Beiträge in die Unfallversicherung werden für unselbständig Erwerbstätige von den Arbeitgeber:innen geleistet.</t>
  </si>
  <si>
    <t>Aus Arbeitgeberbeiträgen und Steuern finanziertes obligatorisches Sozialversicherungssystem für Arbeitnehmer und Selbstständige mit Sachleistungen und einkommensbezogenen Geldleistungen.
Die Person erhält zunächst für eine Höchstdauer von 182 Tagen das Krankengeld (zasiłek chorobowy), das vom Versicherungssystem für Arbeitsunfälle und Berufskrankheiten gezahlt wird, und anschließend die Arbeitsunfallrente (Renta z tytułu wypadku przy pracy) oder die Berufskrankheitsrente (Renta z tytułu choroby zawodowej), wenn die Erwerbsunfähigkeit fortbesteht.</t>
  </si>
  <si>
    <t>Arbeitsunfälle:
Durch Versicherungsprämien (zulasten von Arbeitgebern und Selbstständigen) finanzierte private Pflichtversicherung.
(Sachleistungen und Geldleistungen werden nach den gleichen Grundsätzen wie für Berufskrankheiten geregelt).
Berufskrankheiten:
Obligatorische Sozialversicherung mit Sachleistungen und entgeltbezogenen Geldleistungen für Arbeitnehmer und Selbstständige.</t>
  </si>
  <si>
    <t>Obligatorisches Sozialversicherungssystem, finanziert durch Arbeitgeberbeiträge, das Geld- und Sachleistungen erbringt.
Zusätzlich werden langfristige Geld-leistungen vom allgemeinen Rentensystem (siehe Tabellen V „Invalidität“ und VII „Hinterbliebene“) erbracht.</t>
  </si>
  <si>
    <t>Getrenntes, hauptsächlich beitragsfinanziertes obligatorisches Sozialversicherungssystem für Arbeitnehmer und Selbstständige mit hauptsächlich entgeltbezogenen Geldleistungen.</t>
  </si>
  <si>
    <t>Beitragsfinanzierte obligatorische Versicherung für Arbeitnehmer, die Sachleistungen und entgeldbezogene Geldleistungen bei Berufsunfall, Nichtberufsunfall und Berufskrankheit gewährt.</t>
  </si>
  <si>
    <t>Aus Arbeitgeberbeiträgen finanziertes obligatorisches Versicherungssystem mit einkommensabhängigen Geldleistungen, basierend auf dem Prinzip der Einkommenssicherung (zu mindestens 80%). Anfüllende Geldleistungen bei Leistungen im Krankheitsfall, bei Invalidität und für Hinterbliebene. Sachleistungen werden vom Krankenversicherungssystem übernommen.</t>
  </si>
  <si>
    <t>Es gibt kein besonderes System gegen Arbeitsunfälle und Berufskrankheiten, aber diese Risiken sind durch das obligatorische Gesundheitssystem (Gewährung von Sachleistungen und entgeltbezogenen Leistungen für vorübergehende Erwerbsunfähigkeit) und die obligatorischen Alters- und Invaliditätssysteme (Gewährung von entgeltbezogenen Leistungen für dauernde Erwerbsunfähigkeit) gedeckt.
Beide Systeme sind beitragsfinanziert und decken Arbeitnehmer und Selbstständige sowie gleichgestellte Gruppen.</t>
  </si>
  <si>
    <t>Kein gesondertes System zur Deckung des Risikos von Arbeitsunfällen und Berufskrankheiten. Deckung im Rahmen des Systems der allgemeinen Regelung (Krankheit und Invalidität).
Das System der allgemeinen Regelung ist ein obligatorisches, sozialversicherungsbasiertes, beitragsfinanziertes Pflichtsystem für Arbeitnehmer und Gleichgestellte mit Sachleistungen und entgeltbezogenen Geldleistungen.
Kein eigenständiges System zur Deckung von Arbeitsunfällen und Berufskrankheiten.
Sondersystem für Selbstständige (siehe den Abschnitt der MISSOC-Databank zum Sozialschutz von Selbstständigen).
Das Sicherungssystem gewährt Leistungen bei vorübergehender Erwerbsunfähigkeit, dauernde Erwerbsunfähigkeit und Tod, die/der durch einen Arbeitsunfall oder eine Berufskrankheit verursacht wurde.
Schwangerschaftsgeld bei besonderen Risiken (riesgo durante el embarazo) und Leistung bei besonderen Risiken stillender Mütter (riesgo durante la lactancia) werden immer als durch professionelle Umstände verursacht angesehen.</t>
  </si>
  <si>
    <t>Aus Arbeitgeberbeiträgen finanzierte obligatorische Haftpflichtversicherung für Arbeitnehmer und bestimmte Gruppen (z. B. Rentner und Schüler) mit Sachleistungen und einkommensbezogenen Geldleistungen.</t>
  </si>
  <si>
    <t>Keine eigenständige Versicherung für Arbeitsunfälle und Berufskrankheiten. Diese Risiken sind durch die Kranken-, Invaliditäts- und Hinterbliebenenversicherung gedeckt. Dies sind durch Beiträge und Steuern finanzierte Pflichtversicherungen für Arbeitnehmer und Selbständige und einige andere Gruppen, mit Sachleistungen und einkommensabhängigen Geldleistungen.
Im Rahmen des Versicherungssystems für Krankheit, Invalidität und Hinterbliebene gelten keine spezifischen Bestimmungen für Arbeitsunfälle und Berufskrankheiten.</t>
  </si>
  <si>
    <t xml:space="preserve">   Definition</t>
  </si>
  <si>
    <t>Unfall, der während und infolge der Ausführung des Arbeitsvertrags auftritt und eine Verletzung hervorruft.
Fahrten vom Arbeitsplatz nach Hause sowie andere ähnliche Fahrten sind gedeckt, auch für den Heimarbeiter, um an Kursen teilzunehmen, Kinder in der Schule oder Kindertagesstätte abzuholen, Mahlzeiten einzunehmen usw.</t>
  </si>
  <si>
    <t>Alle während der Arbeit oder in Zusammenhang mit einer im Interesse eines Unternehmens ausgeführten Arbeit plötzlich auftretende Verletzungen, die zu Erwerbsunfähigkeit oder Tod führen.
Weg von und zur Arbeit.
Dies gilt auch für Unfälle, die sich zwischen der Wohnung und dem Ort der Mahlzeitaufnahme oder dem Ort der Lohnauszahlung ereignen.</t>
  </si>
  <si>
    <t>Als Arbeitsunfall gilt eine Verletzung, die durch einen Unfall (einschließlich Terroranschläge) oder durch schädliche Einwirkungen bei der Arbeit oder aufgrund der Arbeitsbedingungen plötzlich oder innerhalb von 5 Tagen auftritt. Die Verletzung kann körperlich oder geistig bzw. dauerhaft oder vorübergehend sein. Es ist nicht erforderlich, dass die Verletzung medizinisch behandelt werden muss oder behandelt wurde.
Grundsätzlich nicht gedeckt sind Fahrten zum und vom Arbeitsplatz mit einigen Ausnahmen.
Termine außerhalb des Betriebsgeländes des Arbeitgebers sind gedeckt, solange es sich um geschäftliche Termine handelt. Verletzungen im Zusammenhang mit Heimarbeit sind gedeckt, wenn die Verletzung im Rahmen der Erwerbstätigkeit entstanden ist.</t>
  </si>
  <si>
    <t>Unfälle im Unternehmen und/oder in ursächlichem Zusammenhang mit der Tätigkeit aufgrund eines Beschäftigungsverhältnisses oder einer anderen versicherten Tätigkeit.
Wegunfälle: gedeckt.</t>
  </si>
  <si>
    <t>Ein Arbeitsunfall ist ein Ereignis, das zu einem physischen oder geistigen Schaden oder dem Tod eines Arbeitnehmers führt, während dieser seine Arbeit während der Arbeitszeit ausübt (oder während der Pausenzeit, die als Teil der Arbeitszeit gilt) oder bei allen anderen Aktivitäten, die im Interesse des Arbeitgebers ausgeführt wurden.
Fahrten von und zur Arbeit sind nicht gedeckt.
Besuche außerhalb des Betriebsgeländes und Arbeit von Zuhause sind abgedeckt.</t>
  </si>
  <si>
    <t>Arbeitsunfälle sind abgedeckt. Ein Unfall, der bei der Arbeit im Arbeitsbereich erfolgt ist. Einige besonderen Umstände außerhalb des Arbeitsbereichs sind auch abgedeckt.
Wegeunfälle sind gedeckt. Auch Wege von und zur Arbeit sowie berufsbedingte Reisen, Besuche bei Örtlichkeiten außerhalb des Betriebsgeländes und Heimarbeit sind abgedeckt.</t>
  </si>
  <si>
    <t>Jeder Unfall gleich aus welcher Ursache aufgrund oder im Zusammenhang mit der Beschäftigung.
Gedeckte Wegeunfälle: vom Wohnsitz zum Arbeitsplatz und vom Arbeitsplatz zum üblichen Ort der Verpflegung.
Unfälle zu Hause während der Telearbeit sind gedeckt.</t>
  </si>
  <si>
    <t>Unfälle, die infolge und während der Arbeit passieren.
Wegeunfälle von und zur Arbeit sind gedeckt.
Heimarbeit ist nicht gedeckt.</t>
  </si>
  <si>
    <t>Verletzung durch Arbeitsunfall einschließlich der durch einen solchen Unfall verursachten Krankheiten, die während einer versicherungspflichtigen Beschäftigung eingetreten ist.
Fahrten von und zur Arbeit sind abgedeckt.</t>
  </si>
  <si>
    <t>Unfälle, die sich während der Arbeit ereignen, eingeschlossen Wege von und zur Arbeit, der Ausbildung, Schulung, bei Rettungs- und Bergungsaktionen, jeglicher Form von Sport und sportlichem Training, Sportvorführungen und sportlichen Wettkämpfen. ‘Unfall’ bezieht sich auf ein plötzliches unerwartetes äußeres Ereignis, das eine Körperverletzung beim Versicherten verursacht.</t>
  </si>
  <si>
    <t>Unfall am Arbeitsplatz aufgrund einer gewaltsamen Einwirkung in Zusammenhang mit dem Risiko, das die Arbeitsausführung beinhaltet, und folgendem Ergebnis:
   * Tod oder dauernde (teilweise oder vollständige) Erwerbsunfähigkeit;
   * Vorübergehende vollständige Erwerbsunfähigkeit von mehr als drei Tagen.
Die versicherte Person ist abgedeckt für Unfälle, die sich entweder auf dem Weg zur/von der Arbeit ereigneten oder während berufsbedingten Reisen zu Standorten außerhalb der Geschäftsräume des Arbeitgebers. Unfälle, die sich während der Heimarbeit ereignen, sind nicht abgedeckt.</t>
  </si>
  <si>
    <t>Körperverletzung oder Krankheit durch Arbeitsunfall als direkte Folge der Erwerbstätigkeit oder während der beruflichen Rehabilitation.
Fahretn von und zur Arbeit sind abgedeckt.</t>
  </si>
  <si>
    <t>Gesundheitlicher Schaden des Versicherten, unabhängig davon ob dieser zu dessen Tod führt, sofern die Ursache dieses Schadens ein außergewöhnlicher Vorfall ist, der sich während eines Arbeitstages (Schicht) ereignet hat:
   * während der Ausübung von Arbeitstätigkeiten, oder
   * während des Aufenthaltes am Arbeitsplatz beim Versuch, eine Person oder Eigentum zu retten und eine drohende Gefahr für diese abzuwenden.
Wegeunfälle von und zur Arbeit sind nicht gedeckt, es sei denn bei der Nutzung von Fahrzeugen des Arbeitgebers auf direktem Weg von oder zur Arbeit oder zwischen Schichten. Die Erfüllung von beruflichen oder offiziellen Pflichten außerhalb eines Unternehmens oder außerhalb der festgelegten Arbeitszeit einschließlich auf Ge-schäftsreisen oder bei der Heimarbeit ist abgedeckt.</t>
  </si>
  <si>
    <t>Arbeitsunfälle:
   * Unfälle bei Arbeiten, die der Versicherte auf Anordnung des Arbeitgebers oder in dessen Interesse ausführt.
   * Unfälle während der Arbeitspausen sowie vor und nach der Arbeit, wenn sich der Versicherte befugterweise auf der Arbeitsstätte oder im Bereich der mit seiner beruflichen Tätigkeit zusammenhängenden Gefahren aufhält.
Nichtberufsunfälle (d.h. arbeitsbedingte Unfälle, die gesetzlich nicht als Arbeitsunfälle definiert sind):
   * Gedeckt für Arbeitnehmer, deren wöchentliche Arbeitszeit bei einem Arbeitgeber mindestens 8 Stunden beträgt.
   * Nicht gedeckt für Arbeitnehmer, deren wöchentliche Arbeitszeit bei einem Arbeitgeber weniger als 8 Stunden beträgt.
Wegunfälle: Gedeckt.
Bei Teilzeitbeschäftigten mit einem wöchentlichen Pensum von weniger als 8 Stunden, gelten Unfälle auf dem Arbeitsweg als Berufsunfälle (für Arbeitnehmer, deren wöchentliche Arbeitszeit bei einem Arbeitgeber mindestens 8 Stunden beträgt, gelten Unfälle auf dem Arbeitsweg als Nichtberufsunfälle).</t>
  </si>
  <si>
    <t>Unfall im Zusammenhang mit der Arbeit, einschließlich Unfälle von oder zur Arbeit, der einen teilweisen oder vollständigen Verlust funktioneller Fähigkeiten oder den Tod der verletzten Person verursacht.</t>
  </si>
  <si>
    <t>Unfälle der versicherten Person, die sich zwischen Arbeitsplatz und dem Ort der Mahlzeiteinnahme ereignen, sind ebenfalls gedeckt.
Abgedeckt sind auch Wegeunfälle (Unfälle, die dem Versicherten auf dem Weg zur und von der Arbeit zustoßen, d.h. zwischen seiner Wohnung und seinem Arbeitsplatz oder zwischen seinem Arbeitsplatz und dem Ort, an dem er gewöhnlich seine Mahlzeiten einnimmt), Unfälle bei der Arbeit zu Hause (Telearbeit), Reisen im Zusammenhang mit der beruflichen Tätigkeit, Besuche im Rahmen der beruflichen Tätigkeit an Orten, die sich außerhalb der Räumlichkeiten des Arbeitgebers befinden.</t>
  </si>
  <si>
    <t>Verletzung oder Krankheit, die während und als Folge eines Unfalls in der Erwerbstätigkeit oder Selbstständigkeit aufgetreten ist.
Versicherungsschutz besteht für Arbeitnehmer auf dem Weg von und zur Arbeitsstelle in jedem Fahrzeug (einschließlich Schiff, Boot oder Flugzeug), das unmittelbar von ihrem Arbeitgeber zur Verfügung gestellt oder bezahlt wurde und überall innerhalb des Firmengeländes und den Geschäftsräumen oder dort, wo sie üblicherweise beschäftigt oder freischaffend tätig sind. Heimarbeit ist nicht abgedeckt.</t>
  </si>
  <si>
    <t>Verletzung, Krankheit oder Tod aufgrund einer plötzlichen oder unerwarteten äußeren Einwirkung während der Ausübung der Arbeit oder durch ein konkretes zeitlich begrenztes äußeres Ereignis, das zu einer für die Arbeit ungewöhnlichen Belastung führt.
Fahrten von und zur Arbeit sind nicht gedeckt, mit Ausnahme von Fahrten auf Veranlassung des Arbeitgebers oder solche mit einem erheblichen Anstieg des Unfallrisikos.</t>
  </si>
  <si>
    <t>Arbeitsunfälle sind Unfälle im örtlichen, zeitlichen und ursächlichen Zusammenhang mit der Beschäftigung.
Arbeitsunfälle sind auch Unfälle, die sich im zeitlichen und ursächlichen Zusammenhang mit der die Versicherung begründenden Beschäftigung in der Wohnung (Telearbeit) ereignen.
Neben dem Arbeitsunfall direkt bei der Ausübung der beruflichen Tätigkeit, gelten auch weitere im Gesetz aufgezählte Unfälle, auf Grund des unmittelbaren Zusammenhangs mit der beruflichen Tätigkeit, als Arbeitsunfall, z.B. Unfall am Arbeitsweg und auf bestimmten anderen Wegen, bei der Befriedigung lebensnotwendiger Bedürfnisse.
Auch unter Unfallversicherungsschutz stehen bestimmte im Gesetz genannte „gleichgestellte“ Unfälle, die sich bei besonders schützenswerten Tätigkeiten ereignen z.B. Unfälle bei der individuellen oder organisierten Hilfeleistung.</t>
  </si>
  <si>
    <t>Ein Arbeitsunfall wird als ein plötzliches Ereignis definiert, das durch einen außenstehenden Umstand verursacht wurde, eine Verletzung oder Tod zur Folge hat und im Zusammenhang mit folgenden Tätigkeiten auftrat:
   * bei Arbeiten im Rahmen oder im Zusammenhang mit der Ausführung der normalen Aufgaben eines Arbeitnehmers oder der Anfrage eines Vorgesetzten;
   * bei Arbeiten im Rahmen oder im Zusammenhang mit der Ausführung von Aufgaben eines Arbeitnehmers im Auftrag des Arbeitgebers auch ohne Anfrage eines Vorgesetzten;
   * beim Arbeiten, während der Arbeitnehmer dem Arbeitgeber zur Verfügung steht auf dem Weg zwischen den Einrichtungen des Arbeitgebers und dem Ort der Arbeitsdurchführung, der sich aus dem Arbeitsverhältnis ergibt.
Fahrten im Zusammenhang mit der Arbeit, Besuche von Standorten außerhalb der Räumlichkeiten des Arbeitgebers sowie Heimarbeit sind abgedeckt.
Farten von und zur Arbeit sind nicht abgedeckt (abgedeckt durch die Invaliditätsversicherung).</t>
  </si>
  <si>
    <t>Ein Unfall am Arbeitsplatz und während der Arbeitszeit, der unmittelbar oder mittelbar eine Körperverletzung, eine funktionelle Störung oder eine Krankheit mit nachfolgendem Tod oder teilweiser oder vollständiger Minderung der Arbeits- bzw. Erwerbsfähigkeit verursacht.
Der Versicherte ist auch für andere Reisen gedeckt, z. B.:
   * bei mehreren Arbeitgebern auch zwischen den Arbeitsplätzen;
   * zwischen dem ständigen oder zeitweiligen Wohnsitz und dem Arbeitsplatz;
   * zwischen den unter b) genannten Orten und dem Ort der Gehaltsauszahlung;
   * zwischen den unter b) genannten Orten und dem Ort, an dem Hilfe geleistet wird, oder an dem die Behandlung als Folge eines vorangegangenen Unfalls durchgeführt wird;
   * zwischen dem Arbeitsplatz und dem Ort, an dem der Arbeiter seine Mahlzeit einnimmt;
   * zwischen dem Ort, an dem der Arbeiter nach Anweisung des Arbeitgebers seine auf seine Tätigkeiten bezogenen Aufgaben ausführt und dem gewöhnlichen Arbeitsplatz oder beruflichen Wohnsitz;
   * am Arbeitsplatz, der im Vertrag über die Telearbeit im Fall von Tele- oder Fernarbeit angegeben ist.</t>
  </si>
  <si>
    <t>Gewaltsame Körperverletzung und akute Vergiftungen während des Arbeitsprozesses oder während der Ausführung von Arbeitspflichten, die zu einer vorübergehenden Arbeitsunfähigkeit von mindestens drei Kalendertagen, Invalidität oder Tod führen.
Fahrten (d.h. Fahrten von und zur Arbeit, in Zusammenhang mit der Arbeit, Besuche bei Örtlichkeiten außerhalb des Betriebsgeländes des Arbeitgebers) und Heimarbeit sind abgedeckt.</t>
  </si>
  <si>
    <t>Ein Arbeitsunfall ist eine Verletzung resultierend von einem Unfall am Arbeitsplatz, inklusive von Unfällen, die auf dem nötigen Weg zur und von der Arbeit passieren. Um eine Verletzung als Resultat eines solchen Unfalls zu betrachten muss es stärkere Gründe für diese Annahme geben, als dagegen.
Andere Fahrten, die in Zusammenhang mit der Arbeit stehen oder Teil der Arbeit ausmachen, sind ebenfalls gedeckt, wie z. B. die Hin- und Rückfahrt zu einem Arzt zum Zwecke von medizinischen Untersuchungen in Zusammenhang mit einem Arbeitsunfall oder Hin- und Rückweg zu der Kindertagesstätte (um die Kinder dort hinzubringen oder abzuholen) vor oder nach der Arbeit.
Unfälle, die während der Heimarbeit passieren, sind ebenfalls gedeckt, vorausgesetzt, dass die Verletzung in engem Zusammenhang mit der Arbeit steht.</t>
  </si>
  <si>
    <t xml:space="preserve">
   * Unfälle, die dem Versicherten zustoßen bei Arbeiten, die er auf Anordnung des Arbeitgebers oder in dessen Interesse ausführt.
   * Unfälle, die während einer Arbeitspause oder vor oder nach der Arbeit eintreten, wenn der Versicherte sich auf der Arbeitsstätte oder im Bereich der mit seiner beruflichen Tätigkeit zusammenhängenden Gefahren aufhält.
Arbeitsweg und Heimarbeit gedeckt.</t>
  </si>
  <si>
    <t>Verletzung oder Tod, die während der Ausführung arbeitsbezogener Aufgaben eintraten, einschließlich Heimarbeit.
Wege von und zur Arbeit sind nicht abgedeckt.</t>
  </si>
  <si>
    <t>Arbeitsunfälle, die als Folge von oder während der Arbeit auftreten.
Fahtren von und zur Arbeit sind nicht gedeckt.</t>
  </si>
  <si>
    <t>Jede Körperverletzung, die der Arbeitnehmer infolge oder während der von ihm für Rechnung eines Dritten ausgeübten Arbeit erleidet, und alle Krankheiten, die nicht als Berufskrankheiten bezeichnet werden und die sich der Arbeitnehmer bei der Ausübung seiner Berufstätigkeit zugezogen hat.
Alle Wege von und zur Arbeit sind gedeckt. Heimarbeit ist ebenfalls gedeckt.</t>
  </si>
  <si>
    <t>Verletzung, Krankheit oder Tod als Folge von Arbeit oder Tätigkeiten im direkten Zusammenhang mit Arbeit.
Fahrten von und zur Arbeit sind nicht abgedeckt.
Heimarbeit, Verletzungen, zu denen es auf Dienstreisen oder bei Besuchen von Örtlichkeiten außerhalb des Betriebsgeländes des Arbeitgebers kam, sind nur abgedeckt, wenn die Verletzung eine direkte Folge der Arbeit oder Tätigkeiten war, die in direktem Zusammenhang mit der Arbeit stehen. Eine Fortbildung der Arbeitnehmer, die vom Arbeitgeber oder der Gewerkschaft organisiert wurde wäre ein Beispiel für eine Tätigkeit, die in direktem Zusammenhang mit der Arbeit steht.</t>
  </si>
  <si>
    <t>Verletzungen, zu denen es bei der Ausübung des Berufs der versicherten Person kommt oder Arbeitsunfälle, die bei ehrenamtlicher Arbeit oder bei Nutzung bestimmter sozialer Leistungen (z.B. in Zusammenhang mit medizinischen Untersuchungen zur Feststellung einer Invalidität) auftreten, sind ebenfalls gedeckt.
Fahrtwege sind gedeckt. Heimarbeit ist ebenfalls gedeckt.</t>
  </si>
  <si>
    <t>Vorübergehende Arbeitsunfähigkeit, Verlust von physischen oder mentalen Fähigkeiten oder Tod eines Arbeitnehmers oder Selbstständigen durch einen Unfall während der Arbeit.
Als Arbeitsunfall gilt ein Unfall, der sich aufgrund und während der Beschäftigung ereignet hat, auch wenn der Arbeitnehmer oder der Selbstständige gegen ein bestimmtes Gesetz oder eine Vorschrift oder, im Falle des Arbeitnehmers, eine Anweisung des Arbeitgebers gehandelt hat.
Unfälle, die sich auf dem Weg zur und von der Arbeit ereignen, gelten im Fall von Selbstständigen nur als Arbeitsunfall, wenn die Art der angebotenen Dienstleistungen Reisen nötig macht. Verlässt der Arbeitnehmer die Arbeit während der Arbeitszeit aus Gründen, die nicht mit der Arbeit zusammenhängen, gilt ein Unfall nicht als Arbeitsunfall.
Ereignet sich ein Unfall eines Arbeitnehmers oder eines Selbstständigen an seinem Arbeitsplatz, während er auf einen Notfall reagiert oder versucht, in Gefahr befindliche Personen zu retten oder ihnen zu helfen, gilt dies als Arbeitsunfall.</t>
  </si>
  <si>
    <t>Gemischtes System: Koexistenz von Listen- und Nicht-Listensystemen (auch „offenes System“ genannt).
Liste der Berufskrankheiten und offenes System bzw. außerhalb der Liste, falls der Beruf ausschlaggebende und direkte Krankheitsursache ist. Der Nachweis der Risikoexposition und des ursächlichen Zusammenhangs zwischen Berufsausübung und Krankheit muss von dem Betroffenen bzw. den anspruchsberechtigten Angehörigen erbracht werden.
Vervollständigte Liste nach Stellungnahme des Verwaltungsausschusses für Berufskrankheiten von Fedris, auf Empfehlung der Kommissionen für Berufskrankheiten und dem wissenschaftlichen Rat.</t>
  </si>
  <si>
    <t>Gemischtes System: Es gibt eine Liste mit Krankheiten, die hauptsächlich oder ausschließlich durch schädliche Faktoren im Arbeitsumfeld verursacht werden. Weitere Krankheiten können als Berufskrankheiten anerkannt werden, wenn nachgewiesen wird, dass sie durch die regulären Arbeitsaktivitäten ausgelöst wurden und zu dauerhafter Erwerbsunfähigkeit oder zum Tode führen. Jede Verschlimmerung oder verzögert auftretende Krankheit ist ebenfalls abgedeckt.
Die Liste mit Krankheiten wird durch den Ministerrat genehmigt.</t>
  </si>
  <si>
    <t>Gemischtes System:
(i) Offizielle Liste der Krankheiten, die – gemäß ärztlicher Dokumentation – durch spezifische Einflüsse hervorgerufen werden, denen bestimmte Personengruppen durch ihre Arbeit oder Arbeitsbedingungen stärker ausgesetzt sind als Personen, die keine solche Arbeit verrichten. Ferner Berufskrankheiten, die durch die Möglichkeit der Anerkennung eines vor der Geburt geborenen Kindes als Folge der Arbeit der Mutter während der Schwangerschaft hervorgerufen werden.
(ii) Andere Krankheiten (außerhalb der Liste), einschließlich Krankheiten bei einem lebendgeborenen Kind, die vor der Geburt entstanden sind und mit der Art der Arbeit zusammenhängen. Diese Krankheiten können als eine Berufskrankheit auf Einzelfallbasis durch die Kommission für Berufskrankheiten (Erhvervssydomsudvalget) anerkannt werden.
Die Liste wird vom dänischen Ministerium für Arbeit nach den Empfehlungen der Kommission für Berufskrankheiten (Erhvervssygdomsudvalget) erstellt und aktualisiert.</t>
  </si>
  <si>
    <t>Liste von derzeit 85 Berufskrankheiten (Anlage 1 der Berufskrankheiten-Verordnung vom 31. Oktober 1997 i.d.F. der 6. BKV-Änderungsverordnung vom 19. Februar 2025).
Mischung aus Listensystem und Nachweissystem.</t>
  </si>
  <si>
    <t>Als Berufskrankheit gilt eine Krankheit, die durch eine Gefährdung im Arbeitsumfeld verursacht wurde, wie in der  Liste der Berufskrankheiten aufgeführt. Die Liste der Berufskrankheiten wird vom für Fragen des Arbeitsumfeldes verantwortlichen Minister erstellt (seit Juli 2024 der Minister für Wirtschaft und Industrie (majandus- ja tööstusminister)).
Sie umfasst Krankheiten und körperliche, physiologische, psychosoziale und chemische Risikofaktoren, die eine Berufskrankheit oder einen Tumor verursachen können.
Mischsystem (bei der eingeführten Liste handelt es sich um eine offene Liste).</t>
  </si>
  <si>
    <t>Krankheiten, die wahrscheinlich primär durch physikalische, chemische oder biologische Faktoren verursacht wurden, die im Zusammenhang mit einer während einer Beschäftigungsperiode ausgeübten Tätigkeit stehen.
Eine Regierungsverordnung (769/2015) beinhaltet die Liste von allgemein anerkannten Berufskrankheiten. Zusätzlich können auch andere Krankheiten als möglicherweise arbeitsbedingt nachgeweisen werden.</t>
  </si>
  <si>
    <t>Eine Berufskrankheit wird angenommen, wenn die Krankheit in der Liste der Berufskrankheiten im Anhang II des Sozialgesetzbuchs (Code de la sécurité sociale) aufgeführt ist. Die Tabellen werden per Erlass erstellt und verändert.
Es besteht die Möglichkeit einer Anerkennung als Berufskrankheit, wenn die Krankheit nicht alle Bedingungen einer Tabelle erfüllt oder in keiner Tabelle erscheint, sofern nachgewiesen ist, dass die Krankheit unmittelbar auf die Ausübung der üblichen Tätigkeit der betroffenen Person zurückzuführen ist (gemischtes System). Die Einleitung einer Untersuchung, um zu prüfen, ob eine nicht in den Tabellen aufgeführte Krankheit durch die Ausübung einer beruflichen Tätigkeit verursacht wurde, erfolgt jedoch nur, wenn die Krankheit den Tod des Versicherten oder eine permanente Arbeitsunfähigkeit von mindestens 25% herbeigeführt hat.</t>
  </si>
  <si>
    <t>Liste der offiziellen Berufskrankheiten im ministeriellen Erlass des Ministeriums für Arbeit und soziale Sicherheit, nach Vorgabe der e-EFKA und der Zentren zur Bestätigung der Erwerbsunfähigkeit (KEPA) (ΚΕΝΤΡΑ ΠΙΣΤΟΠΟΙΗΣΗΣ ΑΝΑΠΗΡΙΑΣ – ΚΕΠΑ), die beide für die Erstellung und Anpassung zuständig sind.
Kein offenes System.</t>
  </si>
  <si>
    <t>Mischsystem.
Die Liste der 56 aufgeführten Krankheiten wird vom Ministerium für Soziale Sicherheit (Department of Social Protection) unterhalten.
Nachweissystem: Infektionen der oberen Atemwege, Dermatitis und Pneumokoniose, die auf Mineralstaub zurückzuführen sind und die nicht in der Liste der Berufskrankheiten aufgenommen sind, müssen als berufsbedingt nachgewiesen werden.</t>
  </si>
  <si>
    <t>Zu den Verletzungen zählen Krankheiten, die durch verursacht werden von giftigen Stoffen, Strahlung oder ähnlichen Umständen, die einige Tage andauern und mit der Beschäftigung zusammenhängen, hervorgerufen werden.
Für versicherte Berufskrankheiten gilt ein Listensystem. Es gibt keine offizielle Liste.</t>
  </si>
  <si>
    <t>Die Berufskrankheit muss:
   * entstanden sein in Bezug zu a) der ausgeführten Arbeit und während deren Ausführung; b) dem Risiko der betreffenden Arbeitsumgebung.
   * in der Liste von Berufskrankheiten für die Industrie und das landwirtschaftliche Industriegewerbe (laut Verordnung des Ministeriums vom 10. Juni 2014 und Verordnung des Ministeriums vom 10. Oktober 2023) aufgeführt sein;
   * als berufsbezogen beurteilt werden, wenn der Antragsteller den Zusammenhang mit seiner/ihrer Beschäftigung nachweisen kann, obwohl sie nicht auf der oben genannten Liste aufgeführt ist.
Das Ministerium für Arbeit und Soziales ist die für die Erstellung und Aktualisierung der Liste der Berufskrankheiten verantwortliche Körperschaft.</t>
  </si>
  <si>
    <t>Sachleistungen:
Liste, die vom Kroatischen Institut für Gesundheits- und Arbeitsschutz (Hrvatski zavod za zašitu zdravlja i sigurnost na radu) geführt wird.
Geldleistungen:
Krankheiten, die durch langfristige Exposition gegenüber bestimmten Arbeitsbedingungen entstanden und in den einschlägigen Rechtsvorschriften aufgelistet sind (Verordnung zu Beurteilungsmethoden mit der Liste körperlicher Schädigungen (Uredba o metodologijama vještačenja s listom tjelesnih oštećenja) von 2023, ABl. Nr.96/, Gesetz über die Liste der Berufskrankheiten (Zakon o listi profesionalnih bolesti) von 2007). Beide Listen werden von der Kroatischen Rentenversicherungsanstalt (Hrvatski zavod za mirovinsko osiguranje) geführt.
Alle Unternehmen sind abgedeckt. Kein Mischsystem.</t>
  </si>
  <si>
    <t>Krankheiten, die von physischen, chemischen, hygienischen, biologischen und psychologischen Faktoren in der Arbeitsumgebung hervorgerufen werden. Die Diagnose wird von einer medizinischen Kommission festgelegt. Die Liste der Berufskrankheiten wird von der Verordnung des Ministerkabinetts Nr. 908 bezüglich Verfahren zur Untersuchung und Registrierung von Berufskrankheiten (Ministru kabineta noteikumi Nr.908 ”Arodslimību izmeklēšanas un uzskaites kārtība”) vom 06. November 2006 festgelegt.
Kein gemischtes System.</t>
  </si>
  <si>
    <t>Als Berufskrankheiten gelten Krankheiten, die bei der beruflichen Tätigkeit ausschließlich oder vorwiegend durch schädigende Stoffe oder bestimmte Arbeiten verursacht worden sind. Es besteht eine Liste der schädigenden Stoffe und der arbeitsbedingten Erkrankungen (Anhang 1 zur Verordnung wird auf Antrag des Amtes für Gesundheit durch die Regierung erlassen).
Mischung aus Listensystem und Nachweissystem: Zusätzliche Anerkennung von anderen Krankheiten, von denen nachgewiesen wird, dass sie ausschließlich oder stark überwiegend durch berufliche Tätigkeit verursacht worden sind.</t>
  </si>
  <si>
    <t>Als Berufskrankheit gilt die Gesundheitsstörung eines Arbeitnehmers aufgrund eines schädigenden Faktors (oder mehrerer Faktoren) im Arbeitsumfeld; beurteilt wird die Berufskrankheit gemäß der hygienischen Einstufung der Arbeitsbedingungen unter Berücksichtigung der Einhaltung von Hygienestandards und Arbeitszeit. Der Begriff der Berufskrankheit beinhaltet auch beruflich bedingte Vergiftungen. Berufskrankheiten umfassen auch komplizierte Krankheitsverläufe, Spätfolgen und indirekte Effekte, die von schädigenden Faktoren im Arbeitsumfeld verursacht wurden.
Liste der Berufskrankheiten (Regierungsverordnung vom 30. November 1994 (überarbeitet am 19. November 2019)).
Das Ministerium für Gesundheit und das Ministerium für soziale Sicherheit und Arbeit teilen sich die Verantwortung.</t>
  </si>
  <si>
    <t>Krankheiten mit dem entscheidenden Ursprung in einer versicherten beruflichen Tätigkeit.
Gemischtes System.
Eine Krankheit wird dann als Berufskrankheit angesehen, wenn diese in der Tabelle über Berufskrankheiten aufgelistet ist und als Folge der Aussetzung eines bestimmten Risikos identifiziert wurde. Die Tabelle wird durch eine großherzogliche Verordnung festgelegt, auf Vorschlag eines Rates für Berufskrankheiten.
Nicht in der Liste aufgeführte Krankheiten können auch als Berufskrankheiten angesehen werden, wenn die versicherte Person den beruflichen Ursprung dieser Krankheit nachweisen kann.</t>
  </si>
  <si>
    <t>Eine offizielle Liste von Berufskrankheiten ist im vierten Abschnitt des Gesetzes über soziale Sicherheit (Att dwar is-Sigurtà Soċjali) enthalten. Die Liste wird von der Abteilung für Soziale Sicherheit unter Berücksichtigung von medizinischen Ratschlägen von entsprechenden medizinischen Experten des jeweiligen Bereichs erstellt und angepasst.
Andere Krankheiten, die nachweislich beruflicher Art sind, können jedoch zu der Erweiterung der Liste führen.</t>
  </si>
  <si>
    <t>Volksversicherung (folketrygden):
Liste anerkannter Berufskrankheiten des Ministeriums für Gesundheit und Soziales vom 11. März 1997. Kein Mischsystem. Mischung aus Listen- und Nachweissystem.
Arbeitsunfallversicherung (yrkesskadeforsikring):
Mischung aus Listen- und Nachweissystem.</t>
  </si>
  <si>
    <t>Als Berufskrankheiten gelten die in der Anlage 1 zum ASVG bezeichneten Krankheiten. Die Liste der Berufskrankheiten beinhaltet auch die Voraussetzungen, die bei einzelnen Berufskrankheiten vorliegen müssen (z.B. Beschränkung auf bestimmte Unternehmen).
Mit der Erstellung und Anpassung der Liste ist der Gesetzgeber befasst.
Mischung aus Listen- und Nachweissystem: Es stehen auch Krankheiten unter Versicherungsschutz, die nicht in dieser Liste enthalten sind: Sie müssen nachweisbar berufsbedingt sein und durch schädigende Stoffe oder Strahlen hervorgerufen werden (sogenannte Generalklauselfälle).</t>
  </si>
  <si>
    <t>Eine Krankheit wird als Berufskrankheit anerkannt, wenn sie in der offiziellen Liste von Berufskrankheiten enthalten ist und wenn als Ergebnis der Bewertung der Arbeitsbedingungen unbestreitbar und mit hohem Wahrscheinlichkeitsgrad festgestellt werden kann, dass die Krankheit durch die Arbeitsbedingungen oder im Zusammenhang mit den Arbeitsmethoden („berufsbedingte Exposition“) verursacht wurde.
Der Regierungsbeschluss vom 30. Juni 2009 über Berufskrankheiten (Rozporządzenie Rady Ministrów z dnia 30 czerwca 2009 r. w sprawie chorób zawoodwych) enthält die Liste der Berufskrankheiten, die von der Regierung erstellt und angepasst wird.</t>
  </si>
  <si>
    <t>Berufskrankheiten bezeichnen Krankheiten, die in der Liste von Berufskrankheiten aufgeführt sind und die einen Arbeitnehmer betreffen, der aufgrund der Art seiner Tätigkeit, der Arbeitsbedingungen oder der bei seiner normalen Arbeit angewandten Techniken den in der Liste aufgeführten Risikofaktoren ausgesetzt war.
Nicht in der Liste aufgeführte Körperverletzungen, Funktionsstörungen oder Krankheiten können ebenfalls als Berufskrankheiten gelten, sofern sie eine notwendige und direkte Folge der ausgeübten Tätigkeit und nicht auf normalen körperlichen Verschleiß zurückzuführen sind.
Liste von Berufskrankheiten, erstellt und überarbeitet durch den nationalen Rat zur Überarbeitung der Liste von Berufskrankheiten (Comissão Nacional de Revisão da Lista das Doenças Profissionais).
Es handelt sich um eine Mischung aus Listen- und Nachweissystem.</t>
  </si>
  <si>
    <t>Berufskrankheiten sind in dem Anhang über die Normen für die Anwendung der Bestimmungen des Gesetzes Nr. 319 vom 11. Oktober 2006 über Sicherheit und Gesundheit am Arbeitsplatz (Legea securitatii si sanatatii in munca), mit späteren Änderungen, aufgeführt.
Diese werden definiert als Erkrankungen, die als Folge der Ausübung eines Gewerbes oder Berufs auftreten und durch physikalisch, chemisch oder biologisch schädliche Faktoren am Arbeitsplatz verursacht werden, sowie die Überlastung bestimmter Organe oder Körperteile während des Arbeitsprozesses.
Das Gesundheitsministerium koordiniert die Registrierung, Aufzeichnung und Meldung von Berufskrankheiten.</t>
  </si>
  <si>
    <t>Offenes System, bei dem die berufliche Natur der Krankheit nachgewiesen werden muss.</t>
  </si>
  <si>
    <t>Gemischtes System:
   * Krankheiten, die bei der beruflichen Tätigkeit ausschließlich oder vorwiegend durch schädigende Stoffe oder bestimmte Arbeiten verursacht worden sind (gemäß der von der Regierung erstellten offiziellen Liste).
   * Andere Krankheiten, von denen nachgewiesen wird, dass sie ausschließlich oder stark überwiegend durch berufliche Tätigkeit verursacht worden sind (Generalklausel).</t>
  </si>
  <si>
    <t>Berufskrankheiten sind in einer offiziellen Liste definiert, welche 47 Krankheiten umfasst (Anhang 1 des Sozialversicherungsgesetzes (Zákon o sociálnom poistení)), zugelassen und angepasst vom Parlament.</t>
  </si>
  <si>
    <t>Berufsverletzungen sind Verletzungen, die aufgrund der Arbeit oder während der Arbeit entstehen. Die Liste von Berufskrankheiten wird vom Gesundheitsministerium (Ministrstvo za zdravje) in Zusammenarbeit mit dem Ministerium für Arbeit, Familie, Soziales und Chancengleichheit (Ministrstvo za delo, družino, socialne zadeve in enake možnosti) unterhalten.</t>
  </si>
  <si>
    <t>Liste der Berufskrankheiten und Links mit den wesentlichen Tätigkeiten, die tendenziell solche Krankheiten zur Folge haben (königliches Dekret Nr. 1299/2006 vom 10. November 2006). Anpassung durch das Ministerium für Inklusion, Soziale Sicherheit und Migration (Ministerio de Inclusión, Seguridad Social y Migraciones), mit Hilfe des Ministeriums für Gesundheit (Ministerio de Sanidad).
Krankheiten, die nicht in der Liste genannt werden, sind nur gedeckt, wenn sie als Arbeitsunfall gelten (kein gemischtes System).</t>
  </si>
  <si>
    <t>Vom Gesundheitsministerium ausgestellte offizielle, vollständige Liste von Berufskrankheiten.</t>
  </si>
  <si>
    <t>Die Liste mit anerkannten Berufskrankheiten wird auf Regierungsbeschluss von der Nationalen Krankenversicherung (Nemzeti Egészségbiztosítási Alapkezelő) erstellt und angepasst.</t>
  </si>
  <si>
    <t>Krankheiten, die durch Verordnung als Berufskrankheiten gemäß der Durchführungsverordnung zu den Leistungen der Sozialversicherung ausgewiesen sind. In den Verordnungen wird auch definiert, welche Berufsgruppen von welchen Krankheiten betroffen sein können.
Kein gemischtes System.</t>
  </si>
  <si>
    <t>Arbeitsunfälle: Versicherungspflichtig beschäftigte Arbeitnehmer, „kleiner Status" (petits statuts) (Personen, die im Rahmen einer Ausbildung einer bezahlten Arbeit nachgehen)sowie diejenigen, die durch Königlichen Beschluss unter die Anwendung des Gesetzes fallen.
Berufskrankheiten: Versicherungspflichtig beschäftigte Arbeitnehmer, Personen in einem Ausbildungsverhältnis (außer diejenigen, für welche der König den Anwendungsbereich des Gesetzes über Arbeitsunfälle erweitert hat), Praktikanten und Schüler und Studenten, die im Rahmen der Ausbildung einem Risiko ausgesetzt sind.
Im Prinzip keine freiwillige Versicherung.</t>
  </si>
  <si>
    <t>Pflichtversicherung für:
   * Arbeitnehmer
   * Beamte,
   * Richter, Staatsanwälte, Ermittlungsbeamte, Gerichtsvollzieher und Gerichtsangestellte,
   * Angehörige der Streitkräfte,
   * bezahlte und aktive Mitglieder von Genossenschaften,
   * Führungskräfte und bevollmächtigte Vertreter der Firmen, Einzelunternehmer und ihre Filialen, Mitglieder des Verwaltungsrates, Geschäftsführer und Leiter von Handelsgesellschaften sowie mit der Leitung bzw. Aufsicht staats- und gemeindeeigener Betriebe gemäß Kapitel Neun des Handelsgesetzbuches betraute Personen, deren Tochtergesellschaften oder andere juristische Personen gemäß dem Gesetz,
   * Personen in Wahlfunktionen, Priester der Bulgarischen Orthodoxen Kirche und anderer registrierter Religionsgemeinschaften,
   * Doktoranden, die entsprechend des Abkommens zur medizinisch-spezifischen Ausbildung eine Vergütung erhalten,
   * Kandidaten für Richteramtsanwärter, Staatsanwaltsanwärter, Ermittleranwärter;
   * Seeleute.
Arbeitnehmer, die in einem Unternehmen einer Tätigkeit nachgehen, die ein Arbeitsunfallrisiko über dem nationalen Durchschnitt darstellt, sind gegen Arbeitsunfälle pflichtversichert (застраховане) (Marktversicherung).</t>
  </si>
  <si>
    <t>Pflichtversicherung für:
   * alle Arbeitnehmer (bezahlt und unbezahlt);
   * Praktikanten oder andere Personen, die sich im Rahmen ihres Studiums oder ihrer Berufsausbildung in einer Schulungseinrichtung oder an einer Arbeitsstätte aufhalten;
   * Kinder, die an einer Krankheit oder einem angeborenen Schaden leiden, der durch die Arbeit des Vaters oder der Mutter verursacht wurde (während der Schwangerschaft oder kurz nach der Geburt).
Freiwillige Versicherung für Selbstständige möglich.</t>
  </si>
  <si>
    <t>Pflichtversichert sind insbesondere Arbeitnehmer, bestimmte Selbstständige, Schüler und Studierende, Kinder in Tageseinrichtungen sowie bei geeigneten Tagespflegepersonen, bestimmte ehrenamtlich Tätige, Rehabilitanden, nicht-erwerbsmäßig tätige Pflegepersonen und bestimmte andere Personen.
Freiwillige Versicherung auf Antrag möglich für nicht pflichtversicherte Unternehmer und ihre im Unternehmen mitarbeitenden Ehegatten oder Lebenspartner, unternehmerähnliche Personen sowie bestimmte Gruppen nicht pflichtversicherter ehrenamtlich Tätiger. Dabei gilt ein grundsätzlich vollwertiger Anspruch auf sämtliche Leistungen. Satzung des Unfallversicherungsträgers kann für Geldleistungen Mindestversicherungszeiten regeln; Versicherungssumme als Bemessungsgrundlage ist bis zu einem vom Unfallversicherungsträger festgelegten Betrag (Höchstjahresarbeitsverdienst) wählbar.</t>
  </si>
  <si>
    <t>Alle Arbeitnehmer.
Keine freiwillige Versicherung.</t>
  </si>
  <si>
    <t>Alle Arbeitnehmer und Landwirte sowie Stipendiaten (d.h. Hochschulforscher), Gymnasiasten und Auszubildende (während der Arbeit).
Selbstständige (mit Ausnahme der pflichtversicherten Landwirte) können sich freiwillig versichern.</t>
  </si>
  <si>
    <t>Alle erwerbstätigen Personen.
Freiwillige Versicherung für Personen, die nicht durch die gesetzliche Krankenkasse abgedeckt sind (Selbstständige und mitarbeitende Ehegatten) möglich.
Die freiwillig Versicherten haben keinen Anspruch auf Tagegeld.</t>
  </si>
  <si>
    <t>Arbeitnehmer und diesen Gleichgestellte, alle Studierenden.
Keine freiwillige Versicherung.</t>
  </si>
  <si>
    <t>Arbeitnehmer und bestimmte Gruppen in Ausbildung.
Keine freiwillige Versicherung.</t>
  </si>
  <si>
    <t xml:space="preserve">
   * Alle Arbeitnehmer.
   * Alle Selbstständigen.
   * Auszubildende.
   * Personen, die an Rettungsaktionen teilnehmen.
   * Sportler, die ein Alter von 16 Jahren erreicht haben, während der Teilnahme an organisierten sportlichen Aktivitäten.
Im Haushalt tätige Personen können sich freiwillig versichern.</t>
  </si>
  <si>
    <t xml:space="preserve">
   * Arbeitnehmer und Gleichgestellte
   * Selbstständige (sowohl reguläre Selbstständige als auch solche, die unter dem gesonderten Rentensystem (Gestione Separata) versichert sind
   * Studenten
   * Lehrer
   * Radiologen, Techniker und Studierende der Radiologie (Beamte in öffentlichen Krankenhäusern), Seefahrer
   * Hausangestellte
   * Profisportler
Ab 2019 wurde die Deckung von Personen, die ohne Entgelt im Haushalt tätig sind, erweitert bis zu deren 67. Lebensjahr mit einer Prämie in Höhe von €24 pro Jahr.
Keine freiwillige Versicherung.</t>
  </si>
  <si>
    <t>Kurzfristige Leistungen:
Arbeitnehmer und Selbstständige.
Unter besonderen Umständen:
   * Studenten im Praktikum, auf Dienstreisen und bei über den Studentenservice vermittelter Arbeit,
   * Mitglieder der freiwilligen Feuerwehr im Feuerwehreinsatz,
   * Sportler, Trainer und Organisatoren.
Langfristige Geldleistungen:
siehe Tabelle V „Invalidität”, „Anwendungsbereich”. Darüber hinaus:
   * Mitglieder der freiwilligen Feuerwehr,
   * Auszubildende, Retter bei Naturkatastrophen,
   * Stipendiaten, an der Fakultät tätige Studenten und Hochschulabsolventen in der praktischen Ausbildung,
   * Freiwillige, die unter Bedingungen arbeiten, die eine Gefährdung für Leben oder Gesundheit darstellen.
Freiwillige Deckung ist nicht möglich.</t>
  </si>
  <si>
    <t>Alle Arbeitnehmer, ausgenommen bestimmte Kategorien (z.B. Vorstandsmitglieder von Kapitalgesellschaften, Selbstständige, Personen, die bei einem ausländischen Arbeitgeber beschäftigt sind, Steuerzahler aus Kleinstunternehmen etc.).
Freiwillige Versicherung ist nicht möglich.</t>
  </si>
  <si>
    <t xml:space="preserve">
   * Arbeitnehmer, einschließlich Heimarbeiter, Lehrlinge, Praktikanten, Volontäre sowie der in beschützenden Betrieben oder Invalidenbetrieben tätigen Personen.
   * Nichtberufsunfall: Vollzeitbeschäftigte und teilzeitbeschäftigte Arbeitnehmer, deren wöchentliche Arbeitszeit bei einem Arbeitgeber mindestens 8 Stunden beträgt.
Freiwillige Versicherung möglich für Selbstständigerwerbende und ihre nicht pflichtversicherten mitarbeitenden Familienmitglieder.</t>
  </si>
  <si>
    <t>Alle Arbeitnehmer und diesen Gleichgestellte (z.B. Beamte).
Selbstständige können sich freiwillig über private Versicherungen gegen Arbeitsunfälle versichern.
Im Basissystem ist keine freiwillige Versicherung möglich.
Personen, die auf freiwilliger Basis in Unternehmen, Einrichtungen, Organisationen oder anders organisierten Strukturen arbeiten.</t>
  </si>
  <si>
    <t>Obligatorisch abgedeckt sind insbesondere Personen, die eine unselbstständige oder selbstständige Erwerbstätigkeit ausüben, Auszubildende, Praktikanten, Ehepartner oder Lebenspartner von Selbständigen (sowie Verwandte oder Verschwägerte bis zum dritten Grad im Falle der landwirtschaftlichen Tätigkeit), die Dienstleistungen in einem solchen Umfang erbringen, dass diese Dienstleistungen als ihre Haupttätigkeit angesehen werden können.
Ausweitung des Versicherungsschutz auf bestimmte Personengruppen für bestimmte Aktivitäten: Schulkinder, Schüler und Studenten in Bildungseinrichtungen; Kinder unter 6 Jahren, die in staatlich anerkannten Einrichtungen untergebracht sind; Personen, die für Hilfs- und Rettungsdienste tätig sind; ehrenamtliche Tätigkeit für soziale und therapeutische Dienste im Auftrag einer anerkannten Einrichtung ausführen, Arbeitssuchende, die eine berufliche Eingliederungsmaßnahme in Anspruch nehmen usw.
Keine freiwillige Versicherung (außer für bestimmte Landwirte).</t>
  </si>
  <si>
    <t>Pflichtversicherung für Arbeitnehmer und Freischaffende.
Freiwillige Versicherung für Arbeitsunfälle oder Berufskrankheiten nicht möglich für erwerbstätige Personen.</t>
  </si>
  <si>
    <t>Volksversicherung (folketrygden):
Alle Arbeitnehmer, Fischer (einschließlich Selbstständige), Dienstverpflichtete, Studenten und Personen in Ausbildung sind gesichert.
Freiwillige Versicherung möglich für Selbstständige und Freiberufler.
Arbeitsunfallversicherung (yrkesskadeforsikring): Alle Arbeitnehmer.</t>
  </si>
  <si>
    <t xml:space="preserve">
   * Alle gegen Entgelt beschäftigten Arbeitnehmer:innen, Lehrlinge.
   * Selbstständige und deren mitarbeitende Familienangehörige.
   * Freie Dienstnehmer:innen: Personen, die zwar keinen Arbeitsvertrag haben, im Wesentlichen aber wie ein:e Arbeitnehmer:in tätig werden (z.B. keine eigene betriebliche Struktur, persönliche Leistungserbringung).
   * Kindergartenkinder im letzten verpflichtenden Kindergartenjahr, Schüler:innen und Studierende.
Eine freiwillige Versicherung ist möglich für nicht pflichtversicherte Selbstständige mit Betriebssitz im Inland und deren mitarbeitenden Familienangehörige.</t>
  </si>
  <si>
    <t>Alle Arbeitnehmer und Selbstständigen.
Freiwillige Versicherung ist nicht möglich.</t>
  </si>
  <si>
    <t>Alle Arbeitnehmer und Selbstständigen sind gegen Arbeitsunfälle und Berufskrankheiten pflichtversichert.
Bestimmte Gruppen sind durch das freiwillige Sozialversicherungssystem gedeckt, so sind z. B. soziale Freiwillige, Feuerwehrmänner, Studenten mit Stipendien und Seefahrer, die auf Schiffen von ausländischen Unternehmen arbeiten, gegen das Risiko von Berufskrankheiten versichert.</t>
  </si>
  <si>
    <t>Gesetzlicher Versicherungsschutz auf Grundlage des Personalstatuts für Bürger mit Wohnsitz oder Aufenthalt in Rumänien.
Pflichtsystem:
   * Personen, die Tätigkeiten auf der Grundlage eines individuellen Beschäftigungsvertrags ausführen;
   * Personen in Wahlfunktionen oder in Funktionen der Exekutive, Legislative oder Judikative in Rumänien;
   * Beamte;
   * Arbeitslose während einer Ausbildung;
   * Lehrlinge, Schüler und Studenten während einer Ausbildung;
   * Freiwillige, die in freiwilligen Notfalldiensten im Rahmen des Freiwilligenvertrags arbeiten;
   * Rumänische Staatsangehörige, die im Ausland für rumänische Arbeitgeber tätig sind.
Selbstständige sind nicht gegen diese Risiken abgedeckt und es besteht keine Möglichkeit einer freiwilligen Versicherung.</t>
  </si>
  <si>
    <t>Arbeitnehmer und Selbstständigen.
Keine freiwillige Versicherung.</t>
  </si>
  <si>
    <t>Obligatorische Versicherung für:
   * Arbeitnehmer einschließlich Heimarbeiter, Lehrlinge und Praktikanten, Volontäre sowie der in Lehr- oder Invalidenwerkstätten tätigen Personen.
   * Nichtberufsunfälle: Arbeitnehmer mit einer Beschäftigungsdauer von mindestens 8 Stunden pro Woche sowie Bezüger von Taggeldern der Arbeitslosenversicherung.
Freiwillige Versicherung möglich für Selbstständigerwerbende und die im Betrieb mitarbeitenden Familienangehörigen, wenn sie nicht obligatorisch versichert sind.</t>
  </si>
  <si>
    <t>Arbeitnehmer und andere unter bestimmten Umständen (z.B. Studenten, Praktikanten, Auszubildende).
Selbstständige sind nicht in der Arbeitsunfallversicherung versichert.
Keine freiwillige Versicherung.</t>
  </si>
  <si>
    <t>Pflichtversicherte:
   * Arbeitnehmer, Selbstständige, Landwirte und andere Personen, die über das Renten- und Invaliditätsversicherungssystem versichert sind;
   * Studenten in beruflicher Ausbildung, Praktikum und Arbeitstätigkeiten außerhalb der Schule oder Studenten, die arbeiten (Beschäftigungsservice für Studenten);
   * Personen (Kinder und Erwachsene) mit Behinderungen während ihrer beruflichen Rehabilitation, einer beruflichen Ausbildung und während eines Pflichtpraktikums;
   * Personen, die an Retungsmaßnahmen beteiligt sind und Mitglieder von freiwilligen Feuerwehren;
   * Freiwillige, Gefangene.
Freiwillige Renten- und Invaliditätsversicherung möglich für Personen im Alter ab 15 Jahren mit einem dauerhaften Wohnsitz in Slowenien, die die Bedingungen zur Deckung durch die Pflichtversicherung nicht erfüllen.</t>
  </si>
  <si>
    <t>Pflichtversicherung für Arbeitnehmer und Hausangestellte.
Freiwillige Versicherung nur möglich für selbstständige Landarbeiter.</t>
  </si>
  <si>
    <t>Alle Arbeitnehmer.
Sondersystem für Beamte.
Keine freiwillige Versicherung für Selbstständige oder Personen anderer Kategorien möglich.</t>
  </si>
  <si>
    <t>Pflichtversicherung für:
   * Arbeitnehmer und Selbstständige und diesen Gleichgestellte;
   * Empfänger von Einkommenshilfen, Arbeitslosengeld (Álláskeresési járadék) oder Vorruhestandsleistungen für Arbeitslose.
Keine freiwillige Versicherung.</t>
  </si>
  <si>
    <t>Arbeitnehmer.
Selbstständige.
Freiwillige Versicherung möglich für Personen, die im Ausland für zypriotische Arbeitgeber tätig sind.</t>
  </si>
  <si>
    <t xml:space="preserve">
   * Registrierte Freiberufler und Handwerker;
   * Einzelunternehmer, Eigentümer oder Teilhaber von Handelsgesellschaften;
   * Landwirte;
   * Arbeitnehmer ohne Arbeitsvertrag.</t>
  </si>
  <si>
    <t>Personen, die aufgrund anderer Vorschriften versichert sind wie Beamte, Mitglieder geistlicher Genossenschaften. Versicherungsfrei sind selbstständig tätige Ärzte, Psychotherapeuten, Heilpraktiker und Apotheker.</t>
  </si>
  <si>
    <t>Angehörige der Streitkräfte.</t>
  </si>
  <si>
    <t>Ausnahmen für Personen, die unter der Gesetzgebung eines anderen Landes versichert sind.</t>
  </si>
  <si>
    <t>Keine Ausnahmen außer für Angehörige des Militärs, Polizeikräfte, Feuerwehrleute und bestimmte Gruppen von Selbstständigen, wie z. B. Rechtsanwälte und andere freie Berufe.</t>
  </si>
  <si>
    <t xml:space="preserve">
   * Mitarbeitende Familienmitglieder, die keinen Barlohn beziehen und keine Beiträge an die AHV/IV entrichten;
   * Akkordanten, Reisevertreter und Mittelspersonen zwischen Arbeitgebern und Arbeitnehmern, wenn sie als Selbstständigerwerbende zu betrachten sind;
   * Arbeitnehmer von juristischen Personen und personenrechtlichen Gemeinschaften, die als Selbstständigerwerbende gelten;
   * Personen, die einen Nebenerwerb oder ein Nebenamt ausüben, auf deren Entgelt keine Beiträge der AHV/IV erhoben werden, für diese Tätigkeit.
   * Mitglieder von Verwaltungsräten, die nicht im Betrieb tätig sind, für diese Tätigkeit.</t>
  </si>
  <si>
    <t>Keine Ausnahmen (außer für bestimmte Selbstständige).</t>
  </si>
  <si>
    <t>Unter folgenden Umständen sind Personen von der Pflichtversicherung ausgenommen:
   * Personen mit Gelegenheitsarbeit, deren Zweck weder das Handelstreiben noch die Führung eines Unternehmens ist;
   * Personen mit Wohnsitz, deren Arbeitgeber seinen Unternehmenssitz jedoch im Ausland hat;
   * Personen mit einer Beschäftigung von weniger als 8 Stunden wöchentlich;
   * Personen, die Beschäftigung und Wohnsitz in Malta haben, Beiträge jedoch in ihrem Herkunftsland zahlen;
   * Geschäftsführer von Familienunternehmen;
   * Mehrheitseigentümer in Partnerschaftsgesellschaften;
   * Arbeitnehmer, die seit einem Zeitpunkt vor dem 5. Januar 2008 eine Rente im Rahmen des maltesischen Systems beziehen;
   * Hinterbliebene Ehepartner oder Partner, die eine Witwen-/Witwenrente im Rahmen des maltesischen Systems beziehen, sofern ihr Bruttoerwerbseinkommen den nationalen Mindestlohn nicht überschreitet;
   * Personen, die als gelegentliche Sozialassistenten im Rahmen des Programms „Aktives Altern und gemeinschaftliche Pflege” beschäftigt sind.</t>
  </si>
  <si>
    <t>Sogenannte Neue Selbstständige mit Einkünften unter der Versicherungsgrenze und land- und forstwirtschaftliche Betriebsführer:innen mit einem Einheitswert von unter €150,00, sofern die Lebensführung nicht überwiegend aus der Betriebsführung bestritten wird (Anmerkung: Im Bereich der Krankenversicherung und Pensionsversicherung besteht eine Versicherungspflicht ab einem Einheitswert von €1.500). Für diese Personengruppen ist eine freiwillige Versicherung möglich.</t>
  </si>
  <si>
    <t>Mitarbeiter im Bereich Verteidigung, öffentliche Ordnung und nationale Sicherheit zahlen keine Beiträge für das Pflichtsystem und erhalten keine Leistungen, die nach Gesetz Nr. 346/2002 erbracht werden (sie haben ihr eigenes System).</t>
  </si>
  <si>
    <t>Insbesondere:
   * Von einem Arbeitgeber im Ausland vorübergehend in die Schweiz entsandte Arbeitnehmer.
   * Im Betrieb mitarbeitende Familienmitglieder des Arbeitgebers, die keinen Barlohn beziehen und keine Beiträge an die 1. Säule entrichten.</t>
  </si>
  <si>
    <t xml:space="preserve">
   *              Arbeitnehmer im elterlichen Betrieb in der Landwirtschaft. 
   *              beim Ehepartner angestellter Arbeitnehmer. 
   *              Selbstständige in der Landwirtschaft im Alter unter 16 Jahren. 
Sie sind nicht berechtigt, Leistungen aus dem Sozialversicherungssystem zu erhalten, weil sie von den Beitragszahlungen ausgenommen sind.</t>
  </si>
  <si>
    <t xml:space="preserve">   Anspruchsvoraussetzungen für Arbeitsunfälle und Berufskrankeiten</t>
  </si>
  <si>
    <t>Das Risiko wird unterstellt, wenn der Betroffene in einem Betrieb gearbeitet hat, der in einer durch Königlichen Erlass festgelegten Liste genannt wird und dass er die Expositionsbedingungen erfüllt, die in einem Anhang zu diesem Königlichen Erlass für bestimmte Krankheiten aufgeführt sind.
Das Risiko ist ab dem ersten Arbeitstag gedeckt (da ein Arbeitsunfall ein plötzliches Ereignis ist).</t>
  </si>
  <si>
    <t>Keine Mindestversicherungszeit.
Der Facharzt sollte die Behörden und den Arbeitgeber über das Auftreten einer Berufskrankheit nicht später als 5 Arbeitstage nach der Feststellung informieren.
Es besteht keine besondere Zeitgrenze für die Diagnose einer Berufskrankheit, die die Ausübung des jeweiligen Berufs verhindert.</t>
  </si>
  <si>
    <t>Bedingungen zur Mindesteinwirkdauer und Haftungszeitraum variieren entsprechend der jeweiligen Krankheit.
Keine spezifische Frist, innerhalb derer die Berufskrankheit diagnostiziert werden muss, um Leistungen beziehen zu können.</t>
  </si>
  <si>
    <t>In der Liste der Berufskrankheiten werden für bestimmte Erkrankungen Mindesteinwirkungsdauern genannt.
Meldefrist für Arbeitsunfälle und Berufskrankheiten: Unverzügliche Anzeige durch Arzt oder Unternehmer. Bei Unternehmern innerhalb von drei Tagen nach Kenntnisnahme.
Keine weiteren Bedingungen für Arbeitsunfälle und Berufskrankheiten.</t>
  </si>
  <si>
    <t>Keine Mindestversicherungszeit.
Keine Meldefrist für Berufskrankheiten.</t>
  </si>
  <si>
    <t>Berufskrankheiten:
Es gibt keine Bestimmungen über die Mindestdauer der Exposition vor der Annahme, dass es sich um eine Berufskrankheit handelt.
Es gibt keine Bestimmungen über die Frist zwischen dem Ende der Risikoexposition und der Diagnose der Krankheit. Praktisch wurden Expositionsfristen durch Gerichtsentscheidungen festgelegt (z.B. langfristige Exposition für Risiken wie Lärm und mindestens ein Jahrzehnt für Asbest).</t>
  </si>
  <si>
    <t>Mindesteinwirkungsdauer: nur für bestimmte Krankheiten. Kann aufgehoben werden, wenn die Krankheit unmittelbar auf die Ausübung der Tätigkeit zurückzuführen ist.
Meldefrist: Wird der Erwerbstätige aufgrund einer vermutlichen Berufskrankheit krankgeschrieben, so muss der Betreffende bei der Kasse innerhalb von 15 Kalendertagen einen Antrag auf Anerkennung seiner durch die berufliche Tätigkeit verursachten Erkrankung stellen.
Im Falle der Aufnahme einer neuen Erkrankung in die Tabellen der Berufskrankheiten (Anhang II des Sozialgesetzbuches) hat die zuvor diagnostizierte Person 3 Monate Zeit, um die Anerkennung der beruflichen Herkunft ihrer Krankheit zu beantragen.
Je nach Krankheit variiert die Dauer der Kostenübernahme (d. h. die maximale Zeit zwischen dem Ende der Einwirkungsdauer und dem ersten medizinischen Befund der Krankheit) zwischen 3 Kalendertagen und 50 Jahren.</t>
  </si>
  <si>
    <t>Mindestdauer der Risikoexposition und Frist zur Diagnose der Berufskrankheit variieren abhängig von der Exposition gegenüber dem entsprechenden giftigen Element, wie näher ausgeführt in der ministeriellen Liste.</t>
  </si>
  <si>
    <t>Beschäftigung in Tätigkeitsbereichen mit Risiken, die in Rechtsvorschriften benannt werden.
Zeiträume mit Risiken:
Keine Mindesteinwirkungsdauer der Krankheitsursachen vorgesehen, außer bei berufsbedingter Taubheit (10 Jahre), Tbc (6 Wochen) und Pneumokoniose (2 Jahre).</t>
  </si>
  <si>
    <t>Es gibt keine Mindestdauer der Risikoexposition vor der Annahme, dass eine Krankheit oder ein Leiden arbeitsbedingt ist.
Es gibt keine bestimmte Frist nach Einstellung der Arbeit, innerhalb derer die Berufskrankheit diagnostiziert werden muss.</t>
  </si>
  <si>
    <t>Mindesteinwirkperioden für Anspruch auf Geldleistungen sind in der Liste von Berufskrankheiten (Stand 2009) beinhaltet.
Die spezifische Frist, innerhalb derer die Berufskrankheit nach der Aufgabe der Erwerbstätigkeit diagnostiziert worden sein muss, ist abhängig von der Art der arbeitsbedingten Erkrankung; in der entsprechenden Liste sind diese Fristen festgehalten (z.B. 15 Jahre nach einer Gefährdung durch Asbest).</t>
  </si>
  <si>
    <t>Keine Mindestversicherungszeit.
Keine Mindestfrist der Risikoexposition.</t>
  </si>
  <si>
    <t>Es gibt keine Mindestdauer der Risikoexposition vor der Annahme, dass eine Krankheit oder ein Leiden im Zusammenhang mit der Arbeit steht.
Es gibt keine genaue Frist für die Diagnose einer Berufskrankheit, damit die Zahlung von Leistungen erfolgen kann.</t>
  </si>
  <si>
    <t xml:space="preserve">
   * Leistungsanspruch ab Versicherungsbeginn: keine Mindestversicherungszeit;
   * Unverzügliche Meldung an den Versicherer oder den Arbeitgeber;
   * Mindesteinwirkungsdauer der Krankheitsursachen: Keine Mindestdauer vorgesehen; Prüfung der Umstände.</t>
  </si>
  <si>
    <t>Die Mindestdauer der Exposition gegenüber einem Risikofaktor ist, wo anwendbar, getrennt für jede Berufskrankheit festgelegt.
Es gibt nach der Beendigung der Erwerbstätigkeit keine Frist für die Diagnose der Berufskrankheit.</t>
  </si>
  <si>
    <t>Keine Mindestdauer der Einwirkungsdauer. Die Krankheit muss ihren entscheidenden Ursprung in einer versicherten beruflichen Tätigkeit haben.
Keine spezifische Frist für die Feststellung einer Berufskrankheit, nachdem die Person die Tätigkeit an dem Arbeitsplatz eingestellt hat, der die Krankheit verursacht hat.</t>
  </si>
  <si>
    <t>Keine Mindestdauer der Risikoexposition vor der Annahme, dass die Krankheit arbeitsbedingt ist.
Keine Frist nach Einstellung der Arbeit, innerhalb der die Diagnose einer Berufskrankheit erstellt werden muss.</t>
  </si>
  <si>
    <t>Kein Mindestversicherungszeitraum.
Keine festgelegte Mindesteinwirkdauer (einige Indikatoren in den Leitlinien).</t>
  </si>
  <si>
    <t>Mindesteinwirkungsdauer der Krankheitsursachen: Mindestdauer nur bei Meniskusschäden (3 Jahre).
Der:die Arbeitgeber:in oder der:die Arzt:Ärztin hat eine Berufskrankheit binnen 5 Kalendertagen zu melden. Die Meldeverpflichtung hat keine Auswirkungen auf den Leistungsanspruch (Frist für rückwirkende Zahlung ab Entstehen der Berufskrankheit: 2 Jahre).
Keine weiteren Voraussetzungen.</t>
  </si>
  <si>
    <t>Es gibt keine Mindestdauer der Risikoexposition vor der Annahme, dass eine Krankheit arbeitsbedingt ist.
Bei einigen Berufskrankheiten gibt es eine spezifische Frist, innerhalb derer die Berufskrankheit nach Beendingung der Arbeit diagnostiziert werden muss; bei Bronchialasthma z.B. 1 Jahr, bei strahlungsbedingtem grauen Star 10 Jahre.</t>
  </si>
  <si>
    <t>Es gibt keine Mindestdauer der Gefährdungsexposition, bevor ein Verdacht auf einen Zusammenhang zwischen Berufskrankheit und beruflicher Tätigkeit besteht.
Der Anspruch auf Entschädigung ist von der Erfüllung von zwei kumulativen Bedingungen durch den Arbeitnehmer abhängig, d. h.:
   * an einer Berufskrankheit leiden,
   * dem Risiko einer Berufskrankheit ausgesetzt sein als Folge der Arbeitsart oder Arbeitssektor oder als Folge der Arbeitsbedingungen.
Die Meldung einer Berufskrankheit ist obligatorisch und muss innerhalb von acht Tagen ab dem Zeitpunkt der Diagnose oder einem begründeten Verdacht einer Berufskrankheit der Abteilung der Sozialversicherung zugestellt werden, die für den Schutz gegen Berufsrisiken zuständig ist.</t>
  </si>
  <si>
    <t>Keine Mindestdauer der Risikoexposition vor der Annahme eines Zusammenhangs zwischen einer Krankheit/Indisposition und der Arbeit.
Nachdem die Person die betreffende Arbeit beendigt hat, besteht für die Zahlbarkeit der Leistung keine Frist für die Diagnose der Berufskrankheit.</t>
  </si>
  <si>
    <t>Es gibt keine Mindestdauer der Risikoexposition.
Es gibt keine Frist, innerhalb der die Berufskrankheit diagnostiziert werden muss, nachdem eine Person ihre Berufstätigkeit eingestellt hat.</t>
  </si>
  <si>
    <t>Keine Mindestdauer der Risikoexposition.
Keine Haftungsfrist.</t>
  </si>
  <si>
    <t>Für einige Krankheiten wird die zulässige Höchstdauer einer Einwirkung (Grenzwerte) durch Verordnung des zuständigen Umweltamtes bestimmt. Beispiel: Die Anzahl der Schichten ist für einen Bergarbeiter, der in einer Grube mit einer Staubkonzentration der Risikoklasse 3 oder 4 arbeitet, auf 4.600 begrenzt.
Es gibt keine Frist für die Diagnose einer Berufskrankheit.</t>
  </si>
  <si>
    <t>Keine Mindestexpositionsdauer und uneingeschränkter Haftungszeitraum: Die kürzeste Expositionsdauer und -intensität, die nach beruflichen Kriterien eine Berufskrankheit verursachen können, sowie die latente Periode vom Zeitpunkt der letzten Exposition bis zur Feststellung der ersten Symptome einer Berufskrankheit werden berücksichtigt.</t>
  </si>
  <si>
    <t>Keine Mindestdauer der Risikoexposition.
Keine bestimmte Frist, innerhalb derer die Diagnose der Berufskrankheit erfolgen muss.
Hauptbedingung ist, bei der Sozialversicherung registriert zu sein.</t>
  </si>
  <si>
    <t>Von der zuständigen Stelle der gewerblichen Hygieneaufsicht ist für bestimmte Berufe oder bei Umweltgefährdung eine Höchstdauer der Belastung (Schwellenwerte) festgelegt.
Für den Anspruch auf Leistungen gibt es keine Mindestzeit der Belastung durch gefährliche Bedingungen, Chemikalien oder Lärm.
Für die Meldung von Krankheiten nach dem Auftreten der ersten Symptome bestehen bestimmte Fristen.
Keine weiteren Bedingungen.</t>
  </si>
  <si>
    <t>Die Liste anerkannter Berufskrankheiten bestimmt Zeiträume der maximalen Exposition für jede einzelne Krankheit.</t>
  </si>
  <si>
    <t>Die Berufskrankheit muss in der Durchführungsverordnung zu den Leistungen der Sozialversicherung aufgeführt sein.
Es gibt keine Bedingungen hinsichtlich der Fristen der Einwirkungsdauer und der Haftungsdauer.</t>
  </si>
  <si>
    <t>Keine Frist für die Meldung der Berufskrankheit.
Der Arbeitgeber muss den Arbeitsunfall innerhalb von 8 Tagen an die Versicherung melden. Kommt er diesem nicht nach, können das Opfer oder seine Erben dies jederzeit tun.</t>
  </si>
  <si>
    <t>Keine besondere Zeitgrense für den Anspruch auf Leistungen</t>
  </si>
  <si>
    <t>Meldefrist: ein Jahr, ausgenommen besondere Umstände vom Datum an, an dem das Opfer einer Berufskrankheit die Kenntnis erhalten hat, dass die Krankheit wahrscheinlich mit der Arbeit zusammenhängt (üblicherweise durch Information eines Arztes).</t>
  </si>
  <si>
    <t>Keine Antragsfrist, die Unfallversicherungsträger ermitteln von Amts wegen nach Bekanntwerden des Versicherungsfalls.</t>
  </si>
  <si>
    <t>Die Frist für die Beantragung von Leistungen beträgt 3 Jahre ab dem Zeitpunkt, an dem der Antragsteller erstmals Kenntnis vom Schaden nahm und von der Partei, die für die Entschädgiung verantwortlich ist.</t>
  </si>
  <si>
    <t>Der Anspruch auf Leistung muss bei der Versicherungsgesellschaft eingefordert werden innerhalb von 5 Jahren ab dem Tag des geltend gemachten Tag des Arbeitsunfalls oder ab dem Tag, an dem ein Arzt erstmalig beurteilt, dass es sich bei der Berufskrankheit um eine durch Arbeit verursachte Krankheit handelt.
Darüberhinaus werden spezifische Gründe für Verzögerungen berücksichtigt.</t>
  </si>
  <si>
    <t>2 Jahre (Verjährungsfrist).</t>
  </si>
  <si>
    <t xml:space="preserve">Frist für die Erklärung bei der e-EFKA:
   * 5 Arbeitstage ab dem Tag nach dem Unfall;
   * Der Tag nach der Diagnose im Fall einer Berufskrankheit.
</t>
  </si>
  <si>
    <t>Frist für die Feststellung der Krankheit:
in der Regel 1 Monat für die Anerkennung der beruflichen Ursache der Krankheit. Für beruflich bedingtes Asthma 10 Jahre; für Taubheit 5 Jahre und für Tbc 2 Jahre.</t>
  </si>
  <si>
    <t>Die Frist für die Beantragung von Leistungen beträgt ein Jahr nach dem Vorfall, der zur Einstellung der Arbeit führte.</t>
  </si>
  <si>
    <t>Der Arbeitsunfall muss durch Einreichen des entsprechenden Antrags innerhalb von zwei Tagen nach Erhalt des maßgeblichen ärztlichen Attests oder innerhalb von 24 Stunden nach Eintreten des Todes erklärt werden.
Die Frist für die Einreichung des Antrags bezüglich einer Berufskrankheit liegt bei 5 Tagen nach Erhalt des maßgeblichen ärztlichen Attests entweder durch den Arbeitnehmer, falls die Person die Erwerbstätigkeit eingestellt hat, oder durch den Arbeitgeber. Der Antrag muss beim Nationalen Institut der Arbeitsunfallversicherung (Istituto Nazionale contro gli infortuni sul lavoro, INAIL) eingereicht werden.
Eine 10-Tagesfrist gilt für selbstständige Landwirte und eine 15-Tagesfrist für Handwerker.
Innerhalb von drei Jahren nach der medizinischen Bewertung einer Berufskrankheit muss der Antrag eingereicht werden, andernfalls ist er verjährt.
Keine Mindestversicherungszeit erforderlich.</t>
  </si>
  <si>
    <t>Meldefrist: 8 Kalendertage ab der Diagnose der Berufskrankheit (Ausschlussfrist: 3 Jahre).</t>
  </si>
  <si>
    <t>Keine Frist für die Beantragung von Leistungen. Wird der Antrag jedoch nach den ersten 6 Monaten nach Arbeitsunfall oder Anerkennung der Berufskrankheit gestellt, beginnt der Anspruch auf Entschädigung für den Verlust der Arbeitsfähigkeit (atlīdzības par darbspēju zaudējumu) mit dem Datum des Arbeitsunfalls oder der Anerkennung der Berufskrankheit.</t>
  </si>
  <si>
    <t>Kein Antragsfrist, aber wenn der Unfall 3 Monate nach dem Unfall gemeldet wird, wird die Leistung gekürzt.</t>
  </si>
  <si>
    <t>Es gibt keine Frist für die Beantragung der Leistung.</t>
  </si>
  <si>
    <t>Außer unter ordnungsgemäß begründeten außergewöhnlichen Umständen wird keine Leistung gewährt, wenn der Unfall nicht innerhalb eines Jahres nach seinem Eintritt oder die Berufskrankheit nicht innerhalb eines Jahres nach dem Tag, an dem der Versicherte von dem beruflichen Ursprung der Krankheit Kenntnis erlangt, gemeldet wird.
Unfallleistungen und Entschädigungen für außerfamiliäre Schäden werden auf Antrag des Versicherten oder der Leistungsempfänger gewährt, unter Vorbehalt des Verlustes aller Ansprüche innerhalb von drei Jahren ab dem Datum der Konsolidierung oder der beruflichen Umschulung.</t>
  </si>
  <si>
    <t>Antrag darf nicht später als 10 Kalendertage nach dem Tag eingereicht werden, an dem sich die Schädigung ereignete.</t>
  </si>
  <si>
    <t>Volksversicherung (folketrygden):
Benachrichtigung innerhalb eines Jahres, nachdem dem Versicherten oder dem Arbeitgeber die Verletzung oder die Erkrankung und deren wahrscheinliche Ursache bekannt werden. Unter bestimmten Umständen werden auch spätere Meldungen akzeptiert.
Arbeitsunfallversicherung (yrkesskadeforsikring):
Ansprüche auf Entschädigungszahlungen müssen bei der Versicherungsgesellschaft innerhalb von drei Jahren nach dem Ende des Kalenderjahrs, in dem der Versicherte sich seines Anspruchs bewußt wurde und in der Lage war ihn zu stellen, erhoben werden.</t>
  </si>
  <si>
    <t>Keine Antragsfrist. Der Anspruch auf bereits fällig gewordene Raten zuerkannter Renten verfällt jedoch nach Ablauf eines Jahres seit der Fälligkeit.</t>
  </si>
  <si>
    <t>Es gibt normalerweise keine Frist für den Antrag auf Leistungen, dennoch sollte die Beantragung sofort erfolgen.</t>
  </si>
  <si>
    <t> Frist für die Meldung: innerhalb von 48 Stunden nach dem Unfall.
Bei Arbeitsunfällen beträgt die maximale Frist für die Geltendmachung einer Entschädigung ein Jahr ab dem Tag der Entlassung aus der klinischen Einrichtung. Der Arbeitnehmer muss den Unfall innerhalb dieses Zeitraums dem Arbeitsgericht melden. Nach der Meldung kann der Vorgang immer noch bearbeitet werden.
Frist für die Meldung: Ein Jahr nach offizieller Mitteilung der Diagnose bei dauernder Erwerbsunfähigkeit. Nach Ablauf dieser Frist werden die Leistungen ab dem Monat gezahlt, der auf die Antragstellung folgt</t>
  </si>
  <si>
    <t>Leistungen können in einem Zeitraum von 3 Jahren ab dem Datum beantragt werden, ab dem der Leistungsempfänger einen Anspruch auf sie hat.</t>
  </si>
  <si>
    <t>Es gibt keine Frist für die Beantragung der Leistung, die Entschädigung kann allerdings nur für 6 Jahre ab dem Zeitpunkt des Antrags gewährt werden.</t>
  </si>
  <si>
    <t>Der Anspruch auf Leistungen erlischt fünf Jahre nach dem Ende des Monats, für welchen die Leistung geschuldet war, d.h. fünf Jahre, nachdem die Person erstmals ärztlicher Behandlung bedarf oder arbeitsunfähig ist.</t>
  </si>
  <si>
    <t>Frist für den Arbeitgeber zur Übermittlung eines Berichts über Berufskrankheiten oder die Bedrohung durch eine Berufskrankheit: 8 Tage.</t>
  </si>
  <si>
    <t>Keine Frist für die Leistungsbeantragung bezüglich eines Arbeitsunfalls oder einer Berufskrankheit.</t>
  </si>
  <si>
    <t>5 Jahre nach dem Versorgungsfall.</t>
  </si>
  <si>
    <t>Das Recht des Arbeitnehmers auf Schadensersatz für Einkommensverluste aufgrund eines Arbeitsunfalls oder einer Berufskrankheit sowie das Recht auf Schadensersatz für den Unterhalt von Hinterbliebenen kann nicht verjähren. Die individuellen Rechte jedoch, die daraus erwachsen, unterliegen einer zeitlichen Verjährungsfrist (3 Jahre). Der Zeitraum für die Beantragung von Schadensersatz für Schmerzen und geringere Beschäftigungsfähigkeit beträgt ebenfalls 3 Jahre ab dem Datum, an dem die geschädigte Partei vom Schaden erfährt und davon, wer für ihn verantwortlich ist.</t>
  </si>
  <si>
    <t>Arbeitsunfallkrankengeld (Baleseti táppénz):
Kann rückwirkend beantragt werden oder 6 Monate nach dem Datum, ab dem der Antrag auf Leistung gestellt wurde. Die Leistung kann ab dem ersten Tag des 6. Monats vor Antragstellung festgelegt werden.
Arbeitsunfallrente (Baleseti járadék):
Der Anspruch wird innerhalb von 3 Jahren ab dem Datum des Unfalls bestätigt oder innerhalb eines Jahres nach Diagnose der Berufsunfallkrankheit.</t>
  </si>
  <si>
    <t>Bei Verletztengeld muss die Person innerhalb einer Frist von 21 Kalendertagen ab dem ersten Tag des Anspruchs der Leistung die Leistung beantragen. 
Bei der Invaliditätsrente muss der Antrag innerhalb von 3 Monaten ab dem ersten Tag des Anspruchs der Leistung gestellt werden.</t>
  </si>
  <si>
    <t>Arbeitsunfälle: keine Karenzzeit.
Berufskrankheiten: Mindestens 15 Tage Arbeitsunfähigkeit.</t>
  </si>
  <si>
    <t>Keine Karenztage.</t>
  </si>
  <si>
    <t>Keine Karenzzeit.</t>
  </si>
  <si>
    <t>Keine Wartezeit.</t>
  </si>
  <si>
    <t>1 Kalendertag Wartezeit für das Krankengeld bei vorübergehender Arbeitsunfähigkeit.</t>
  </si>
  <si>
    <t>Nach Auftreten der Erwerbsunfähigkeit wird die Leistung gezahlt, wenn die Behinderung für mindestens drei aufeinander folgende Tag fortdauert, wobei der Tag, an sich der Unfall ereignet hat, nicht mitgezählt wird (bei einem kürzeren Zeitraum wird keine Beihilfe gezahlt).</t>
  </si>
  <si>
    <t>Keine Karenzfrist für Arbeitsunfälle. Die Leistungsauszahlung beginnt am Tag nach dem Unfall. Die Entlohnung für den Tag des Unfalls wird vollständig vom Arbeitgeber übernommen.
Bei Berufskrankheiten wird das Tagegeld ab dem ersten Tag nach der Arbeitsunterbrechung gezahlt</t>
  </si>
  <si>
    <t>3 Arbeitstage (Montag bis Samstag inklusive).</t>
  </si>
  <si>
    <t>7 Kalendertage, wenn die Arbeitsunfähigkeit für mindestens 10 Kalendertage besteht.</t>
  </si>
  <si>
    <t>Drei Tage bei vorübergehender vollständiger Erwerbsunfähigkeit.</t>
  </si>
  <si>
    <t>Keine Karenztage für Arbeitnehmer.</t>
  </si>
  <si>
    <t>Keine Karenzfrist.</t>
  </si>
  <si>
    <t>Karenzfrist von 1 Tag.</t>
  </si>
  <si>
    <t>Während der ersten drei Arbeitstage der Verletzung oder Krankheit erfolgt eine Entgeltfortzahlung durch den Arbeitgeber.</t>
  </si>
  <si>
    <t>Wartezeit:
   * Lohnfortzahlung: Keine Wartezeit
   * Krankengeld (eine Leistung der Krankenversicherung): 3 Kalendertage. Sofern Arbeitsunfähigkeit nicht innerhalb einer Woche gemeldet wurde, Leistungsbeginn erst ab Meldung.
   * Versehrtenrente: Bei entsprechendem Anspruch nach Ende des Krankengeldanspruchs, spätestens jedoch 26 Wochen nach dem Arbeitsunfall oder dem Eintritt der Berufskrankheit insoweit, als höher als das Krankengeld.
   * Für Kindergartenkinder, Schüler:innen und Studierende fällt die Versehrtenrente erst zu dem Zeitpunkt an, in dem der Schulbesuch voraussichtlich abgeschlossen worden wäre und der Eintritt in das Erwerbsleben erfolgt wäre.</t>
  </si>
  <si>
    <t>Geldleistung bei vorübergehender Arbeitsunfähigkeit (indemnizatie pentru incapacitate temporara de munca) im Falle von Arbeitsunfall oder Berufskrankheit: keine Karenzfrist.</t>
  </si>
  <si>
    <t>Ein Tag. Erfüllt der Versicherte die Entschädigungsanforderungen, erhält der Versicherte einen Ausgleich für zwei Karenztage, wenn die Unfallrente (livränta) gewährt wird.
Selbstständige haben die Wahl für eine Karenzzeit von 1, 14, 30, 60 oder 90 Tagen. Treffen sie keine Entscheidung, beträgt die Karenzzeit 7 Tage.</t>
  </si>
  <si>
    <t>Taggeld:
Der Anspruch auf Taggeld entsteht am dritten Tag nach dem Unfalltag.</t>
  </si>
  <si>
    <t>Verletztengeld (Úrazový príplatok):
Keine Karenzzeit.</t>
  </si>
  <si>
    <t>Arbeitsunfallkrankengeld (Baleseti táppénz) und Arbeitsunfallrente (Baleseti járadék): keine Karenzzeit.</t>
  </si>
  <si>
    <t>3 Tage (berechnet wird Montag bis Samstag).</t>
  </si>
  <si>
    <t>Der Arbeitgeber zahlt das Arbeitsentgelt im ersten Monat zu 100% garantiert (im Weiteren werden 90% vom Versicherungsträger erstattet, der die Leistung im Fall von Arbeitsunfällen am Tag nach dem Unfall zu tragen hat).
Das gleiche Prinzip gilt bei Berufskrankheiten (90 % zulasten von Fedris).
Die garantierte Lohnfortzahlung ist eine gesetzliche Verpflichtung, die durch arbeitsrechtliche Vorschriften auferlegt wird.</t>
  </si>
  <si>
    <t>Keine Lohnfortzahlung durch den Arbeitgeber.</t>
  </si>
  <si>
    <t>Keine Lohnfortzahlung durch den Arbeitgeber oder nur in einzelnen Fällen (für weitere Informationen s. Tabelle III „Krankheit – Geldleistungen“).</t>
  </si>
  <si>
    <t>Kraft Gesetzes (Entgeltfortzahlungsgesetz) Lohnfortzahlung durch Arbeitgeber bis zu 6 Wochen.</t>
  </si>
  <si>
    <t>Keine Lohnfortzahlungen durch den Arbeitgeber.</t>
  </si>
  <si>
    <t>Arbeitgeber können in den ersten vier Wochen aufgrund von Kollektivverträgen auf eigene Rechnung Lohnfortzahlungen (Krankengeld) leisten.</t>
  </si>
  <si>
    <t>Gleiche Regelung wie bei einer allgemeinen Krankheit: Zahlung einer Zulage durch den Arbeitgeber unter bestimmten Bedingungen. Der Arbeitnehmer muss u. a. mindestens ein Jahr im Unternehmen beschäftigt gewesen sein.
Keine Karenzfrist.
Die Dauer der Zahlung richtet sich nach der Betriebszugehörigkeit des Arbeitnehmers. Zahlungsdauer von maximal 180 Kalendertage pro 12-Monats-Zeitraum (ab 31 Jahren Betriebszugehörigkeit).
Der gewährte Betrag richtet sich ebenfalls nach der Dauer der Betriebszugehörigkeit (bei Betriebszugehörigkeit zwischen 1 und 5 Jahren erhält der Arbeitnehmer für 30 Kalendertage 90% seines üblichen Bruttoentgelts und anschließend für weitere 30 Kalendertage 2/3 desselben Entgelts).
Die Zulage wird um die von der Sozialversicherung gezahlten Krankentagegelder gekürzt. Wenn der Arbeitgeber für seinen Arbeitnehmer Beiträge in eine Betriebskrankenkasse einzahlt, zieht er auch die aus seinen Beiträgen berechneten Zulagen ab (Zusatzvorsorge).
Tarifverträge können höhere Lohnfortzahlungen vorsehen.
Wird das Arbeitsentgelt ganz oder teilweise beibehalten, kann der Arbeitgeber auf Antrag die Tagegelder der Krankenversicherung anstelle des Arbeitnehmers erhalten (Forderungsübergang).</t>
  </si>
  <si>
    <t>Gesetzliche Verpflichtung der Arbeitgeber, 50% des Bruttolohns für die ersten 3 Krankheitstage zu zahlen. Ab dem 4. Tag bis zum 15. Tag zahlt der Arbeitgeber die Differenz zwischen dem von der e-EFKA bereitgestellten Krankengeld und dem Bruttolohn des Arbeitnehmers.
Siehe Tabelle III „Krankheit – Geldleistungen“ für nähere Angaben.</t>
  </si>
  <si>
    <t>Es gibt keine gesetzliche Verpflichtung für Arbeitgeber, Lohnfortzahlungen vorzunehmen, manche Arbeitgeber tun dies aber dennoch.</t>
  </si>
  <si>
    <t>Es gibt keine gesetzliche Verpflichtung. Tarifverträge sehen, je nach Vertrag, für einen bestimmten Zeitraum Fortzahlungen von Löhnen und Gehältern durch die Arbeitgeber vor, in welchem Fall keine Geldleistungen gewährt werden, bis die Lohnzahlungen eingestellt wurden.</t>
  </si>
  <si>
    <t>Lohnfortzahlung durch den Arbeitgeber (volle Lohnfortzahlung nach Arbeitsgesetz). Der Arbeitgeber antizipiert die Geldleistung welche dann von der INAIL erstatte wird.</t>
  </si>
  <si>
    <t>Arbeitgeber sind gesetzlich verpflichtet, bei Arbeitunfällen auf eigene Rechnung Krankengeld an ihre Arbeitnehmer zu zahlen. Der Gesamtzeitraum der Lohnfortzahlung durch den Arbeitgeber beginnt am ersten Tag nach dem Unfall und währt für 10 durchgehende Kalendertage. Die staatliche Sozialversicherungsanstalt zahlt für den folgenden Zeitraum der vorübergehenden Arbeitsunfähigkeit.
Ab dem ersten Tag soll der versicherten Person das Krankengeld in der Höhe von 80% des durchschnittlichen Bruttoentgelts, auf das Beiträge gezahlt wurden, gewährt werden.</t>
  </si>
  <si>
    <t>Der Arbeitgeber ist zur Lohnfortzahlung verpflichtet.
Die Lohnfortzahlung beträgt 80% des bisherigen Bruttolohnes (maximal  CHF 148.200 (€158.350) jährlich).
Anspruchsbeginn ist der erste Tag nach dem Unfall.
Anspruch auf Taggeld bis zur Wiedererlangung der vollen Arbeitsfähigkeit, dem Beginn einer Rente oder dem Tod.
Die Auszahlung erfolgt in der Regel monatlich durch den Arbeitgeber.</t>
  </si>
  <si>
    <t> Keine Lohnfortzahlung durch den Arbeitgeber.</t>
  </si>
  <si>
    <t>Bei vorübergehender Arbeitsunfähigkeit infolge eines Arbeitsunfalls hat der Arbeitnehmer vom ersten Tag an Anspruch auf die volle Fortzahlung seines Arbeitsentgelts und andere Leistungen aus dem Arbeitsvertrag bis zum Ende des Kalendermonats, in dem der 77. Tag der Arbeitsunfähigkeit eintritt, während eines Bezugszeitraums von 18 aufeinanderfolgenden Kalendermonaten.
Der Unfallversicherungsverband (Association d’assurance accident, AAA) erstattet dem Arbeitgeber 80% des an den Arbeitnehmer gezahlten Entgelts, zuzüglich des Arbeitgeberanteils an den Sozialversicherungsbeiträgen.</t>
  </si>
  <si>
    <t>Arbeitgeber zahlen das volle Entgelt in den ersten 3 Arbeitstagen der Schädigung auf eigene Kosten; in den folgenden Tagen zahlen sie im Auftrag des Amts für soziale Sicherung für die maximale Gesamtzahl von Tagen (oder halben Tagen) des Krankenstands, auf die der Arbeitnehmer laut Arbeitsrecht (Wage Regulation Order) oder individuellem Tarifvertrag Anspruch hat (wo anwendbar).
Das Unfallgeld (Benefiċċju għal Korriment) wird direkt an die versicherte Person gezahlt; anschließend erstattet sie dem Arbeitgeber den entsprechenden Betrag. Beträgt die Leistung weniger als das Entgelt des Arbeitnehmers, stockt der Arbeitgeber den Unterschied auf.</t>
  </si>
  <si>
    <t>Der Arbeitgeber ist gesetzlich verpflichtet, die ersten 16 Tage des Krankengeldes zu zahlen (Arbeitgeberzeitraum). Während dieser 16 Tage ist der Arbeitgeber nur verpflichtet, Krankengeld für Tage zu zahlen, für die Löhne gezahlt worden wären. Wenn ein Arbeitnehmer beispielsweise an nur einem Tag in der Woche arbeitet und an mindestens 16 Kalendertagen erkrankt, zahlt der Arbeitgeber Krankengeld für zwei (oder drei) Tage. Dies entspricht dem vollen Lohn während des Arbeitgeberzeitraums. Ab dem 17. Kalendertag zahlt der Arbeits- und Wohlfahrtsdienst (Nav) das Krankengeld.
Siehe Tabellen III "Leistungen bei Krankheit" und
V “Leistungen bei Invalidität".
Aufstockung von der Arbeitsunfallversicherung (yrkesskadeforsikring), um den Verlust von Auwendungen abzudecken, die nicht durch Leistungen aus der Volksversicherung kompensiert werden.</t>
  </si>
  <si>
    <t>Arbeiter:innen und Angestellte haben je nach Dauer des Arbeitsverhältnisses zwischen 6 und 12 Wochen Anspruch auf Weitergewährung des vollen Lohns (von dem:der Arbeitgeber:in gezahlt). Danach besteht für weitere 4 Wochen Anspruch auf Weitergewährung des halben Lohns.
Verpflichtung der unverzüglichen Meldung im Falle einer Krankheit. Als Beginn der Arbeitsunfähigkeit gilt in der Regel der von dem:der Arzt:Ärztin Arzt festgestellte Tag.
Nach dem Entgeltfortzahlungszeitraum steht Krankengeld aus der Sozialversicherung zu.
Unter bestimmten Voraussetzungen ist ein Zuschuss zur Entgeltfortzahlung für Arbeitgeber:innen möglich.</t>
  </si>
  <si>
    <t xml:space="preserve">Lohnfortzahlung (Kontunuacja wypłaty wynagrodzenia) durch den Arbeitgeber (ab dem ersten Tag der Krankheit) während:
   * der ersten 33 Kalendertage der Krankheit oder
   * 14 Kalendertagen für Personen ab 50 Jahren.
Die Lohnfortzahlung beträgt 100% der monatlichen Bemessungsgrundlage. </t>
  </si>
  <si>
    <t>Keine Lohnfortzahlung.</t>
  </si>
  <si>
    <t>Geldleistung bei vorübergehender Arbeitsunfähigkeit (indemnizatia pentru incapacitate temporara de munca) aufgrund von Arbeitsunfällen oder Berufskrankheiten: wird in den ersten 3 Kalendertagen der Erwerbsunfähigkeit vom Arbeitgeber gezahlt und anschließend aus dem System für Arbeitsunfälle und Berufskrankheiten.
Der Arbeitgeber ist gesetzlich verpflichtet, 80% (oder 100% bei medizinischen Notfällen) vom durchschnittlichen Bruttomonatseinkommen zu zahlen, das der Arbeitnehmer 6 Monate vor dem Arbeitsunfall oder der Berufskrankheit verdient hat (oder 100% bei medizinischen Notfällen oder schweren Verbrennungen, die kritische Körperbereiche oder erhebliche Anteile der Körperfläche betreffen). Die Zahlung setzt am ersten Tag der vorübergehenden Arbeitsunfähigkeit ein, basierend auf dem ärztlichen Attest, das in Über-einstimmung mit den gesetzlichen Bestimmungen ausgestellt wurde. Die Arbeitgeber zahlen im Auftrag der Sozialversicherung und erhalten eine Erstattung.</t>
  </si>
  <si>
    <t>Gemäss Arbeitsrecht hat der Arbeitgeber während der ersten 2 Tage 80% des Lohnes zu entrichten.</t>
  </si>
  <si>
    <t>Der Arbeitgeber leistet auf eigene Rechnung Lohnfortzahlungen während der ersten 10 Tage der Erwerbsunfähigkeit. Gleiche Regeln wie für kranke Arbeitnehmer (siehe Tabelle III „Krankheit, Lohnfortzahlung durch den Arbeitgeber“).</t>
  </si>
  <si>
    <t>Entschädigung im Krankheitsfall wird vom Arbeitgeber während der ersten 30 Arbeitstage auf eigene Rechnung gezahlt. Der gezahlte Betrag entspricht 100% der Basis (d.h. des durchschnittlichen Monatslohns sowie Beihilfen, die im Kalenderjahr vor dem Jahr gezahlt wurden, in dem die vorübergehende Abwesenheit vom Arbeitsplatz auftrat).</t>
  </si>
  <si>
    <t>Keine Lohnfortzahlung durch den Arbeitgeber oder nur in bestimmten Fällen.</t>
  </si>
  <si>
    <t>Bei einem Arbeitsunfall oder einer Berufskrankheit erhält der Arbeitnehmer
   * während der ersten 14 Kalendertage Schadensersatz für Lohn oder Gehalt vom Arbeitgeber (mindestens 60% vom Durchschnittseinkommen);
   * ab dem 15. Kalendertag Krankengeld vom Sozialversicherungssystem (siehe Tabelle III Krankheit - Geldleistungen);
   * für den gesamten Zeitraum der vorübergehenden Erwerbsunfähigkeit Schadensersatz für den Einkommensverlust (bis zu 100% der vorherigen Einkommens) vom Arbeitgeber.
Schadensausgleich (Kompenzace) wird vom Arbeitgeber gezahlt, der den Betrag anschließend von der Versicherungsgesellschaft erstattet bekommt (entweder Generali Česká pojišťovna oder Kooperativa pojišťovna). Es gibt keine Beteiligung von öffentlichen Behörden.
Entschädigung für einen Einkommensverlust nach Beendigung der vorübergehenden Erwerbsfähigkeit: Sobald die Erwerbsunfähigkeit vorüber ist oder eine volle oder teilweise Behinderung anerkannt wurde, hat der Arbeitnehmer Anspruch auf Entschädigung für seinen Einkommensverlust, d.h. die Differenz zwischen seinem Durchschnittseinkommen vor der Erkrankung/Einschränkung und seinem Einkommen nach dem Arbeitsunfall bzw. der Diagnose der Berufskrankheit. Die Entschädigung zahlt der Arbeitgeber, einschließlich, wo angebracht, volle oder teilweise Invaliditätsrente, wenn die Ursache in demselben Unfall/ derselben Berufskrankheit liegt.
Der Arbeitgeber zahlt diese Entschädigung jeden Monat bis zum Ende des Kalendermonats, in dem der Empfänger 65 Jahre alt wird oder bis zum Tag, ab dem die Altersrente gewährt wird.</t>
  </si>
  <si>
    <t>Keine Lohnfortzahlung durch den Arbeitgeber oder nur in einigen Fällen.</t>
  </si>
  <si>
    <t>Arbeitgeber sind nicht gesetzlich verpflichtet, ihren Arbeitnehmern während des Zeitraums bis zum Eintritt des Leistungsfalls weiterhin Lohn/Gehalt zu zahlen.
In einigen Fällen wird sich der Arbeitgeber dafür entscheiden, die Differenz zwischen der Höhe des Bruttolohns/Gehalts und der Höhe der Leistung zu zahlen.
Wenn der Arbeitgeber während des Zeitraums, in dem der Arbeitnehmer normalerweise Anspruch auf Verletztengeld hätte, weiterhin das volle Bruttogehalt zahlt, wird der Antrag auf Verletztengeld abgelehnt.</t>
  </si>
  <si>
    <t>Die Beurteilung des Leistungsanspruchs richtet sich nach dem Grad der Arbeitsfähigkeit (den verbleibenden Fähigkeiten).
Beurteilung auf der Grundlage der bisherigen Beschäftigung während der vorübergehenden Arbeitsunfähigkeit und in Bezug auf den Arbeitsmarkt bei ständiger Arbeitsunfähigkeit.
Eine Leistung für die Hilfe Dritter kann gewährt werden, wenn das Opfer alltägliche Aktivitäten nur unter Schwierigkeiten ausführen kann. Diese Ergebnisse werden als Prozentsatz der Arbeitsunfähigkeit ausgedrückt.
Kein festgelegtes Mindestmaß an Arbeitsfähigkeit/-unfähigkeit.</t>
  </si>
  <si>
    <t>Voraussetzung für die Gewährung einer Invaliditätsrente aufgrund eines Arbeitsunfalls oder einer Berufskrankheit ist eine dauerhafte Arbeitsunfähigkeit.
Die Beurteilung der Arbeitsfähigkeit erfolgt in diesem Fall durch die sogenannten Territorialen Medizinischen Fachausschüsse (Териториални експертни лекарски комисии). Die Territorialen Medizinischen Fachausschüsse setzen sich aus Fachärzten zusammen.
Personen mit dauerhaft eingeschränkter Erwerbsfähigkeit werden in 3 Gruppen eingeteilt:
   * Gruppe I) Personen mit verminderter Arbeitsfähigkeit/ Behinderungsgrad über 90%
   * (Gruppe II) Personen mit reduzierter Arbeitsfähigkeit/ Behinderungsgrad von 71% bis 90%
   * (Gruppe III) Personen mit verminderter Erwerbsfähigkeit/ Invaliditätsgrad von 50 % bis 70,99 %
Versicherte Personen, die aufgrund eines Arbeitsunfalls oder einer Berufskrankheit zu 50 % oder mehr erwerbsgemindert sind, haben unabhängig von den zurückgelegten Versicherungszeiten Anspruch auf Invaliditätsrente.
Voraussetzung für die Gewährung von Geldleistungen bei vorübergehender Erwerbsunfähigkeit aufgrund eines Arbeitsunfalls oder einer Berufskrankheit ist, dass eine vorübergehende Erwerbsunfähigkeit vorliegt. Diese wird von den Fachärzten festgestellt.</t>
  </si>
  <si>
    <t>Entschädigung für den Verlust der Erwerbsfähigkeit (erstatning for tab af erhvervsevne):
Der Grad der Erwerbsminderung wird auf der Grundlage der Aussichten der verletzten Person beurteilt, ihren Lebensunterhalt durch eine Arbeit zu verdienen, die in Anbetracht ihrer Fähigkeiten, ihrer Ausbildung und der Möglichkeiten einer Umschulung angemessen ist.
Die Entschädigung wird auf der Grundlage des geschätzten zukünftigen Verlusts der Erwerbsfähigkeit bemessen. Eine Entschädigung wird nicht gewährt, wenn die Minderung der Erwerbsfähigkeit weniger als 15% beträgt.
Ausgleich für dauerhafte Schädigung (méngodtgørelse):
Der Grad der dauerhaften Schädigung wird auf der Grundlage der medizinischen Art und des Ausmaßes der Verletzung und unter Berücksichtigung der durch den Arbeitsunfall verursachten Beschwernisse im persönlichen Leben der verletzten Person beurteilt.
Die dauerhafte Schädigung wird als Prozentsatz nach einer Tabelle (Méntabel) ermittelt. Ein Ausgleich wird nicht gewährt, wenn der Grad der dauerhaften Schädigung mit weniger als 5% angesetzt wird.</t>
  </si>
  <si>
    <t>Bei unfallbedingter Arbeitsunfähigkeit Übernahme der Heilbehandlungskosten und Zahlung von Verletztengeld.
Sofern eine Minderung der Erwerbsfähigkeit von mind. 20% über die 26. Woche nach dem Arbeitsunfall hinaus besteht, Anspruch auf Unfallrente (wann eine Unfallrente gezahlt wird, hängt von der Feststellung im Einzelfall je nach Heilverlauf und der konkreten Unfallfolgen ab).</t>
  </si>
  <si>
    <t>Vorübergehende Arbeitsunfähigkeit:
Die Person hat Anspruch auf Krankengeld. Krankengeld wird auf der Basis einer ärztlich attestierten Bestätigung der vorübergehenden Arbeitsunfähigkeit gezahlt.
Dauerhafte Arbeitsunfähigkeit:
Die Person hat Anspruch auf Arbeitsfähigkeitsbeihilfe bei reduzierter Erwerbsfähigkeit. Es ist kein Mindestgrad an Arbeitsunfähigkeit festgelegt.
Die Arbeitsfähigkeit wird von der Arbeitslosenversicherung unter Einbeziehung von Gesundheitsdienstleistern und, wo nötig, anderen Fachleuten beurteilt.
Die Leistungsempfänger müssen zumindest als teilweise arbeitsfähig eingestuft werden (oder nicht mehr erwerbsfähig).</t>
  </si>
  <si>
    <t>Der Anspruch auf Leistungen bei Arbeitsunfällen und Berufskrankheiten beruht auf dem Grad der Erwerbsunfähigkeit. Die Bewertungskriterien beziehen sich auf den Grad der Erwerbsunfähigkeit entweder am früheren Arbeitsplatz oder bei jeglicher Tätigkeit.
Die Erwerbsfähigkeit einer Person muss um mindestens 10% verringert sein und die Verringerung des Betrags des Jahresentgelts muss mindestens 5% betragen.
Es gibt keine Unterschiede bei der Bewertung von vorübergehender und dauerhafter Invalidität.</t>
  </si>
  <si>
    <t>Der Anspruch auf eine Leistung bei Arbeitsunfällen oder Berufskrankheiten wird auf der Grundlage des Grades der Arbeitsunfähigkeit des Arbeitnehmers (Arbeitsunfähigkeit) beurteilt. Kein Mindestgrad an Arbeitsfähigkeit/-unfähigkeit.
Der Grad der permanenten Arbeitsunfähigkeit berücksichtigt das Alter, die beruflichen Qualifikationen und Fähigkeiten, den Gesundheitszustand des Opfers und die Art der Behinderung.</t>
  </si>
  <si>
    <t>Infolge einer Krankheit oder geistigen oder körperlichen Behinderung kann keiner Beschäftigung nachgegangen werden, die den persönlichen Stärken, Fähigkeiten und Ausbildung sowie der gewohnten beruflichen Tätigkeit entspricht.
Die Ergebnisse der Anwendung dieses Kriteriums werden in Prozent ausgedrückt:
   * schwere Invalidität: Invalidität von über 80%;
   * normale Invalidität: Invalidität zwischen 67% und 79,99%;
   * Teilinvalidität: Invalidität zwischen 50% und 66,99%.
Mindestlevel für einen Anspruch auf Invalidenrente: 50%.
Siehe Tabelle V “Invalidität” für nähere Angaben.</t>
  </si>
  <si>
    <t>Die verletzte Person muss am Tag des Unfalls oder dem Datum des Krankheitsbeginns bei einer der PRSI-Klassen versicherbar sein.
Personen, die in der PRSI-Klasse B versichert sind, sind nicht anspruchsberechtigt für die Zahlung von Arbeitsunfallgeld, haben aber Anspruch auf eine Erklärung, dass sich ein Arbeitsunfall ereignete und können für andere Leistungen im Rahmen des Arbeitsunfallsystems leistungsberechtigt sein.
Der Unfall muss sich im Rahmen und während des sozialversicherungspflichtigen Beschäftigungsverhältnisses ereignet haben.
Der Antragsteller muss arbeitsunfähig sein. Dies wird von einem Hausarzt festgestellt, der ein ärztliches Attest (Arbeitsunfähigkeitsattest) ausstellt.
Kein Mindestgrad an Arbeitsfähigkeit/-unfähigkeit festgelegt.
Es gibt keine Unterschiede zwischen vorübergehender und dauerhafter Erwerbsunfähigkeit für Arbeitsunfallgeld.</t>
  </si>
  <si>
    <t>Es ist kein Mindestlevel von Erwerbsfähigkeit/-unfähigkeit festgelegt; das Kriterium ist lediglich die Arbeitsunfähigkeit. Für eine Anspruchsberechtigung auf Leistungen bei Arbeitsunfällen oder Berufskrankheiten muss der Unfall auf ein äußerliches und unvorhergesehenes Ereignis zurückzuführen sein.
Führt eine Verletzung zu dauerhafter Behinderung, wird eine Pauschale gezahlt.</t>
  </si>
  <si>
    <t>Die Hauptkriterien, die zur Bewertung eines Anspruchs auf Leistungen bei Arbeitsunfällen oder Berufskrankheiten genutzt werden, beziehen sich auf den Grad des biologischen Schadens (danno biologico). Dieser wird aufgrund des Grades der Verringerung der Erwerbsfähigkeit (entweder am früheren Arbeitsplatz oder für jegliche Beschäftigung) sowie aufgrund sämtlicher negativer Auswirkungen des Schadens festgestellt und wird als ein Prozentsatz der „normalen“ Erwerbsfähigkeit ausgedrückt.
Mindestmaß der Beeinträchtigung oder Verringerung der Erwerbsfähigkeit:
   * keine Entschädigung unterhalb eines biologischen Schadens bis zu 6%;
   * Kapitalzahlung bei biologischem Schaden zwischen 6% und 15%;
   * Zahlung einer Rente bei biologischem Schaden von 16% und darüber.
Vorübergehende und dauerhafte Erwerbsunfähigkeit sind bedeutsam bezüglich des Grads der Beeinträchtigung, die die Ursache für die Erwerbsunfähigkeit ist.
Vorübergehende Erwersbunfähigkeit wird bei Menschen mit Behinderung bewertet und in zeitlichen Abständen überprüft, deren Grad der Beeinträchtigung 60% des biologischen Schadens nicht überschreitet.</t>
  </si>
  <si>
    <t>Arbeitsbezogene Verletzungen werden als Arbeitsunfall angesehen, wenn sie den Bedingungen entsprechen, die im Gesetz über die Pflichtversicherung festgelegt sind. Es wird also bewertet, ob diese Bedingungen zum Zeitpunkt der Verletzung bestanden (Verletzung entstanden durch direkte und kurze mechanische, physische oder chemische Tätigkeit sowie Verletzung verursacht durch plötzliche Veränderung der Körperhaltung, plötzliche Krafteinwirkung auf den Körper oder andere Veränderungen des physischen Zustands des Organismus; Krankheit als direkte oder indirekte Folge eines Unfalls oder höherer Gewalt während der Arbeitszeit, der Ausübung von Tätigkeiten oder im Zusdammenhang mit der Ausübung der Tätigkeit, aufgrund derer die versicherte Person in der gesetzlichen Krankenkasse versichert ist.
Es gibt keine Unterschiede zwischen vorübergehender und dauerhafter Erwerbsunfähigkeit.</t>
  </si>
  <si>
    <t>Die Staatliche Kommission der Fachärzte für Gesundheit und Arbeitsfähigkeit (Veselības un darbspēju ekspertīzes ārstu valsts komisija) führt eine Untersuchung durch Fachleute durch und legt den Grad der Arbeitsunfähigkeit fest.
   * Gruppe I – sehr schwere Invalidität, wenn der Verlust der Arbeitsfähigkeit 80-100% beträgt,
   * Gruppe II - schwere Invalidität, wenn der Verlust der Arbeitsfähigkeit 60-79% beträgt,
   * Gruppe III – mittelschwere Invalidität, wenn der Verlust der Arbeitsfähigkeit 25-59% beträgt.
Mindestreduzierung der Arbeitsfähigkeit: 25%.</t>
  </si>
  <si>
    <t>Für die Bemessung der Invalidität wird das "als Invalider zumutbare Erwerbseinkommen" (sog. Invalideneinkommen) in Beziehung gesetzt zu dem "als Gesunder erzielten Einkommen" (sog. Valideneinkommen). Die "invaliditätsbedingte Erwerbseinbuße" (Differenz zwischen Valideneinkommen und Invalideneinkommen) in Prozenten zum Valideneinkommen entspricht dem Invaliditätsgrad.
Kein Anspruch bei einer Arbeitsunfähigkeit von weniger als 25%.</t>
  </si>
  <si>
    <t>Der Anspruch auf Leistungen bei Arbeitsunfall oder Berufskrankheit wird definiert über den Verlust der Teilhabefähigkeit, ausgedrückt in Prozentsätzen.
Der Todesfall aufgrund eines Arbeitsunfalls oder einer Berufskrankheit wird als 100% Verlust der Teilhabefähigkeit betrachtet.
Abhängig vom Grad des Verlusts der Teilhabefähigkeit aufgrund eines Arbeitsunfalls (Dienstunfalls) auf dem Weg zu Arbeit/Dienst oder zurück oder einer Berufskrankheit haben Personen Anspruch auf: 
   * eine einmalige Entschädigung bei Verlust der Teilhabefähigkeit (netekto dalyvumo vienkartinė kompensacija), wenn der Verlust bei bis zu 29% liegt (vorübergehender Verlust der Teilhabefähigkeit);
   * regelmäßige Entschädigung bei Verlust der Teilhabefähigkeit (netekto dalyvumo periodinė kompensacija), wenn der Verlust zwischen 30% und 100% liegt (dauerhafter Verlust der Teilhabefähigkeit).</t>
  </si>
  <si>
    <t>Die Vollrente wird gewährt, wenn der Versicherte vorübergehend oder dauerhaft vollständig arbeitsunfähig ist.
Die Überbrückungsrente wird einem Versicherten gewährt, der auf der Suche nach einem neuen Arbeitsplatz ist, wenn er nicht mehr die Tätigkeit ausüben kann, die er zum Zeitpunkt des Unfalls ausgeübt hat. Der Versicherte muss eine dauerhafte Invalidität von mindestens 10% aufweisen.
Die Teilrente wird dem Versicherten gewährt, der nach der Rückkehr in den Beruf einen unfallbedingten Gehalts-/Lohnausfall erlitten hat. Der Versicherte muss einen Gehalts-/Lohnausfall von mindestens 10% nachweisen und muss zu mindestens 10% dauerhaft arbeitsunfähig sein.
Dem Versicherten kann eine Entschädigung für außerfamiliäre Schäden gewährt werden, wenn er nach der Konsolidierung ganz oder teilweise dauerhaft arbeitsunfähig ist. Kein Mindestinvaliditätsgrad.</t>
  </si>
  <si>
    <t>Für die Bestimmmung des Leistunganspruchs beziehen sich die benutzten Hauptkriterien auf das Ausmaß, in dem die Fähigkeiten zur Ausübung sowohl von Erwerbstätigkeit als auch von Alltagstätigkeiten aufgrund des Arbeitsunfalls oder der Berufskrankheit beeinträchtigt sind.
In Fällen, in denen Unfall oder Berufskrankheit zu einem vorübergehenden oder dauerhaften Verlust physischer oder mentaler Fähigkeiten führen, hat die betroffene Person einen Anspruch auf Unfallgeld (Benefiċċju għal Korriment) oder eine Unfallrente (Pensjoni tal-Korriment). Das Ausmaß der physischen oder mentalen Beeinträchtigungen, auch ein möglicher Verlust von Erwerbsfähigkeit oder zusätzlich entstehende Kosten, wird bewertet und mit einer Person gleichen Alters mit unversehrtem physischem und psychischem Zustand verglichen.
Der Grad der Erwerbsunfähigkeit wird durch einen Prozentsatz ausgedrückt: beträgt er unter 20%, hat die versicherte Person Anspruch auf Unfallgeld; bei einem Grad zwischen 20% und 89% besteht ein Anspruch auf Unfallrente. Bei einer Erwerbsunfähigkeit von 90% und mehr hat die Person automatisch Anspruch auf Unfallrente (siehe Tabelle V).</t>
  </si>
  <si>
    <t>Geschädigte von Arbeitsunfällen können Anspruch auf Invaliditätsleistungen haben, vorausgesetzt, ihre Arbeits- oder Erwerbsfähigkeit ist dauerhaft verringert, d.h. angemessene Behandlung und Rehabilitation müssen erfolgt sein. Sind die Arbeits- oder Erwerbsfähigkeit vorübergehend verringert, können Geschädigte von Arbeitsunfällen Anspruch auf und Zulage zur Arbeitsbeurteilung haben.
Um als Geschädigter von Arbeitsunfällen Anspruch auf Invaliditätsleistungen zu haben, muss die Erwerbsfähigkeit um mindestens 30% verringert sein. Als Erwerbsfähigkeit gilt die Fähigkeit, ein ruhegehaltsfähiges Erwerbseinkommen zu verdienen. Der Grad der Einschränkung wird auf der Basis der Fähigkeit der Person festgelegt, eine Erwerbstätigkeit auszuüben.
Bei der Beurteilung des Grades der verringerten Erwerbsfähigkeit wird die Fähigkeit einer Person, ein Einkommen aus jeglicher ihr möglichen Beschäftigung zu verdienen, mit den Einkunftsmöglichkeiten der Person verglichen, die sie vor dem Arbeitsunfall hatte. Daher resultiert der Grad der Einschränkung einer Person aus einem Vergleich ihrer Erwerbsfähigkeit vor und nach der Verletzung.
Im Rahmen der Arbeitsunfallversicherung gibt es für einen Anspruch auf Entschädigung keine Untergrenze bezüglich des Grades der Einschränkung.</t>
  </si>
  <si>
    <t>Für die Erbringung von Sachleistungen ist kein Mindestmaß an Erwerbsfähigkeit/-unfähigkeit festgelegt.
Bei der Versehrtenrente ist der Grad der Minderung der Erwerbsfähigkeit (als Prozentsatz der vorherigen Erwerbsfähigkeit) von Bedeutung.
Mindestmaß an Minderung der Erwerbsfähigkeit: 20% für drei Monate nach dem Eintritt des Versicherungsfalles.
50% für drei Monate nach Eintritt des Versicherungsfalles, wenn es um den Rentenanspruch für Kindergartenkinder, Schüler:innen und Student:innen geht und in Fällen einer Berufskrankheit nach der Generalklausel (nicht in der Liste).</t>
  </si>
  <si>
    <t>Die Anspruchsberechtigung für die Leistung ist abhängig vom vollständigen oder teilweisen Verlust der Erwerbsfähigkeit aufgrund eines Arbeitsunfalls oder einer Berufskrankheit.
Die Kriterien zur Bewertung von Anspruchsberechtigung hängen zusammen mit dem Ausmaß der Einschränkung und der Möglichkeit, die Erwerbsfähigkeit durch Medikamente und Rehabilitation wiederherzustellen; der Fähigkeit, die derzeitige Arbeit oder eine andere Art der Arbeit auszuüben sowie der Wahrscheinlichkeit einer beruflichen Umschulung (auch hinsichtlich Ausbildung und Alter).
Es ist kein Mindestgrad von Erwerbsfähigkeit/-unfähigkeit vorgeschrieben.
Erwerbsunfähigkeit wird entsprechend der verbliebenen Arbeitsfähigkeit als „vollständig” oder „teilweise” definiert:
   * vollständig, wenn die Person die Befähigung zu jeglicher Arbeit verloren hat. Dies berechtigt zum Anspruch auf dauerhafte Arbeitsunfallrente (Renta z tytułu wypadku przy pracy) oder Berufskrankheitsrente (Renta z tytułu choroby zawodowej);
   * teilweise bei einem Verlust der Fähigkeit – in erheblichem Ausmaß - eine der Qualifikation entsprechende Arbeit auszuüben. Dies berechtigt zum Anspruch auf teilweise Arbeitsunfallrente (Renta z tytułu wypadku przy pracy) oder Berufskrankheitsrente (Renta z tytułu choroby zawodowej).</t>
  </si>
  <si>
    <t>Der Invaliditätsgrad wird nach der nationalen Invaliditätsskala für Arbeitsunfälle und Berufskrankheiten ermittelt.
Der Grad der Invalidität wird durch Koeffizienten definiert, die in Prozentsätzen ausgedrückt werden und je nach Art und Schwere der Verletzung, dem Allgemeinzustand, dem Alter und dem Beruf des Opfers sowie der verbleibenden Funktionsfähigkeit für die Ausübung einer anderen verträglichen Tätigkeit und anderen Umständen, die die Arbeits- oder Erwerbsfähigkeit beeinflussen können, bestimmt werden.
Es wird zwischen zwei Arten von Arbeitsunfähigkeit unterschieden:
   * Vorübergehende Arbeitsunfähigkeit - liegt vor, wenn der Unfall oder die Berufskrankheit zu Einschränkungen führt, die aus funktioneller Sicht die Erfüllung der beruflichen Aufgaben ganz oder teilweise verhindert. Die vorübergehende Arbeitsunfähigkeit kann vollständig oder teilweise sein.
   * Dauerhafte Arbeitsunfähigkeit - definiert als irreversible Schäden, Folgeerscheinungen oder Funktionsstörungen, die die Ausübung des Berufs und die Erwerbsfähigkeit beeinträchtigen. Dauerhafte Invalidität kann vollständig sein (für die normale Arbeit oder andere Tätigkeiten)
Kein Mindestmaß an Arbeitsfähigkeit/-unfähigkeit vorgegeben.</t>
  </si>
  <si>
    <t>Geldleistung bei vorübergehender Arbeitsunfähigkeit (indemnizatie pentru incapacitate temporara de munca) aufgrund von Arbeitsunfällen oder Berufskrankheiten: das Hauptkriterium ist die Anerkennung des Arbeitsunfalls/der Berufskrankheit. Kein Mindestgrad an Erwerbsfähigkeit/-unfähigkeit für die Anspruchsberechtigung festgelegt.
Invalidenrente (pensie de invaliditate): siehe Tabelle V „Invalidität”.</t>
  </si>
  <si>
    <t>Das Hauptkriterium für die Beurteilung des Anspruchs auf Unfallrente (livränta) be-zieht sich auf die verringerte Erwerbsfähigkeit der verletzten Person, d.h. das Einkommen muss für mindestens ein Jahr im Voraus mindestens 1/15 des Jahreseinkommens betragen. Die Höhe des Einkommensverlusts muss ebenfalls mindestens ein Jahr lang 1/4 der Grundbetrags betragen (d.h. SEK 58.800 (€5.345)).
Die Unfallrente zielt darauf ab, Einkommensverluste aufgrund von Arbeitsunfällen auszugleichen und kann deshalb auch dann gewährt werden, wenn die Person weiterhin in Vollzeit erwerbstätig ist.</t>
  </si>
  <si>
    <t>Taggeld (vorübergehende Arbeitsunfähigkeit):
Ganz oder teilweise arbeitsunfähig sein.
Invalidenrente (bleibende Arbeitsunfähigkeit):
Zu mindestens 10% invalid sein. Invalidität ist die voraussichtlich bleibende oder längere Zeit dauernde ganze oder teilweise Erwerbsunfähigkeit. Der Grad der Invalidität wird, unabhängig von der Art der Tätigkeit festgelegt, indem man die Erwerbsfähigkeit der versicherten Person mit ihrer gesundheitlichen Beeinträchtigung (Invalideneinkommen) und ohne diese Beeinträchtigung (Valideneinkommen) vergleicht.</t>
  </si>
  <si>
    <t>Der Grad der Erwerbsunfähigkeit basiert auf der Fähigkeit, die frühere Arbeitstätigkeit auszuüben und wird als Prozentsatz ausgedrückt.
   * Die Mindestverringerung der Erwerbsfähigkeit ist wie folgt:
   * Einmalige Abfindung (Jednorazové vyrovnanie): Eine Verringerung von mindestens 10% (höchstens 40%) der Fähigkeit des Arbeitnehmers, die frühere Arbeitstätigkeit auszuüben;
   * Unfallrente (Úrazová renta): Eine Verringerung von mindestens 41% der Fähigkeit des Arbeitnehmers, die frühere Arbeits-tätigkeit auszuüben.</t>
  </si>
  <si>
    <t>Das System für obligatorische Krankenversicherung deckt Risiken bezüglich vorübergehender Erwerbsunfähigkeit ab, während das Risiko dauerhafter Invalidität oder Tod vom obligatorischen Alters- und Invaliditätssystem abgedeckt ist.
Für vorübergehende Erwerbsunfähigkeit siehe Tabelle III, „Krankheit - Geldleistungen, medizinische Bescheinigung/Meldung”.
Für die Hauptkriterien bezüglich der Beurteilung der dauerhaften Invalidität siehe Tabelle V, „Invalidität, Bedingungen, Beurteilungs-kriterien und Kategorien von Erwerbsfähigkeit/-unfähigkeit.”</t>
  </si>
  <si>
    <t>Das Hauptkriterium ist die Anerkennung des Arbeitsunfalls oder der Berufskrankheit. Invalidität (dauerhafte Arbeitsunfähigkeit) wird entsprechend der prozentualen Verringerung der Arbeitsfähigkeit bewertet. Für eine Anspruchsberechtigung auf die Leistung muss eine Verringerung von mindestens 33% der normalen Fähigkeit vorliegen, die gewohnte Beschäftigung auszuüben.
Im Fall einer vorübergehenden Arbeitsunfähigkeit gibt es bis zur Genesung eine medizinische Bescheinigung der Arbeitsunfähigkeit.</t>
  </si>
  <si>
    <t>Die Anspruchsberechtigung auf Schadensersatz wird auf der Basis des Einkommensverlusts des Antragstellers aufgrund eines Arbeitsunfalls oder einer Berufskrankheit beurteilt.
Kein Mindestgrad von Erwerbsfähigkeit/unfähigkeit festgelegt.</t>
  </si>
  <si>
    <t>Die Hauptkriterien für einen Anspruch auf Arbeitsunfallkrankengeld (Baleseti táppénz) oder Arbeitsunfallrente (Baleseti járadék) ist die Anerkennung eines Arbeitsunfalls oder einer Berufskrankheit.
Zusätzlich muss für die Arbeitsunfallrente die Erwerbsfähigkeit des Antragstellers um mehr als 13% verringert sein; überdies hat der Antragsteller keinen Anspruch auf Altersrente aufgrund einer Behinderung.</t>
  </si>
  <si>
    <t>Eine Untersuchung wird durchgeführt, um festzustellen, ob das Risiko, dem die Person ausgesetzt war, oder die diagnostizierte Krankheit tatsächlich eine Folge der Art der Arbeit war, die die Person verrichtete und für die der Selbstständige versichert war.
Die Bewertung des Invaliditätsgrades aufgrund des Arbeitsunfalls/der Berufskrankheit wird von einem medizinischen Gremium durchgeführt.
Bei der Feststellung des Invaliditätsgrades aufgrund eines Unfalls berechnet das medizinische Gremium den Grad der Körperverletzung auf der Grundlage der 6. Tabelle des Sozialversicherungsgesetzes, die einer Reihe von möglichen Verletzungen einen Prozentsatz der Invalidität zuweist.
Der Invaliditätsgrad muss mindestens 20 % betragen, damit eine Person eine Invaliditätsrente erhält. Liegt der Grad zwischen 10 %-19 %, hat der Antragsteller Anspruch auf einen Pauschalbetrag als Invaliditätsbeihilfe.
Bei vorübergehender Erwerbsunfähigkeit aufgrund eines Arbeitsunfalls wird Verletztengeld bis zu einer Dauer von 1 Jahr gezahlt.
Bleibt ein unfallbedingter Invaliditätsgrad bestehen, kann ein Antragsteller auf eine Invaliditätsrente nach dem Grad der Invalidität aufgrund des Arbeitsunfalls beurteilt werden.
Besteht unfallbedingt eine dauernde Arbeitsunfähigkeit, kann ein Antragsteller für einen erhöhten Invaliditätsgrad aufgrund von Erwerbsminderung bewertet werden (siehe „Geldleistungen - Berechnungsmethode oder Leistungsformel“).
 </t>
  </si>
  <si>
    <t>Die Beurteilung erfolgt durch die für Arbeitsunfälle zugelassenen Ärzte der Versicherungsgesellschaften (bzw. durch Fedris als Versicherer) und durch Fedris-Ärzte für Berufskrankheiten.
Die ständige Arbeitsunfähigkeit infolge Arbeitsunfalls oder Berufskrankheit besteht im Verlust oder in der Minderung des wirtschaftlichen Wertes der betreffenden Person auf dem allgemeinen Arbeitsmarkt und nicht in Bezug auf den von der betreffenden Person ursprünglich ausgeübten Beruf. Das Ausmaß der Beeinträchtigung wird nicht nur anhand der körperlichen Behinderung beurteilt, sondern auch anhand des Alters, der beruflichen Kompetenz, der Anpassungsfähigkeit, der Möglichkeit der Umschulung, kurz: der Wettbewerbsfähigkeit auf dem allgemeinen Arbeitsmarkt.
Für Berufskrankheiten: Verfahren und Kriterien sind im gesamten Land identisch.
Wenn die betroffene Person der Entscheidung von Fedris nicht zustimmt, kann sie innerhalb eines Jahres nach Zustellung der Entscheidung Berufung beim zuständigen Arbeitsgericht einlegen.
Für Arbeitsunfälle: Fedris beaufsichtigt die (gesetzlich geregelten) Versicherungsgesellschaften; die Bearbeitung der Vorgänge durch Fedris selbst (unversicherte Unfälle, Unfälle von Seeleuten) ist im ganzen Land identisch.
Die betroffene Person oder die Versicherung kann den Fall vor das zuständige Arbeitsgericht bringen. Es gilt eine Verjährungsfrist von 3 Jahren.</t>
  </si>
  <si>
    <t>Territoriale und Nationale Medizinische Fachausschüsse bestimmen den Grad der Invalidität und ob diese mit der beruflichen Tätigkeit der Person zusammenhängt.
Das Staatliche Institut für Soziale Sicherheit beurteilt, ob die Person gemäß der Entscheidung der Territorialen und Nationalen Medizinischen Fachausschüsse zum Erhalt der Leistung berechtigt ist.
Die Person hat das Recht, gegen die Entscheidung der Territorialen Medizinischen Fachausschüsse vor dem Nationalrat für Arbeitsrecht innerhalb von 14 Tagen Einspruch zu erheben. Entscheidungen der Nationalen Medizinischen Fachausschüsse können vor Gericht angefochten werden.
Es gelten landesweit die gleichen Kriterien.</t>
  </si>
  <si>
    <t>Arbeitgeber haben die Pflicht, Arbeitsunfälle an ihre Versicherung zu melden. Die Versicherungsgesellschaften bearbeiten die Fälle, bei denen die Unfälle nur medizinische Behandlungs- oder Rehabilitationskosten verursacht haben. Alle anderen Unfallarten werden an die Arbeitsmarktversicherung (Arbejdssmarkedets Erhvervssikring) weitergeleitet, die die Fälle bearbeitet und darüber entscheidet.
Ärzte und Zahnärzte haben die Pflicht, alle Krankheiten, die eine Berufskrankheit sein können, der Arbeitsmarktversicherung (Ar- bejdssmarkedets Erhvervssikring) zu melden, die die Fälle bearbeitet und entscheidet.
Die Beurteilungsverfahren und die angewandten Kriterien sind im ganzen Land gleich.
Gegen Entscheidungen der Arbeitsmarktversicherung (Arbejdssmarkedets Erhvervssikring) kann Beschwerde beim Nationalen Beschwerdeausschuss für Soziales eingereicht werden. Der Beschwerdeführer schickt die Beschwerde an die Arbeitsmarktversicherung, die den Fall neu bewertet. Wenn die Entscheidung aufrechterhalten wird, wird die Beschwerde an den Beschwerdeausschuss der Sozialversicherung weitergeleitet.</t>
  </si>
  <si>
    <t>Beurteilung der Minderung der Erwerbsfähigkeit durch vom Unfallversicherungsträger beauftragte Gutachter; Versicherte wählen Gutachter aus.
Kein Widerspruchsrecht des Betroffenen gegen die Beurteilung des Gutachters, sondern gegen einen darauf beruhenden Bescheid des Unfallversicherungsträgers.</t>
  </si>
  <si>
    <t>Die Arbeitsfähigkeit wird von der Arbeitslosenversicherung unter Beiziehung von Fachärzten und anderen Gutachter zur ggfls. Begutachtung festgestellt.
Es besteht kein Mindestgrad der Arbeitsfähigkeit. Die Leistungsempfänger müssen zumindest als teilweise erwerbsfähig (oder nicht mehr erwerbsfähig) eingestuft werden.
Die Beurteilungsverfahren gelten landesweit.
Es besteht die Möglichkeit, innerhalb von 30 Kalendertagen nach Erhalt der Entscheidung Widerspruch einzulegen.</t>
  </si>
  <si>
    <t>Verfahren sind die gleichen für Arbeitsunfälle und Berufskrankheiten.
Die Versicherungsgesellschaft bewertet die Forderung und fällt eine Entscheidung innerhalb von 30 Kalendertagen ab dem Datum, an dem sie entsprechende Informationen zur Klärung der Angelegenheit erhalten hat.
Sowohl Rechtsanwälte als auch medizinische Fachleute bewerten die Forderung, bevor die Versicherungsgesellschaft eine Entscheidung trifft.
Die Verfahren sind in jeder Versicherungsgesellschaft im Land die gleichen. Der Ausschuss für Entschädigungen bei Arbeitsunfällen stellt eine gleichförmige Handhabung sicher durch Anweisungen und Einschätzungen für die Versicherungsgesellschaften.
Es besteht ein Beschwerderecht. Berufungsinstanzen sind der Berufungsausschuss für Arbeitsunfälle, das Versicherungsgericht und der oberste Gerichtshof.</t>
  </si>
  <si>
    <t>Nationale Verfahren.
Bei einem Unfall muss das Opfer seinen Arbeitgeber innerhalb von 24 Stunden benachrichtigen, der wiederum den Unfall innerhalb von 48 Stunden der Versicherungskasse meldet. Der Arbeitnehmer muss umgehend einen Arzt aufsuchen, der eine erste ärztliche Bescheinigung ausstellt, in der die Verletzungen beschrieben werden. Werden seitens des Arbeitgebers Vorbehalte geäußert oder hält die primäre Krankenkasse (caisse primaire d’assurance maladie, CPAM) eine Untersuchung für erforderlich, hat die Kasse 70 Kalendertage Zeit, ihren Standpunkt überzeugend zu vertreten (ansonsten 30 Tage bis zur Anerkennung des Arbeitsunfalls). Die Entscheidung der CPAM wird innerhalb von 90 Kalendertagen nach Erhalt der ersten ärztlichen Bescheinigung und der Meldung des Arbeitsunfalls getroffen. Die zur Verfügung stehenden Rechtsmittel und Fristen sind auf dem Kassenbescheid vermerkt (in der Regel: 2 Monate).
Die Anerkennung der Berufskrankheit erfolgt innerhalb von 4 oder 8 Monaten, je nachdem, ob sie in der Tabelle der Berufskrankheiten aufgeführt ist oder ob ein medizinischer Sachverständigenausschuss tätig werden muss. Im ersten Fall wird die Akte von der CPAM geprüft, im zweiten Fall muss ein regionaler Ausschuss für die Anerkennung von Berufskrankheiten (comité régional de reconnaissance des maladies professionnelles, CRRMP) eine Entscheidung treffen.
Bleiben nach Beendigung der medizinischen Behandlung Folgeschäden bestehen, stellt der behandelnde Arzt eine abschließende ärztliche Konsolidierungsbescheinigung aus. Der Arbeitnehmer wird dann zu einer Untersuchung durch den Vertrauensarzt seiner CPAM geladen. Letztere verwendet die indikative Invaliditätsskala (im Anhang zum Sozialversicherungsgesetzbuch), um den Grad der permanenten Arbeitsunfähigkeit des Arbeitnehmers zu bestimmen. Der Arbeitnehmer hat zwei Monate Zeit, um die Entscheidung der Kasse über den Grad der permanenten Arbeitsunfähigkeit vor der medizinischen Berufungskommission (commission médicale de recours amiable, CMRA) anzufechten. Wird der Antrag abgelehnt, kann innerhalb von zwei Monaten ein Verfahren vor Gericht (Sozialabteilung) angestrengt werden. Als letztes Mittel kann der Versicherte Berufung einlegen (Berufungsgericht, 1 Monat Frist) oder den Kassationsgerichtshof anrufen (Frist: 2 Monate).</t>
  </si>
  <si>
    <t>Der Antrag wird von den Ärzten der Zentren zur Bestätigung der Erwerbsunfähigkeit (KEPA) (ΚΕΝΤΡΑ ΠΙΣΤΟΠΟΙΗΣΗΣ ΑΝΑΠΗΡΙΑΣ – ΚΕΠΑ) beurteilt.
Die Bewertungsverfahren und -kriterien sind im ganzen Land gleich.
Möglichkeit der Berufung gegen die Entscheidung/Zertifizierung von KEPA bei Ausschüssen zweiten Grades von KEPA.</t>
  </si>
  <si>
    <t>Der Antragsteller reicht seinen Antrag auf einem Antragsformular für Kranken-/Arbeitsunfallgeld ein. Ein Beamter prüft den Antrag, um sicherzustellen, dass der Antragsteller über die erforderlichen Beiträge/medizinischen Beweise verfügt. Der Beamte bestimmt ebenfalls, ob es sich bei der Verletzung um eine Berufsverletzung handelt. Der Arbeitgeber muss bestätigen/verneinen, ob es sich bei der der Verletzung um eine Berufsverletzung handelt. Der Grad der Erwerbsfähigkeit wird von einem Hausarzt geprüft und durch ein ärztliches Attest bestätigt.
Private Anbieter sind nicht beteiligt.
Es gelten die gleichen Bewertungsverfahren und -kriterien landesweit.
Es besteht das Recht auf Widerspruch. Der Antragsteller reicht seinen Widerspruch beim Beschwerdebeauftragten ein, der eine unabhängige Entscheidung fällt.</t>
  </si>
  <si>
    <t>Der Antrag auf Leistungen wird von der Krankenversicherung Island (Sjúkratryggingar) bearbeitet; es gibt keine privaten Anbieter. Die Krankenversicherung Island (Sjúkratryggingar) bewertet Anträge aus dem ganzen Land, daher gelten für alle Anträge dieselben Kriterien. Der Antrag wird von Fachleuten der isländischen Krankenkasse be-wertet, darunter ein Rechtsanwalt und ein Arzt. Dem Verfahren nach muss beurteilt werden, ob es sich bei dem Unfall um ein plötzliches, äußerliches Ereignis handelte.
Es besteht das Recht, eine Beschwerde an den Berufungsausschuss für Sozialhilfe zu richten. Beschwerden müssen innerhalb von drei Monaten nach der Entscheidung erhoben werden.</t>
  </si>
  <si>
    <t>Der Grad der Erwerbsfähigkeit wird von einem zuständigen Rechtsmediziner des Nationalen Institut der Arbeitsunfallversicherung (Istituto Nazionale contro gli infortuni sul lavoro, INAIL) beurteilt.
Bei einer Prognose von bis zu 3 Tagen dient die entsprechende Benachrichtigung des INAIL durch den Arbeitgeber per Online-Verfahren nur statistischen Zwecken.
Bei einer Prognose von mehr als 3 Tagen muss der entsprechende Unfallbericht sowohl beim INAIL als auch bei der zuständigen Justizbehörde online eingereicht werden.
Die Kriterien gelten landesweit.
Der Arbeitnehmer kann Widerspruch einlegen und beantragen, dass die ärztliche Beurteilung eines Rechtsmediziners des eigenen Vertrauens eingereicht wird.</t>
  </si>
  <si>
    <t>Anträge werden bei der Kroatischen Krankenversicherungsanstalt auf rechtlicher und medizinischer Ebene bewertet. Die Bewertungsverfahren und -kriterien gelten in allen Regionen.
Keine Beteiligung von privaten Anbietern.
Es besteht ein Recht auf Widerspruch.</t>
  </si>
  <si>
    <t>Die Staatliche Sozialversicherungsagentur beurteilt die Anträge auf Entschädigung bei Verlust der Arbeitsfähigkeit unter Berücksichtigung der festgelegten Grade der Invalidität und eingeführten Berufskrankheiten oder von Informationen der Staatlichen Arbeitsaufsichtsbehörde oder entsprechend dem Unfallbericht bei Arbeitsunfällen.
Die Beurteilungsverfahren und angewendeten Kriterien sind die gleichen landesweit.
Die Entscheidung der Staatlichen Sozialversicherungsagentur kann innerhalb eines Monats nach Inkrafttreten vom Leiter der Staatlichen Sozialversicherungsagentur angefochten werden. Gegen die Entscheidung des Leiters der Staatlichen Sozialversicherungsagentur kann bei Gericht Widerspruch eingelegt werden. Das Anfechten einer Entscheidung oder der Widerspruch dagegen setzt deren Vorgang nicht aus.</t>
  </si>
  <si>
    <t>Leistungen werden von den Unfallversicherungen bewertet und ausbezahlt.
Landesweit werden die gleichen Beurteilungsverfahren und Kriterien angewendet.
Gegen Verfügungen der Unfallversicherer kann innerhalb von zwei Monaten Einsprache erhoben werden.</t>
  </si>
  <si>
    <t>Leistungen werden bei den territorialen Einheiten der Staatlichen Sozialversicherungsanstalt beantragt.
Die Agentur für den Schutz der Rechte von Menschen mit Behinderung des Ministeriums für Soziale Sicherheit und Arbeit ist beteiligt an der Bestimmung der Teilhabefähigkeit.
Die Verfahren und Kriterien gelten landesweit.
Die von der Agentur getroffenen Entscheidungen sind bindend und können in einem obligatorischen Vorverfahren angefochten werden.</t>
  </si>
  <si>
    <t>Sämtliche Leistungen werden nur nach Stellungnahme des Vertrauensarztes gewährt. Das Verfahren gilt landesweit.
Die versicherte Person muss für jede Leistung einen eigenen Antrag stellen, in dem sie die Unfallfolgen beschreibt und nach Möglichkeit medizinische Unterlagen beifügt.
Der Antrag wird an den Vertrauensarzt weitergeleitet, der anhand der Gesundheitsakte oder Untersuchungen des Versicherten über die Leistung entscheidet.
Bei Unfällen, die durch einen verantwortlichen Dritten verursacht wurden, beauftragt die Versicherung des Dritten einen privaten Sachverständigen mit der Begutachtung der Folgen für den Versicherten und der Erstellung eines Gutachtens, das dann an den Vertrauensarzt zur Genehmigung weitergeleitet wird.
Nachdem die Leistung vom Vertrauensarzt genehmigt – oder abgelehnt – wurde, stellt die Unfallsversicherungsgenossenschaft (Association d’assurance accident, AAA) einen Bescheid aus, der innerhalb von 40 Tagen angefochten werden kann. Die Anfechtung muss an den Vorstand der AAA gerichtet werden, der eine neue Entscheidung trifft. Die Entscheidung des Vorstands kann innerhalb von 40 Tagen bei dem Schiedsrat der Sozialversicherung (Conseil arbitral de la sécurité sociale) angefochten werden, gegen dessen Entscheidung innerhalb von 40 Tagen Beschwerde beim Obersten Rat der Sozialversicherung (Conseil supérieur de la sécurité sociale) eingelegt werden kann. Gegen dieses Urteil kann innerhalb von zwei Monaten Berufung eingelegt werden.</t>
  </si>
  <si>
    <t>Der Gesundheitszustand wird von einem privaten Ärzteteam mit verschiedenen Spezialisierungen untersucht, beauftragt durch das Amt für soziale Sicherheit.
Die medizinische Kommission begutachtet die ärztlichen Informationen, die dem Antrag auf Leistungen beigefügt sind. Wo nötig kann sie weitere ärztliche Informationen direkt vom Krankenhaus/Klinik anfordern, wo die Person normalerweise behandelt wird.
Bewertungsverfahren und -kriterien gelten landesweit.
Es besteht die Möglichkeit, Widerspruch einzulegen. In solchen Fällen wird der Gesundheitszustand von einem anderen Facharzt überprüft.</t>
  </si>
  <si>
    <t>Anträge auf Leistungen der Volksversicherung sollten beim norwegischen Arbeits- und Wohlfahrtsdienst (Nav) gestellt werden. Private Auftragnehmer sind an Arbeitsunfallfällen nur in gleichem Umfang beteiligt wie an der normalen Leistungsbeurteilungen.
Als Anlaufpunkt ist der Nav für die Sammlung der notwendigen Informationen, z.B. medizinische Informationen, verantwortlich, damit eine Entscheidung getroffen werden kann.
Die Beurteilungsverfahren und die angewendeten Kriterien sind landesweit die gleichen.
Gegen Entscheidungen des Nav kann Widerspruch beim Nav eingelegt werden. Gegen Entscheidungen des Nav kann beim nationalen Versicherungsgericht Widerspruch erhoben werden. Über die Rechtmäßigkeit der Entscheidungen des nationalen Versicherungsgerichts entscheiden die Berufungsgerichte. Gegen die Entscheidung der Berufungsgerichte kann beim Höchsten Gerichsthof Widerspruch eingelegt werden.</t>
  </si>
  <si>
    <t>Leistungen, die über Antrag gewährt werden, sind beim zuständigen Unfallversicherungsträger zu beantragen.
Laut Ärztegesetz ist jede:r zur selbstständigen Berufsausübung berechtigte Arzt:Ärztin befugt, ärztliche Gutachten zu erstellen. Zur Bestellung als Gutachter:in ist ein schriftliches Ansuchen an die Chefärztliche Station erforderlich.
Die Unfallversicherungsträger entscheiden aufgrund der gesetzlichen Vorschriften über den Antrag. Gutachter:innen werden zur Begutachtung des Ausfalles der Körper- und Gliedmaßenfunktionen sowie zur Beurteilung der Minderung der Erwerbsfähigkeit beigezogen.
Es gibt keine Unterschiede zwischen den Regionen.
Bei Ablehnung des Antrages kann der:die Versicherte einen Bescheid verlangen, und diesen in einem gerichtlichen Verfahren überprüfen lassen.</t>
  </si>
  <si>
    <t>Anträge auf Leistungen werden von Ärzten und medizinischen Kommissionen der Sozialversicherungsanstalt (Zakład Ubezpieczeń Społecznych, ZUS) beurteilt.
Der Antrag muss eingereicht werden mitsamt der Bescheinigung über den Gesundheitszustand, ausgestellt vom behandelnden Arzt, der Dokumentation der ärztlichen Behandlung (medizinisches Kurrikulum) sowie:
   * das Unfallprotokoll und die Unfallkarte im Fall eines Arbeitsunfalls oder
   * die Entscheidung über die Anerkennung einer Berufskrankheit, ausgestellt vom staatlichen Sanitärinspektor bei einer Berufskrankheit.
Die medizinische Bewertung der Erwerbsunfähigkeit durch die ZUS wird auf 2 Ebenen vorgenommen: die erste Instanz ist der bewertende Arzt der ZUS (die medizinische Untersuchung wird von einem Arzt durchgeführt), die zweite Instanz (Einspruch) ist die medizinische Kommission der ZUS (bestehend aus drei Ärzten).
Das Recht auf Widerspruch bei der ZUS besteht innerhalb von 14 Tagen ab dem Datum, an dem die Entscheidung erhalten wurde.
Bewertungsverfahren und -kriterien gelten landesweit.</t>
  </si>
  <si>
    <t>Der behandelnde Arzt des Leistungsempfängers sendet die Bescheinigung über die vorübergehende Arbeitsunfähigkeit (CIT) innerhalb von acht Tagen auf elektronischem Weg an die Sozialversicherungsabteilung und meldet der Abteilung für den Schutz gegen Berufsrisiken (bestehend aus medizinischen Fachleuten) alle klinischen Fälle, bei denen das Vorliegen einer Berufskrankheit vermutet wird.
Das Vorliegen oder Nichtvorliegen einer Berufskrankheit sowie die Einstufung und Entschädigung werden von der Abteilung auf Antrag des betroffenen Arbeitnehmers anhand eines speziellen Formulars beurteilt.
Darüber hinaus müssen Geld- und Sachleistungen vom Arbeitnehmer bei der Abteilung beantragt werden.
Bei Arbeitsunfällen kommen die Versicherungsgesellschaften für die Entschädigungen auf. Besteht zwischen den Parteien Uneinigkeit über die Höhe der Entschädigung, entscheidet das Gericht auf der Grundlage einer Beurteilung durch eine medizinische Kommission, die sich aus Fachärzten des Gerichts, der Versicherungsgesellschaft und des Opfers zusammensetzt.
Im ganzen Land gelten gleiche Verfahren und Bewertungskriterien.
Gegen die Maßnahmen der Verwaltung kann jederzeit Beschwerde eingelegt werden. Im Fall von Arbeitsunfällen kann das Beschwerderecht gegenüber den Arbeitsgerichten geltend gemacht werden.</t>
  </si>
  <si>
    <t>Es gelten die gleichen Beurteilungs-verfahren und -kriterien landesweit.
Geldleistung bei vorübergehender Arbeitsunfähigkeit (indemnizatia pentru incapacitate temporara de munca) aufgrund von Arbeitsunfällen oder Berufskrankheiten: es gibt keine Beurteilung der Arbeitsunfähigkeit. Bei Arbeitsunfällen muss der Arbeitgeber die lokale Arbeitsaufsichtsbehörde informieren, den Versicherer, sowie die strafrechtlichen Untersuchungsorgane wenn notwendig. Zudem muss er einen Bericht anfertigen und diesen an die lokale Aufsichtsbehörde schicken, die die Anerkennung von Arbeitsunfällen genehmigt.
Bei Krankheit fertigen die Ärzte der lokalen Gesundheitsbehörden in Zusammenarbeit mit den Prüfern der lokalen Arbeitsaufsichtsbehörde den Bericht an, der die Berufskrankheit anerkennt. Es gibt ein Recht auf Widerspruch.
Für nähere Informationen bezüglich des Beurteilungsverfahrens für Invalidenrente (pensie de invaliditate), siehe Tabelle V „Invalidität“.</t>
  </si>
  <si>
    <t>Die Beurteilung wird durch die Schwedische Sozialversicherungskasse (Försäkringskassan) vorgenommen, basierend auf Informationen des Arbeitgebers, medizinischen Informationen, häufig Krankenakten, die die Diagnose, die Behinderung, die Einschränkung der Handlungsfähigkeit sowie die Prognose erläutern, und wird von einem medizinischen Berater durchgeführt. Wirtschaftliche Untersuchungen können in Abstimmung mit dem Arbeitgeber vorgenommen werden, aber auch mit Gewerkschaften und dem Finanzamt.
Damit eine Verletzung als Folge eines Arbeitsunfalls oder einer Berufskrankheit anerkannt werden kann, muss es stärkere Gründe für diese Annahme geben, als dagegen.
Die angewendeten Beurteilungsverfahren und -kriterien gelten landesweit.
Das Recht auf Beschwerde gilt vor dem Landgericht und dem obersten Gerichtshof (drei Ebenen).</t>
  </si>
  <si>
    <t>Der Unfallversicherer prüft die Begehren, nimmt die notwendigen Abklärungen von Amtes wegen vor und holt die erforderlichen Auskünfte ein. Soweit ärztliche oder fachliche Untersuchungen für die Beurteilung notwendig und zumutbar sind, hat sich die versicherte Person diesen zu unterziehen.
Die gleichen Beurteilungsverfahren und Kriterien werden landesweit angewendet.
Gegen Verfügungen des Unfallversicherers kann Einsprache erhoben werden.</t>
  </si>
  <si>
    <t>Die ärztliche Bewertung der Unfallversicherung wird durchgeführt von einem Rechtsmediziner der Zweigstelle der Sozialversicherungsanstalt sowie einem Rechtsmediziner der Zentrale der Sozialversicherungsanstalt unter persönlicher Anwesenheit des Verletzten oder der verletzten Partei. Die Entscheidung über den Leistungsanspruch muss innerhalb von 60 oder 120 Tagen erlassen werden. Bewertungsverfahren und -kriterien gelten landesweit.
Innerhalb von 30 Tagen nach dem Datum der Bekanntmachung kann gegen die Entscheidung der Organisationseinheit der Sozialversicherungsanstalt Widerspruch eingelegt werden. Der Generaldirektor entscheidet über den Widerspruch gegen die Entscheidung der Zentrale der Sozialversicherungsanstalt.</t>
  </si>
  <si>
    <t>Vorübergehende Erwerbsunfähigkeit:
Forderungen bei vorübergehender Erwerbsunfähigkeit werden von einem ausgewählten Allgemeinmediziner oder anderen Mediziner beurteilt im Fall dringender Hilfe (Krankenversicherung). Der Arzt stellt eine medizinische Bescheinigung aus, wenn die Forderung berechtigt ist. Die Beurteilung wird unter Berücksichtigung des Gesundheitszustands und der Beschäftigung der versicherten Person vorgenommen.
Arbeitgeber und versicherte Person haben das Recht, beim bestellten Arzt und dem Ausschuss für Gesundheitsschutz Widerspruch einzulegen, wenn sie mit der Entscheidung nicht zufrieden sind.
Bei dauerhafter Invalidität oder Tod muss der Antrag vom Allgemeinmediziner bei der regionalen Einheit der slowenischen Renten- und Invaliditätsversicherungsanstalt (ZPIZ) gestellt werden.
Es werden landesweit die gleichen Bewertungsverfahren und -kriterien angewendet.</t>
  </si>
  <si>
    <t>Bei vorübergehender Erwerbsunfähigkeit ist eine medizinische Bescheinigung erforderlich, ausgestellt vom öffentlichen Gesundheitssystem oder den Gegenseitigkeitsversicherungsgesellschaften, die mit der Sozialversicherung zusammenarbeiten.
Bei dauerhafter Erwerbsunfähigkeit wird der Antrag von den Provinzämtern des Nationalen Instituts der Sozialen Sicherheit (Instituto Nacional de la Seguridad Social, INSS) bearbeitet, welches bestimmt, ob die Leistung mit einem Arbeitsunfall oder einer Berufskrankheit zusammenhängt oder nicht. Innerhalb dieser Institution legt das Bewertungsteam für Behinderungen (Equipo de Valoración de Incapacidades) den Grad der Behinderung fest.
Auf dieser Grundlage formulieren die Provinzdirektoren des INSS eine ausdrückliche Entscheidung über den Grad der Invalidität, den Betrag der Leistung und das Datum, ab dem eine Überprüfung der Arbeitsunfähigkeit durchgeführt werden kann.
Das Bewertungsverfahren ist landesweit das gleiche mit der Besonderheit, dass in Katalonien die Pflichten des Bewertungsteams für Behinderungen vom Katalonischen Institut zur Bewertung von Behinderungen (Instituto Catalán de Evaluación de Incapacidades) und dem Gutachterausschuss für Behinderungen (Comisión de Evaluación de Incapacidades) übernommen werden.
Bei Unzufriedenheit mit der Entscheidung des Nationalen Instituts für Soziale Sicherheit kann ein „Vorrecht” (reclamación previa) beim Provinzbüro geltend gemacht werden. Im Fall einer Ablehung kann Widerspruch bei der Sozialgerichtsbarkeit eingelegt werden.</t>
  </si>
  <si>
    <t>Berufskrankheiten werden ausschließlich von Anbietern arbeitsmedizinischer Dienste beurteilt, die vom Gesundheitsministerium dazu autorisiert sind. Die beurteilte Person oder eine Person, die Rechte oder Verpflichtungen erlangt (z.B. der Arbeitgeber), kann den Anbieter um eine erneute Prüfung ihrer Beurteilung bitten und im Fall weiter bestehender Zweifel das Gesundheitsamt der regionalen Behörde kontaktieren, das die Beurteilung dann überprüft.
Der Arbeitgeber entscheidet, ob ein Unfall als Arbeitsunfall anerkannt wird. Erkennt der Arbeitgeber die Verletzung des Arbeitnehmers nicht als Arbeitsunfall an, kann der Arbeitnehmer vor Gericht gehen, wo er beweisen muss, dass es sich um einen Arbeitsunfall handelt.
Der Zeitraum der Erwerbsunfähigkeit (wann er beginnt und wann er endet) wird von einem Arzt attestiert.
Diese Regel gilt landesweit.</t>
  </si>
  <si>
    <t>Das Ausmaß des gesundheitlichen Schadens und die Ursache des Unfalls werden vom medizinischen Fachpersonal des nationalen Amts für Rehabilitation und Soziales bestimmt.
Die angewendeten Bewertungsverfahren und -kriterien gelten landes-weit.
Gegen die Entscheidung des medizinischen Fachpersonals kann innerhalb von 30 Kalendertagen nach Bekanntmachung Einspruch erhoben werden. So weit nicht anders vom Gesetz vorgesehen, handelt das hauptstädtische Verwaltungsbüro als Behörde für Rehabilitation, als Fachstelle für Rehabilitation und als ärztliches Expertengremium in zweiter Instanz.</t>
  </si>
  <si>
    <t>Ein Leistungsanspruch wird von einem medizinischen Gremium beurteilt (siehe Kategorie - Beurteilungskriterien)
Bei einer Berufskrankheit muss die Krankheit in den einschlägigen Vorschriften enthalten sein und mit einer bestimmten Art von Arbeit verbunden sein.
Die Kriterien sind im ganzen Land gleich, und wenn eine Person mit der Entscheidung über einen Antrag nicht einverstanden ist, kann sie innerhalb von 15 Kalendertagen beim Ministerium für Arbeit und Sozialversicherung oder innerhalb von 75 Kalendertagen beim Verwaltungsgericht Berufung einlegen.</t>
  </si>
  <si>
    <t>Revision bei Änderung der Arbeitsfähigkeit möglich:
Arbeitsunfälle: Im Verlauf von 3 Jahren nach der Vereinbarung zwischen den Parteien oder nach rechtskräftigem Urteil.
Diese Bewertung erfolgt durch die Versicherungsgesellschaft oder Fredis, wenn es als Versicherungsunternehmen auftritt.
Berufskrankheiten: Jederzeit auf Antrag des Betroffenen.
Die Bewertung der Berufskrankheiten erfolgt durch Fedris.</t>
  </si>
  <si>
    <t>Die Rente wird für den Zeitraum der Erwerbsminderung gewährt; die betroffene Person hat sich bei dem für Festsetzung zuständigen Regionalen Fachausschuss für ärztliche Untersuchung (Териториални експертни лекарски комисии) vorzustellen, wenn eine Verlängerung der Leistung beantragt wird.</t>
  </si>
  <si>
    <t>Die Arbeitsmarktversicherung (Arbejdsmarkedets Erhvervssikring) ist für die Überprüfung zuständig.
Geschädigte Personen und Hinterbliebene können eine Neubewertung von Entschädigungsentscheidungen beantragen, wenn neue Erkenntnisse darauf hindeuten, dass wahrscheinlich eine andere Entscheidung getroffen würde, sofern sie ihren Antrag begründen können. In diesen Fällen gibt es keine Frist für die Neubewertung.
Es besteht eine Frist von 5 Jahren für die Neubewertung der Frage, ob die Anerkennung einer Verletzung als Arbeitsverletzung möglich ist.</t>
  </si>
  <si>
    <t>In den ersten 3 Jahren nach dem Unfall jederzeit möglich; nach Feststellung der Dauerrente (Unfallrente) zuungunsten des Versicherten jedoch nur in Abständen von mindestens einem Jahr. Die Erhöhung oder Verminderung des Grades der Erwerbsfähigkeit muss mehr als 5% betragen.</t>
  </si>
  <si>
    <t>Revision auf Antrag des Empfängers möglich.</t>
  </si>
  <si>
    <t>Keine Fristen für Neubewertungen. Diese werden von der Versicherungsgesellschaft durchgeführt, sobald sie neue Informationen erhält.</t>
  </si>
  <si>
    <t>Die Krankenkasse kann jederzeit in den ersten 2 Jahren nach Wiederherstellung/Konsolidierung der Verletzung in zeitlichen Abständen von mindestens 3 Monaten eine Gesundheitsprüfung (durch ihren Vertrauensarzt) verlangen, später in Abständen von einem Jahr.</t>
  </si>
  <si>
    <t>Möglichkeit der Revision nach Ablaufen des von dem Zentrum zur Bestätigung der Erwerbsunfähigkeit (KEPA) (ΚΕΝΤΡΑ ΠΙΣΤΟΠΟΙΗΣΗΣ ΑΝΑΠΗΡΙΑΣ– ΚΕΠΑ) gewährten Zeitraums von Invalidität und bei bedeutenden Veränderungen im Gesundheitszustand. Wurde die oben genannte Nachuntersuchung dreimalig durchgeführt, ist es möglich, eine lebenslange Rente gewährt zu bekommen, sofern besondere Bedingungen erfüllt sind.
Siehe Tabelle V „Invalidität“ für nähere Angaben.</t>
  </si>
  <si>
    <t>Am Ende jedes vorläufigen Feststellungszeitraums oder früher bei Änderung der Verhältnisse.
Ein Entscheidungsbeamter ist für die Neubewertung zuständig.</t>
  </si>
  <si>
    <t>Gemäß dem Gesetz über die Sozialversicherung bei Arbeitsunfällen (Lög um slysatryggingar almannatrygginga) Nr. 45/2015 von Juli 2015 ist die Krankenversicherung Island für die Ausführung einer Neubeurteilung zuständig. Sie kann die Grundlagen für die Leistungen jederzeit überprüfen und Änderungen entsprechend den eingetretenen Änderungen vornehmen.
Die Revision basiert stets auf einem Antrag des Leistungsempfängers. Nach Eingang eines solchen Antrags wird der Empfänger aufgefordert, Dokumente oder Informationen zu seinem Gesundheitszustand bereitzustellen, die belegen, dass sich die Situation verändert hat. Nach Einreichen der Unterlagen erfolgt die Neubeurteilung der Leistungen für bleibende Schäden.</t>
  </si>
  <si>
    <t>Im Fall einer Schädigung kann die Überprüfung des dauerhaften Schadens vom INAIL oder dem Leistungsempfänger beantragt werden:
   * jährlich während der ersten 4 Jahre nach Festlegung der Rente;
   * 7 Jahre nach Festlegung der Rente;
   * 10 Jahre nach Festlegung der Rente;
 Keine weitere Überprüfung nach 10 Jahren.
Bei Berufskrankheiten kann die Überprüfung vom INAIL oder dem Leistungsempfänger beantragt werden:
Rechtsmediziner des INAIL verantworten die Durchführung der Bewertung.
   * 6 Monate ab dem Datum der Beedingung des Zeitraums der vorübergehenden vollständigen Erwerbsunfähigkeit;
   * 1 Jahr ab dem Datum der Antragstellung in Fällen, in denen es zu keiner Abwesenheit vom Arbeitsplatz kam;
   * Nachfolgende Überprüfungen können nur bis zum 15. Jahr nach fällig werden der Rente auf jährlicher Basis durchgeführt werden.
Keine weitere Überprüfung nach 10 Jahren.
Im Fall einer Verschlechterung des Gesundheitszustands kann der Arbeitnehmer eine ärztliche Untersuchung beantragen, um die Entwicklung der dauernden Erwerbsunfähigkeit zu überprüfen.</t>
  </si>
  <si>
    <t>Drei Jahre nachdem die Invaliditätsrente gewährt wurde. Zudem besteht die Möglichkeit von regelmäßigen, zufälligen Untersuchungen. Das Institut für Fachwissen, berufliche Rehabilitation und Beschäftigung von Menschen mit Behinderung ist für die Durchführung der Neubeurteilung zuständig.</t>
  </si>
  <si>
    <t>Eine erneute Feststellung ist entweder auf Initiative der verantwortlichen Institutionen oder auf Antrag des Leistungsempfängers möglich (falls sich die Arbeitsunfähigkeit (Bewertung in Prozent) verändert hat). Regelmäßige Intervalle sind nicht vorgesehen.
Die Neubeurteilung wird durch die Staatliche Kommission der Fachärzte für Gesundheit und Arbeitsfähigkeit (Veselības un darbspēju ekspertīzes ārstu valsts komisija) durchgeführt.</t>
  </si>
  <si>
    <t>Neufestsetzung der Rente bei erheblicher Änderung des Invaliditätsgrades.
Automatische Revision der Rente, wenn die Rente der Invalidenversicherung neu festgesetzt wird.
Die Unfallversicherung ist für die Durchführung der Prüfung verantwortlich.</t>
  </si>
  <si>
    <t>Eine erneute Feststellung ist jederzeit möglich. Es gibt keine staatlich festgesetzte periodische erneute Feststellung.
Die Agentur für den Schutz der Rechte von Menschen mit Behinderung des Ministeriums für Soziale Sicherheit und Arbeit hat das Recht, die Teilhabefähigkeit zu überprüfen.</t>
  </si>
  <si>
    <t>Die Teilrenten können auf Antrag oder automatisch innerhalb von drei Jahren bei Veränderungen des durch die Rente kompensierten Einkommensverlust überprüft werden.
Revision der Beihilfe für Qualitätsverlust (indemnités pour préjudice physiologique et d'agrément) auf Anfrage bei dauerhafter Verschlimmerung von mindestens 10% im Vergleich zur vorigen Grad der Erwerbsunfähigkeit des Begünstigten. Überprüfung durch den medizinischen Dienst der Sozialversicherung.</t>
  </si>
  <si>
    <t>Das Amt für soziale Sicherung ist verantwortlich für die Neubewertungen. Diese werden nicht in bestimmten Abständen durchgeführt. Nach Festlegung der medizinischen Sachverständigen wird der Antragsteller jeweils auf Grundlage einer Einzelfallprüfung untersucht, bis er an seine Arbeitsstelle zurückkehrt oder, sollte es sich um eine schwerere Erkrankung handeln, bis die Behinderten- oder Invaliditätsrente bewilligt ist.</t>
  </si>
  <si>
    <t>Entscheidungen des Arbeits- und Wohlfahrtsdienst (Arbeids- og velferdsetaten) können jederzeit revidiert werden.
Erneute Feststellung durch die Arbeitsunfallversicherung (yrkesskadeforsikringen) innerhalb von 5 Jahren nach der ersten Entscheidung möglich.
Die Neubewertung erfolgt nicht automatisch auf Grundlage der Schwere der Einschränkung. Verschlechtert sich der Zustand jedoch, kann der Geschädigte eine neue Bewertung verlangen.</t>
  </si>
  <si>
    <t>In den ersten 2 Jahren ist eine Überprüfung bei wesentlichen Änderungen jederzeit möglich; nachher grundsätzlich nur in Zeiträumen von mindestens einem Jahr.
Die Durchführung der Überprüfung erfolgt durch die Unfallversicherungsträger.</t>
  </si>
  <si>
    <t>Bei einer wesentlichen Veränderung des Gesundheitszustands besteht die Möglichkeit der Revision, jedoch ist keine periodische Überprüfung gesetzlich festgelegt.
Die Häufigkeit der Neubewertung ist abhängig vom Zeitraum der Erwerbsunfähigkeit, der in der Entscheidung der ZUS angegeben wurde. Vor dem Ende dieses Zeitraums ist eine Neubewertung notwendig für die Verlängerung des Anspruchs auf Invaliditätsleistung. Der bewertende Arzt der ZUS ist verantwortlich für die Durchführung der Neubewertung.
Leistungsempfänger können auch zu jeder Zeit eine Neubewertung verlangen, wenn sich der Gesundheitszustand verschlechtert. In einem solchen Fall beginnt das Verfahren von vorne, d.h. eine neue Entscheidung wird vom bewertenden Arzt und der medizinischen Kommission der ZUS ausgestellt (nach Vorlage der neuen ärztlichen Untersuchung und der medizinischen Dokumentation).</t>
  </si>
  <si>
    <t>Bei einer Änderung der Erwerbs- oder Arbeitsfähigkeit kann die Leistung je nach belegter Änderung geändert oder eingestellt werden.
Eine Neufeststellung ist möglich auf Veranlassung des zuständigen Trägers oder auf Antrag des Betroffenen.
Die Neufeststellung kann einmal pro Kalenderjahr beantragt werden.</t>
  </si>
  <si>
    <t>Geldleistung bei vorübergehender Arbeitsunfähigkeit (indemnizatie pentru incapacitate temporara de munca) aufgrund von Arbeitsunfällen oder Berufskrankheiten: keine Neubewertung.
Für nähere Informationen zur Überprüfung der Invalidenrente (pensie de invaliditate) siehe Tabelle V „Invalidität“.</t>
  </si>
  <si>
    <t>Der Anspruch auf Unfallrente (livränta) wird erneut festgestellt, wenn sich eine sichtbare Veränderung in den Umständen, die für die Entscheidung zur Gewährung der Leistung relevant sind, ereignet hat oder wenn sich die Fähigkeit, Geld aus einer ertragsreichen Arbeit zu verdienen, bedeutend verbessert hat.
Wenn der Leistungsempfänger höhere Rentenzahlungen beantragen muss, wird eine neue Untersuchung vorgenommen, um festzustellen, ob ein Anspruch auf zusätzliche Rentenzahlungen besteht.
Die Neubewertung wird von einer Sondereinheit der Sozialversicherungskasse (Försäkringskassan) vorgenommen.</t>
  </si>
  <si>
    <t>Bis zum vorzeitigen Bezug der gesamten Altersrente, längstens jedoch bis zum Erreichen des Erferenzalters (Rentenalters) jederzeit möglich, automatisch oder auf Antrag.</t>
  </si>
  <si>
    <t>Die Arbeitsfähigkeit wird regelmäßig auf der Grundlage der ärztlichen Bewertung überprüft. Bei dauernder Erwerbsunfähigkeit erfolgt die Überprüfung nur dann, wenn eine Änderung der Arbeitsfähigkeit eintritt.
Eine Neubewertung wird von einem Gerichtsmediziner der Sozialversicherungsanstalt vorgenommen.</t>
  </si>
  <si>
    <t>Ärztliche Überprüfungen sind vorgesehen. Siehe Tabelle V „Invalidität; Beurteilung, Überprüfung“.</t>
  </si>
  <si>
    <t>Revision jederzeit möglich bis zum Mindestrentenalter, wenn:
   * sich der Gesundheitszustand verbessert oder verschlecht;
   * eine Fehldiagnose vorliegt;
   * ein Beschäftigungsverhältnis eingegangen wird.
Das Bewertungsteam für Behinderungen (Equipo de Valoración de Incapacidades) ist zuständig für die Durchführung der Revision.</t>
  </si>
  <si>
    <t>Revision ist bei Änderung der Umstände möglich.
Ob die Berufskrankheit weiterhin besteht, wird regelmäßig vom Anbieter arbeitsmedizinischer Dienste überprüft.
Hat sich die Erwerbsfähigkeit des geschädigten Arbeitnehmers deutlich verändert, können der Arbeitgeber oder der Arbeitnehmer vor Gericht eine Neubewertung des Schadensersatzanspruchs verlangen.</t>
  </si>
  <si>
    <t>Die Häufigkeit der Neubewertungen ist abhängig sowohl von Art und Ausmaß der Verletzungen und vom Alter der untersuchten Personen als auch von der erwarteten Diagnose.
Neubewertungen werden vom medizinischen Fachpersonal des hauptstädtischen Verwaltungsbüros durchgeführt.</t>
  </si>
  <si>
    <t>Revision ist bei Veränderung der Verhältnisse auf Verlangen der ärztlichen Kommission möglich.</t>
  </si>
  <si>
    <t>Der Betroffene hat Anspruch auf die Erstattung der ärztlichen, chirurgischen, pharmazeutischen und krankenhausärztlichen Versorgung und, unter den vom König festgelegten Bedingungen, der durch den Unfall erforderlichen Prothesen und orthopädischen Hilfsmittel durch die Versicherung.
Fedris erstattet den Anteil der Kosten für medizinische Versorgung, prothetische und orthopädische Hilfsmittel im Zusammenhang mit der Berufskrankheit, der für die Person verbleibt, die an einer Berufskrankheit leidet oder von einer solchen bedroht ist (und somit der Selbstbeteiligung entspricht). Entschädigungen für medizinische, chirurgische, pharmazeutische und Krankenhauskosten sowie für die Kosten von prothetischen und orthopädischen Hilfsmitteln können an diejenigen gezahlt werden, die für diese aufgekommen sind.</t>
  </si>
  <si>
    <t>Keine besonderen Bestimmungen; siehe Tabelle II - Gesundheit</t>
  </si>
  <si>
    <t>Kosten für medizinische Behandlung oder Rehabilitation, die zur Erlangung der bestmöglichen Heilung erforderlich sind, werden von den Versicherungsgesellschaften oder der Arbeitsmarktversicherung (Arbejdssmarkedets Erhvervssikring) übernommen, soweit diese Kosten nicht durch das Gesundheitsgesetz oder als Behandlung in einem öffentlichen Krankenhaus abgedeckt sind.</t>
  </si>
  <si>
    <t>Erstbehandlung durch von den Unfallversicherungsträgern zugelassenen Durchgangsärzten. Jede weitere ärztliche Behandlung kann nach Entscheidung des Durchgangsarztes auch durch den Hausarzt erfolgen, in schwereren Fällen allerdings durch vom Unfallversicherungsträger beauftragte Spezialisten.
Kosten werden von Anfang an vom Unfallversicherungsträger übernommen, grundsätzlich keine Selbstbeteiligung der Versicherten.</t>
  </si>
  <si>
    <t>Keine spezifischen Bestimmungen, siehe Tabelle II – „Gesundheit“,</t>
  </si>
  <si>
    <t>Es gibt spezifische Bestimmungen bezüglich der Gesundheitsversorgung.
Es herrscht freie Wahl bei Pflege im öffentlichen oder freien Sektor, jedoch mit der Auflage, unnötige Kosten zu vermeiden. Die Versicherungsgesellschaft hat jedoch das Recht, das Krankenhaus auszuwählen, das die Behandlung übernimmt, ausgenommen bei Notfallversorgung und einmaligen Arztbesuchen.
Pflege im öffentlichen und privaten Sektor werden beide vollständig durch die Arbeitsversicherung übernommen. Keine Zuzahlungen durch den Leistungsempfänger.</t>
  </si>
  <si>
    <t>Direktzahlung durch die örtliche primäre Krankenkasse (außer für medizinische Transporte, für die eine Erstattung erfolgt).
Kein Beteiligung des Opfers im Rahmen der Tarifverantwortung der Kasse. Befreiung von der Krankenhauspauschale und dem Festzuschlag bei aufwändigen Behandlungen. Ansonsten gelten die anderen medizinischen Selbstbehalte und Pauschalbeträge (siehe Tabelle II). Die Notfallpatientenpauschale wird je nach Grad der Behinderung gesenkt oder gestrichen.</t>
  </si>
  <si>
    <t>Keine Zuzahlungen für Leistungsempfänger, für die KEPA einen Arbeitsunfall anerkannt hat.</t>
  </si>
  <si>
    <t>Keine spezifischen Bestimmungen; siehe Tabelle II - Gesundheit.</t>
  </si>
  <si>
    <t>Es gibt besondere Bestimmungen mit erweiterter Deckung, z.B.
Medikamente, zahnärztliche Versorgung, Heimpflege und Physiotherapie.</t>
  </si>
  <si>
    <t>Allgemeine Befreiung von Zuzahlungen bei Sachleistungen.</t>
  </si>
  <si>
    <t>Für Sachleistungen im Zusammenhang mit Arbeitsunfällen gibt es eine Befreiung von Zuzahlungen.</t>
  </si>
  <si>
    <t>Folgende Kosten werden aus dem Sonderbudget der staatlichen Sozialversicherung erstattet: orthopädische Hilfsmittel, Kosten für eine Begleitperson, die während eines Krankenhausaufenthaltes Unterstützung leistet, Reisekosten zu Einrichtungen für ärztliche Behandlung, Kosten für den Erwerb technischer Hilfsmittel und deren Reparatur sowie Zahlungen für ärztliche Behandlung und Pflege, medizinische und berufliche Rehabilitation (sofern diese Kosten nicht vom Basisprogramm der Krankenversicherung gedeckt sind).
Der Gesamtbetrag dieser Kosten darf das 25-fache der Staatlichen Grundleistung der sozialen Sicherheit (Valsts sociālā nodrošinājuma pabalsts) nicht übersteigen, d.h. €4.150 pro Versicherungsfall.</t>
  </si>
  <si>
    <t>Keine spezifischen Bestimmungen.</t>
  </si>
  <si>
    <t>Keine spezifischen Bestimmungen; siehe Tabelle II „Gesundheit“.</t>
  </si>
  <si>
    <t>Gesundheitsleistungen werden über die nationale Gesundheitskasse (Caisse nationale de santé, CNS) im Auftrag der Unfallversicherungsgenossenschaft (Association d’assurance accident, AAA) auf die gleiche Weise wie bei der Krankenversicherung gezahlt, wobei zwei wichtige Merkmale zu beachten sind:
   * Die Leistungen werden zu 100% der Krankenkassensätze erstattet (d.h. sie umfassen grundsätzlich keine finanzielle Beteiligung des Versicherten).
   * Sie werden nach dem System der direkten Leistungsabrechnung (tiers payant) direkt dem Leistungserbringer abgerechnet, ohne dass der Versicherte in Vorleistung gehen muss.</t>
  </si>
  <si>
    <t>Keine besonderen Vorschriften; siehe Tabelle 2, „Gesundheitsversorgung".</t>
  </si>
  <si>
    <t>Volle Entschädigung für notwenige Ausgaben für medizinische Hilfe, zahnärztliche Hilfe, Physiotherapie, Arzneimittel, besondere medizinische Ausrüstung und angemessene Hilfen, um die Auswirkungen der Verletzung zu lindern. Notwendige Ausgaben im Zusammenhang mit dem Heimtransport der Person direkt nach der Verletzung sind abgedeckt.
Aufstockung von der Arbeitsunfallversicherung (yrkesskadeforsikring), um den Verlust von Auwendungen abzudecken, die nicht durch Leistungen aus der Volksversicherung kompensiert werden.</t>
  </si>
  <si>
    <t>Kostenlose Bereitstellung von Heilbehelfen und Hilfsmitteln.
Beispiele für Sachleistungen:
   * Unfallheilbehandlung,
   * Rehabilitation,
   * Körperersatzstücke und sonstige Hilfsmittel.</t>
  </si>
  <si>
    <t>Die Deckung wird ausgeweitet auf Kosten im Zusammenhang mit Zahnbehandlung, präventiven Impfungen, und orthopädischen Artikeln, die auf Anfrage vom behandelnden Arzt des Patienten vom bewertenden Arzt verschrieben werden (diese Kosten werden nicht von der Nationalen Krankenkasse erstattet).
Auch Kosten für medizinische Rehabilitation in ausgewählten Rehabilitationszentren sind abgedeckt. Medizinische Rehabilitation ist erhältlich für Personen mit einem Risiko für Langzeit-erwerbsunfähigkeit aufgrund von Krankheiten im Zusammenhang mit:
   * innerhalb eines stationären Behandlungssystems:
   * Bewegungsapparat,
   * Herz-Kreislauf-System,
   * Psychosomatik,
   * Atmungssystem,
   * Onkologie – nach Behandlung von Tumoren der Brustdrüse,
   * Stimmorgan,
   * Bewegungsapparat in frühen Stadien nach Unfällen;
   * innerhalb eines ambulanten Behandlungssystems:
   * Bewegungsapparat,
   * Herz-Kreislauf-System.</t>
  </si>
  <si>
    <t>Sachleistungen, die medizinische, chirurgische, pharmazeutische, Krankenhaus- und sonstige Leistungen, gleich welcher Art, umfassen und die notwendig und angemessen sind, um den Gesundheitszustand des Opfers und seine Arbeits- oder Erwerbsfähigkeit wiederherzustellen und seine Wiederherstellung für das Berufsleben zu gewährleisten.
Zu den vorgesehenen Sachleistungen gehören:
a) Allgemeine oder spezifische medizinische und chirurgische Versorgung, einschließlich aller notwendigen Untersuchungen und Behandlungen, sowie Hausbesuche;
b) Medizinische und Arzneimittelversorgung;
c) Krankenpflege;
d) Krankenhausaufenthalte und Kuren;
e) Unterkunft;
f) Beförderung zu Beobachtungs-, Behandlungs- oder Gerichtsterminen;
g) Bereitstellung von technischen Geräten zum Ausgleich von Funktionseinschränkungen sowie deren Erneuerung und Instandsetzung;
h) Rehabilitations- und berufliche und soziale Wiedereingliederungsleistungen, einschließlich Anpassung des Arbeitsplatzes;
i) Medizinische oder funktionelle Rehabilitationsleistungen für das Berufsleben;
j) Psychotherapeutische Betreuung, falls erforderlich, für die Familie des Opfers, einschließlich psychologischer und psychiatrischer Unterstützung, wenn vom behandelnden Arzt als notwendig erachtet.</t>
  </si>
  <si>
    <t>Keine spezifischen Bestimmungen: siehe Tabelle II „Gesundheitsversorgung“.</t>
  </si>
  <si>
    <t>Deckung notwendiger Ausgaben für zahnmedizinische Pflege (tandvård), Hilfsmittel (särskilda hjälpmedel) und medizinische Versorgung im Ausland(sjukvård utomlands) im Zusammenhang mit einem Arbeitsunfall oder einer Berufserkrankung kann erbracht werden, wenn alle Anforderungen erfüllt sind.</t>
  </si>
  <si>
    <t>Die versicherte Person hat Anspruch auf eine zweckmässige Behandlung von Unfallfolgen, ohne finanzielle Beteiligung:
   * ambulante Behandlung durch den Arzt, den Zahnarzt oder auf deren Anordnung durch eine medizinische Hilfsperson sowie durch den Chiropraktor und die ambulante Behandlung in einem Spital;
   * vom Arzt oder Zahnarzt verordnete Arzneimittel und Analysen;
   * Behandlung, Verpflegung und Unterkunft in der allgemeinen Abteilung eines Spitals;
   * ärztlich verordnete Nach- und Badekuren;
   * der Heilung dienliche Mittel und Gegenstände.</t>
  </si>
  <si>
    <t>Keine besonderen Vorschriften; siehe Tabelle II – Gesundheit.</t>
  </si>
  <si>
    <t>Keine spezifischen Vorschriften; siehe Tabelle II „Gesundheit“.</t>
  </si>
  <si>
    <t>Keine bestimmten Vorschriften, siehe Tabelle II – Gesundheit.</t>
  </si>
  <si>
    <t>Keine spezifischen Vorschriften: siehe Tabelle II „Gesundheit“.</t>
  </si>
  <si>
    <t>Keine Sachleistungen.</t>
  </si>
  <si>
    <t xml:space="preserve">   Geldleistungen</t>
  </si>
  <si>
    <t>Dauerhafte Erwerbsunfähigkeit
Die Berechnungsgrundlage ergibt sich aus der Multiplikation des nationalen durchschnittlichen versicherungspflichtigen Einkommens mit dem individuellen Koeffizienten des Antragstellers (siehe Tabelle V „Invalidität“, „Leistungen, 3. Referenzeinkommen oder Berechnungsgrundlage“) und folgenden Koeffizienten:
   *  (Gruppe I) Personen mit einer Minderung der Erwerbsfähigkeit um / Grad der Behinderung von mehr als 90 %: 0,5056;
   *  (Gruppe II) Personen mit einer Minderung der Erwerbsfähigkeit / Grad der Behinderung zwischen 71 % und 90 %: 0,4424;
   *  (Gruppe III) Personen mit einer Minderung der Erwerbsfähigkeit / Grad der Behinderung zwischen 50 % und unter 70.99 %: 0,3792.
Die Mindestrente entspricht einem vom Grad der Erwerbsminderung abhängenden Prozentsatz des Mindestbetrags der beitragsabhängigen Altersrente, der sich momentan auf BGN 630,50 (€ 322) beläuft (siehe Tabelle VI „Alter“, „Leistungen, 7. Mindestrente“).
   * Kategorie I: 125 % des Mindestbetrags der beitragsabhängigen Altersrente, also BGN 788,13 (€ 403);
   * Kategorie II: 115 % des Mindestbetrags der beitragsabhängigen Altersrente, also BGN 725,08 (€ 371);
   * Kategorie III: 100 % des Mindestbetrags der beitragsabhängigen Altersrente, also BGN 630,50 (€ 322).
Der Betrag der Invalidenrente aufgrund von Arbeitsunfall oder Berufskrankheit kann den Betrag einer Rente für durch allgemeine Krankheit bedingte Invalidität nicht unterschreiten.
Monatliche Zahlungen.
Temporäte Erwerbsunfähigkeit:
Eine Leistung wird gezahlt, die 90% des durchschnittlichen Bruttotageslohns oder des durchschnittlichen täglichen versicherungspflichtigen Einkommens der letzten 18 Monate vor Beginn der Erwerbsunfähigkeit (zur Bemessungsgrenze siehe Tabelle I „Finanzierung“) entspricht.
Monatliche Zahlungen.
Rentner mit Invaliditätspensionen können Oster- oder Weihnachtszuschläge erhalten, wenn diese für alle Rentner vorgesehen sind.</t>
  </si>
  <si>
    <t>Ausgleich für den Verlust der Erwerbsfähigkeit (erstatning for tab af erhvervsevne): bei voller Invalidität, 83% des Jahresbruttoeinkommens des Empfängers bis zu einem Betrag von DKK 632.000 (€84.704) pro Jahr. Die Höchstgrenze wird einmal jährlich der allgemeinen Lohnentwicklung angepasst.
Leistungen werden monatlich ausgezahlt, es ist jedoch möglich, einen Teil der Zahlungen in einen Pauschalbetrag umzuwandeln. Keine zusätzlichen Zahlungen.
Ausgleich für dauerhafte Schädigung (méngodtgørelse): Bei Vollinvalidität wird eine pauschale Entschädigung von DKK 1.053.000 (€141.128) gezahlt. Unter besonderen Umständen kann der Betrag höher sein, wobei eine Obergrenze von DKK 1.263.600 (€169.354) gilt.</t>
  </si>
  <si>
    <t>Arbeitsunfähigkeit:
Einkommensbezogene Leistungen von der Krankenkasse (Eesti Tervisekassa) werden ab dem zweiten Kalendertag der Krankschreibung gezahlt und betragen 100% des Referenzbruttolohns.
Die Leistungen werden monatlich gezahlt.
Der Referenzbruttolohn wird entsprechend der Sozialsteuer (sotsiaalmaks), die für den Arbeitnehmer durch den Arbeitgeber im Kalenderjahr vor der Krankschreibung/dem Unfall gezahlt wurde, festgelegt.
Arbeitsfähigkeit:
Der Tagessatz der Arbeitsfähigkeitsbeihilfe beträgt €21,74 für vollständig erwerbsunfähige Personen und 57% hiervon (€12,39) für Personen mit einer teilweisen Arbeitsfähigkeit.
Die Leistung wird monatlich gezahlt.
Die Behilfe wird verrringert, wenn das Einkommen des Empfängers den Höchstbetrag des 90-fachen des täglichen Beihilfesatzes übersteigt. Der Kürzungsbetrag auf 50% ist der Unterschiedsbetrag zwischen dem Einkommen und dem Höchstbetrag. Folgendes gilt als Einkommen: Die Vergütung, auf die Sozialsteuer entrichtet wird, Elternleistungen, Leistungen für vorrübergehende Arbeitsfähigkeit und vom Arbeitgeber gezahltes Krankengeld.
Siehe Tabelle V „Invalidität"; „Leistungen, Berechnungsmethode bzw. Rentenformel oder Beträge“.</t>
  </si>
  <si>
    <t>Das Tagegeld (Päiväraha) wird ein Jahr lang gezahlt, nachdem der Arbeitsunfall passierte oder die Berufskrankheit auftrat. Dauert die Erwerbsunfähigkeit länger als ein Jahr, wird die Beihilfe als Arbeitsunfallrente (Tapaturmaeläke) gezahlt.
Monatliche Zahlung. Keine zusätzliche Zahlungen zu bestimmten Zeiten im Jahr.
Volle Erwerbsunfähigkeit:
   * die Höhe des Tagegeldes ist (Päiväraha) 1/360 x E.
   * die Höhe der Arbeitsunfallrente (Tapaturmaeläke) entspricht 85% x L (70% x L ab dem 65. Lebensjahr).
L = Jahreseinkommen.
Teilweise Erwerbsunfähigkeit:
Der Satz der Vollrente wird proportional gekürzt abhängig von der Schwere der Verletzung, Krankheit (geschätzt) oder Einkommensverlust (berechnet), ausgedrückt in% des Jahreseinkommens.</t>
  </si>
  <si>
    <t>Vorübergehende Arbeitsunfähigkeit:
Tagegeld in Höhe von 60% des Bruttogrundlohns für 28 Kalendertage, danach in Höhe von 80%.
Das Tagegeld wird alle 14 Tage gezahlt. Keine zusätzlichen Zahlungen.
Permanente Arbeitsunfähigkeit:
Monatlicher Betrag - Formel: L x t red.
Gesenkter Satz = der Erwerbsunfähigkeitsgrad wird für den unteren Teil um die Hälfte auf 50% verringert und für den oberen Teil um die Hälfte erhöht.
Beispiele, falls „t“ höher als oder gleich 10% ist:
„t“         Zahlung in % von L
 100%       100,0%
 75%           62,5%
 50%            25,0%
 25%            12,5%
Die Jahresrente wird vierteljährlich gezahlt, wenn der Grad der dauernden Erwerbsunfähigkeit zwischen 10% und 50% beträgt, oder monatlich, wenn er mindestens 50% beträgt. Keine zusätzlichen Zahlungen.
Bei einem dauernden Erwerbsunfähigkeitsgrad unter 10%: Zahlung einer pauschalen Kapitalabfindung (indemnité en capital, IC) (von €479,55 bis €4.794,83 je nach Invaliditätsgrad).</t>
  </si>
  <si>
    <t>Keine besonderen Bestimmungen für Arbeitsunfälle oder Berufskrankheiten. Die Berechnung entspricht der der Invaliditätsrente (siehe Tabelle V „Invalidität“).</t>
  </si>
  <si>
    <t>Behindertengeld (Disablement Benefit) abhängig vom Grad der (körperlichen oder geistigen) Behinderung:
   * Minderung der Erwerbsfähigkeit um 15% bis 19%: Zahlung einer Abfindung (siehe "Abfindung");
   * Minderung der Erwerbsfähigkeit um 20% bis 100%: wöchentlich ausbezahlte Rente. Zahlung einer Rente, deren Höhe vom Grad der Minderung abhängt. Beispiel: €275 pro Woche, wenn über 90%.
Empfänger von Behindertengeld (Disablement Benefit) haben Anspruch auf einen Weihnachtsbonus.
Arbeitsunfallgeld (Injury benefit):
€244 pro Woche. Ferner Zulagen für unterhaltsberechtigte Personen.</t>
  </si>
  <si>
    <t>Dauerhafte Erwerbsunfähigkeit:
Soziale Sicherheit und Berufsunfallversicherungssystemmslysatryggingar almannatrygginga):
Einmalige Pauschalzahlung.
Obligatorisches Arbeitsrentensystem (lögbundnir lífeyrissjóðir): Siehe Tabelle V, Invalidität.
Vorübergehende Erwerbsunfähigkeit:
Geldleistung bei Krankheit pro Tag (slysadagpeningar) beträgt ISK 3.090 (€21) und zusätzlich ISK 693 (€4,82) für jedes unterhaltsberechtigte Kind unter 18 Jahren, zahlbar ab (und eingeschlossen) dem 8. Tag, an dem die verletzte Person aufgrund des Unfalls arbeitsunfähig war. Der Verletzte muss für mindestens 10 Kalendertage arbeitsunfähig sein, um Anspruch auf Geldleistung bei Krankheit pro Tag zu haben.
Keine zusätzlichen Zahlungen zu bestimmten Jahreszeiten (z.B. zu Weihnachten oder im Winter für Energiekosten).</t>
  </si>
  <si>
    <t>Die Leistung, die sogenannte Entschädigung für den Verlust psycho-physiologischer Unversehrtheit – biologischer Schaden (Indennizzo per la lesione dell’integrità psico-fisica - danno biologico) kann entweder eine vorübergehende oder eine dauerhafte Leistung (Rente) sein kann, je nachdem, ob die Erwerbsunfähigkeit vorübergehend oder dauerhaft ist. Der Betrag berechnet sich aufgrund von 3 Tabellen, die jeweils vorgegebene Kriterien berücksichtigen:
   * Tabelle für Entschädigung bei biologischen Schäden: weder bezogen auf Einkommen noch auf Tätigkeitssektor; variiert je nach Schwere der Beeinträchtigung; Alter (Leistungsbetrag umgekehrt proportional zum Alter) und Geschlecht (höhere Lebenserwartung von Frauen). Der Betrag wird jährlich im Juli automatisch neu bewertet.
   * Liste der Beeinträchtigungen mit etwa 400 physischen Beeinträchtigungen mit dem jeweiligen Prozentsatz der Erwerbsunfähigkeit.
   * Tabellen der Koeffizienten zur Berechnung des Anteils der Rente (welche bei eine Beeinträchtigung von 16% und mehr gewährt wird), der einkommensbezogen ist und auf der verbleibenden Erwerbsfähigkeit der geschädigten Person beruht sowie deren möglichen Wiedereinsatz.
Monatliche Zahlungen.
Zusätzliche wohlstandsbasierte Zahlungen:
   * Zuschlag am Jahresende (Erogazione integrativa di fine anno): wird am Jahrensende gezahlt.</t>
  </si>
  <si>
    <t>1. Säule:
Personen, die nur Anspruch auf eine Rente der 1. Säule haben: persönliche Entgeltpunkte x Rentenfaktor x aktueller Rentenwert, wobei gilt:
   * Persönliche Entgeltpunkte: durchschnittliche Wertpunkte x gesamte Versicherungszeit.
   * Wertpunkte: das entsprechende Brutto- oder Nettoeinkommen der Person in jedem Kalenderjahr, dividiert durch das durchschnittliche nationale Brutto- oder Netto-Jahreseinkommen (gemäß der in den Jahren geltenden Verordnung, auf denen basierend die Rente berechnet wird) aller Arbeitnehmer in demselben Jahr.
   * Durchschnittliche Wertpunkte: Gesamtzahl der Wertpunkte, dividiert durch den jeweiligen Zeitraum, für den die Wertpunkte angerechnet werden (Erwerbsdauer nach 1970, die kürzer als die gesamte Versicherungszeit sein kann).
Rentenfaktor: 1.
Tatsächlicher Wert der Rente: der Betrag eines persönlichen Punkts bestimmt wird zwei Mal jährlich durch den Vorstand des kroatischen Rentenversicherungsinstituts (Hrvatski zavod za mirovinsko osiguranje) bestimmt.
Falls die tatsächliche Versicherungszeit unter 40 Jahren liegt, wird für den Betrag eine hypothetische Versicherungszeit von 40 Jahren zugrunde gelegt. Falls die tatsächliche Versicherungszeit über 40 Jahren liegt, wird der tatsächlich zurückgelegte Zeitraum angesetzt.
Die Leistungen werden monatlich gezahlt.
Eine jährliche Rentenzulage wird jeden Dezember vom kroatischen Rentenversicherungsinstitut an alle Rentner gezahlt, die in dem Jahr eine Rente erhalten. Deren Betrag basiert auf vollständigen Rentenbeiträgen, mit einer Mindestdauer von 15 Jahren für Renten, die ohne Mindestversicherungszeit berechnet werden. Die Regierung legt den Wert pro Beitragsjahr jedes Jahr bis zum 31. Oktober fest.
Personen mit Rentenansprüchen aus der 1. wie der 2. Säule erhalten die Rente der 1. Säule für die Versicherungszeit, die vor der Einführung der 2. Säule zurückgelegt wurde. Für die Versicherungszeit, die nach der Einführung der 2. Säule zurückgelegt wurde, erhalten sie die Grundrente (osnovna mirovina) der 1. Säule, welche von dem Grundrentenfaktor abhängig ist. Dieser beträgt momentan 0,75 und entspricht dem Verhältnis zwischen dem Beitragssatz für die Beiträge der 1. Säule für in beiden Säulen versicherte Personen (d. h. 15%) und dem Beitragssatz für Versicherte, die ausschließlich in der 1. Säule versichert sind (d. h. 20%).
Wenn der Invaliditätsstatus nicht festgestellt wird, setzt sich das Anrecht auf Barleistungen bis zur Erholung fort. Krankheitsleistungen werden bestimmt als ein Prozentsatz der Grundlage der Krankheitsleistungen, d.h. das durchschnittliche Nettogehalt über 6 Monate vor dem Monat, in dem der Notfall vorgefallen ist.
100 % der Grundlage wird bei einem Unfall bei der Arbeit / einer Berufskrankheit gezahlt.
Die Leistungen werden monatlich gezahlt.</t>
  </si>
  <si>
    <t>Die Entschädigung für den Verlust der Arbeitsfähigkeit wird anhand der Formel berechnet: A= (Vm x lz)/100
   * A – Entschädigung für den Verlust von Arbeitsfähigkeit;
   * Vm – durchschnittliches Monatsbruttoeinkommen;
   * Lz – vom Grad der Minderung der Erwerbsfähigkeit abhängender Prozentsatz.
Gesenkte  Prozentsatz (lz) Erwerbsfähigkeit                 
100%                           80%
90-99%                        75%
80-89%                        70%
70-79%                        65%
60-69%                        60%
50-59%                        55%
40-49%                        50%
30-39%                        45%
25-29%                        35%
Die Leistung wird jeden Monat gezahlt. Keine zusätzlichen Zahlungen.</t>
  </si>
  <si>
    <t>Einkommensbezogenen Leistung:
   * 80% des versicherten Verdienstes bei Vollinvalidität (d.h. bei einer Arbeitsunfähigkeit von über 50%).
   * Entsprechende Kürzung bei Teilinvalidität (d.h. bei einer Arbeitsunfähigkeit zwischen 25% und 50%).
Die Leistungen werden monatlich bezogen.
Beispiel: Invalideneinkommen  CHF 3.000/Monat (€3.205), Valideneinkommen  CHF 5.000/Monat (€XX.XX). Erwerbseinbuße:  CHF 5.000 (€5.342) -  CHF 3.000 (€3.205) =  CHF 2.000 (€2.137) = 40% von  CHF 5.000 (€5.342), also Invaliditätsgrad: 40%.</t>
  </si>
  <si>
    <t>Einmalige Entschädigung bei Verlust der Teilhabefähigkeit (netekto dalyvumo vienkartinė kompensacija) wird gezahlt:
   * im Fall eines Verlusts von bis zu 20% der Teilhabefähigkeit: 7,76% des 24-monatigen Kompensationslohns, angewendet für die Berechnung einer einmaligen Entschädigung;
   * im Fall eines Verlusts von 21–29% der Teilhabefähigkeit: 15,52% des 24-monatigen Kompensationslohns, angewendet für die Berechnung einer einmaligen Entschädigung.
Regelmäßige Entschädigung bei Verlust der Teilhabefähigkeit (netekto dalyvumo periodinė kompensacija) wird Versicherten gezahlt, wenn sie aufgrund eines Arbeitsunfalls oder einer Berufskrankheit 30% oder mehr ihrer Teilhabefähigkeit verlieren.
Sie wird monatlich gezahlt und berechnet nach folgender Formel: 0,5 x d x k x 0,7758 x D, wobei:
   * d ist der Koeffizient der Minderung der Erwerbsfähigkeit;
   * k ist der Ausgleichskoeffizient (Verhältnis zwischen dem durchschnittlichen Monatslohn der versicherten Person während 12 aufeinander folgender Monate vor dem Unfall und dem Durchschnittsmonatslohn des Landes zum Zweitpunkt des Unfalls): 0,25&lt;k&lt;3;
   * D: ist der Durchschnittsmonatslohn des Landes wie von Statistik Litauen veröffentlicht.</t>
  </si>
  <si>
    <t>Betrag der Unfallrente (rente d'accident):
Der Betrag der Vollrente entspricht dem beitragspflichtigen Arbeitsentgelt der letzten 12 Monate vor Eintritt des Unfalls oder der Berufskrankheit.
Der Betrag der Teilrente entspricht der Differenz zwischen Einkommen vor und nach dem Unfall.
Keine Differenz bei der Rentenberechnung zwischen vorübergehender oder permanenter Arbeitsunfähigkeit.
Zusätzlich werden folgende Leistungen für Nichtvermögensschaden (indemnités forfaitaires pour préjudices extrapatrimoniaux) bei vollständiger oder teilweiser Dauerinvalidität nach Konsolidierung gewährt:
   * Beihilfe für Qualitätsverlust (indemnités pour préjudice physiologique et d'agrément), richtet sich nach dem Invaliditätsrad basierend auf einer durch großherzogliche Verordnung festgelegten Skala. Ist der Grad der teilweisen Dauerinvalidität höher als 20%, wird die Beihilfe lebenslang monatlich gezahlt. Liegt der Grad unter oder bei 20%, wird die Beihilfe als einmaliger Kapitalbetrag ausgezahlt;
   * Pauschalzulage als Ausgleich für körperliche Leiden (indemnités réparant les douleurs physiques endurées), und bei Entstellungen (indemnités pour préjudice esthétique), basierend auf Skalen, die das Leiden berücksichtigen.
Geldleistungen werden monatlich gezahlt.
Keine zusätzlichen Zahlungen.</t>
  </si>
  <si>
    <t>Unfallgeld (Benefiċċju għal Korriment) wird als Pauschale gezahlt im Fall einer Erwerbsunfähigkeit unter 19%. Die Zahlung basiert auf der Anzahl der in einer normalen Woche gearbeiteten Tage bis zu einer Höchstzahl von sechs Tagen; der Betrag ist €37,79 pro Arbeitstag für alleinerziehende Eltern oder Verheiratete und €28,44 pro Arbeitstag für Alleinstehende.
Pauschale einmalige Unfallentschädigung (Ghotja ghall-korriment) zwischen €300,71 und €5.711,41, zahlbar für eine Erwerbsunfähigkeit bis zu 19% bezüglich der zu verzeichnenden Auswirkungen nach Ende des Unfallgeldes.
Unfallrente (Pensjoni tal-Korriment) wird als Flatrate-Leistung gezahlt bei einer Erwerbsunfähigkeit zwischen 20% und 89%. Der Betrag erhöht sich aufgrund der Lebenshaltungskosten und wird wie folgt berechnet:
   * 20/89 x €86,24 = €19,37 wöchentlich bei einer Erwerbsunfähigkeit von 20%.
Invalidenrente (Pensjoni tal- Invalidità): bei einer Erwerbsunfähigkeit von 90% und mehr, sieheTabelle V, „Invalidität“.</t>
  </si>
  <si>
    <t>Rente:
Berechnet wie die vollen Invaliditätsleistungen (uføretrygd) unabhängig von der Dauer der bisherigen Verdienstperioden, siehe Tabelle V „Invalidität“, „Leistungen, 2. Berechnungsmethode bzw. Rentenformel oder Beträge“.
Monatliche Zahlungen.
Ggf. Aufstockung durch die Arbeitsunfallversicherung (yrkesskadeforsikringen), um einen vollen Schadensausgleich zu erhalten.
Standardisierte Entschädigungsleistung für den zukünftigen Einkunftsverlust abhängig von Einkommen, Alter und Invaliditätsgrad. Bei einer voll erwerbsunfähigen 45/46-jährigen Person beträgt die Entschädigung das 22- bis 30-fache des Grundbetrags (Grunnbeløpet) von NOK 130.160 (€11.038) abhängig vom Einkommensniveau. Nach bestimmten Formeln wird die Entschädigung für Jüngere erhöht und für Ältere gekürzt.
Volksversicherung (folketrygden):
100% des Einkommens bis zum 6-fachen des Grundbetrags zum Zeitpunkt des Unfalls. Monatliche Zahlungen.
Keine zusätzlichen Zahlungen.</t>
  </si>
  <si>
    <t>Versehrtenrente:
Berechnung der Vollrente (bei 100% Minderung der Erwerbsfähigkeit):
   * Jahresarbeitsentgelt (brutto) x 2/3 (Zweidrittel)
   * Die so errechnete Jahresrente wird geteilt durch 14 als monatliche Rente (mit Sonderzahlungen im April und September) ausbezahlt.
Die Teilrente ist der entsprechende Anteil der Vollrente.
Versehrte die einen Anspruch auf eine Versehrtenrente von zumindest 50 % oder auf mehrere Unfallrenten von zusammen 50 % haben, gelten als Schwerversehrte. In diesem Fall gebührt eine Zusatzrente von 20 bzw. 50 % der Unfallrente (je nach Schwere) und für jedes Kind ein Kinderzuschuss von 10%. Das Gesetz sieht einen Höchstbetrag und eine Höchstgrenze vor.</t>
  </si>
  <si>
    <t>Krankengeld (zasiłek chorobowy): siehe Tabelle III, „Geldleistungen bei Krankheit“, „Leistungen, 1. Berechnungsmethode oder Rentenformel“.
Arbeitsunfallrente (Renta z tytułu wypadku przy pracy) oder Berufskrankheitsrente (Renta z tytułu choroby zawodowej):
Dieselbe Formel wie für die Invaliditätsrente (Renta z tytułu niezdolności do pracy) (siehe Tabelle V „Invalidität"; „Leistungen, 1. Berechnungsmethode bzw. Rentenformel oder Beiträge“).
Der Betrag der Leistung ist unterschiedlich für vorübergehende oder dauerhafte Arbeitsunfähigkeit, er schwankt jedoch nicht nach Schwere von Unfall oder Krankheit.
Die Leistung unterliegt keiner Bedürftigkeitsprüfung und wird zwölfmal pro Jahr (monatlich) ausbezahlt.
Zusätzliche jährliche Geldleistung (Dodatkowe roczne świadczenie pieniężne) mit Zahlungen:
   * im April – der Betrag ist derselbe wie der der Mindestaltersrente;
   * im August oder September – der Betrag ist abhängig von der Höhe der Rente, d.h.: 
   * für Personen, deren Rente PLN 2.900 (€684) brutto monatlich nicht überschreitet, ist der Betrag derselbe wie der der Mindestaltersrente;
   * übersteigt die Rente PLN 2.900 (€684) brutto monatlich, wird der Mechanismus namens "Zloty für Zloty" angewendet;
   * liegt die Leistung unter PLN 50 (€12), wird sie nicht ausgezahlt.</t>
  </si>
  <si>
    <t>Wenn der Unfall zu einer Minderung der Arbeits- oder Erwerbsfähigkeit führt, hat die Person Anspruch auf folgende Leistungen:
   * Vollständige Erwerbsunfähigkeit: Rente von 80% der Berechnungsgrundlage zuzüglich der eventuellen Zulagen für unterhaltsberechtigte Personen.
   * Vollständige Erwerbsunfähigkeit für normale Arbeit: Rente zwischen 50% und 70% der Berechnungsgrundlage je nach verbleibender Fähigkeit zur Ausübung eines anderen zumutbaren Berufs.
   * Teilweise Erwerbsunfähigkeit: Kapitalabfindung der Rente von 70% des auf die Erwerbsminderung proportional entfallenden Teils des Bezugseinkommens oder der obligatorischen Abfindung, wenn die Unfähigkeit weniger als 30% beträgt und wenn der Betrag der jährlichen Rente das 6-Fache des Indexwerts für soziale Unterstützungen IAS (indexante dos apoios sociais) nicht übersteigt.
Renten werden 14 Mal im Jahr gezahlt (Weihnachtsgeld im Dezember und Urlaubsgeld im Juli).
Der monatliche Satz der Leistung bei vorübergehender Erwerbsunfähigkeit beträgt:
   * bei vollständiger Erwerbsunfähigkeit: Tagegeld in Höhe von 70% des Gehalts während der ersten 12 Monate der Erwerbsunfähigkeit, danach 75%;
   * bei teilweiser Minderung der Erwerbsfähigkeit: Tagegeld in Höhe von 70% der proportional der Reduktion der Erwerbsfähigkeit entsprechenden Basis.
Die Leistung für vorübergehende Erwerbsunfähigkeit wird gewährt, solange die Person ambulant behandelt wird oder an einer beruflichen Rehabilitation teilnimmt.</t>
  </si>
  <si>
    <t>Geldleistung bei vorübergehender Arbeitsunfähigkeit (indemnizatie pentru incapacitate temporara de munca) aufgrund von Arbeitsunfällen oder Berufskrankheiten: die Höhe wird berechnet als Prozentsatz des durchschnittlichen Monatsbruttoeinkommens, das in den 6 Monaten vor dem Monat verdient wurde, in dem die krankheitsbedingte Fehlzeit gewährt wurde.
Wird jeden Monat gezahlt. Keine zusätzlichen Zahlungen.
Für nähere Informationen zur Berechnungsmethode der Invalidenrente (pensie de invaliditate), siehe Tabelle V „Invalidität“.</t>
  </si>
  <si>
    <t>Der Betrag der Unfallrente (livränta) ist die Differenz zwischen dem Einkommen vor der Verletzung und dem potentiellen Einkommen nach der Verletzung. Er kann 100% des Verdienstausfalls bis zum 7,5-fachen des Grundbetrags abdecken.
Der zahlbare Leistungsbetrag ist unabhängig von der Schwere des Unfalls oder der Art der Erwerbsunfähigkeit.
Monatliche Leistungsauszahlung.
Es gibt keine zusätzlichen Zahlungen zu bestimmten Zeiten im Jahr.</t>
  </si>
  <si>
    <t>Taggeld (vorübergehende Arbeitsunfähigkeit):
80% des versicherten Verdienstes bei voller Arbeitsunfähigkeit.
Grundsätzlich monatliche Zahlung.
Invalidenrente (bleibende Arbeitsunfähigkeit):
80% des versicherten Verdienstes bei Vollinvalidität.
Grundsätzlich monatliche Zahlung.
Keine zusätzliche Zahlungen.</t>
  </si>
  <si>
    <t>Verletztengeld (Úrazový príplatok) als Zulage zu Krankengeld (Nemocenské) und Lohnfortzahlung (Náhrada príjmu):
   * 55% der täglichen Bemessungsgrundlage für die ersten 3 Tage;
   * 25% der täglichen Bemessungsgrundlage für die folgenden Tage der Erwerbsunfähigkeit.
Tägliche Bemessungsgrundlage: durchschnittliches Bruttotageseinkommen, normalerweise im Kalenderjahr vor Eintritt der Verletzung.
Die Leistung wird monatlich gezahlt.
Unfallrente (Úrazová renta) als monatliche Leistung nach folgender Formel.
Leistung = 30,4167 x 0,8 x L x t
L = tägliche Bemessungsgrundlage (normalerweise durchschnittliches Bruttoarbeitseinkommen im Jahr vor dem Versicherungsfall).
t =  Grad der Verringerung der Fähigkeit, die frühere Arbeitstätigkeit auszuüben.
Keine zusätzlichen Zahlungen.</t>
  </si>
  <si>
    <t>Vorübergehende Erwerbsunfähigkeit (Bolniško nadomestilo):
Nach einer Abwesenheit vom Arbeitsplatz von 30 Arbeitstagen wird die Leistung von der slowenischen Krankenversicherungsanstalt (ZZZS) gezahlt. Die Leistung beträgt den durchschnittlichen Bruttomonatslohn des Leistungsempfängers im vorherigen Kalenderjahr. Es gibt keine zusätzlichen Zahlungen. Die Leistung wird mo-natlich gezahlt.
Invalidenrente (invalidska pokojnina):
Siehe Tabelle V „Invalidität; Leistungen, 2. Berechnungsmethode bzw. Rentenformel oder Beträge“.
Bei Arbeitsunfall oder Berufskrankheit wird die Invaliditätsrente (invalidska pokojnina) mit 63,50% der Rentenberechnungsbasis (pokojninska osnova) festgelegt.
Wenn eine Krankheit oder Verletzung nur teilweise durch Arbeit bedingt ist (siehe Tabelle V „Invalidität“), wird die Invaliditätsrente für jede Ursache separat berechnet. Die Summe darf dann 63,50% der Rentenberechnungsbasis nicht überschreiten.</t>
  </si>
  <si>
    <t>Monatsbeträge:
   * Dauernde teilweise Minderung der Berufsfähigkeit (incapacidad permanente parcial para la profesión habitual): Das 24-fache der monatlichen Berechnungsgrundlage;
   * Dauernde vollständige Berufsunfähigkeit (incapacidad permanente total para la profesión habitual): 55% der Berechnungsgrundlage. Für Arbeitnehmer über 55 Jahre erhöht sich dieser Betrag unter bestimmten Voraussetzungen um 20% der Berechnungsgrundlage;
   * Dauernde vollständige Erwerbsunfähigkeit (incapacidad permanente absoluta): 100% der Berechnungsgrundlage;
   * Schwerstbehinderung (gran incapacidad): zahlbarer Betrag bei absoluter und vollständiger dauerhafter Erwerbsunfähigkeit zuzüglich einer Zulage (45% der Mindestbeitragsbasis des Jahres und 30% der Arbeitnehmerbeitragsbasis).
Leistungen werden 14 Mal im Jahr monatlich ausgezahlt.</t>
  </si>
  <si>
    <t>Der Arbeitnehmer hat Anspruch auf Krankengeld (siehe Tabelle III Krankheit – Geldleistungen) und Schadensersatz für Einkommensverlust vom Arbeitgeber (siehe oben „Lohnfortzahlung durch den Arbeitgeber“).
Keine zusätzlichen Zahlungen.</t>
  </si>
  <si>
    <t>Arbeitsunfallkrankengeld (Baleseti táppénz): 100% des Monatsbruttoeinkommens (90% im Fall eines Unfalls unterwegs). Wird für 1 Jahr gewährt, kann aber, wenn nötig, auf der Basis ärztlichen Rates um ein weiteres Jahr verlängert werden.
Arbeitsunfallrente (Baleseti járadék):
Der Leistungsbetrag wird als Prozentsatz des monatlichen Durchschnittsbruttoentgelts ausgedrückt und ist abhängig vom Ausmaß des Gesundheitsschadens:
Stufe 1: 14-20%        8%
Stufe 2: 21-28%       10%
Stufe 3: 29-39%        15%
Stufe 4: über 39%     30%
Monatliche Zahlung. 13. Monat wird ausgezahlt.</t>
  </si>
  <si>
    <t>Wenn die vorübergehende Arbeitsunfähigkeit teilweise ist oder wird, kann die Versicherung den Arbeitgeber auffordern, die Möglichkeit einer Rückkehr zur Arbeit zu prüfen, entweder in den Beruf, den der Betroffene vor dem Unfall ausübte, oder in einen geeigneten Beruf, den er vorübergehend ausüben kann.
Stimmt der Betroffene der Rückkehr zur Arbeit zu, hat er Anspruch auf eine Entschädigung in Höhe der Differenz zwischen seinem Arbeitsentgelt vor dem Unfall und dem Arbeitsentgelt seit Wiederaufnahme der Beschäftigung.</t>
  </si>
  <si>
    <t>Bei eingeschränkter Arbeitsfähigkeit ist der Schadensausgleich proportional zum Grad der Invalidität. Keine zeitliche Begrenzung des Leistungsanspruchs</t>
  </si>
  <si>
    <t>Bei vorübergehender Erwerbsunfähigkeit keine Teilleistung, bei andauernder Erwerbsunfähigkeit Teilleistung durch anteilige Unfallrente (vgl. Tabelle VIII, ‘Berechnungsmethode oder Leistungsformel’).</t>
  </si>
  <si>
    <t>Bei vorübergehender Erwerbsunfähigkeit wird kein Teilkrankengeld gezahlt.
Die Arbeitsfähigkeitsbeihilfe wird gekürzt, wenn das Einkommen einer Person eine Obergrenze vom 90-fachen des täglichen Beihilfesatzes übersteigt.</t>
  </si>
  <si>
    <t>Es ist möglich, eine Teilleistung zu beziehen, die auf dem Prozentsatz der Erwerbsunfähigkeit beruht (mindestens 10%) sowie dem Einkommensverlust, berechnet als Prozentsatz des Jahreseinkommens (mindestens 5%).</t>
  </si>
  <si>
    <t>Möglichkeit der Inanspruchnahme einer stufenweisen Wiederaufnahme in Teilzeit (temps partiel thérapeutique) (s. Tabelle V „Invalidität“).</t>
  </si>
  <si>
    <t>Leistung bei Teilerwerbsfähigkeit (Partial Capacity Benefit, PCB)
Der Betrag ist ein Prozentsatz von Krankengeld oder Invalidenrente, basierend auf einer Prüfung der Einschränkung der Arbeitsfähigkeit, d.h.:
   * 100% der Invalidenrente für Personen mit tiefgreifender Arbeitsunfähigkeit;
   * jeweils 50% oder 75% für Personen mit einer leichten oder mittleren Arbeitsunfähigkeit.</t>
  </si>
  <si>
    <t>Es gibt keine Teilleistungen.</t>
  </si>
  <si>
    <t>Keine Teilleistungen.</t>
  </si>
  <si>
    <t>Teilleistungen sind möglich. Befindet sich eine Person für einen ununterbrochenen Zeitraum von 6 Monaten im Krankenstand und wenn es laut Einschätzung des Arztes der Person für deren Integration am Arbeitsplatz notwendig ist, kann die Tätigkeit in Halbzeit ausgeübt werden, aber nur für höchstens 60 Tage. In diesem Fall wird eine Teilleistung ausgezahlt.</t>
  </si>
  <si>
    <t>Keine Teilleistung.</t>
  </si>
  <si>
    <t>Die Höhe der Leistung ist abhängig vom Grad der Erwerbsunfähigkeit (vgl. Tabelle VIII, Beurteilungskriterien) und nicht von der Stundenzahl. Keine Befristung bei Teilzeit.</t>
  </si>
  <si>
    <t>Eine versicherte Person, die infolge eines Unfalls oder einer Berufskrankheit eine Erwerbsminderung erleidet, hat auf Antrag Anspruch auf eine Teilrente ab Wiederaufnahme einer beruflichen Tätigkeit vor Vollendung des 65. Lebensjahrs.
Die Teilrente entspricht dem Differenzbetrag zwischen dem beitragspflichtigen Arbeitsentgelt in den 12 Monaten nach der Konsolidierung oder Wiederaufnahme der beruflichen Tätigkeit und dem Arbeitsentgelt in den 12 Monaten vor dem Unfall.
Die Rente wird ausgesetzt, wenn der Leistungsempfänger das 65. Lebensjahr vollendet hat oder wenn eine vorzeitige Altersrente gewährt wird.</t>
  </si>
  <si>
    <t>Sowohl Zulage zur Arbeitsbeurteilung und Invaliditätsleistung können gewährt werden, wenn die Behinderung 30% oder mehr beträgt. Für die Berechnung der Leistungen und für die Dauer des Bezugs siehe Tabellen III, “Krankheit – Geldleistungen” und V, "Leistungen bei Invalidität".</t>
  </si>
  <si>
    <t>Bei der Versehrtenrente ist der Grad der Erwerbsunfähigkeit von Bedeutung: Berechnung: Siehe Tabelle VIII, Geldleistungen: Berechnungsmethode oder Leistungsformel.
Die Versehrtenrente gebührt für die Dauer der Minderung der Erwerbsfähigkeit um mindestens 20 %.</t>
  </si>
  <si>
    <t>Geldleistung bei Reduzierung der Arbeitszeit (indemnizatie pentru reducerea timpului de munca): wird berechnet als Differenz zwischen dem durchschnittlichen Bruttomonatseinkommen, das von der versicherten Person in den 6 Monaten vor dem Unfall oder der Berufskrankheit verdient wurde und dem Bruttomonatseinkommen in Folge der Arbeitszeitreduzierung.
Der Betrag darf 25% des durchschnittlichen Bruttomonatseinkommens nicht übersteigen, das in den 6 Monaten vor dem Unfall oder der Krankheit verdient wurde. Wird jeden Monat ausgezahlt für einen Zeitraum von bis zu 90 Kalendertagen in einem Jahr.</t>
  </si>
  <si>
    <t>Die Unfallrente (livränta) bezieht sich auf das potentielle Einkommen, das aufgrund der Erwerbsfähigkeit verdient werden könnte. Kann eine Person in Teilzeit arbeiten, wird die Unfallrente entsprechend dem Einkommen gekürzt.</t>
  </si>
  <si>
    <t>Teilleistung möglich. Entsprechende Kürzung der Leistungen. Keine zeitliche Begrenzung für die Auszahlung der Leistung.</t>
  </si>
  <si>
    <t>Der Bezug einer Teilleistung ist nicht möglich.</t>
  </si>
  <si>
    <t>Keine bestimmten Vorschriften.</t>
  </si>
  <si>
    <t>Eine Person kann während des Bezugs der Arbeitsunfallrente voll arbeiten, außer in dem Fall, in dem die Rente wegen teilweiser Arbeitsunfähigkeit auf 75 % oder 85 % erhöht wird, oder in dem Fall, in dem die Rente bei vollständiger Arbeitsunfähigkeit aufgrund der Verletzung auf 100 % erhöht wird.
Bei einer Arbeitsunfallrente von 75 % oder 85 % kann die Person nur in dem Umfang arbeiten, in dem das Arbeitseinkommen nicht mehr als 1/3 des Einkommens einer gesunden Person im selben Beruf beträgt.</t>
  </si>
  <si>
    <t>Gesamtes Bruttoentgelt (eventuell hochgerechnet) des Jahres vor dem Arbeitsunfall oder dem Beginn der durch die Berufskrankheit bedingten Arbeitsunfähigkeit bis zur.
Obergrenze: von 55.841,37 pro Jahr. Für Minderjährige: Arbeitsentgelt von Volljährigen.</t>
  </si>
  <si>
    <t>Siehe Tabelle V „Invalidität"; „Leistungen, 3. Referenzeinkommen oder Berechnungsgrundlage“.</t>
  </si>
  <si>
    <t>Berechnungsgrundlage ist das Jahresbruttoentgelt im Jahr vor dem Arbeitsunfall oder der Arbeitseinstellung aufgrund von Berufskrankheit:
Höchstbetrag: DKK 632.000 (€84.704) pro Jahr.
Mindestbetrag: DKK 267.000 (€35.785) pro Jahr.
Wenn das Jahresbruttoentgelt nicht ermittelt werden kann, wird das "normale" Jahresge-halt verwendet. Es entspricht dem nationalen Durchschnittsgehalt aller Arbeitnehmer und beträgt DKK 451.000 (€60.445) pro Jahr.
Für Personen, die nicht am Arbeitsmarkt teilnehmen (z. B. Personen, die sich in einer Berufsausbildung durch die Gemeinde befinden), beträgt das Jahresgehalt DKK 54.000 (€7.506).</t>
  </si>
  <si>
    <t>Verletztengeld: Bruttoentgelt des letzten Monats vor Beginn der Arbeitsunfähigkeit.
Unfallrente: Tatsächliches Brutto-Arbeitsentgelt im Jahr vor dem Versicherungsfall (Jahresarbeitsverdienst).</t>
  </si>
  <si>
    <t>Vorübergehende Arbeitsunfähigkeit:
Krankengeld ist eine einkommensabhängige Leistung.
Das Referenzbruttoentgelt wird anhand der Sozialsteuer (sotsiaalmaks) bestimmt, die der Arbeitgeber für das Kalenderjahr vor dem Krankenstand/Unfall für den Arbeitnehmer zahlt.
Dauerhafte Arbeitsunfähigkeit:
Die Arbeitsfähigkeitsbeihilfe hängt nicht vom Einkommen ab.</t>
  </si>
  <si>
    <t>Die Leistungen basieren auf dem Jahreseinkommen zum Zeitpunkt des Ereignisses. Wenn das Einkommen um mindestens 20% vom Durchschnittseinkommen in den drei Jahren vor dem Ereignis abweicht, wird der Durchschnitt der letzten vier Jahre herangezogen. Wenn der Unterschied (20%) durch eine Veränderung bedingt ist, die als dauerhaft angesehen wird, werden die Leistungen auf dem Einkommen zum Zeitpunkt des Ereignisses basiert.
Leistungen werden mit einem Bruttomindestjahreseinkommen berechnet, wenn die Bruttojahreseinkünfte einer Person unter €16.950 liegen.
Gleiche Berechnungsgrundlage bei vorübergehender und dauerhafter Erwerbsunfähigkeit.</t>
  </si>
  <si>
    <t>Vorübergehende Arbeitsunfähigkeit (Tagegeld):
Täglicher Grundlohn als Berechnungsgrundlage: 1/30,42-tel des Bruttoarbeitsentgelts für den Kalendermonat vor der Arbeitsunterbrechung, bis zur Grenze des täglichen Nettolohns. Ab dem 1. Januar 2025 beträgt der berücksichtigte maximale Tageslohn €392,81.
Permanente Arbeitsunfähigkeit:
Rente bei permanenter Arbeitsunfähigkeit (bei einem Arbeitsunfähigkeitsgrad von 10% oder mehr): Tatsächlicher Bruttoarbeitsverdienst der letzten 12 Monate vor Einstellung der Arbeit (= L).
L = mindestens: €21.237,56,
L = höchstens: €170.620,44.
Jährliche Anpassung am 1. April.
Der Teil des Entgelts zwischen €42.655,11 und €170.620,44 wird nur zu 1/3 berücksichtigt.</t>
  </si>
  <si>
    <t>Keine besonderen Bestimmungen für Arbeitsunfälle und Berufskrankheiten. Die Berechnungsgrundlage ist die gleiche wie für Invalidenrente (siehe Tabelle V „Invalidität“).</t>
  </si>
  <si>
    <t>Nicht anwendbar, die Leistungen sind nicht entgeltbezogen.</t>
  </si>
  <si>
    <t>Nur der einkommensabhängige Anteil der Rente (siehe Tabelle 3 unter „Geldleistungen, Berechnungsmethode oder Leistungsformel“), der im Zusammenhang mit dauerhafter Erwerbsunfähigkeit gewährt wird, unterscheidet sich entsprechend der Einkünfte sowie des Tätigkeitssektors:
Industrie:
Durchschnittlicher Bruttoarbeitsverdienst im Jahr vor Einstellung der Arbeit variiert zwischen einem Mindestbetrag von €20.426,70 und einem Höchstbetrag von €37.935,30.
Landwirtschaftliches Industriegewerbe:
Festgelegter Durchschnittsbetrag von €30.834,39, außer in besonderen Umständen.
Herkömmliche Durchschnittseinkommen, die sowohl in Nicht-EU-Ländern als auch Ländern ohne Sozialversicherungsabkommen mit Italien gelten, werden jährlich durch Verordnung des Ministeriums festgelegt.</t>
  </si>
  <si>
    <t>1. Säule:
Das Jahresnettogehalt einer Person steht im Bezug zu dem durchschnittlichen nationalen Jahresgehalt aller Beschäftigten.
Das Ergebnis ist ein Wertpunkt für jedes Jahr der Erwerbsbiografie. Alle Wertepunkte werden zusammenaddiert und durch die Anzahl der Arbeitsjahre geteilt. Das Ergebnis ist der durchschnittliche Wertepunkt, der dann in der Rentenberechnungsformel verwendet wird.
2. Säule:
Nicht anwendbar. Kein Bezug zum früheren Einkommen.</t>
  </si>
  <si>
    <t>Durchschnittliches versichertes Bruttoentgelt in 36 aufeinanderfolgenden Monaten innerhalb eines Zeitraums von 5 Jahren vor dem Eintreten des Risikos.</t>
  </si>
  <si>
    <t>Als versicherter Verdienst gilt der innerhalb eines Jahres vor dem Unfall bezogene Bruttolohn zuzüglich Nebenbezüge und Ersatzeinkünfte, maximal  CHF 148.200 (€158.350).</t>
  </si>
  <si>
    <t>Regelmäßige Entschädigung bei Verlust der Teilhabefähigkeit (netekto dalyvumo periodinė kompensacija):
Durchschnittliches versichertes Brutto-Monatseinkommen in den 12 aufeinander folgenden Monaten vor dem Schadensfall.
Einmalige Entschädigung bei Verlust der Teilhabefähigkeit (netekto dalyvumo vienkartinė kompensacija): einkommensbasiert.</t>
  </si>
  <si>
    <t>Beitragspflichtiges Erwerbseinkommen im Jahr vor dem Eintreten des Arbeitsunfalls oder der Berufskrankheit oder, falls die Periode von 12 Monaten nicht vollständig gedeckt ist, der durchschnittliche Tagesarbeitsverdienst des letzten Beschäftigungsverhältnisses multipliziert mit der durchschnittlichen Anzahl der in dem Unternehmen geleisteten Arbeitstage. Für Versicherte mit monatlicher Lohn- oder Gehaltszahlung: Das Zwölffache des zum Unfallzeitpunkt geltenden Betrags.</t>
  </si>
  <si>
    <t>Nicht anwendbar. Leistungen sind nicht einkommensabhängig.</t>
  </si>
  <si>
    <t>Volksversicherung (folketrygden):
Geschätztes jährliches Erwerbseinkommen zum Zeitpunkt des Unfalls. Falls günstiger, alternativ die Einkommensbasis für Invaliditätsleistung (uføretrygd), siehe Tabelle V „Invalidität, Leistungen, 3. Referenzeinkommen oder Berechnungsgrundlage“.
Im Fall vorübergehender Erwerbsunfähigkeit darf die Grundlage für die Zulage zur Arbeitsbeurteilung nicht niedriger angesetzt werden als das angenommene Jahreseinkommen der Person zum Zeitpunkt der Verletzung, angepasst an die Entwicklung des Grundbetrags bis zum Zeitpunkt der Antragstellung, siehe Tabelle III, "Krankheit – Geldleistungen" “Leistungen 1. Berechnungsmethode oder Rentenformel”.
Arbeitsunfallversicherung (yrkesskadeforsikringen):
Ruhegehaltsfähiges Erwerbseinkommen im Jahr vor dem Unfallsjahrs, oder wenn es vorteilhafter ist, das geschätzte Jahreseinkommen zum Zeitpunkt des Unfalls.</t>
  </si>
  <si>
    <t>Bei der Versehrtenrente ist die Höhe des Einkommens von Bedeutung: Herangezogen wird das Brutto-Jahresarbeitsentgelt des Jahres vor dem Unfall oder dem Eintritt der Berufskrankheit.</t>
  </si>
  <si>
    <t>Krankengeld (zasiłek chorobowy): siehe Tabelle III, „Geldleistungen bei Krankheit“, „Leistungen, 1. Berechnungsmethode oder Rentenformel“.
Arbeitsunfallrente (Renta z tytułu wypadku przy pracy) oder Berufskrankheitsrente (Renta z tytułu choroby zawodowej):
Siehe Tabelle V „Invalidität"; „Leistungen, 2. Referenzeinkommen oder Berechnungsgrundlage“.</t>
  </si>
  <si>
    <t>Brutto-Jahreseinkommen zum Zeitpunkt des Unfalls oder der Aussetzung eines Risikos oder zum Zeitpunkt der Bescheinigung einer Krankheit, abhängig davon, ob es sich um einen Arbeitsunfall oder Berufskrankheit handelt (L = 12 x monatliches Gehalt + Urlaubs- und Weihnachtsgeld + andere regelmäßige Einkünfte/Leistungen).</t>
  </si>
  <si>
    <t>Geldleistung bei vorübergehender Arbeitsunfähigkeit (indemnizatie pentru incapacitate temporara de munca) aufgrund von Arbeitsunfällen oder Berufskrankheiten: durchschnittliches Bruttomonatseinkommen, das in den 6 Monaten vor dem Monat verdient wurde, in dem die krankheitsbedingte Fehlzeit gewährt wurde.
Für nähere Informationen zur Berechnungsmethode der Invalidenrente (pensie de invaliditate), siehe Tabelle V „Invalidität“.</t>
  </si>
  <si>
    <t>Einkommen, das zum Anspruch auf Krankengeld berechtigt (sjukpenninggrundande inkomst) zum Zeitpunkt der Unfallrentenauszahlung (livränta) oder das Einkommen, das mit einem solchen Anspruch verbunden gewesen wäre, wenn die Schwedische Sozialversicherungskasse (Försäkringskassan) über alle Fakten informiert gewesen wäre. Dieses zugrunde gelegte Arbeitsentgelt / Berechnungsgrundlage wird Grundlage zur Berechnung der Unfallrente (livränteunderlag) genannt.</t>
  </si>
  <si>
    <t>Taggeld (vorübergehende Arbeitsunfähigkeit):
Versicherter Verdienst = letzter vor dem Unfall bezogener Lohn, einschließlich der Familienzulagen.
Invalidenrente (bleibende Arbeitsunfähigkeit):
Versicherter Verdienst = Lohn, den der Versicherte im Jahr vor dem Unfall zuletzt bezogen hat, einschließlich der Familienzulagen.
Maximaler versicherter Verdienst: CHF148.200 (€158.350) pro Jahr.</t>
  </si>
  <si>
    <t>Verletztengeld (Úrazový príplatok) und Unfallrente (Úrazová renta):
Die tägliche Bemessungsgrundlage beruht normalerweise auf dem durchschnittlichen täglichen Einkommen des Kalenderjahrs vor Eintritt der Berufskrankheit oder des Arbeitsunfalls.</t>
  </si>
  <si>
    <t>Leistungen werden auf der Basis der Rentenberechnungsbasis (pokojninska osnova) berechnet: siehe Tabelle V „Invalidität; Leistungen, 2. Referenzeinkommen oder Berechnungsgrundlage“.</t>
  </si>
  <si>
    <t>Die Berechnungsgrundlage im Fall vorübergehender Erwerbsunfähigkeit beruht auf der Addierung der Beitragsgrundlage für Berufsunfälle des Monats vor dem ursächlichen Ereignis ohne Überstunden, dividiert durch die Anzahl von Tagen, denen der genannte Beitrag entspricht zu der Beitragsgrundlage für geleistete Überstunden im vorherigen Jahr, dividiert durch 365 Tage.
Die Berechnungsgrundlage im Fall dauerhafter Erwerbsunfähigkeit beruht auf realen Bruttoeinkünften (bis zur Beitragsobergrenze). Sie wird ermittelt, indem man die Summe der folgenden Werte durch 12 teilt:
   * der Tagesbruttolohn multipliziert mit 365,
   * Vergütung für Überstunden, Zulagen und sonstige Lohnbestandteile multipliziert mit 273, und
   * Bonus- und Sonderzahlungen.
Für nähere Angaben zur Berechnungsgrundlage im Fall dauerhafter Erwerbsunfähigkeit siehe Tabelle V, „Invalidität“. „Leistungen – Referenzeinkommen oder Berechnungsgrundlage“.</t>
  </si>
  <si>
    <t>Geldleistungen: siehe Tabelle III Krankheit – Geldleistungen, 1. Berechnungsmethode oder Rentenformel.
Die Entschädigung basiert auf dem vorherigen Durchschnittsbruttoeinkommen im vorherigen Kalenderquartal oder im vorherigen Kalenderjahr (je nachdem, was für den Arbeitnehmer günstiger ist).</t>
  </si>
  <si>
    <t>Beitragspflichtiges durchschnittliches Bruttomonatsentgelt des dem Arbeitsunfall vorangegangenen Jahres.</t>
  </si>
  <si>
    <t>Volle Grundrente (Βασική Σύνταξη) : definiertes versicherungspflichtiges Entgelt des laufenden Jahres (= € 213,54 pro Woche).
Zusatzrente (Συμπληρωματική Σύνταξη) : der wöchentliche Wert des jährlichen Durchschnitts der Versicherungspunkte der gezahlten und gleichgestellten Zusatzversicherung im Zeitraum zwischen dem 1. Tag des zweiten Jahres vor dem Jahr, in dem der Unfall geschah, und dem Tag des Unfalls (für die Definition von „versicherungspflichtiges Entgelt“ siehe Finanzierung – „Mindest- und Höchstbeträge“).
Das Verletztengeld ist eine vorübergehende Leistung im Zusammenhang mit Arbeitsunfällen. Wenn die unfallbedingte Arbeitsunfähigkeit dauerhaft ist, kann eine Person nach der Zahlung von Verletztengeld zum Empfänger einer Arbeitsunfähigkeitsrente werden.
Für die Definition von versicherungspflichtigem Entgelt siehe Tabelle I zu Finanzierung – Allgemeine Sozialbeitragssätze.</t>
  </si>
  <si>
    <t>Keine Mindestgrenze.
 Obergrenze, soweit für die Berechnung der fälligen Entschädigung das maximale Jahresentgelt begrenzt ist (siehe Kategorie - Referenzeinkommen oder Berechnungsgrundlage)</t>
  </si>
  <si>
    <t>Kein Mindest- und kein Höchstbetrag.</t>
  </si>
  <si>
    <t>Ausgleich für Verlust der Erwerbsfähigkeit (erstatning for tab af erhvervsevne):
Es ist keine Mindestleistung zahlbar.
Höchstbetrag der Leistung bei voller Erwerbsunfähigkeit: DKK 482.596 (€64.680) pro Jahr.</t>
  </si>
  <si>
    <t>Jahresarbeitsverdienst beträgt mindestens 60% (Personen über 18 Jahre) bzw. 40% (Personen bis zu 18 Jahren) der im Zeitpunkt des Versicherungsfalls maßgeblichen Bezugsgröße.
Bundeseinheitliche Bezugsgröße 2025: €44.940
Höchstgrenze des Jahresarbeitsverdienstes: Zweifaches der Bezugsgröße, ggfs. höherer Jahresarbeitsverdienst per Satzung.
Für Kinder wird altersabhängig ein Jahresarbeitsverdienst festgelegt.</t>
  </si>
  <si>
    <t>Vorübergehende Arbeitsunfähigkeit:
Kein Mindestbetrag. Keine Obergrenze.
Dauerhafte Arbeitsunfähigkeit:
Pauschalleistung.</t>
  </si>
  <si>
    <t>Kein Mindestbetrag, keine Obergrenze.</t>
  </si>
  <si>
    <t>Vorübergehende Arbeitsunfähigkeit:
Kein Mindestsatz.
Das Tagegeld unterliegt einer Obergrenze von €235,69 pro Tag (die 28 ersten Kalendertage), danach €314,25 pro Tag.
Permanente Arbeitsunfähigkeit:
Bei dauerhafter Arbeitsunfähigkeit von 10% oder mehr wird die Rente aus einem Jahresbruttogehalt zwischen €21.237,56 und dem Achtfachen dieses Betrags berechnet.</t>
  </si>
  <si>
    <t>Mindestbetrag: €872,80 monatlich.
Höchstbetrag: €5.236,80 monatlich.
Siehe Tabelle V „Invalidität“ für nähere Angaben.</t>
  </si>
  <si>
    <t>Kein Mindestbetrag. Persönlicher Höchstsatz ist €244.
Keine Unterschiede zwischen dauerhafter und vorübergehender Arbeitsunfähigkeit.</t>
  </si>
  <si>
    <t>Keine Obergrenzen. Leistungen werden als Pauschalen ausgezahlt.
Leistungen aus dem nationalen Rentensystem werden jedoch gekürzt, wenn das Einkommen einen bestimmten Betrag übersteigt.</t>
  </si>
  <si>
    <t>Keine Obergrenze mit Ausnahme des einkommensabhängigen Bestandteils der Rente (siehe „Geldleistungen, Berechnungsmethode oder Leistungsformel“).</t>
  </si>
  <si>
    <t>Es gibt keinen Höchst- oder Mindestbetrag, da der gezahlte Betrag dem vorherigen Gehalt entspricht. Es gibt keinen Unterschied zwischen vorübergehender und dauerhafter Erwerbsunfähigkeit.</t>
  </si>
  <si>
    <t>Mindestbetrag:
   * Behinderungen der Gruppe I: €302,40 im Monat,
   * Behinderungen der Gruppe II: €264,60 im Monat,
   * Behinderungen der Gruppe III: €189 im Monat.
Höchstbetrag: 25 x den Betrag der Staatlichen Grundleistung der sozialen Sicherheit (Valsts sociālā nodrošinājuma pabalsts), d.h. €4.150 im Monat.</t>
  </si>
  <si>
    <t>Kein Mindestbetrag. Höchstbetrag:  CHF 148.200 (€158.350).</t>
  </si>
  <si>
    <t>Keine Obergrenze.</t>
  </si>
  <si>
    <t>Für Renten:
Mindestsatz: €2.703,74 pro Monat.
Höchstsatz: €13.518,68 pro Monat.
Für Leistungen: pauschal.</t>
  </si>
  <si>
    <t>Unfallgeld (Benefiċċju għal Korriment): kein Mindestbetrag und keine Obergrenzen. Pauschalleistung.
Unfallrente (Pensjoni tal-Korriment): die wöchentliche Höchstrente beträgt €86,24.</t>
  </si>
  <si>
    <t>Kein Mindestbetrag bei Arbeitsunfällen. Geschätztes Jahreserwerbseinkommen zum Zeitpunkt des Unfalls. Alternativ, wenn günstiger, die reguläre Einkommensbasis für Invaliditätsleistung (uføretrygd), siehe Tabelle V "Leistungen bei Invalidität", “3. Referenzeinkommen oder Berechnungsgrundlage”.
Keine formale Bemessungsgrenze. Ruhegehaltsfähiges Einkommen, das das 6-fache des Grundbetrags übersteigt, wird jedoch nicht in die Grundlagen für die Invaliditätsleistung aufgenommen.
Aufstockung durch die Arbeitsunfallversicherung (yrkesskadeforsikringen), um einen vollen Schadensausgleich zu erhalten.</t>
  </si>
  <si>
    <t>Kein Mindestbetrag.
Höchstbetrag des Einkommens: €90.300 = 12 x €6.450 brutto  + €12.900 für Sonderzahlungen.</t>
  </si>
  <si>
    <t>Krankengeld (zasiłek chorobowy): weder Höchstbetrag noch Obergrenze.
Arbeitsunfallrente (Renta z tytułu wypadku przy pracy) oder Berufskrankheitsrente (Renta z tytułu choroby zawodowej):
Der Betrag der Leistungen darf nicht weniger betragen als:
   * 80% der Berechnungsgrundlage bei Vollinvalidität;
   * 60% der Berechnungsgrundlage bei Teilinvalidität
und nicht weniger als 120% der Mindestinvaliditätsrente.
Mindestrente seit 1. März 2025 ist:
   * PLN 2.254,69 (€532) monatlich bei Vollinvalidität.
   * PLN 1.691,02 (€399) monatlich bei Teilinvalidität.
Keine Obergrenze.</t>
  </si>
  <si>
    <t>Kein Mindestsatz.
Keine Obergrenze.</t>
  </si>
  <si>
    <t>Kein Mindestbetrag.
Keine Obergrenze.</t>
  </si>
  <si>
    <t>Mindestbetrag: 24% des Grundbetrags (prisbasbelopp), d.h. SEK 14.112 (€1.283) (SEK 58.800 (€5.345) x 0,24) pro Jahr.
Höchstbetrag: das 7,5-fache des Grundbetrags (prisbasbelopp), d.h. SEK 441.000 (€40.091) pro Jahr.</t>
  </si>
  <si>
    <t>Kein Mindestbetrag.
80% des Höchstbetrages des versicherten Verdienstes (der Höchstbetrag des versicherten Verdienstes beläuft sich auf CHF148.200 (€158.350) im Jahr und CHF406 (€434) im Tag).</t>
  </si>
  <si>
    <t>Vorübergehende Erwerbsunfähigkeit (Bolniško nadomestilo):
Siehe Tabelle III, „Krankheit – Geldeistungen, Leistungen, Höchst- und Mindestleistungsbeträge”.
Die garantierte Invalidenrente (invalidska pokojnina) für Leistungsempfänger von Invalidenrente, die Beiträge in das Rentensystem (1. Säule) für den zum Erhalt einer Vollrente erforderlichen Zeitraum leisten: Mindestbetrag von €781,94 seit 1. Januar 2025.
Die Höhe der garantierten Mindestinvaliditätsrente (zagotovljena najnižja invalidska pokojnina) ist auf 41% der Mindest-Rentenberechnungsbasis festgelegt und beträgt €490,03 seit 1. Januar 2025.
Keine gesetzliche Höchstrente vorgesehen, ergibt sich aber aus dem durch die Berechnungsmethode erhaltenen Höchstbetrag, welcher seit 1. Januar 2025 der maximalen Rentenberechnungsbasis von €4.879,80 (brutto) entspricht (d.h. viermal höher als die minimale Rentenberechnungsbasis).</t>
  </si>
  <si>
    <t>Mindestrente (pensión mínima) bei dauerhafter Erwerbsunfähigkeit (siehe Tabelle V, „Invalidität“ für nähere Angaben).
Keine Obergrenze.</t>
  </si>
  <si>
    <t>Kein Mindestbetrag.
Keine Höchstgrenze.</t>
  </si>
  <si>
    <t>Keine Mindestbeträge.
Keine Obergrenze.</t>
  </si>
  <si>
    <t>Siehe: Tabelle III – Krankheit – Geldleistungen – „Mindest- und Höchstleistungen“ für Verletztengeld Tabelle V – Invalidität – „Mindest- und Höchstleistungen“ für Arbeitsunfähigkeitsrente und Invaliditätsentschädigung.</t>
  </si>
  <si>
    <t>Der Leistungsanspruch gilt bis zur Heilung: Wenn aus der vorübergehenden Arbeitsunfähigkeit eine ständige Arbeitsunfähigkeit wird (d.h. die Arbeitsunfähikgeit verbessert sich nicht mehr). Die vorübergehende Arbeitsunfähigkeit wird dann zu einer ständigen Arbeitsunfähigkeit. Dieser Vorgang wird als Konsolidierung bezeichnet.</t>
  </si>
  <si>
    <t>Siehe Tabelle III „Krankheit - Geldleistungen“; „Leistungen, 2. Leistungen der sozialen Sicherheit, Dauer der Leistungen“.</t>
  </si>
  <si>
    <t>Der Ausgleich für Verlust der Erwerbsfähigkeit (erstatning for tab af erhvervsevne) wird gezahlt, bis der Verletzte Anspruch auf eine Altersrente hat. (d.h. in der Regel bis zum Rentenalter).
Ein vorübergehender Ausgleich für Verlust der Erwerbsfähigkeit wird gezahlt, bis die gesundheitliche und berufliche Situation der verletzten Person als dauerhaft angesehen wird; danach wird eine endgültige Entscheidung getroffen. Es gibt keine feste zeitliche Begrenzung für vorläufige Entscheidungen.</t>
  </si>
  <si>
    <t>Zahlung von Verletztengeld während der unfallbedingten Arbeitsunfähigkeit, in der Regel für maximal 78 Wochen.
Zahlung der Unfallrente solange rentenberechtigende Minderung der Erwerbsfähigkeit vorliegt, ggf. lebenslang.</t>
  </si>
  <si>
    <t>Vorübergehende Arbeitsunfähigkeit:
Krankengeld wird bis zur Heilung oder Konsolidierung gezahlt, aber nicht länger als 182 Kalendertage pro Krankheitsfall und bis zu 240 Kalendertage bei Tuberkulose.
Dauerhafte Arbeitsunfähigkeit:
Die Arbeitsfähigkeitsbeihilfe wird ab dem Antragsdatum für den Zeitraum der festgestellten teilweisen Arbeitsfähigkeit oder Arbeitsunfähigkeit gewährt (normalerweise bis zu 5 Jahre). Ist der Gesundheitszustand unveränderlich oder progressive und schließt er jegliche Arbeitsfähigkeit aus, kann die Beihilfe für länger gewährt werden (bis zum Rentenalter).</t>
  </si>
  <si>
    <t>Tagegeld (Päiväraha): höchstens ein Jahr.
Arbeitsunfallrente (Tapaturmaeläke): bis zur Genesung.</t>
  </si>
  <si>
    <t>Vorübergehende Arbeitsunfähigkeit: bis zur Heilung oder Konsolidierung.
Permanente Arbeitsunfähigkeit: bis zum Tod.</t>
  </si>
  <si>
    <t>Keine besonderen Bestimmungen für Arbeitsunfälle und Berufskrankheiten. Für vorübergehende Erwerbsunfähigkeit siehe Tabelle III „Krankheit - Geldleistungen“.
Für dauerhafte Erwerbsunfähigkeit siehe Tabelle V „Invalidität“.</t>
  </si>
  <si>
    <t>Höchstens 156 Tage (Sonntage ausgenommen).
Es wird nicht zwischen vorübergehender und dauerhafter Arbeitsunfähigkeit unterschieden.</t>
  </si>
  <si>
    <t>Höchstdauer für Leistungen bei vorübergehender Erwerbsunfähigkeit: 52 Wochen. Leistung bei dauerhafter Erwerbsunfähigkeit: Pauschalzahlung, siehe Tabelle VIII „Geldleistungen – Berechnungsmethode oder Leistungsformel“.</t>
  </si>
  <si>
    <t>Bis zur Genesung.</t>
  </si>
  <si>
    <t>Nach 12 Monaten muss der Bezieher einen Antrag auf Invaliditätsrente stellen; der Anspruch ist innerhalb von 60 Kalendertagen zu prüfen. Falls der Invaliditätsstatus nicht festgestellt wird, läuft der Anspruch auf die Geldleistung bis zur Heilung weiter.</t>
  </si>
  <si>
    <t>Entschädigung für den Verlust von Arbeitsfähigkeit wird bis zur Genesung gezahlt oder bis zur Gewährung einer Altersrente.</t>
  </si>
  <si>
    <t>Anspruch auf Taggeld bis zur Wiedererlangung der vollen Arbeitsfähigkeit, dem Beginn einer Rente oder dem Tod.</t>
  </si>
  <si>
    <t>Bis zur Genesung oder Feststellung einer dauerhaften Behinderung.</t>
  </si>
  <si>
    <t>Eine Rente wird bis zum Alter von 65 Jahren gewährt.
Leistung für Nichtvermögensschaden (indemnité pour préjudices extrapatrimoniaux), die lebenslang gewährt wird, wenn der Grad der dauerhaften Teilinvalidität mehr als 20% beträgt.</t>
  </si>
  <si>
    <t>Die Person hat Anspruch auf ein Jahr Unfallgeld. Hält die Verletzung länger als 1 Jahr an, empfiehlt die Ärztekommission der Person die Beantragung einer Unfallrente. Das Unfallgeld wird direkt an den Versicherten ausbezahlt. Freischaffende erhalten die Leistung ausgezahlt, die dann bei ihnen verbleibt.
Unfallrente (Pensjoni tal-Korriment): wird gezahlt, bis die Person das gesetzliche Rentenalter erreicht. Invaliditätsrente (Pensjoni tal- Invalidità): siehe Tabelle V, Invalidität.</t>
  </si>
  <si>
    <t>Ein Jahr.</t>
  </si>
  <si>
    <t>Bis zur Heilung oder Konsolidierung (spätestens nach 2 Jahren ist eine Dauerrente festzustellen).</t>
  </si>
  <si>
    <t>Krankengeld (zasiłek chorobowy): wird für eine Höchstdauer von 182 Tagen gezahlt.
Arbeitsunfallrente (Renta z tytułu wypadku przy pracy) oder Berufskrankheitsrente (Renta z tytułu choroby zawodowej): bis zur Genesung.</t>
  </si>
  <si>
    <t>Die Leistungen werden bis zur Heilung oder Konsolidierung erbracht.
Die vorübergehende/vorläufige Erwerbsunfähigkeit geht nach einem zusammenhängenden Zeitraum von 18 Monaten in eine dauernde Erwerbsunfähigkeit über. Der medizinische Sachverständige des Gerichts kann den entsprechenden Grad der Behinderung neu festlegen.
Wenn überprüft wird, ob die geschädigte Person die notwendige klinische Behandlung erhält, kann der Zeitraum von 18 Monaten auf Antrag der verantwortlichen Stelle und/oder der geschädigten Person auf bis zu 30 Monate verlängert werden.</t>
  </si>
  <si>
    <t>Geldleistung bei vorübergehender Arbeitsunfähigkeit (indemnizatie pentru incapacitate temporara de munca) aufgrund von Arbeitsunfällen oder Berufskrankheiten: Zahlung für 183 Kalendertage pro Jahr, ab dem ersten Tag der ärztlich bestätigten Abwesenheit vom Arbeitsplatz. Kann auf 273 Kalendertage verlängert werden.
Für versicherte Personen mit Verbrennungen zweiten bis dritten Grades werden Leistungen während des gesamten Behandlungs- und Erholungszeitraumes erbracht, bis die vollständige Genesung erreicht ist (d.h. die Dauer kann in diesem Fall 273 Tage überschreiten).</t>
  </si>
  <si>
    <t>Keine formelle zeitliche Begrenzung der Bezugsdauer, jedoch kann das Krankengeld (sjukpenning) durch den Aktivitätsausgleich (aktivitetsersättning) (für Personen im Alter von 19 bis 29 Jahren) oder den Krankheitsausgleich (sjukersättning) (für Personen von 19 bis 65 Jahren) abgelöst werden, wenn die Krankheit über einen langen Zeitraum andauert (d.h. wenn beurteilt wird, dass die Person aufgrund einer Erkrankung oder Behinderung nie wieder arbeitsfähig sein wird).
Wenn durch einen Arbeitsunfall oder eine Berufskrankheit Geschädigte die Bedingungen für die Unfallrente (livränta) erfüllen, kann diese je nach Situation zu einer Mindestdauer von einem Jahr bis zum Ende des Monats vor dem Erreichen des 66. Lebensjahres gewährt werden. Ist die Person zum Zeitpunkt der Verletzung über 66 Jahre alt, kann die Unfallrente (livränta) bis zu einem Monat vor Erreichen des 69. Lebensjahres bewilligt werden.</t>
  </si>
  <si>
    <t>Mit dem Rentenbeginn fallen die Heilbehandlung und die Taggeldleistungen dahin.
Der Rentenanspruch entsteht, wenn von der Fortsetzung der ärztlichen Behandlung keine namhafte Besserung des Gesundheitszustandes des Versicherten mehr erwartet werden kann und allfällige Eingliederungsmassnahmen der Invalidenversicherung abgeschlossen sind.</t>
  </si>
  <si>
    <t>Verletztengeld (Úrazový príplatok): Höchstens 52 Wochen, wenn die Person Anspruch auf Krankengeld hat.
Unfallrente (Úrazová renta):
Die Rente endet, wenn die versicherte Person das Rentenalter erreicht oder eine vorgezogene Altersrente (Predčasný starobný dôchodok) bezieht.</t>
  </si>
  <si>
    <t>Vorübergehende Erwerbsunfähigkeit (Bolniško nadomestilo):
Bis zur Wiederherstellung der Arbeitsfähigkeit oder bis die Person Anspruch auf eine Invalidenrente hat.
Invalidenrente (invalidska pokojnina) oder andere Leistungen bei Invalidität: bis zur Genesung.</t>
  </si>
  <si>
    <t>Bei vorübergehender Erwerbsunfähigkeit: 365 Kalendertage. Kann um weitere 180 Kalendertage verlängert werden, wenn Aussicht auf Wiederaufnahme der Arbeit besteht.
Vorübergehende Erwerbsunfähigkeit wird zum Ende dieses Zeitraums zu vollständiger Erwerbsunfähigkeit, oder auch früher, ab dem Datum, an welchem das Bewertungsteam für Behinderungen (Equipo de Valoración de Incapacidades, EVI) den Antragsteller für dauerhaft erwerbsunfähig erklärt.
Bei dauerhafter Erwerbsunfähigkeit: keine Höchstdauer. Die Anspruchsberechtigung kann jedoch infolge einer Neubewertung der Erwerbsunfähigkeit, des Anspruchs auf Altersrente oder Tod des Leistungsempfängers aufgehoben werden.</t>
  </si>
  <si>
    <t>Arbeitgeber sind unbegrenzt haftbar für jegliche Schäden, solange sie nicht teilweise oder ganz befreit sind. Die Haftung hängt von der Höhe des Schadens (Einkommensverlust) ab.
Ausgleich des Einkommensverlusts durch Erwerbsunfähigkeit wird bis zum Alter von 65 Jahren oder bis zur Gewährung der Altersrente gezahlt.</t>
  </si>
  <si>
    <t>Arbeitsunfallkrankengeld (Baleseti táppénz): Wird ein Jahr lang gezahlt (unabhängig von Versicherungszeit und früheren Krankengeldzahlungen) und kann um ein weiteres Jahr verlängert werden.
Arbeitsunfallrente (Baleseti járadék):
Beträgt der Verlust der Erwerbsfähigkeit nicht mehr als 20%, wird sie für höchstens 2 Jahre gezahlt; andernfalls wird sie gezahlt, bis die Person wieder erwerbsfähig ist.</t>
  </si>
  <si>
    <t>Für Verletztengeld beträgt die Höchstdauer 12 Monate ab dem Tag des Unfalls oder der Feststellung der Berufskrankheit.
Für die Arbeitsunfähigkeitsrente besteht keine Höchstdauer.</t>
  </si>
  <si>
    <t>Keine Zulagen für unterhaltsberechtigte Personen.</t>
  </si>
  <si>
    <t>Keine Zulagen (die Zulage für Kinder unter 16 Jahren ist Teil des Volksversicherungssystems (kansaneläke)).</t>
  </si>
  <si>
    <t>Keine zusätzlichen Zahlungen für unterhaltsberechtigte Personen.</t>
  </si>
  <si>
    <t>Keine besonderen Bestimmungen für Arbeitsunfälle und Berufskrankheiten. Keine zusätzlichen Beträge für Unterhaltsberechtigte.</t>
  </si>
  <si>
    <t>Zulagen für Angehörige erhalten Empfänger von Behindertengeld (Disablement Benefit), die daneben auch Krankengeld (Illness Benefit) beziehen oder die Zulage wegen Arbeitsunfähigkeit (Incapacity supplement), siehe unten "Andere Leistungen".
Wöchentliche Leistung:
   * Unterhaltsberechtigter Erwachsener: €162, falls unter 66 Jahren, und €162, falls über 66 Jahren
   * jedes unterhaltsberechtigte Kind unter 12 Jahren: €50 pro Woche
   * jedes unterhaltsberechtigte Kind ab 12 Jahren: €62 pro Woche</t>
  </si>
  <si>
    <t>Kinderrente (barnalífeyrir):
Siehe Invalidität – Zulagen für Unterhaltsberechtigte.</t>
  </si>
  <si>
    <t>Die dauernde Rente wird um 1/20 für den Ehepartner und jedes unterhaltsberechtigte Kind (bis zum Alter von 18 Jahren) erhöht.</t>
  </si>
  <si>
    <t>Keine zusätzlichen Beträge für Unterhaltsberechtigte.</t>
  </si>
  <si>
    <t>Keine zusätzlichen Beträge für Unterhaltsberechtigte</t>
  </si>
  <si>
    <t>Hinsichtlich der Invaliditätsrente (uføretrygd) siehe Tabelle V „Invalidität“, „Leistungen, 5. Zulagen für Unterhaltsberechtigte“.</t>
  </si>
  <si>
    <t>Wenn die Minderung der Erwerbsfähigkeit mindestens 50% beträgt, 10% der Rente (inklusive Zusatzrente), für jedes Kind bis zur Vollendung des 18. Lebensjahres bzw. bis zur Vollendung des 27. Lebensjahres bei Studium oder Berufsausbildung, kein Alterslimit bei Behinderung des Kindes. Die monatliche Höhe pro Kind beträgt 10% der Rente (das Gesetz sieht eine Höchstgrenze vor).
Siehe auch Tabelle IX.</t>
  </si>
  <si>
    <t>Bei dauernder vollständiger Erwerbsunfähigkeit für jegliche Tätigkeit wird die Rente für jedes abhängige Familienmitglied um jeweils 10% der Berechnungsgrundlage erhöht. Die Bemessungsgrenze liegt bei 100% des jährlichen Bruttolohns am Tag des Unfalls.</t>
  </si>
  <si>
    <t>Keine zusätzlichen Beträge für Unterhaltsberechtigte.
Dennoch höherer Betrag der Mindestrente (pensión mínima) für Rentner mit abhängigem Ehepartner.</t>
  </si>
  <si>
    <t>Die Grundrente wird in Relation zur Anzahl der abhängigen Familienmitglieder erhöht (siehe „Rentenbeträge“).
Ein Ehepartner wird als abhängiges Familienmitglied definiert, wenn er/sie mit dem anderen Ehepartner zusammenlebt oder von diesem unterhalten wird und weder selbst eine Rente des Sozialversicherungsfonds (Ταμείο Κοινωνικών Ασφαλίσεων) erhält noch erwerbstätig ist.
Abhängige Kinder müssen unter 15 Jahre alt sein (unter 25 bei unverheirateten Söhnen in Vollzeitausbildung oder Wehrdienst und unter 23 bei unverheirateten Töchtern in Vollzeitausbildung; ohne Altersbeschränkung für Kinder, die permanent unfähig sind, sich selbst zu versorgen).
Falls beide Ehepartner eine Rente beziehen, wird die Erhöhung wegen abhängiger Kinder bei demjenigen vorgenommen, der Anspruch auf eine größere Erhöhung hat.
Sonstige Unterhaltsberechtigte:
Zulagen für Eltern oder jüngere Geschwister, die überwiegend von der versicherten Person unterhalten wurden.</t>
  </si>
  <si>
    <t>Zulage (allocation complémentaire/ aanvullende uitkering) bei Arbeitsunfällen und Berufskrankheiten in Höhe von maximal dem 12-fachen des garantierten durchschnittlichen Monatseinkommens je nach Bedürftigkeitsgrad. Zulage indexiert ab dem ersten Tag. Keine Leistung ab dem 91. Tag eines Krankenhausaufenthalts.</t>
  </si>
  <si>
    <t>Leistungsempfänger mit einer Minderung der Erwerbsfähigkeit, die ständige Hilfe einer Pflegeperson benötigen, erhalten eine Zulage in Höhe von 75% der sozialen Altersrente (Социална пенсия за старост). Die Zulage beträgt BGN 250,11 (€ 128).</t>
  </si>
  <si>
    <t>Je nach individuellem Fall Pflegegeld in Höhe von €462 bis €1.838 (bundeseinheitlich) monatlich (Stand: 1. Juli 2025).</t>
  </si>
  <si>
    <t>Falls Pflege durch Dritte notwendig ist, kann eine Hilflosigkeitszulage (Hoitotuki) gewährt werden; höchstens €35,52 pro Tag.</t>
  </si>
  <si>
    <t>Zusatzleistung für Rückgriff auf Dritte (prestation complémentaire pour recours à tierce personne):
Zulage der Jahresrente (Pauschalbetrag) entsprechend des Behinderungsgrades des Leistungsempfängers. Siehe Tabelle XII „Langzeitpflege“.
Die Zulage entfällt ab dem letzten Tag des auf den Krankenhausaufenthalt folgenden Monats.</t>
  </si>
  <si>
    <t>Personen, die völlig blind und fortlaufend auf die Pflege einer dritten Person angewiesen sind (Vollinvalidität), können die gesamte Invaliditätsleistung (ΕΠΙΔΟΜΑ ΑΠΟΛΥΤΟΥ ΑΝΑΠΗΡΙΑΣ) erhalten. Die Leistung wird monatlich gezahlt.
Nähere Angaben in Tabelle V „Invalidität“.</t>
  </si>
  <si>
    <t>Dauerpflegegeld (Constant Attendance Allowance) von wöchentlich €261 für Bezieher einer Rente wegen voller Erwerbsunfähigkeit, die ständiger Pflege bedürfen. Siehe Tabelle XII "Pflegebedürftigkeit".</t>
  </si>
  <si>
    <t>Keine Zulage.</t>
  </si>
  <si>
    <t>Im Falle dauernder vollständiger Erwerbsunfähigkeit:
Beihilfe für persönliche Betreuung (assegno di assistenza personale e continuativa) von €672,72 pro Monat ab Juli 2025.</t>
  </si>
  <si>
    <t>Inklusionsbeihilfe  (Inkluzivni dodatak) : siehe Tabelle XI „Mindestsicherung”, „Mindesteinkommenshöhe“.</t>
  </si>
  <si>
    <t>Keine Zulagen für Pflege durch eine andere Person.</t>
  </si>
  <si>
    <t>Kein Rentenzuschlag, jedoch bei ständigem Hilfs- und Überwachungsbedarf Hilflosenentschädigung (vgl. Tabelle XII – Langzeitpflege).</t>
  </si>
  <si>
    <t>Keine Zulage für die Pflege durch eine andere Person.</t>
  </si>
  <si>
    <t>Keine Pflegezulage</t>
  </si>
  <si>
    <t>Keine Pflegezulage für Pflege durch eine andere Person.</t>
  </si>
  <si>
    <t>Pflegeunterstützungsgeld (hjelpestønad) wie für Bezieher einer Invaliditätsrente (uføretrygd) (siehe Tabelle V „Invalidität“, „Leistungen, 8. Sonstige Leistungen“) zur Bestreitung des zusätzlichen Pflegebedarfs. Die Bedingung fortbestehender Versicherung entfällt.
Pflegeunterstützungsgeld kann gewährt werden, wenn die Erwerbsunfähigkeit dauerhaft ist, ebenso wie Invaliditätsleistung.
Ggf. Aufstockung durch die Arbeitsunfallversicherung (yrkesskadeforsikringen), um einen vollen Schadensausgleich zu erhalten.</t>
  </si>
  <si>
    <t>Bei voraussichtlich mindestens sechs Monate andauerndem Betreuungs- und Hilfsbedarf aufgrund einer körperlichen, geistigen oder psychischen Behinderung oder einer Sinnesbehinderung besteht Anspruch auf Pflegegeld als Zusatz zur Rente. Siehe Tabelle XII.</t>
  </si>
  <si>
    <t>Pflegezulage (Dodatek pielęgnacyjny):
siehe Tabelle XII „Langzeitpflege“.</t>
  </si>
  <si>
    <t>Ergänzungsleistung für Pflege durch Dritte (prestação suplementar por assistência de terceira pessoa): Ergänzungsleistung für Schwerbehinderte, die der ständigen Fremdhilfe bedürfen. Monatliche Leistung in Höhe der Vergütung, die an eine dritte Person gezahlt wird, bis zur Obergrenze von 110% des Indexwerts für soziale Unterstützungen IAS (indexante dos apoios sociais) = € 522,50.</t>
  </si>
  <si>
    <t>Geldleistung bei vorübergehender Arbeitsunfähigkeit (indemnizatie pentru incapacitate temporara de munca) aufgrund von Arbeitsunfällen oder Berufskrankheiten: keine Zulagen für Pflege durch eine andere Person.
Für nähere Informationen bezüglich Leistung für Pflegepersonen (indemnizatie de insotitor) siehe Tabelle V „Invalidität“.</t>
  </si>
  <si>
    <t>Keine Zulagen für Pflege durch eine weitere Person.</t>
  </si>
  <si>
    <t>Keine Rentenzulage, jedoch Hilflosenentschädigung (siehe Tabelle VIII „Arbeitsunfälle und Berufskrankheiten“, „Geldleistungen, Andere Leistungen“).</t>
  </si>
  <si>
    <t>Keine Zulagen, aber faktische Erstattung tatsächlicher Pflegekosten als staatliche Hilfe ist vorgesehen.
Siehe auch Tabelle XII „Pflegebedürftigkeit, Leistungen für inoffizielle Pfleger oder Geldleistungen“.</t>
  </si>
  <si>
    <t>Pflegegeld (dodatek za pomoč in postrežbo): Für Leistungsempfänger mit Wohnsitz, wenn sie ständige Hilfe bei der Befriedigung ihrer täglichen Bedürfnisse benötigen sowie für Leistungsempfänger, die blind und unbeweglich sind, beträgt die Leistung mindestens 53% der Mindestrente. Personen, die für die meisten alltäglichen Tätigkeiten auf Hilfe angewiesen sind sowie Leistungsempfänger mit Sehbehinderungen, erhalten die Hälfte dieses Betrags.</t>
  </si>
  <si>
    <t>Schwerstbehinderung (gran incapacidad): Zulage entsprechend 45% der Mindestbeitragsbasis des Jahres und 30% der Arbeitnehmerbeitragsbasis.</t>
  </si>
  <si>
    <t>Keine Zulagen für die Pflege durch eine andere Person.</t>
  </si>
  <si>
    <t>Keine Pflegezulage, aber eine Beihilfe für Pflegepersonen (Ápolási díj) und Beihilfe für häusliche Kinderpflege (Gyermekek otthongondozási díja) kann gewährt werden (siehe Tabelle XII „Langzeitpflege“ für nähere Hinweise).</t>
  </si>
  <si>
    <t>Zuschlag in Höhe von € 281,88 pro Monat für voll invalide Leistungsempfänger, die ständiger Pflege durch Dritte bedürfen.</t>
  </si>
  <si>
    <t>Keine sonstigen Zulagen.</t>
  </si>
  <si>
    <t>Siehe Tabelle V „Invalidität“, „Leistungen, 8. Sonstige Leistungen“</t>
  </si>
  <si>
    <t>Ausbildungsbeihilfe (uddannelsesgodtgørelse):
Unterstützt Personen, die eine Berufsverletzung erlitten haben, bei einer beruflichen Neuorientierung. Der Grad der dauerhaften Behinderung muss bei mindestens 10% liegen und die verletzte Person darf nicht mehr in der Lage sein, ihre bisherige Vollzeitbeschäftigung auszuüben. Die Beihilfe wird für höchstens 4 Jahre gezahlt und der monatliche Betrag liegt in Höhe von 83% des vorigen Gehalts.
Versicherung für Gewaltverletzungen (Voldsskadeforsikring):Erleidet ein Arbeitnehmer einen Arbeitsunfall aufgrund von Gewalt, Drohungen oder anderen gewalttätigen Vorfällen, die von ihm anvertrauten Personen verursacht werden, hat er Anspruch auf Entschädigung nach dem Arbeitnehmerentschädigungsgesetz, wenn die Verletzung zu einem dauerhaften Schaden führt. Darüber hinaus deckt die Versicherung gegen Gewaltverletzungen weitere Entschädigungen nach dem dänischen Haftpflichtgesetz ab, einschließlich entgangener Einnahmen und Schmerzensgelder.</t>
  </si>
  <si>
    <t>Gegebenenfalls ergänzende Sachleistungen möglich, zum Beispiel Haushaltshilfe, Kinderbetreuungs- kosten, Rehabilitationssport oder Reisekosten.</t>
  </si>
  <si>
    <t>Der Arbeitnehmer hat Anspruch darauf, in dem im Vertragsrecht vorgesehenen Umfang vom Arbeitgeber einen Ausgleich für gesundheitliche Schäden zu erhalten, die der Arbeitnehmer am Arbeitsplatz erlitten hat.
Der Arbeitgeber sollte dem Arbeitnehmer Ausgaben erstatten, die durch die gesundheitlichen Schäden oder Verletzungen entstanden sind, einschließlich solcher, die sich aus dem erhöhten Bedarf aufgrund einer vollständigen oder teilweisen Arbeitsfähigkeit, einem Einkommensverlust oder einer Verschlechterung des künftigen wirtschaftlichen Potenzials ergeben.</t>
  </si>
  <si>
    <t>Bei dauerhaften körperlichen Beeinträchtigungen wird eine Entschädigung für funktionelle Einschränkungen (Haittaraha) gezahlt. Je nach Grad der Beeinträchtigung (ungeachtet der Erwerbsunfähigkeit) sind 20 verschiedene Sätze möglich. In den Sätzen 1 bis 5 wird die Entschädigung für funktionelle Einschränkungen als Pauschalbetrag (Abfindung) ausgezahlt. In den Sätzen 6 bis 20 können Personen zwischen dem Pauschalbetrag (Abfindung) oder fortlaufenden Prämien (für den Rest ihres Lebens) wählen.
Im Jahr 2025 beträgt der Referenzbetrag für die Berechnung der Entschädigung €15.260, wobei der Höchstbetrag auf 60% dieses Betrags festgelegt ist.
Bestattungsunterstützung (Hautausapu): eine Einmalzahlung in Höhe von €5.840 wird im Prinzip dem Nachlass der verstorbenen Person hinzugefügt und nicht an den Verstorbenen oder dessen Verwandte ausgezahlt, da Bestattungskosten direkt aus den Mitteln des Nachlasses getragen werden.</t>
  </si>
  <si>
    <t>Vorübergehende Erwerbsunfähigkeitsentschädigung: Leistung für eine Dauer von höchstens 1 Monat nach dem Bezug von Geldleistungen (identischer Betrag). Sie ist nicht mit einer Vergütung oder einem Ersatzeinkommen kumulierbar, die bzw. das für die Beschäftigung gewährt wird, die die Erwerbsunfähigkeit verursacht hat. Sofern eine Rente zur Entschädigung desselben Unfalls bezogen wird, wird die vorübergehende Entschädigung um diesen Betrag gekürzt. Die Leistung wird für jeden Wochentag ab dem Tag gewährt, der auf den Tag der Feststellung der Erwerbsunfähigkeit folgt. Die Zahlung wird im Fall einer Umschulung oder Entlassung eingestellt.</t>
  </si>
  <si>
    <t>Gleiche Leistungen wie in Tabelle V „Invalidität“, „Sonstige Leistungen“.</t>
  </si>
  <si>
    <t>Bei Erwerbsunfähigkeit werden verschiedene Leistungen gewährt:
   * Behindertengeld (Disablement Benefit) bei Arbeitsunfähigkeit (siehe Tabelle III „Krankheit - Geldleistungen“);
   * Zulage wegen Arbeitsunfähigkeit (Incapacity supplement), wenn kein Anspruch auf Krankengeld (Illness Benefit) oder Invaliditätsrente (Invalidity pension) besteht. Sätze wie beim Krankengeld (Illness Benefit).</t>
  </si>
  <si>
    <t>Leistungen können von dem System der Volksrente bezahlt werden, siehe Tabelle V “Invalidität“, “Leistungen, 1. Berechnungsmethode bzw. Rentenformel oder Beträge”.
Keine weiteren Zulagen.</t>
  </si>
  <si>
    <t>Leistung an Personen, die auf dem Arbeitsmarkt nicht vermittelbar sind (Assegno di incollocabilità) mit einem körperlichen Schaden von wenigstens 20% und einem Alter von bis zu 65 Jahren: €308,23, gezahlt auf Monatsbasis.
Zusätzliche Leistung für Schwerstbehinderte (Erogazione integrativa per grandi invalidi):
Jährlicher Pauschalbetrag von €259,10 wird Leistungsempfängern gewährt, die keine Beihilfe für persönliche Betreuung (Assegno di Assistenza Personale Continuativa) beziehen, erhöht auf €321,88, wenn sie auch die kontinuierliche persönliche Betreuungsbeihilfe beziehen (Assegno di Assistenza Personale Continuativa).
Im Todesfall, verursacht durch einen Arbeitsunfall oder eine Berufskrankheit: Pauschale in Höhe von €12.342,84 seit 1. Juli 2025.</t>
  </si>
  <si>
    <t>Beihilfe bei körperlicher Schädigung (novčana naknada za tjelesno oštećenje) aus dem Rentenversicherungssystem: eine regelmäßige Geldleistung wird nur im Fall körperlicher Schädigung von mindestens 30% aufgrund von Arbeitsunfall oder Berufskrankheit gezahlt. Der Satz richtet sich nach dem Grad der körperlichen Schädigung und bewegt sich zwischen 12% und 40% der Berechnungsgrundlage der Leistung (€301,92). Körperliche Schädigung wird als Verlust, schwere Schädigung oder erhebliche Behinderung eines Organs oder Körperteils definiert, die die normale Funktion des Organismus erschwert und größere Anstrengung bei der Verrichtung lebensnotwendiger Bedürfnisse erfordert, unabhängig davon, ob sie eine Schädigung oder Behinderung verursacht..</t>
  </si>
  <si>
    <t>Keine weiteren Zulagen.</t>
  </si>
  <si>
    <t>Integritätsentschädigung: Wenn der Versicherte durch den Unfall eine dauernde erhebliche Schädigung der körperlichen oder geistigen Integrität erlitten hat.
Abstufung entsprechend dem Grad des Integritätsschadens. Im Maximum  CHF 148.200 (€158.350).
Die Integritätsentschädigung ist eine Einmalzahlung.</t>
  </si>
  <si>
    <t>Sterbegeld (Laidojimo pašalpa): universelle Pauschalleistung (beitragsunabhängig) in Höhe von €560 im Falle des Todes:
Die Höhe der Leistung entspricht dem 8-fachen der von der Regierung festgelegten sozialen Grundleistung (Bazinė socialinė išmoka), welche sich derzeitig auf €70 beläuft.</t>
  </si>
  <si>
    <t>Entschädigung für eventuellen zusätzlichen materiellen Schaden (z.B. Kleidung), der durch einen Unfall verursacht wurde.
Entschädigung für den Schaden, der an einem zum Zeitpunkt des Unfalls verwendeten Kraftfahrzeug verursacht wurde (Begrenzung: Franchise von 2/3 des sozialen Mindestlohns (salaire social minimum) bis zu einem Höchstbetrag von dem 5- oder 7-fachen des sozialen Mindestlohns, ja nachdem ob es sich um einen Wegeunfall oder Unfall am Arbeitsplatz handelt).
Erstattung besonderer Kosten der Wohnungsanpassung.</t>
  </si>
  <si>
    <t>Volksversicherung (folketrygden):
Ausgleich des nicht-materiellen Schadens bei dauerhaften und schwerwiegenden medizinischen Folgen von Verletzungen bis zur jährlichen Obergrenze von ¾ des Grundbetrags (Grunnbeløpet), also NOK 97.620 (€8.278).
Grundleistung (grunnstønad) zur Deckung zusätzlicher Aufwendungen aufgrund der Gesundheitssituation, siehe Tabelle V „Invalidität", „Leistungen, 8. Sonstige Leistungen“.
Die Leistungen der Volksversicherung werden auf unbestimmte Zeit gewährt.
Arbeitsunfallversicherung (yrkesskadeforsikring):
Die Entschädigung für die Minderung der Lebensqualität liegt in Höhe von ¾ bis zum 5,5-Fachen des Grundbetrags (invers altersabhängig) für eine 45/46-jährige Person, höher wenn jünger und niedriger wenn älter. Eingetretene und zu erwartende zusätzliche Aufwendungen, die anderweitig nicht ausgeglichen werden, sind ebenfalls gedeckt. Entschädigungen und Ausgleichszahlungen der Arbeitsunfallversicherung werden als Pauschalleistungen gewährt.</t>
  </si>
  <si>
    <t>Integritätsabgeltung: Wenn der Unfall oder die Berufskrankheit durch grob fahrlässige Außerachtlassung von Arbeitnehmer:innenschutzvorschriften verursacht wurde und dadurch eine dauernde und erhebliche Beeinträchtigung der körperlichen oder geistigen Integrität eintrat.
Die Integritätsabgeltung ist eine einmalige Leistung, deren Höhe entsprechend der Beeinträchtigung abgestuft wird.</t>
  </si>
  <si>
    <t>Einmalige Zahlung (Jednorazowe odszkodowanie) des Arbeitgebers an den Arbeitnehmer:
   * PLN 1.636 (€386) für jeden Prozentpunkt einer ständigen oder langwierigen Verschlechterung des Gesundheitszustands aufgrund von Arbeitsunfall oder Berufskrankheit,
   * oder voller Schadensersatz für die bei der Arbeit benötigten persönlichen Gegenstände, die durch einen Arbeitsunfall beschädigt wurden oder verloren gingen. Zahlbarer Betrag: volle Entschädigung.
Bestattungsbeihilfe (Zasiłek pogrzebowy):
Pauschalzahlung erhältlich für Personen, die die Bestattungskosten für einen Rentner oder ein Familienmitglied gezahlt haben. Betrag: PLN 4.000 (€944).</t>
  </si>
  <si>
    <t xml:space="preserve">
   * Im Falle einer dauerhaften Erwerbsunfähigkeit oder einer Minderung der Erwerbsfähigkeit um mindestens 70% wird ein Schwerinvalidengeld gewährt. Die Höhe dieser Leistung beläuft sich auf: 
   * Vollständige Minderung der Erwerbsfähigkeit für jegliche Tätigkeit: das 12-Fache von 110% des IAS;
   * Vollständige Minderung der Erwerbsfähigkeit für jegliche Tätigkeit: zwischen 70% und 100% des 12-Fachen von 110% des IAS, unter Einbeziehung der verbleibenden Erwerbstätigkeit, um einen anderen angemessenen Beruf auszuüben;
   * dauerhafte teilweise Erwerbsunfähigkeit um höchstens 70%: das Produkt aus dem 12-Fachen von 110% des IAS und dem Invaliditätsgrad.
   * Bei dauernder Erwerbsunfähigkeit kann eine Hilfe zur Wohnungsanpassung bis zur Höhe des 12-Fachen von 110% des Indexwerts für soziale Unterstützungen IAS gewährt werden.
   * Eine Zulage zu Renten wegen dauerhafter Minderung der Erwerbsfähigkeit aufgrund von Berufskrankheiten kann in Abhängigkeit von der Art der Krankheit, dem Grad der Minderung der Erwerbsfähigkeit und dem Alter gewährt werden. Die Zulage beträgt 20% der Rente bis zur Obergrenze des Bezugseinkommens.</t>
  </si>
  <si>
    <t>Geldleistungen:
   * Geldleistung bei vorübergehender Ausübung einer anderen Tätigkeit (indemnizatie pentru trecerea temporara in alt loc de munca),
   * Integritätsentschädigung (compensatii pentru atingerea integritatii),
   * Geldleistung bei Besuch einer Fortbildung oder Umschulung (indemnizatie pe durata cursurilor de calificare sau reconversie profesionala).
Sachleistungen:
Kostenerstattung von z. B. Notfalltransporten, Brillen, Hörgeräte, Sehhilfen, usw.
Siehe auch weitere Leistungen in Tabelle V „Invalidität“.</t>
  </si>
  <si>
    <t>Beihilfe zur Deckung von Mehrkosten (merkostnadsersättning) oder Behindertenbeihilfe (handikappersättning) kann ebenfalls bezahlt werden: siehe Tabelle V „Invalidität“, „Leistungen, Sonstige Leistungen”.
Arbeitnehmerentschädigung (arbetsskadesjukpenning) kann gezahlt werden, wenn die Person, die einen Arbeitsunfall erleidet, studiert, aus Gründen der Prävention der Arbeit fernbleiben muss oder wenn die Person nicht mehr versichert ist und keinen Anspruch auf Krankengeld mehr hat, der Arbeitsunfall aber mit früherer Arbeit in Schweden zusammenhängt.</t>
  </si>
  <si>
    <t xml:space="preserve">
   * Hilfsmittel zum Ausgleich von körperlichen Schädigungen oder von Funktionsausfällen.
   * Deckung von Schäden an Sachen, die einen Körperteil ersetzen.
   * Reise-, Transport- und Rettungskosten.
   * Leichentransport- und Bestattungskosten (innerhalb gewisser Grenzen).
   * Integritätsentschädigung für den Versicherten, der durch den Unfall eine dauernde erhebliche Schädigung seiner körperlichen, geistigen oder psychischen Integrität erlitten hat. Sie wird in Form einer Kapitalleistung gewährt, die abgestuft nach der Schwere des Integritätsschadens in % des Höchstbetrages des versicherten Jahresverdienstes festgesetzt wird.
   * Hilflosenentschädigung, wenn der Versicherte wegen der Beeinträchtigung der Gesundheit für alltägliche Lebensverrichtungen dauernd der Hilfe Dritter oder der persönlichen Überwachung bedarf. Sie wird nach dem Grad der Hilflosigkeit bemessen. Sie beträgt bei Hilflosigkeit schweren Grades das Sechsfache, bei Hilflosigkeit mittleren Grades das Vierfache und bei Hilflosigkeit leichten Grades das Doppelte des Höchstbetrages des versicherten Tagesverdienstes. Sie wird monatlich ausgerichtet.</t>
  </si>
  <si>
    <t>Erstattung angefallener Behandlungskosten (Náhrada nákladov spojených s liečením): nicht erstattungsfähige Kosten der Krankenversicherer bis höchstens €38.598,50.
Schmerzensgeld (Náhrada za bolesť) und Ausgleich für geminderte soziale Chancen (Náhrada za sťaženie spoločenského uplatnenia) im Falle einer Verletzung: Für das Jahr 2025 (ab 31. Mai) entspricht 1 Wertpunkt = €30,48 (Einmalzahlung).
Siehe auch Tabelle III „Krankheit - Geldleistungen“, „Leistungen, Leistungen der sozialen Sicherung, Andere Leistungen“.
Pauschalen zur Deckung der Bestattungskosten:
   * Kosten für das Bestattungsunternehmen, Friedhofsgebühren, Kosten für den Grabstein und Anpassung des Grabes bis zu einem Höchstbetrag von €3.861,20;
   * Reisekosten und 1/3 der Kosten für angemessene Trauerkleidung für enge Verwandte bis €99,60 pro Person bis zu einem Höchstbetrag von €3.861,20.
Sterbegeld (Príspevok na pohreb): siehe Tabelle III „Krankheit“, „Sonstige Leistungen“.</t>
  </si>
  <si>
    <t>Siehe Tabelle V „Invalidität; Leistungen, Sonstige Leistungen“.</t>
  </si>
  <si>
    <t>Entschädigungen für dauernde Beeinträchtigungen, die nicht zur Invalidität (lesiones permanentes no invalidantes) führen: Nach einer Tabelle festgesetzter Betrag unter Berücksichtigung der physischen Beeinträchtigung (Verletzungen, Verstümmelungen und Entstellungen). Verschiedene Beträge zu diesem Zweck festgesetzt (Höchstbetrag €9.512 jährlich).</t>
  </si>
  <si>
    <t>Ausgleich für Schmerzen und verringerte soziale Chancen (Bolestné a ztížení společenského uplatnění): gezahlt vom Arbeitgeber, berechnet auf Basis eines Punktesystems nach Einschätzung des Arztes.
Ausgleich materiellen Schadens (Náhrada věcné škody): gezahlt vom Arbeitgeber, jeglicher Schaden durch Arbeitsunfall oder Berufskrankheit, der nicht von oben genannter Entschädigung abgedeckt wird (z. B. Unfähigkeit häuslichen Pflichten nachzukommen und damit Abhängigkeit von bezahlter Hilfe).
Ausgleich für angemessene Behandlungskosten (Kompenzace pro přiměřené výdaje spojené s léčením): gezahlt vom Arbeitgeber, zahlbar an die Person, die die Kosten der medizinische Behandlung getragen hat.
Bestattungskostenausgleich (Náhrada nákladů spojených s pohřbem): voller oder teilweiser Ausgleich, gezahlt vom Arbeitgeber an die Person, die die Bestattung und damit zusammenhängende Kosten getragen hat wie etwa für Grabstein, Bestattungsunternehmen etc. Der vom staatlichen Sozialleistungssystem gewährte gesetzliche Beerdigungszuschuss wird angerechnet.</t>
  </si>
  <si>
    <t>Arbeitsunfälle:
Auf Antrag kann bei einer Erwerbsminderung um mindestens 19% die Rente bis zu einem Drittel des Kapitalwerts abgefunden werden.
Berufskrankheiten:
Keine Kapitalabfindung.</t>
  </si>
  <si>
    <t>Keine Abfindung.</t>
  </si>
  <si>
    <t>Bei endgültiger Feststellung der Minderung der Erwerbsfähigkeit auf unter 50% wird der Schadensausgleich vorschriftsmäßig durch eine pauschale Abfindung abgelöst. Bei einem Invaliditätsgrad von über 50% können auf Antrag bis zu 50% des Schadensausgleichs als Abfindung ausgezahlt werden.
Der Pauschalbetrag wird auf der Grundlage einer Jahresrente und des Kapitalisierungsfaktors berechnet.</t>
  </si>
  <si>
    <t>Auf Antrag des Versicherten ist eine Abfindung auf Dauer möglich, wenn ‘t’ weniger als 40% beträgt.
Wenn ‘t’ 40% oder mehr beträgt, ist eine Abfindung bis zur Hälfte der Rente für 10 Jahre möglich.
‘t’ = Grad der Minderung der Erwerbsfähigkeit</t>
  </si>
  <si>
    <t>Keine Abfindung möglich.</t>
  </si>
  <si>
    <t>Es ist nicht möglich, eine langfristige regelmäßig gezahlte Rente in eine einmalige Abfindung umzuwandeln.</t>
  </si>
  <si>
    <t>Kein Rückkauf.</t>
  </si>
  <si>
    <t>Bei Erwerbsunfähigkeit zwischen 15% und 19% in der Regel Zahlung einer einmaligen Abfindung, deren Höhe von Grad und Dauer der Minderung der Erwerbsfähigkeit abhängt (max €18.400).</t>
  </si>
  <si>
    <t>Langzeitleistungen werden immer als Pauschalen ausgezahlt.</t>
  </si>
  <si>
    <t>Nur bei dauerhaften Geldleistungen/ Leibrenten:
Unfälle vor dem 25. Juli 2000:
Abfindung von bestimmten Renten unter besonderen Umständen möglich.
Unfälle seit dem 25. Juli 2000:
Entschädigung für körperlichen Schaden (danno biologico) zwischen 6% und 16% in Form einer Kapitalzahlung (siehe „Bewertungskriterien“).</t>
  </si>
  <si>
    <t>Abfindung möglich, wenn angenommen werden kann, dass der Versicherte durch die Abfindung wieder erwerbsfähig würde. Maximal der dreifache Betrag des versicherten Jahresverdienstes. Die Höhe der Abfindung entspricht der Summe der Raten einer Rente, deren Höhe und Dauer aufgrund der Schwere und des Verlaufs des Leidens und des Gesundheitszustandes des Versicherten zur Zeit der Abfindung und im Hinblick auf die Wiedererlangung der Erwerbsfähigkeit festzusetzen ist.
Auskauf der Rente möglich zum Barwert, wenn der Monatsbetrag unter Einschluss der Teuerungszulagen geringer ist als die Hälfte des Höchstbetrages des versicherten Tagesverdienstes. Betroffene entscheiden, ob sie diese Möglichkeit nutzen oder nicht.</t>
  </si>
  <si>
    <t>Keine Abfindung.
Rückkauf von Entschädigungen für immaterielle Schäden: Wenn der Grad der permanenten Arbeitsunfähigkeit weniger als oder gleich 20% beträgt, wird die Entschädigung in Form eines Kapitalbetrags gezahlt, der sich aus der Multiplikation der jährlichen Entschädigung mit einem durch großherzogliche Verordnung festgelegten Kapitalisierungsfaktor ergibt.</t>
  </si>
  <si>
    <t>Keine Tilgung.</t>
  </si>
  <si>
    <t>Keine Abfindung von Invaliditätsrente (uføretrygd). Lediglich für die Abgeltung des immateriellen Schadens durch die Volksversicherung (folketrygden) ist eine Abfindung möglich, siehe unten.
Die Leistungen der Arbeitsunfallversicherung (yrkesskadeforsikring) bestehen ausschließlich aus einmaligen Zahlungen.</t>
  </si>
  <si>
    <t>Wird die durch den Arbeitsunfall oder die Berufskrankheit entstandene Erwerbsminderung auf weniger als 25% eingestuft, so kann mit Zustimmung des:der Versicherten anstelle einer Rente eine einmalige Abfindung gezahlt werden.
Die Pauschale ist nach versicherungsmathematischen Grundsätzen zu berechnen.</t>
  </si>
  <si>
    <t>Abfindung obligatorisch, wenn der Grad einer dauerhaften teilweisen Minderung der Erwerbsunfähigkeit weniger als 30% beträgt oder eine Jahresrente gewährt wurde und der Betrag in beiden Fällen das 6-Fache des Indexwerts für soziale Unterstützungen IAS (indexante dos apoios sociais) nicht übersteigt.
Freiwillige Abfindung, wenn der Grad einer dauerhaften teilweisen Minderung der Erwerbsunfähigkeit mehr als 30% beträgt.
Sondervorschriften für die teilweise Abfindung bestimmter Renten auf Antrag des Rentners oder des zuständigen Trägers.</t>
  </si>
  <si>
    <t>Abfindung in Form einer Kapitalleistung statt der Invalidenrente unter gewissen Bedingungen. Die Kapitalleistung beträgt höchstens das Dreifache des versicherten Jahresverdienstes.
Abfindung (Auskauf) jederzeit möglich wenn der Monatsbetrag der Rente geringer ist als die Hälfte des Höchstbetrages des versicherten Tagesverdienstes.
In den übrigen Fällen ist die Abfindung mit dem Einverständnis und im offenkundigen langfristigen Interesse des Berechtigten zulässig.</t>
  </si>
  <si>
    <t>Einmalige Abfindung (Jednorazové vyrovnanie), wenn die Fähigkeit, die frühere Arbeitstätigkeit auszuüben, zwischen 10% und 40% liegt.
Formel:
Leistung = E x 365 x t.
E = die tägliche Bemessungsgrundlage basiert normalerweise auf dem durchschnittlichen Bruttoarbeitseinkommen pro Tag im Jahr vor dem Versicherungsfall.
t =  Grad der Verringerung der Fähigkeit, die frühere Arbeitstätigkeit auszuüben.</t>
  </si>
  <si>
    <t>In Ausnahmefällen können Leistungen bei dauernder vollständiger Berufsunfähigkeit (incapacidad permanente total para la profesión habitual) durch eine Einmalzahlung abgefunden werden. Diese Einmalzahlung beträgt zwischen dem 12-fachen und dem 84-fachen der monatlichen Leistung, abhängig vom Alter des Antragstellers und stets vor dem 60. Lebensjahr.</t>
  </si>
  <si>
    <t xml:space="preserve">   Rückkehr ins aktive Erwerbsleben</t>
  </si>
  <si>
    <t>Die Berufsausbildung wird von den föderalen Gebietskörperschaften organisiert und nicht auf Landesebene. Die Betroffenen können sich beim Fonds für Menschen informieren.
Der Versicherungsträger trägt die Kosten für die berufliche Wiedereingliederung und Umschulung, die er und der Betroffene als Folge des Arbeitsunfalls als notwendig anerkennen. Diese Kosten werden im Falle einer Berufskrankheit von Fedris getragen.</t>
  </si>
  <si>
    <t>Siehe Tabelle V „Invalidität“, „Berufliche Wiedereingliederung“.</t>
  </si>
  <si>
    <t>Die Ausbildungsbeihilfe (uddannelsesgodtgørelse) unterstützt Personen mit eingeschränkter Erwerbsfähigkeit bei der Wiedereingliederung in den Arbeitsmarkt. Dies wird durch die Teilnahme an Berufsbildungsprogrammen erreicht, die die Rückkehr in den Arbeitsmarkt erleichtern sollen. Die Festsetzung und Verwaltung der Beihilfe fällt in den Zuständigkeitsbereich der Arbeitsmarktversicherung (Arbejdsmarkedets Erhvervssikring).
Die Beantragung der Ausbildungsbeihilfe ist freiwillig. Der Anspruch auf den Zuschuss entfällt mit Beendigung der aktiven Teilnahme an einem anerkannten Studium.
Die Kosten einer Umschulung im Anschluss an die Heilbehandlung können jedoch von den Versicherungsgesellschaften übernommen werden. Siehe auch Tabelle V „Invalidität“.</t>
  </si>
  <si>
    <t xml:space="preserve">
   * Funktionelle Anpassung im Rahmen der Heilbehandlung auf Veranlassung und Kosten des Unfallversicherungsträgers.
   * Umschulung, wenn erforderlich, für eine neue Berufstätigkeit nach eingehender Berufsberatung.
Zahlung von Lohnersatzleistungen während beruflicher Rehabilitationsmaßnahmen.
Falls Gefahr der Entstehung, des Wiederauflebens oder der Verschlimmerung einer Berufskrankheit vorliegt, hat der Unfallversicherungsträger zunächst präventive Maßnahmen am Arbeitsplatz zu veranlassen. Anderenfalls ist den Versicherten ein Arbeitsplatzwechsel anzuraten. Hat dies eine Verdienstminderung zufolge, zahlt der Unfallversicherungsträger zum Ausgleich als Übergangsleistung einen einmaligen Betrag bis zur Höhe der Vollrente (2/3 L) oder eine monatliche Leistung bis zur Höhe 1/12 der Vollrente, höchstens für die Dauer von 5 Jahren.
   * ‘L’ = Bruttolohn des Jahres vor dem Versicherungsfall</t>
  </si>
  <si>
    <t>Der Arbeitgeber ist verpflichtet, die notwendigen Maßnahmen zu ergreifen, um einem Arbeitnehmer, der aufgrund einer Berufskrankheit oder eines Arbeitsunfalls teilweise arbeitsunfähig geworden ist, dabei behilflich zu sein, weiterhin für das Unternehmen tätig sein zu können.
Dies umfasst auch die Anpassung des Arbeitsplatzes, der Arbeitsmittel und Aufgaben, die den mentalen und physischen Fähigkeiten des Arbeitnehmers entsprechen.
Arbeitsbezogene Rehabilitationdienste werden für Personen mit Behinderung und Personen mit eingeschränkter Arbeitsfähigkeit bereitgestellt.
Teilnahme an beruflicher Ausbildung und Rehabilitation ist für den Bezug der Leistung nicht verpflichtend.
Es gibt keine Sanktionen.
Die Arbeitslosenversicherungskasse (Eesti Töötukassa) unterstützt die Anpassung des Arbeitsplatzes an Personen mit Behinderungen. Arbeitgebern können die Kosten oder Teile der Kosten für die Anpassung zurückerstattet werden. Die Arbeitslosenversicherungskasse gewährleistet auch eine Hilfsperson, die dem Arbeitnehmer mit Behinderung intensiv unterstützt und ihm dabei hilft, die notwendige Routine zu entwickeln.</t>
  </si>
  <si>
    <t>Jede Person, die nicht in der Lage ist, an den Arbeitsplatz zurückzukehren, hat einen Anspruch auf berufliche Weiterbildung und berufsbezogene Rehabilitation.
Verschiedene Maßnahmen der medizinischen und beruflichen Rehabilitation werden vom Unfallversicherungsträger kostenlos angeboten. Rehabilitationskosten werden voll übernommen. Während der Rehabilitation erhält der Versicherte ferner eine Rehabilitationsbeihilfe (Kuntoutusraha) als Entschädigung für den Einkommensverlust. Die Höhe entspricht dem Tagesgeld (Päiväraha) oder dem, was die Arbeitsunfallrente (Tapaturmaeläke) für den gleichen Zeitraum betragen würde.
Teilnahme an beruflicher Weiterbildung oder persönlichen Rehabilitationsaktivitäten ist verpflichtend.
Bei Verweigerung der Teilnahme wird die Höhe des Tagesgeldes (Päiväraha) oder der Arbeitsunfallrente (Tapaturmaeläke) gekürzt.</t>
  </si>
  <si>
    <t>Funktionelle Rehabilitation mit Geld- und Sachleistungen. Die Behandlung wird auf Antrag des Opfers oder auf Initiative der Kasse nach Stellungnahme des behandelnden Arztes und des Vertrauensarztes durchgeführt, wenn sie geeignet ist, die Heilung/Konsolidierung der Verletzung zu fördern oder die bleibende Behinderung zu mindern.
Berufliche Umschulung zur beruflichen Wiedereingliederung mit Erstattung von Training und zum Erhalt (teilweise oder vollständig) der Geldleistungen.
Der Empfänger von Rehabilitationsmaßnahmen muss einer Reihe von Pflichten nachkommen. Andernfalls kann das Tagegeld gekürzt oder ausgesetzt werden, und die Kasse ist nicht mehr für die Zahlung der Kosten an die beteiligten Gesundheitsdienstleister oder Einrichtungen verantwortlich.
Maßnahmen zugunsten der Beschäftigung von Arbeitnehmern mit Behinderung: Pflicht zur Beschäftigung von Arbeitnehmern mit Behinderung in Unternehmen mit mindestens 20 Arbeitnehmern zu einem Anteil von 6% des gesamten Personalbestands.</t>
  </si>
  <si>
    <t>Keine besonderen Maßnahmen.</t>
  </si>
  <si>
    <t>Das Gesundheitsgesetz (Health Act) sieht eine kostenlose funktionelle Umschulung für Behinderte vor.
Die Teilnahme an beruflicher Ausbildung oder persönlichen Rehabilitationsmaßnahmen ist freiwillig und hat keinen Einfluss auf den Bezug der Invaliditätsleistungen.</t>
  </si>
  <si>
    <t>Siehe Tabelle V “Invalidität“, “Berufliche Wiedereingliederung“.</t>
  </si>
  <si>
    <t>Zur Wiederherstellung funktionaler Fähigkeiten und Eingliederung ins gesellschaftliche Leben bietet das Nationale Institut der Arbeitsunfallversicherung (Istituto Nazionale contro gli infortuni sul lavoro, INAIL):
   * In ihren Herstellungszentren angefertigte Prothesen und Hilfsmittel;
   * Einrichtungen zur Beseitigung architektonischer Barrieren;
   * Hilfsmittel zur Computernutzung und häusliche Automatisierungssysteme;
   * Besondere rehabilitative Pflege in spezialisierten Gesundheitseinrichtungen und besonderen Häusern;
   * Klimakur.
Möglichkeit des Berufswechsels bei Silikose und Asbestose: (vorbeugender) Nachteilsausgleich: befristete Übergangsrente (rendita di passaggio) für Invalide, deren Grad der Beeinträchtigung die 60% körperlichen Schadens nicht übersteigt. Die Rente wird ein Jahr lang gezahlt.Im Fall einer neuen Beschäftigung beträgt sie 2/3 des Unterschiedsbetrages zwischen dem durchschnittlichen Tagesverdienst vor der Erwerbsminderung und dem Verdienst nach der Erwerbsminderung, wenn Letzterer geringer ist. Im Fall von Arbeitslosigkeit beläuft sie sich auf 2/3 des durchschnittlichen täglichen Nettoentgelts in den letzten 30 Tagen der Beschäftigung, die zu dem Unfall oder der Berufskrankheit führte. In beiden Fällen wird die Rente ein ganzes Jahr ausgezahlt und hat vorbeugenden Charakter.
Beschäftigungsquote von Behinderten in Betrieben mit mehr als 50 Beschäftigten (1 Behinderter je 50 Arbeitnehmer). Eine Minderung der Erwerbsfähigkeit um mindestens 40% ist Voraussetzung für eine solche garantierte Beschäftigung.
Berufsausbildung und Rehabilitationsmaßnahmen bestehen aus:
Maßnahmen zur Reintegration und Arbeitsintegration (Interventi per il reinserimento e integrazione lavorativa): Behandlungen, ausgenommen Krankenhausbehandlungen, die auf die bestmögliche Wiederherstellung der psychophysischen Unversehrtheit sowie auf die zeitnahe Reintegration in das Sozial- und Arbeitsumfeld abzielen.</t>
  </si>
  <si>
    <t>Einmalzahlung von €442 im Todesfall aufgrund beruflicher Ursachen.
Medizinische Rehabilitation erfolgt über die Krankenversicherung (sustav zdravstvenog osiguranja), die Berufsumschulung über die Arbeitslosenunterstützung (sustav davanja za nezaposlenost), während die Rentenversicherung (sustav mirovinskog osiguranja) für berufliche Rehabilitation zuständig ist.
Rentenversicherungssystem:
   * Lohn-/Gehaltsausgleich wird bis zum Wechsel in eine neue, angemessene Stelle oder bis zu 24 Monate nach Abschluss der beruflichen Rehabilitation gezahlt, falls keine Stelle gefunden wird;
   * Invaliditätsrente wird mit 58 Jahren gewährleistet, wenn die Person 5 Jahre lang nach Abschluss der beruflichen Rehabilitation keine passende Stelle gefunden hat.
Es gibt keine Sanktionen.
Siehe auch Tabelle V „Invalidität“, „Berufliche Wiedereingliederung, 2. Bevorzugte Beschäftigung von Menschen mit Behinderungen.“</t>
  </si>
  <si>
    <t>Der Staat stellt Maßnahmen für Menschen mit Behinderung bereit:
   * medizinische Behandlung, Pflege und medizinische Rehabilitation,
   * berufliche Rehabilitation und berufliche Ausbildung.
Teilnahme an beruflicher Ausbildung oder persönlichen Rehabilitationsaktivitäten ist nicht verpflichtend für den weiteren Bezug von Leistungen.
Es gibt keine Sanktionen für die Verweigerung der Teilnahme an beruflicher Ausbildung oder persönlichen Rehabilitationsaktivitäten.</t>
  </si>
  <si>
    <t>Berufliche Eingliederungsmaßnahmen sind Bestandteil der Invalidenversicherung (1. Säule), siehe Tabelle V.
Die medizinische Behandlung in Rehabilitationskliniken und weitergehende ambulante Therapien werden von der Unfallversicherung als Sachleistung vergütet.</t>
  </si>
  <si>
    <t>Siehe Tabelle V „Invalidität“, „Berufliche Wiedereingliederung“.
Personen, die aufgrund einer Verletzung bei der Arbeit nicht mehr ihrer vorherigen Beschäftigung nachgehen können, steht die Möglichkeit offen, durch die Teilnahme an einem Programm zur beruflichen Rehabilitation (angeboten vom Arbeitsmarktservice) in den Arbeitsmarkt zurückzukehren, nachdem sie eine Einschätzung der Agentur für den Schutz der Rechte von Menschen mit Behinderung des Ministeriums für Soziale Sicherheit und Arbeit erhalten haben. Soziale und psychologische Rehabilitationsaktivitäten und andere Maßnahmen werden angeboten, um die Erwerbsfähigkeit wiederherzustellen und durch Um- oder Nachschulung neue berufliche Kompetenzen zu erwerben.
Der Arbeitsmarktservice kann auch die Beschäftigung eines Menschen mit Behinderung bezuschussen. In diesem Fall hat der Arbeitgeber, der die Person mit Behinderung beschäftigt, Anspruch auf verschiedene Leistungen rund um die Rückerstattung des Lohns (oder Teile davon) und der Kosten für die Einrichtung des Arbeitsplatzes.</t>
  </si>
  <si>
    <t>Die Unfallversicherungsanstalt (Association d’assurance accident) kann eine Heilbehandlung zur Verbesserung der Erwerbsfähigkeit des Rentenbeziehers anordnen.
Überbrückungsrente (rente d’attente) zum Ausgleich der Minderung der Erwerbsfähigkeit des Arbeitnehmers, der im Fall von beruflicher externer Rehabilitation aufgrund eines Arbeitsunfalls von seiner Arbeit freigestellt wird, und zur Deckung der beruflichen Umschulungsmaßnahmen (automatisch oder durch Zustimmung des Vorstands).
Die Überbrückungsrente kann ausgesetzt werden, wenn der Versicherte Umschulungsmaßnahmen meidet oder jede Art von Umschulung ablehnt.
Im privaten Sektor muss je nach Unternehmensgröße eine bestimmte Anzahl von Arbeitsplätzen für Personen mit Behinderungen reserviert werden (im öffentlichen Sektor sind dies grundsätzlich 5% des gesamten Personalbestands). Arbeitgeber, die mehr Behinderte beschäftigen als die gesetzlich vorgeschriebene Mindestanzahl, können von einer teilweisen Befreiung von den Sozialabgaben und einer Beteiligung des Staates am Lohn der behinderten Personen profitieren.</t>
  </si>
  <si>
    <t>Ein verletzter oder behinderter Arbeitnehmer kann nicht aufgrund seiner Verletzung oder Behinderung entlassen werden. Der Arbeitgeber ist verpflichtet, eine entsprechende alternative Beschäftigung in seinem Betrieb zu finden.
Das Gesetz über die Beschäftigung von Personen mit Behinderungen (Att dwar l-Impjiegi ta' Persuni b'Diżabilità) verpflichtet Arbeitgeber mit mehr als 20 Arbeitnehmern u.a. dazu, mindestens 2% der Arbeitsplätze (Minimum 1 Arbeitsplatz) mit Personen zu besetzen, die bei der Agentur für Arbeitsvermittlung und Berufsförderung als Personen mit Behinderungen registriert sind. Gegen Arbeitgeber, die diesem nicht nachkommen, werden Sanktionen verhängt entsprechend der Anzahl der Arbeitnehmer mit Behinderungen, die sie beschäftigen sollten, im Verhältnis zu ihrem gesamten Personalbestand. Der zu zahlende Betrag beläuft sich auf €2.400 pro Person bis zu einer Höchstgrenze von €10.000 pro Arbeitgeber.
Beschützende Werkstätten bieten Personen, die nicht in der Lage sind, auf dem freien Arbeitsmarkt zu arbeiten, Zugang zur Arbeit.
Arbeitgeber, die Personen mit Behinderungen beschäftigen, erhalten eine Steuergutschrift von €4.500 für jeden Beschäftigten und sind von der Zahlung des Arbeitsgeberanteils an den Sozialversicherungsbeiträgen befreit.
Sie erhalten darüber hinaus eine Rückerstattung in Höhe von 25% des Gehalts des Beschäftigten bis zu einem Höchstbetrag von €4.500 (bei benachteiligten Personen, die allein leben, erhöht sich dieser Betrag auf bis zu €10.000).
Der Begriff benachteiligte Personen bezieht sich auf Personen mit Behinderungen, ehemalige Drogenabhängige, ehemalige Straftäter, andere Personen mit sozioökonomischen Schwierigkeiten.</t>
  </si>
  <si>
    <t>Die im Volksversicherungssystem (folketrygden) vorgesehenen allgemeinen Maßnahmen der Rehabilitation und Reaktivierung gelten auch für Arbeitsunfälle und Berufskrankheiten. Der Nav entscheidet über die angemessenen Maßnahmen.
In solchen Fällen wird Unterstützung zur Verbesserung der funktionellen Fähigkeiten im Erwerbsleben bereitgestellt und die Zulage zur Arbeitsbeurteilung kann gemäß den regulären Bestimmungen gewährt werden, siehe Tabelle III, „Krankheit – Geldleistungen“, “15. Berufliche Wiedereingliederung,“.
Allerdings sind einige Leistungsbedingungen günstiger (keine Karenzfrist, höhere Bezugseinkommen unter bestimmten Bedingungen, geringerer Mindestgrad der Minderung der Erwerbsfähigkeit).
Die Teilnahmebedingungen variieren je nach Leistung. Für Leistungen bei Krankheit, Zulage zur Arbeitsbeurteilung und Invaliditätsrente ist in den Regelungen definiert, ob die Teilnahme vorgeschrieben ist und welche Sanktionen (wenn überhaupt vorgesehen) bei Nicht-Befolgung greifen.
Eine Zusatzleistung zur Bewältigung bestimmter Kosten im Zusammenhang mit beruflichen Bildungsmaßnahmen, zusätzlichen Reisekosten aufgrund von Krankheit/Verletzung, Kinderbetreuung usw. kann gewährt werden.
Technische und andere Hilfsmittel zum Ausgleich der verminderten Leistungsfähigkeit am Arbeitsplatz (einschließlich technischen Anpassungen) und in Situationen des täglichen Lebens.
Aufstockung der Leistungen durch die Arbeitsunfallversicherung (yrkesskadeforsikring) um Einkommenseinbußen und von der Volksversicherung nicht gedeckte Ausgaben zu kompensieren.</t>
  </si>
  <si>
    <t xml:space="preserve">
   * Funktionelle Anpassung im Rahmen der Heilbehandlung auf Kosten des Unfallversicherungsträgers.
   * Maßnahmen der sozialen Rehabilitation (z.B. durch Zuschüsse und Darlehen für die Adaptierung der Wohnung).
   * Maßnahmen der beruflichen Rehabilitation, um zu ermöglichen, dass der:die Versehrte den früheren Beruf wieder ausüben oder, wenn dies nicht möglich ist, einen neuen Beruf ausüben kann z.B. berufliche Ausbildungs- und Umschulungsmaßnahmen, Arbeitsplatzadaptierungen, PKW-Zuschuss. Für die Dauer der Ausbildung finanzielle Unterstützung: Leistung eines Übergangsgeldes in Höhe von 60% des Jahresarbeitsentgelts, Zuschläge für Familienangehörige;
   * Während der Dauer einer Ausbildung kann der Unfallversicherungsträger zudem einen Beitrag zu den Kosten des Unterhaltes des:der Versicherten und seiner:ihrer Angehörigen leisten, soweit billigerweise anzunehmen ist, dass der:die Versehrte die Kosten der bisherigen Lebensführung aus einem anderen Einkommen nicht decken kann.
   * Die Leistungen werden vom Unfallversicherungsträger gewährt. Anspruchsberechtigt sind alle Versicherten, die einen Arbeitsunfall oder eine Berufskrankheit erleiden, bei Vorliegen der Voraussetzungen. Siehe auch Tabelle V, Berufliche Wiedereingliederung, 2. Bevorzugte Beschäftigung von Menschen mit Behinderungen.</t>
  </si>
  <si>
    <t>Die Rehabilitationsbeihilfe (Świadczenie rehabilitacyjne) kann Arbeitnehmern gewährt werden, die nach der Ausschöpfung des Krankengeldanspruches noch arbeitsunfähig sind, aber die Aussicht besteht, dass ihre Arbeitsfähigkeit wiederhergestellt werden kann. Es kann über einen Zeitraum von höchstens 12 Monaten gezahlt werden. Betrag:
   * 90% der Bemessungsgrundlage für das Krankengeld (zasiłek chorobowy) – während der ersten 90 Tage;
   * 75% dieser Bemessungsgrundlage für die verbleibende Bezugsdauer;
   * 100% dieser Bemessungsgrundlage – falls die Arbeitsunfähigkeit während einer Schwangerschaft auftritt oder auf einen Arbeitsunfall oder eine berufsbedingte Krankheit zurückzuführen ist.
Die Sozialversicherungsanstalt (Zakład Ubezpieczeń Społecznych, ZUS) trifft die Entscheidung über medizinische Rehabilitation in den Fällen, in denen die Wiederherstellung der Arbeitsfähigkeit nach der Rehabilitation wahrscheinlich ist.
Die Rehabilitation setzt normalerweise nach Ausschöpfung des Bezugs des Krankengelds (zasiłek chorobowy) ein, kann aber auch innerhalb von sechs Monaten nach dem Beginn der Invalidität erfolgen. Sie ist nicht verpflichtend. Es gibt keine Sanktionen für die Verweigerung der Teilnahme an Berufsschulung oder persönlicher Rehabilitation.
Ausgleichszulage (Zasiłek wyrównawczy) wird an Arbeitnehmer gezahlt, deren Arbeitsentgelt aufgrund von beruflichen Rehabilitationsmaßnahmen, die zum Zwecke der Anpassung an oder der Ausbildung für eine angegebene Tätigkeit durchgeführt werden, gekürzt wurde. Es wird für die Dauer der Rehabilitationsmaßnahme gezahlt, jedoch längstens 24 Monate. Die Höhe der Zuwendung errechnet sich aus der Differenz des durchschnittlichen monatlichen Verdienstes in den der Rehabilitationsmaßnahme vorangegangenen 12 Monaten und dem reduzierten monatlichen Arbeitsentgelt für eine Tätigkeit, die unter den Bedingungen der beruflichen Rehabilitation ausgeführt wird.
Ausbildungsgeld (Renta szkoleniowa) wird an Personen gezahlt, die aufgrund einer in einem früheren Beschäftigungsverhältnis erworbenen Arbeitsunfähigkeit die Bedingungen für den Erhalt einer Erwerbsunfähigkeitsrente erfüllen und von Amts wegen eine berufliche Umschulungsmaßnahme durchlaufen sollen. Es wird für einen Zeitraum von sechs Monaten gewährt, der verkürzt oder verlängert werden kann. Betrag: 75% der Bemessungsgrundlage oder 100% der Bemessungsgrundlage, wenn die Arbeitsunfähigkeit auf einen Arbeitsunfall oder eine berufsbedingte Krankheit zurückzuführen ist; es darf jedoch nicht geringer ausfallen als die Mindestrente für eine teilerwerbsunfähige Person (PLN 1.409,69 (€332)).</t>
  </si>
  <si>
    <t>Arbeitgeber sind dazu verpflichtet, Arbeiter, die an vorübergehender Minderung der Erwerbsfähigkeit oder dauernder teilweiser oder vollständiger Berufsunfähigkeit aufgrund von einem Arbeitsunfall oder einer Berufskrankheit, die bei der Arbeit im Unternehmen aufgetreten ist, leiden, zu integrieren.
Diese Personen haben gegenüber ihrem Arbeitgeber Anspruch auf berufliche Trainingsmaßnahmen, Anpassung des Arbeitsplatzes, Teilzeitarbeit und Urlaub für Umschulungen oder zur Suche nach einem anderen Beruf gemäß den im Gesetz festgelegten Vorschriften.
Zusätzlich haben sie Anspruch auf eine Leistung für die Teilnahme an Aktivitäten im Rahmen der beruflichen Rehabilitation, entsprechend der aufgetretenen Kosten. Bei Kursen, die durch das Institut für Beschäftigung und Berufsausbildung (Instituto de Emprego e Formação Profissional) organisiert werden, ist die Höhe der Leistung auf einen monatlichen Betrag von 110% des Indexwerts für soziale Unterstützungen IAS (indexante dos apoios sociais) begrenzt.
Als Teil der Strategie zum Schutz von Personen mit Behinderungen können Unternehmen von verschiedenen finanziellen, steuerlichen oder auf die soziale Sicherheit bezogenen Vorteilen profitieren, einschließlich:
   * Subventionen zur Anpassung des Arbeitsplatzes;
   * Subventionen zur Entfernung architektonischer Barrieren;
   * Unterstützung der Einstellung von jungen Leuten, Arbeitslosen oder anderen besonderen Gruppen (einschließlich Personen mit Behinderungen);
   * Bonus, Zertifikat und Subventionen für Unternehmen, die Personen mit Behinderungen mit einem unbegrenzten Arbeitsvertrag eingestellt haben.
Das Gesetz sieht auch eine Beschäftigungsquote von 2% der gesamten Beschäftigten im privaten Sektor und 5% im öffentlichen Sektor vor.</t>
  </si>
  <si>
    <t>Versicherte haben einen Anspruch auf
   * medizinische Rehabilitation und Wiederherstellung der Arbeitsfähigkeit;
   * berufliche Rehabilitation und Umstellung.
Die Teilnahme an diesen Programmen ist verpflichtend.
Verweigert der Versicherte die Teilnahme, wird das Anrecht auf Leistungen für medizinische Rehabilitation und Wiederherstellung der Arbeitsfähigkeit ausgesetzt.
Verweigert der Versicherte die Teilnahme an Kursen der beruflichen Aus- und Weiterbildung, verliert er das Anrecht auf Leistungen für berufliche Rehabilitation und Umstellung.
Siehe auch Tabelle V „Invalidität” für nähere Informationen.</t>
  </si>
  <si>
    <t>Rehabilitationsgeld (rehabiliteringsersättning) wird in Anschluss an eine Krankheitsperiode gezahlt, wenn die betroffene Person eine um mindestens ¼ verminderte Erwerbsfähigkeit hat und an einer beruflichen Trainingsmaßnahme teilnimmt oder bestimmte Studien folgt. Der Betrag entspricht dem Krankengeld (sjukpenning), siehe Tabelle III „Geldleistungen bei Krankheit“.
Rehabilitationsgeld wird so lange gezahlt, wie die Person eine Berufsausbildung oder ein Studium absolviert und die notwendigen Kriterien erfüllt. Andernfalls wird die Leistung zzrückgezogen. Es gibt keine anderen Arten der Sanktionierung.
Die Schwedische Sozialversicherungskasse (Försäkringskassan) ist verantwortlich für Planung und Nachbereitung von beruflicher Rehabilitation.
Eine Neubewertung der Unfallrente kann durchgeführt werden, wenn die Bedingungen des Plans nicht erfüllt werden.
Das Schwedische Arbeitsamt (Arbetsförmedlingen) stellt Rehabilitation mittels der Arbeitsmarktprogramme (arbetsmarknadspolitiska program) zur Verfügung.</t>
  </si>
  <si>
    <t>Die Eingliederungsmaßnahmen werden von der Invalidenversicherung (1. Säule, Grundsystem) gewährt: vgl. Tabelle V „Invalidität“, „Wiedereingliederung in die Erwerbstätigkeit“.</t>
  </si>
  <si>
    <t>Rehabilitationsgeld (Rehabilitačné): 80% der täglichen Bemessungsgrundlage (durchschnittliche tägliche Bruttoeinkünfte im Kalenderjahr vor Eintritt der Verletzung). Die Leistung wird während der beruflichen Rehabilitation gezahlt.
Umschulungsgeld (Rekvalifikačné): 80% der täglichen Bemessungsgrundlage (durchschnittliche tägliche Bruttoeinkünfte im Kalenderjahr vor Eintritt der Verletzung). Die Leistung wird während der beruflichen Rehabilitation gezahlt.
Informationen zur bevorzugten Beschäftigung von Menschen mit Behinderungen enthält Tabelle V „Invalidität“, „Bevorzugte Beschäftigung von Menschen mit Behinderungen“, und innerhalb von Tabelle I „Finanzierung“, „Krankheit und Mutterschaft: Sachleistungen“.</t>
  </si>
  <si>
    <t>Medizinische Rehabilitation:
Rehabilitation erfolgt unentgeltlich als Teil der Gesundheitsversorgung.
Berufliche Rehabilitation:
Zur Organisation der beruflichen Rehabilitation und zum Rehabilitationsgeld (nadomestilo za čas poklicne rehabilitacije) siehe Tabelle V „Invalidität, Berufliche Wiedereingliederung, berufliche Ausbildung und arbeitsbezogene Rehabilitation“.</t>
  </si>
  <si>
    <t>Medizinische Behandlung (funktionelle Rehabilitation), Berufsberatung und Training (für die bisherige oder eine neue Tätigkeit). Es gibt es besondere Einrichtungen für die Opfer von Arbeitsunfällen und Berufskrankheiten.
Es besteht die Möglichkeit zur innerbetrieblichen Versetzung des Arbeitnehmers auf einen anderen Arbeitsplatz ohne Risiko. Siehe Tab. V „Invalidität“, „Berufliche Wiedereingliederung“.
Es ist nicht nötig, an persönlichen Rehabilitationsmaßnahmen teilzunehmen, um die Leistung zu erhalten.</t>
  </si>
  <si>
    <t>Siehe Tabelle V Invalidität – Rückkehr ins aktive Berufsleben für nähere Information zu beruflicher Bildung und arbeitsbezogener Rehabilitation sowie bevorzugte Beschäftigung von Personen mit Behinderung.</t>
  </si>
  <si>
    <t>Medizinische Maßnahmen, medizinische Bäder, Sanatorien und technische Hilfsmittel.
Für Personen mit weniger als 50% Minderung der Erwerbsfähigkeit gibt es zahlreiche Rehabilitationsmaßnahmen (Umschulungsbeihilfe, besondere Beihilfen, um mit einer neuen Tätigkeit wenigstens 80% des früheren Verdiensts wiederzuerlangen) usw.
Die der Rehabilitationsstelle des Bezirksverwaltungsbüros untersucht den Gesundheitszustand des Antragstellers und entscheidet, ob er oder sie Anspruch auf Rehabilitation hat. Das medizinische Fachpersonal des nationalen Amts für Rehabilitation und Soziales bietet Rehabilitationsmaßnahmen.
Die Teilnahme an beruflicher Weiterbildung oder persönlichen Rehabilitationsakti-vitäten ist für den fortgesetzten Bezug von Leistungen nicht verpflichtend. Es gibt keine Sanktionen für die Verweigerung der Teilnahme an solchen Aktivitäten.</t>
  </si>
  <si>
    <t>Bezieher einer Rente wegen Minderung der Erwerbsfähigkeit können zu Umschulungs- oder Rehabilitationsmaßnahmen verpflichtet werden, die Kosten hierfür werden von der Sozialversicherung übernommen.Während der Rehabilitation wird der Leistungsbetrag der Rente auf den Satz erhöht, der für eine Minderung der Erwerbsfähigkeit um 100 % gilt.
Siehe Tabelle V „Invalidität“, „Berufliche Wiedereingliederung“.</t>
  </si>
  <si>
    <t>Die Befugnis zur Verhängung von Sanktionen bei Nichteinhaltung der Sicherheitsvorschriften fällt in den Bereich der Beschäftigung und nicht in den sozialen Bereich.
Die Feststellung erschwerter Risiken liegt dagegen in der Verantwortung von Fedris. Dieses Projekt, das 2008 ins Leben gerufen wurde, zielt darauf ab, die Zahl der Arbeitsunfälle zu reduzieren, indem die Prävention und deren Wichtigkeit hervorgehoben werden. Unternehmen, die im Branchenvergleich ein unverhältnismäßig hohes Risiko darstellen, müssen einen Pauschalbeitrag an ihren Versicherer zahlen, der diesen Betrag für die Prävention in dem betreffenden Unternehmen einsetzt.</t>
  </si>
  <si>
    <t>Keine Sanktionen.</t>
  </si>
  <si>
    <t>Keine Sanktionen für Arbeitgeber mit gefährlichem/gesundheitsschädigendem Arbeitsumfeld.</t>
  </si>
  <si>
    <t>Unfallversicherungsträger können den Arbeitgebern je nach Zahl der angezeigten Versicherungsfälle Beitragszuschläge auferlegen.
Haben Arbeitgeber den Versicherungsfall vorsätzlich oder grob fahrlässig herbeigeführt, haften sie dem Unfallversicherungsträger für die infolge des Versicherungsfalls entstandenen Aufwendungen.</t>
  </si>
  <si>
    <t>Keine Sanktionen im Rahmen des Sozialversicherungssystems.</t>
  </si>
  <si>
    <t>Keine Sanktionen gegen Arbeitgeber.</t>
  </si>
  <si>
    <t>Bei der Berechnung der Sozialbeiträge für Arbeitsunfälle und Berufskrankheiten wird bei Unternehmen mit mehr als 20 Arbeitnehmern die „Schadenfähigkeit“ des Unternehmens (Anzahl und Schwere der Arbeitsunfälle/Berufskrankheiten in den letzten 3 Jahren) berücksichtigt. Für Unternehmen mit weniger als 20 Beschäftigten wird nur die Höhe der Schadenfähigkeit in der Branche berücksichtigt.</t>
  </si>
  <si>
    <t>Nicht anwendbar im Rahmen der Sozialversicherung.</t>
  </si>
  <si>
    <t>Im Rahmen des Systems der sozialen Sicherheit gibt es keine Sanktionen gegen Arbeitgeber mit gefährlichen/gesundheitsgefährdenden Arbeitsplätzen, an denen sich zu viele Unfälle ereignen.</t>
  </si>
  <si>
    <t>Arbeitnehmern werden Straf-, Zivil- und Verwaltungssanktionen in fallweiser Bewertung durch die Justizbehörde auferlegt.
Es sind keine höheren Leistungen durch das soziale Sicherungssystem zahlbar. Die betroffenen Arbeitnehmer oder ihre Familien können sich erneut an die Justizbehörde wenden, um weitere Entschädigungszahlungen zu beantragen.</t>
  </si>
  <si>
    <t>Es gibt keine Sanktionen.</t>
  </si>
  <si>
    <t>Keine Sanktionen gegen Arbeitgeber im Rahmen des Sozialversicherungssystems. Sanktionen (Strafen) für Verstöße gegen den Regelungsrahmen für Gesundheit und Sicherheit am Arbeitsplatz sind im Arbeitsschutzgesetz festgelegt.</t>
  </si>
  <si>
    <t>Bei Gefährdung von Leben und Gesundheit wird die Benützung von Räumen und Einrichtungen untersagt und können Stoffe und Gegenstände beschlagnahmt werden. Dies kann bis zur Betriebsschliessung führen. Arbeitnehmer erhalten in diesen Fällen keine höheren Geldleistungen.
Als Verhütungsmaßnahme kann ein Berufsverbot verhängt und eine spezielle Entschädigung zugesprochen werden.</t>
  </si>
  <si>
    <t> Für Arbeitgeber gibt es keine Sanktionen, aber der Beitragssatz für Arbeitgeber erhöht sich, wenn es zu einer hohen Zahl von schweren und tödlichen Unfällen kommt.
Im Einzelnen wird der Beitragssatz für Arbeitgeber jedes Jahr unter Berücksichtigung schwerer (tödlicher) Unfälle berechnet, die sich in den letzten drei Jahren ereignet haben. Die Gewichtung der einzelnen Jahre ist unterschiedlich: Die Unfälle des letzten Kalenderjahres werden vollständig ausgewertet, während die Unfälle des vorangegangenen zweiten und dritten Jahres durch Multiplikation mit 0,75 bzw. 0,5 reduziert werden.</t>
  </si>
  <si>
    <t>Es gibt ein Bonus-Malus-System, das den von den Arbeitgebern gezahlten einheitlichen Beitragssatz um 10% mindert oder um höchstens 50% erhöht. Die Minderung oder Erhöhung richtet sich nach der Anzahl, Schwere oder Belastung der Unfälle in einem einjährigen Beobachtungszeitraum. Wegeunfälle und Berufskrankheiten werden nicht berücksichtigt.</t>
  </si>
  <si>
    <t>Wo erwiesen ist, dass der Arbeitgeber gegen herrschende Vorschriften des Gesetzes über Gesundheit und Sicherheit am Arbeitsplatz verstoßen hat, welches festlegt, welche Arbeitsplätze als gefährlich und ungesund gelten, kann der Arbeitgeber aufgefordert werden, sämtliche Leistungen, die an den Arbeitnehmer aufgrund eines solchen Unfalls ausgezahlt wurden, zurückzuzahlen.
An betroffene Arbeitnehmer werden keine höheren Leistungen gezahlt.</t>
  </si>
  <si>
    <t>Keine Sanktionen gegen Arbeitgeber, weder im Rahmen der Volksversicherung noch unter der Arbeitsunfallsversicherung. Arbeitgeber, die zu viele Unfälle oder Erkrankungen verursachen, zahlen höhere Prämien in die Arbeitsunfallversicherung als Arbeitgeber, die wenige Unfälle und Erkrankungen verursachen. Die Anreize des Prämiensystems sollen den Fokus auf HMS legen, um Verletzungen zu verhindern.
Keine höheren Leistungen an Arbeitnehmer, die von gefährlichen/gesundheitsgefährdenden Arbeitsbedingungen betroffen sind. Die Gesamtleistungen, die im Rahmen der Volksversicherung und der Arbeitsunfallversicherung ausgezahlt werden, decken den vollständigen Einkommensverlust (100%).</t>
  </si>
  <si>
    <t>Keine Sanktionen im Sozialschutzsystem.
Der Unfallversicherungsträger kann sich bei dem:der Dienstgeber:in regressieren, wenn diese:r den Arbeitsunfall vorsätzlich oder grob fahrlässig herbeigeführt hat. Der Unfallversicherungsträger kann auf den Ersatz ganz oder teilweise verzichten, wenn die wirtschaftlichen Verhältnisse des:der Dienstgebers:Dienstgeberin dies begründen.
Wurde der Versicherungsfall durch grob fahrlässige Außerachtlassung von Arbeitnehmer:innenschutzvorschriften verursacht und hat der:die Versicherte dadurch eine dauernde und erhebliche Beeinträchtigung der körperlichen oder geistigen Integrität erlitten, so gebührt eine Integritätsabgeltung. Diese ist als einmalige Leistung konzipiert; eine Höchstgrenze ist vorgesehen.</t>
  </si>
  <si>
    <t>Die Höhe des von der Sozialversicherungsanstalt (Zakład Ubezpieczeń Społecznych, ZUS) bestimmten Unfallbeitrags ist abhängig von der „Unfallrate“ des Wirtschaftszweigs, zu dem der Arbeitgeber gehört und der individuellen Unfallrate des konkreten Arbeitgebers. Je höher die Anzahl der Unfälle, desto höher die Sozialbeiträge.
In diesen Fällen werden keine höheren Leistungen an die Arbeitnehmer fällig.</t>
  </si>
  <si>
    <t>Es können Sanktionen verhängt werden, jedoch nicht im Rahmen der Sozialversicherung.</t>
  </si>
  <si>
    <t>Im Rahmen des Sozialversicherungssystems gibt es keine Sanktionen gegen Arbeitgeber mit gefährlichen Arbeitsplätzen.</t>
  </si>
  <si>
    <t>Es gibt im Rahmen des Systems der sozialen Sicherung keine Sanktionen gegenüber Arbeitgebern mit gefährlichen/ungesunden Arbeitsplätzen.</t>
  </si>
  <si>
    <t>Wird mit Geldstrafe bzw. mit Busse bestraft, wer vorsätzlich bzw. fahrlässig als Arbeitgeber oder Arbeitnehmer den Vorschriften über die Verhütung von Berufsunfällen und Berufskrankheiten zuwiderhandelt und dadurch andere ernstlich gefährdet.
Mit Busse wird bestraft, wer vorsätzlich oder fahrlässig als Arbeitnehmer den Vorschriften über die Verhütung von Berufsunfällen und Berufskrankheiten zuwiderhandelt, ohne dadurch andere zu gefährden.
Ausserdem werden für die Bemessung der Prämien in der Berufsunfallversicherung insbesondere Unfallgefahr und Stand der Unfallverhütung berücksichtigt. Bei Zuwiderhandlung gegen Vorschriften über die Verhütung von Unfällen und Berufskrankheiten können die Betriebe jederzeit und auch rückwirkend in eine höhere Gefahrenstufe versetzt werden.</t>
  </si>
  <si>
    <t>Keine Sanktionen im Rahmen der sozialen Sicherheit.</t>
  </si>
  <si>
    <t>Im Rahmen der Sozialversicherung gibt es keine Sanktionen. Es existieren jedoch straf- und verwaltungsrechtliche Sanktionen.</t>
  </si>
  <si>
    <t>Der Arbeitgeber muss die berufliche Sicherheit und Gesundheitsschutz von Arbeitnehmern am Arbeitsplatz gewährleisten.
Kontrollbehörden, d.h. das Landesamt für Arbeitsinspektion und regionale Arbeitsaufsichtsbehörden führen Inspektionen durch, um dies zu kontrollieren. Bei Nichteinhaltung muss der Arbeitgeber eine Strafe in Höhe von CZK 2.000.000 zahlen.
Nichteinhaltung hat keinen Einfluss auf Leistungen/Schadensersatz bei Arbeitsunfällen und Berufskrankheiten.</t>
  </si>
  <si>
    <t>Im Rahmen des Sozialversicherungssystems gibt es keine Sanktionen für Arbeitgeber mit gefährlichen Arbeitsplätzen.</t>
  </si>
  <si>
    <t>Nicht zutreffend.</t>
  </si>
  <si>
    <t>Hinterbliebener Ehe- oder eingetragener Lebenspartner: L x 30%.
Wiederheirat nach Bewilligung der Rente: Ohne Einfluss.
Abfindung der Rente bis zur Höhe von 1/3 des Kapitalwerts möglich. Bei Berufskrankheiten ist keine Abfindung möglich.
Geschiedene oder getrennt Lebende: Rente unter besonderen Bedingungen.
Halbwaisen:
Pro Kind: L x 15% (höchstens 45% für alle Kinder).
Vollwaisen:
Pro Kind: L x 20% (höchstens 60% für alle Kinder), wenn beide Eltern verstorben sind.
Die Renten sind höchstens bis zum Alter von 18 Jahren oder bis zum Auslaufen des Anspruchs auf Kindergeld zahlbar; für behinderte Waisen lebenslänglich (oder solange die Behinderung andauert). Bedingungen durch Kgl. Erlass geregelt.
Vater und Mutter:
Je L x 20%, falls kein berechtigter Ehepartner bzw. eingetragener Lebenspartner oder berechtigtes Kind existiert; L x 15%, wenn ein berechtigter Ehepartner bzw. Lebenspartner, aber kein Kind existiert.
Andere Verwandte in aufsteigender Linie:
L x 15% unter bestimmten Bedingungen.
Brüder, Schwestern, Enkel:
Unter bestimmten Bedingungen jeweils 15% (insgesamt max. 45%).
Leistungsdauer:
Enkelkinder und Geschwister erhalten eine Rente, solange sie Anspruch auf Kindergeld haben und auf jeden Fall bis zur Beendigung des 18. Lebensjahres. Außer mit einem Nachweis, das der Betroffene ihre Haupteinnahmequelle war, erhalten Verwandte in aufsteigender Linie eine Rente bis zu dem Zeitpunkt, zu dem der Geschädigte das 25. Lebensjahr beendet hätte.
Nach Prioritätenfolge, siehe obige Maxima.
Bestattungskostenzuschuss (Indemnité pour frais funéraires/Begrafenisvergoeding) in Höhe des 30-fachen des durchschnittlichen täglichen Arbeitsentgelts mit einem Minimum, das demjenigen der Kranken- und Invaliditätsversicherung entspricht. Ferner Erstattung der tatsächlichen Kosten der Überführung des Leichnams zum Ort der Beisetzung.</t>
  </si>
  <si>
    <t>Siehe Tabelle VII „Hinterbliebene“.</t>
  </si>
  <si>
    <t>Ausgleich für den Verlust des Versorgers (erstatning for tab af forsørger): 30% des Jahresbruttogehalts des Verstorbenen bis zur Bemessungsgrenze von DKK 632.000 (€84.704), wird jährlich während eines Zeitraums von höchstens 10 Jahren für folgende Fälle gezahlt:
   * Die hinterbliebene Person muss von dem/der Verstorbenen unterhalten worden sein, und die Ehe muss zum Zeitpunkt des Unfalls mindestens zwei Jahre bestanden haben; oder
   * Die hinterbliebene Person hatte mindestens 2 Jahre vor dem Tod mit dem/der Versicherten eine Beziehung und lebte mit ihm/ihr zusammen.
Waisen:
10% des Bruttoeinkommens des Verstorbenen (Vollwaisen) oder 20% des Bruttoeinkommens des Verstorbenen (Vollwaisen). Wird jedes Jahr bis zum 18. Lebensjahr des Kindes bzw. 21. Lebensjahr bei Studium oder Ausbildung gezahlt.
Belaufen sich die Leistungen an Ehepartner und Kinder auf insgesamt weniger als 70% der Bemessungsgrundlage, so können unter besonderen Voraussetzungen auch Leistungen an Eltern, Geschwister, Enkel usw. gewährt werden, wenn diese von der verstorbenen Person unterhalten wurden. Die Leistung kann kapitalisiert werden.
Übergangsbetrag wegen Todesfalls (overgangsbeløb ved dødsfald): Pauschalbetrag in Höhe von DKK 198.500 (€26.604) für hinterbliebenen Ehepartner (oder eine Person, die mit dem/r Verstorbenen zusammenlebte).
Besonderer Schadensausgleich für Hinterbliebene:
Pauschale Geldleistung an besonders nahe Angehörige im Falle der Verursachung des Todes durch Absicht oder grobe Fahrlässigkeit.</t>
  </si>
  <si>
    <t>Witwe oder Witwer, jünger als 47 Jahre: monatliche Rente: (L x 30%)/12 für die Dauer von längstens 24 Monaten.
Witwe oder Witwer, älter als 47 Jahre oder berufs- oder erwerbsunfähig oder mit mindestens einem waisenrentenberechtigten Kind: monatliche Rente: (L x 40%)/12.
Eigenes Einkommen, das mit der Hinterbliebenenrente zusammentrifft, wird - einen Freibetrag beachtend - zu 40% angerechnet.
Anspruchsberechtigt sind grundsätzlich auch eingetragene Lebenspartner.
Jede Waise (bis zum vollendeten 18. Lebensjahr; bis zum 27. falls in Ausbildung befindlich oder behindert):
   * Monatliche Rente für Halbwaise: (‘L’ x 20%)/12.
   * Monatliche Rente für Vollwaise: (‘L’ x 30%):12.
Keine Einkommensanrechnung.
Eltern oder andere Verwandte: Rentenanspruch, sofern wesentlicher Unterhalt durch den Verstorbenen.
(‘L’ x 20%)/12 (‘L’ x 30% für ein Elternpaar).
Für Eltern und Großeltern, jedoch mit Vorrecht für die Eltern.
Höchstbetrag:
‘L’ x 80% (sonst anteilige Kürzung).
Ggf. unter Ausschluss der Eltern und Großeltern.
Sterbegeld
Anspruchsberechtigt sind Witwen/Witwer, Waisen, Stief- und Pflegekinder, Enkel, Geschwister, frühere Ehegatten, Eltern und Großeltern. Bundeseinheitlich: €6.420.
(1/7 der Bezugsgröße zum Zeitpunkt des Todes – Wert 2025).
Zahlung an denjenigen, der Bestattungskosten trägt.
‘L’ = Bruttolohn des Jahres vor dem Versicherungsfall.</t>
  </si>
  <si>
    <t>Keine besonderen Regelungen für Arbeitsunfälle und Berufskrankheiten. Siehe Tabelle VII „Hinterbliebene“; „Leistungen“.
Die Familie des Arbeitnehmers ist berechtigt, die Erstattung der Begräbniskosten vom Arbeitgeber zu verlangen.</t>
  </si>
  <si>
    <t>Wenn keine weiteren Anspruchsberechtigten vorhanden sind, beträgt die Witwenrente (perhe-eläke) 40% x L.
L = Referenzeinkommen
Ihr Betrag sinkt, wenn die Anzahl der Leistungsempfänger, die Kinder sind, ansteigt, und sie wird gezahlt, bis der hinterbliebene Ehegatte heiratet oder eine Lebensgemeinschaft ohne Ehe eingeht.
Alle Renten insgesamt dürfen höchstens 70% betragen.
Kinder unter 18 Jahren bzw. zwischen 18 und 24 Jahren, falls sie studieren oder behindert sind.
   * 1 Kind:  25% x L;
   * 2 Kinder (insg.):  40% x L;
   * 3 Kinder:  50% x L;
   * 4 und mehr Kinder: 55% x L.
L = Referenzeinkommen.Keine sonstigen Berechtigten.</t>
  </si>
  <si>
    <t>Rente, die dem Ehepartner bzw. Partner in häuslicher Gemeinschaft oder in eingetragener Lebenspartnerschaft (pacte civil de solidarité) zukommt: 40% des Jahresbruttogehalts des Verstorbenen (L). Die Rente wird gewährt, wenn der überlebende Ehepartner gemeinsame Kinder mit dem Versicherten hat. Ist dies nicht der Fall, muss der überlebende Ehepartner vor dem Arbeitsunfall mit dem Opfer in einer Beziehung gestanden sein oder zum Todeszeitpunkt mindestens 2 Jahre ein Paar mit dem Opfer gewesen sein.
Wenn der überlebende Ehepartner wieder in einer Partnerschaft lebt, wird die Rente gestrichen und stattdessen ein Kapital in Höhe des dreifachen Jahresbetrags ausgezahlt. Dies erfolgt jedoch nicht, solange ein Kind des Leistungsempfängers ebenfalls eine Rente bezieht.
Rentenzulage, wenn die betroffene Person mindestens 55 Jahren alt oder zu mindestens 50% erwerbsunfähig ist: 20% des Jahresbruttogehalts des Verstorbenen (L).
Dem geschiedenen Ehepartner, der vom Versicherten Unterhaltszahlungen erhielt, kann ebenfalls eine Rente in dieser Höhe und bis zu 20% des Jahresbruttogehalts des Verstorbenen (S) gewährt werden.
Waisenrente bis zum Alter von 20 Jahren (Jahresbeträge):
Halbwaisen:
L x 25% für die beiden ersten Kinder
L x 20% für jedes Kind ab dem dritten
Vollwaisen:
 L x 30% jeweils.
Rente für Eltern und Großeltern (Jahresbetrag): L x 10% für Eltern und Großeltern des Verstorbenen (bei Existenz eines überlebenden Ehepartners und/oder Kinder) oder Personen, die Anspruch auf eine Unterhaltszahlung des Verstorbenen gehabt hätten (falls kein Witwer/keine Witwe und/oder keine Kinder existieren).
Jährlicher Höchstbetrag für Eltern und Großeltern insgesamt: L x 30%.
Jährlicher Höchstbetrag: L x 85%.
Vierteljährliche Zahlung. Unbegrenzter Zahlungszeitraum.
Erstattung der Bestattungskosten begrenzt auf 1/24 der jährlichen Bemessungsgrenze der sozialen Sicherung, d. h. €1.962,50.
Die Erstattung der Kosten für die Überführung des Verstorbenen ist möglich, wenn der Todesfall auf einer Geschäftsreise eingetreten ist.
Möglichkeit, ein Todesfallkapital zu beziehen (siehe Tabelle III „Andere Leistungen“).</t>
  </si>
  <si>
    <t>Gleiche Leistungen wie in Tabelle VII „Hinterbliebene“, jedoch keine Bedingung hinsichtlich der Dauer der Ehe.
Bestattungskosten (ΕΞΟΔΑ ΚΗΔΕΙΑΣ): siehe Tabelle III „Krankheit – Geldleistungen“.</t>
  </si>
  <si>
    <t>Rente für Witwen, Witwer und hinterbliebene Lebenspartner (Widow's, Widower's or Surviving Civil Partner’s Pension) (Sterbegeld) (Death Benefit) in Höhe von (pro Woche):
   * €274,50, falls unter 66 Jahren;
   * €293,70, falls zwischen 66 und 80 Jahre;
   * €303,70, falls über 80 Jahre.
Männer und Frauen haben Anspruch auf diese Leistung. Die Kategorien anspruchsberechtigter Personen entsprechen jenen von Tabelle VII: „Beihilfen für Hinterbliebene“, Anspruchsberechtigte Personen”.
Zulage für Alleinlebende (Living Alone Allowance) wird an alleinlebende Rentner und Menschen mit Behinderung gezahlt: €22 pro Woche;
Ein über 80 Zuschlag von €10 pro Woche wird an Witwen und Witwer/ hinterbliebene Lebenspartner ab dem Alter von 80 Jahren gezahlt.
Die Rente für Witwen, Witwer und hinterbliebene Lebenspartner (Widow's, Widower's or Surviving Civil Partner’s Pension) (Sterbegeld) (Death Benefit)) wird für Kinder unter 18 Jahren (oder unter 22 Jahren, falls das Kind in Vollzeitausbildung ist) um €50 für Kinder unter 12 Jahren und €62 für Kinder ab 12 Jahren pro Woche erhöht.
Vollwaisen:
Sterbegeld (Death Benefit)) Beihilfe für Waise (Orphan’s Payment): €218,80 pro Woche und Kind.
Kein Höchstbetrag.
Bei dem Tod einer Person aufgrund eines Arbeitsunfalls oder einer Berufskrankheit wird an die unterhaltsberechtigten Personen des Verstorbenen eine Bestattungsbeihilfe (Funeral grant) von €850 gezahlt.</t>
  </si>
  <si>
    <t>Falls der Arbeitsunfall innerhalb eines Zeitraums von 2 Jahren zum Tode führt, erhält der hinterbliebene Ehepartner eine Pauschalzahlung von ISK 6.391.354 (€44.415).
Pauschalkinderrente (barnalífeyrir) für jedes Kind unter 18 Jahren, siehe Tabelle VII, Hinterbliebene: „Leistungen – Kinder“.
Eine einmalige Zahlung eines Pauschalbetrags von ISK 1.254.311 (€8.357) erfolgt an hinterbliebene Kinder, wenn es keine anderen überlebenden Verwandten gibt, ansonsten zu seinem Vermögen.</t>
  </si>
  <si>
    <t>Witwe oder Witwer:
50% der Rente, gezahlt auf Monatsbasis.
Keine Bedingungen bezüglich des Alters oder der Ehedauer. Der Leistungsanspruch endet bei Wiederheirat.
Halbwaisen:
20% der Rente für jeden Waisen bis zum Alter von 18 Jahren (21 im Falle eines Studiums; 26 im Falle eines Universitätsstudiums).
Vollwaisen oder leibliches Kind:
40% der Rente für jeden Waisen bis zum Alter von 18 Jahren (21 im Falle eines Studiums; 26 im Falle eines Universitätsstudiums).
Bei Tod durch Arbeitsunfall oder Berufskrankheit: Für Eltern, Großeltern, Enkel, Brüder, Schwestern, falls andere Rentenberechtigte nicht existieren, je Person 20% der Rente.</t>
  </si>
  <si>
    <t xml:space="preserve">
   * hinterbliebener Ehegatte,
   * geschiedener Ehegatte, der vom Verstorbenen unterhalten wurde,
   * Lebensgemeinschaft mit Personen des gleichen oder anderen Geschlechts.
Berechnungsgrundlage ist die Invaliditätsrente aufgrund eines Arbeitsunfalls oder einer Berufskrankheit (keine Mindestversicherungszeit des Verstorbenen, der Rentenfaktor wird je nach Anzahl der abhängigen Familienmitglieder angewandt).
Kinder (eigene Kinder, Pflegekinder, Stiefkinder, Brüder und Schwestern, wenn diese von der verstorbenen Person unterstützt wurden). Eltern, wenn diese von der verstorbenen Person unterstützt wurden:
   * 100% der Rentengrundlage.
Es gibt Sterbegeld in Form von Erstattung der Bestattungskosten, wenn der Tod durch einen Arbeitsunfall oder eine Berufskrankheit begründet war.</t>
  </si>
  <si>
    <t>1) Leistung zahlbar für Hinterbliebene:
Hinterbliebener Ehepartner und andere Verwandte:
Bis zu 25% des durchschnittlichen monatlichen versicherungspflichtigen Bruttoentgelts der verstorbenen Person:
   * falls der hinterbliebene Ehe-partner erwerbsunfähig ist und teilweise oder ganz von der verstorbenen Person unterhalten wurde;
   * für jeden unterhaltsberechtigten Elternteil oder weitere Verwandte, wenn sie erwerbsunfähig sind und teilweise oder ganz von der verstorbenen Person unterhalten wurden.
Die Leistung wird jeden Monat bis zu dem Tag gezahlt, an dem der/die Verstorbene die Regelaltersgrenze erreicht hätte.
Halbwaisen:
Wird jeden Monat an Kinder bis zum Alter von 18 Jahren (24 Jahren bei studierenden Kindern, keine Altersgrenze für Personen, bei denen vor dem 18. Lebensjahr eine Behinderung auftrat) gezahlt. Gesamtbetrag ist der Prozentsatz des durchschnittlichen versicherten Bruttoentgelts der verstorbenen Person:
ein Kind: 25%
zwei Kinder: 35%
drei Kinder: 45%
vier oder mehr Kinder: 55%
Vollwaisen:
Wird jeden Monat an Kinder bis zum Alter von 18 Jahren (24 Jahren bei studierenden Kindern, keine Altersgrenze für Personen, bei denen vor dem 18. Lebensjahr eine Behinderung auftrat) gezahlt. Gesamtbetrag ist der Prozentsatz der Summe der durchschnittlichen versicherten Bruttoentgelte der verstorbenen Elternteile.
ein Kind: 40%
zwei Kinder: 50%
drei Kinder: 60%
vier oder mehr Kinder: 70%
In allen oben genannten Fällen ist das durchschnittliche versicherte Bruttomonatsentgelt des Verstorbenen jenes, auf das während eines 12-monatigen Zeitraums Beiträge gezahlt wurden. Dieser Zeitraum beginnt 2 Kalendermonate vor dem Monat, in dem der Versicherte gestorben ist.
Die Höhe der Leistung darf 80% des durchschnittlichen Bruttoentgelts des Verstorbenen, auf das Beiträge gezahlt wurden, nicht übersteigen und darf das 25-fache des Betrags der Staatlichen Grundleistung der sozialen Sicherheit (Valsts sociālā nodrošinājuma pabalsts) nicht übersteigen (d.h. €4.150 im Monat für jeden Hinterbliebenen).
2) Bestattungsbeihilfe (Apbedīšanas pabalsts):
   * ein Pauschalbetrag, der dem Zweifachen des durchschnittlichen Monatsentgelts der verstorbenen Person entspricht, jedoch mindestens der nationale Durchschnitt aller beitragspflichtigen monatlichen Bruttolöhne, wenn keine Beihilfe für den Verlust der Arbeitsfähigkeit gewährt wird;
   * ein Pauschalbetrag, der dem Zweifachen der monatlichen Beihilfe für den Verlust der Arbeitsfähigkeit der verstorbenen Person entspricht, sofern diese gewährt wurde.</t>
  </si>
  <si>
    <t>Witwe oder Witwer:
   * mit eigenen rentenberechtigten Kindern oder in Wohngemeinschaft mit anderen durch den Tod des Ehegatten rentenberechtigt gewordenen Kindern,
   * wenn er/sie mindestens zu zwei Dritteln invalid ist oder es binnen zwei Jahren nach dem Tode des Ehegatten wird,
   * wenn er/sie bei der Verwitwung das 45. Altersjahr vollendet hat.
   * Rente in der Höhe von 40% des versicherten Bruttoverdienstes (maximal  CHF 148.200 (€158.350)) jährlich).
Getrennte oder geschiedene Ehegatten: 20% des versicherten Verdienstes, sofern der Verunfallte ihm/ihr gegenüber zu Unterhaltsbeiträgen verpflichtet war (höchstens aber den geschuldeten Unterhaltsbeitrag).
Einmalige Abfindung, wenn kein Rentenanspruch besteht (einfacher Jahresbetrag, wenn Ehedauer weniger als 1 Jahr ist, dreifacher Jahresbetrag, wenn Ehedauer mindestens 1 Jahr aber weniger als 5 Jahre ist und fünffacher Jahresbetrag, wenn Ehedauer mehr als 5 Jahre ist).
Kinder und Pflegekinder bis zur Vollendung des 18. Altersjahres bzw. des 25. Altersjahres bei Ausbildung:
   * Halbwaisen: 15% des versicherten Verdienstes.
   * Vollwaisen: 25% der versicherten Bruttoverdienste beider Elternteile (Summe maximal  CHF 148.200 (€158.350) jährlich).
   * Keine sonstigen Berechtigten.
Gleichmäßige Herabsetzung der Hinterbliebenenrenten, wenn sie für den überlebenden Ehegatten und die Kinder mehr als 70% vom versicherten Verdienst oder zusammen mit der Rente für den getrennten oder geschiedenen Ehegatten mehr als 90% vom versicherten Verdienst ausmachen.
Es werden die notwendigen Leichentransportkosten sowie Bestattungskosten bis zur Höhe des siebenfachen Höchstbetrages des versicherten Tagesverdienstes vergütet.</t>
  </si>
  <si>
    <t>Witwen und Witwer und alle diejenigen, die von der verstorbenen Person zum Zeitpunkt ihres Todes (einschließlich Eltern, Adoptiveltern, Geschwister) unterhalten wurden, haben Anspruch auf Regelmäßige Versicherungsleistungen an den Versicherten im Todesfall (periodinė draudimo išmoka apdraustajam mirus), wenn sie:
   * nicht erwerbstätig sind und für Kinder (einschließlich Adoptivkinder), Enkel oder Geschwister der verstorbenen Person sorgen, die unter 8 Jahre alt sind, oder
   * das Rentenalter erreicht haben, oder
   * bei Kindern: bis zu 18 Jahre alt sind (24 bei Vollzeitstudenten), oder
   * behindert sind (Anspruch besteht nur so lange, wie die Behinderung vorliegt).
Jeder Leistungsempfänger erhält einen Betrag in Höhe der Leistung, die die verstorbene Person erhalten hätte, geteilt durch die Anzahl der Leistungsberechtigten plus eins, d. h. bei 4 Leistungsempfängern erhält jeder 1/5 der Leistungen des Verstorbenen. Wenn diese Leistung höher ist als andere Renten, wird der Differenzbetrag zusätzlich zu letzterem gezahlt.
Vollwaisen haben Anspruch auf Waisenrente für beide Elternteile.
Einmalige Versicherungsleistung an den Versicherten im Todesfall (vienkartinė draudimo išmoka apdraustajam mirus) entsprechend dem 46,55-fachen des nationalen monatlichen Durchschnittslohns, zu gleichen Teilen aufgeteilt zwischen den Familienmitgliedern (Ehepartner, Kinder (Adoptivkinder), Eltern (Adoptiveltern)).</t>
  </si>
  <si>
    <t>Überlebender Ehepartern:
Pauschalleistung für immateriellen Schaden (Indemnité forfaitaire pour dommage moral) und Überlebensrente (rente de survie) (als Zulage zur Hinterbliebenenrente als ob die versicherte Person bis zum Alter von 65 Jahren gearbeitet hätte).
Waisen:
Pauschalleistung für immateriellen Schaden (Indemnité forfaitaire pour dommage moral) und Überlebensrente (rente de survie) (als Zulage zur Hinterbliebenenrente als ob die versicherte Person bis zum Alter von 65 Jahren gearbeitet hätte).
Die Pauschalleistung für immateriellen Schaden ist unabhängig vom Alter des Waisen.
 Die Waisenrente wird bis zum 18. Lebensjahr gezahlt und bis zum 27. Lebensjahr verlängert, wenn das Kind aufgrund der wissenschaftlichen oder fachlichen Vorbereitung auf seinen künftigen Beruf nicht für seinen Lebensunterhalt aufkommen kann.
Sonstige Personen:
Keine Rente für Personen in absteigender oder aufsteigender Linie, dafür aber Pauschalleistung für immateriellen Schaden (Indemnité forfaitaire pour dommage moral) für Vater und Mutter.
Pauschalleistung für immateriellen Schaden für jede andere Person, die sich für mindestens drei Jahre zusammen mit dem Verstorbenen einen Haushalt geteilt hat.</t>
  </si>
  <si>
    <t>Der hinterbliebene Partner einer Person, die aufgrund eines Arbeitsunfalls oder einer Berufskrankheit verstorben ist, hat Anspruch auf den Höchstsatz von Witwen- oder Hinterbliebenenrente (wo anwendbar) zu den gleichen Bedingungen wie alle anderen Rentenempfänger (siehe Tabelle VII, „Hinterbliebene“).
Elternrente (Pensjoni ta' Ġenitur) wird an Eltern gezahlt, die finanziell von ihrem erwachsenen Kind abhängig waren, das aufgrund eines Arbeitsunfalls oder einer Berufskrankheit verstarb. Es gelten folgende Sätze:
   * €169,60 wöchentlich, wenn beide Eltern am Leben sind;
   * €136,88 wöchentlich, wenn nur ein Elternteil noch lebt.
Renten werden bis zum Eintritt des Todesfalls gezahlt.</t>
  </si>
  <si>
    <t>Volksversicherung (folketrygden):
Ein hinterbliebener Ehegatte erhält die volle Hinterbliebenenrente (etterlattepensjon) (siehe Tabelle VII „Hinterbliebene") unabhängig von der Dauer der Erwerbstätigkeit des Verstorbenen oder der Ehedauer. Eine Person, die mit dem Verstorbenen unverheiratet zusammenlebte, wird wie ein Ehepartner behandelt, wenn entweder gemeinsame Kinder vorhanden sind oder sie früher verheiratet waren. Einer Person, die mit dem Verstorbenen nicht verheiratet war, aber für dessen Kinder sorgte und von ihm unterhalten wurde, kann ebenfalls eine Rente gewährt werden.
Waisen wie bei der Hinterbliebenenrente: siehe Tabelle VII „Hinterbliebene“, „Leistungen, 3. Waisen“.
Die Rente wird bis zum Alter von 18 Jahren (bzw. 21 bei fortgesetzter Ausbildung) gewährt.
Arbeitsunfallversicherung (yrkesskadeforsikring):
Entschädigung für den Ehepartner oder Lebensgefährten (Person, die mit der verstorbenen Person zusammengelebt hat und gemeinsame Kinder hatte, oder mit der verstorbenen Person als Ehepartner zusammengelebt hat und bei derselben Adresse wie die verstorbene Person zwei Jahre vor deren Tod gemeldet war) in Höhe des 15-fachen Grundbetrags (Grunnbeløpet), wenn der Verstorbene bis 46 Jahre alt war. 5% Reduzierung, wenn er älter war. Maximale Reduzierung von 80%.
Die Entschädigung der Arbeitsunfallversicherung (yrkesskadeforsikring) beträgt das ein- bis 6,5-Fache des Grundbetrags je nach Alter des Kindes (ein Kind von 19 Jahren erhält einen Grundbetrag).
Kein Höchstbetrag.
Die Arbeitsunfallversicherung (yrkesskadeforsikring) zahlt eine Bestattungskostenbeihilfe (erstatning av gravferdsutgifter) in Höhe der Hälfte des Grundbetrags (Grunnbeløpet), d. h. von NOK 65.080 (€5.519).
Diese Beihilfe wird auch ausgezahlt, wenn die verstorbene Person keine Hinterbliebenen hat, die die Leistungen einfordern können. In diesem Fall wird die Beihilfe an die Verwaltung des Nachlasses gezahlt.</t>
  </si>
  <si>
    <t>Witwen:Witwerrente:
Anspruch haben Ehepartner:innen in aufrechter Ehe bzw. die eingetragenen Partner:innen zum Zeitpunkt des Todes sowie ehemalige Ehepartner:innen/eingetragene Partner:innen, die im Todeszeitpunkt Unterhalt erhielten.
Die Berechnungsgrundlage ist das (Brutto-)Arbeitsentgelt, das Versicherte im letzten Kalenderjahr vor dem Versicherungsfall bezogen haben.
Höhe:
   * Berechnungsgrundlage  x 20%
   * Witwe älter als 60/Witwer älter als 65 Jahre oder invalid:  Berechnungsgrundlage  x 40%
   * Die Rente an den:die geschiedene:n Ehepartner:in ist mit der Unterhaltsleistung begrenzt.
Hinsichtlich eines zusätzlichen Anspruches auf Pflegegeld siehe Zuschläge zur Rente wegen Pflege durch Dritte.
Die Rente wird 14-mal jährlich, das Pflegegeld 12-mal jährlich gewährt.
Der Anspruch besteht bis zum eigenen Tod bzw. bis zur Wiederverehelichung (Abfertigung).
Waisenrente:
Kinder bis zur Vollendung des 18. Lebensjahres bzw. des 27. Lebensjahres bei Studium oder Berufsausbildung, kein Alterslimit bei Behinderung des Kindes.
Höhe:
   * Halbwaisen:  Berechnungsgrundlage  x 20%
   * Vollwaisen:  Berechnungsgrundlage  x 30%.
Hinsichtlich eines zusätzlichen Anspruches auf Familienbeihilfe siehe Tabelle IX. Hinsichtlich eines zusätzlichen Anspruches auf Pflegegeld siehe Zuschläge zur Rente wegen Pflege durch Dritte.
Die Rente wird 14-mal jährlich, das Pflegegeld 12-mal jährlich gewährt.
Rente an bedürftige Eltern (Großeltern) bzw. unversorgte Geschwister (Vorrang der Eltern), wenn Verstorbene:r überwiegend ihren Lebensunterhalt bestritten hat:
   * Berechnungsgrundlage  x 20%.
Hinsichtlich zusätzlicher Leistungen siehe Halbwaisen.
Die Rente wird 14-mal jährlich gewährt.
Höchstbetrag aller Hinterbliebenenleistungen:  Berechnungsgrundlage  x 80% (ohne Berücksichtigung einer allfälligen Rente an eine:n geschiedene:n Ehepartner:in).
Teilersatz der Bestattungskosten: Wenn der Tod durch einen Arbeitsunfall oder eine Berufskrankheit verursacht wurde, und zwar im Ausmaß des fünfzehnten Teiles der Bemessungsgrundlage, mindestens jedoch €1.910,99.
(1,5 x Richtsatz für Alleinstehende). Anspruchsberechtigt ist jene Person, die die Kosten der Bestattung getragen hat.</t>
  </si>
  <si>
    <t>Wie für Hinterbliebene (Tabelle VII), aber Leistungen müssen sich auf mindestens 120% des Mindestbetrags der Hinterbliebenenrente belaufen.
Einmalige Zahlung (an Hinterbliebene) (Jednorazowe odszkodowanie):
Betrag: PLN 147.271 (€34.752) an den/die Ehegatten/in oder das Kind des Verstorbenen; bei mehreren Berechtigten erhöht sich der Betrag um jeweils PLN 28.636 (€6.757). Dieser Betrag ist vom Arbeitgeber zu zahlen. Keine Obergrenze für die Anzahl der Personen und den Gesamtbetrag.</t>
  </si>
  <si>
    <t>Ehepartner/Hinterbliebener (siehe Tabelle VII „Hinterbliebene“, „Bedingungen, 2. Hinterbliebener Ehegatte“ und „4. Hinterbliebener Lebenspartner“):
bis zur Altersrente:
S x 30%.
Ab dem Renteneintrittsalter oder bei Behinderungen oder chronischen Erkrankungen:
S x 40%.
Für geschiedene Ehegatten (siehe Tabelle VII, „Bedingungen“, 3. Geschiedener Ehegatte“) gelten die gleichen Sätze bis zur Obergrenze der Unterhaltszahlung.
Halbwaisen:
Jeweils L x 20%, 40% und 50% für 1, 2 und 3 oder mehrere Kinder unter 18 Jahren (22 oder 25 Jahre in Ausbildung oder Studium); keine Altersobergrenze im Fall von Behinderungen oder chronischen Krankheiten, die deren Erwerbsfähigkeit erheblich beeinträchtigen.
Vollwaisen:
Jeweils L x 40%, 80% und 100% für jeweils 1, 2 und 3 oder mehrere Kinder unter denselben Bedingungen wie für Halbwaisen, jedoch begrenzt auf 80% des Bruttoarbeitsentgelts des Verstorbenen.
Aszendenten oder andere verwandte Erben, die zum Zeitpunkt des Todes des Arbeitnehmers unterhaltsberechtigt waren, unter den gleichen Bedingungen, wie oben benannt, “Waisen“.
   * Bei Vorhandensein von Ehepartner oder Kindern mit Rentenanspruch: 10% des Bezugseinkommens für jeden unterhaltenen Verwandten in aufsteigender Linie.
   * Ohne Ehepartner oder Kinder mit Rentenanspruch: 15% des Bezugseinkommens für jeden unterhaltenen Verwandten in aufsteigender Linie.
   * 20% ab dem Alter von 65 Jahren oder bei Erwerbsunfähigkeit aufgrund von Behinderungen oder chronischen Erkrankungen.
Mit Ehepartner oder Kindern: 30% des Bezugseinkommens (L x 30%).
Ohne Ehepartner oder Kinder: 80% des Bezugseinkommens (L x 80%).
Sterbegeld (subsídio por morte): Einmalzahlung in Höhe des 12-Fachen von 110% des Indexwerts für soziale Unterstützungen IAS (indexante dos apoios sociais), die zur Hälfte an den Ehepartner, geschiedenen Ehepartner oder Hinterbliebenen geht und zur anderen Hälfte an die anspruchsberechtigten Kinder (der volle Betrag, wenn einer der oben genannten Hinterbliebenen Anspruch auf eine Hinterbliebenenrente hat).
Bestattungskostenbeihilfe (subsídio por despesas de funeral):
Einmalzahlung in Höhe der tatsächlichen Kosten bzw. des doppelten Betrages, falls eine Überführung erfolgt, innerhalb der Grenze des 4-Fachen des Indexwerts für soziale Unterstützungen IAS.
*L = Bezugslohn. Siehe „Leistungen, 1. Referenzeinkommen oder Berechnungsgrundlage“.</t>
  </si>
  <si>
    <t>Hinterbliebenenrente (pensie de urmas) bei Arbeitsunfall oder Berufskrankheit:
Wie für Hinterbliebene. Für nähere Informationen bezüglich der Anspruchsbedingungen und der Höhe der Leistung, die an den hinterbliebenen Partner oder Waisen gezahlt wird sowie die Zahlungsdauer siehe Tabelle VII „Hinterbliebene".
Keine sonstigen Berechtigten.
Sterbegeld (despăgubire de deces): Pauschalleistung im Todesfall aufgrund eines Arbeitsunfalls oder einer Berufskrankheit. Zahlung der Bestattungskosten.
Leistungsbetrag:
SG = 4*DBE
Wobei:
SG = Sterbegeld
DBE = Durchschnittliches Bruttoentgelt zum Zeitpunkt der Kontingenz ((d.h. der durchschnittliche Bruttolohn, der als Grundlage für die Berechnung des staatlichen Sozialversicherungshaushalts für das jeweilige Jahr herangezogen wird).</t>
  </si>
  <si>
    <t>Ausgleichsleibrente (omställningslivränta) mit denselben Anspruchsvoraussetzungen, die auch im Rentensystem gelten: siehe Tabelle VII, „Hinterbliebene“.
Der zahlbare Betrag wird auf der Grundlage berechnet, die zur Berechnung der Unfallrente des Verstorbenen herangezogen worden wäre:
   * Hinterbliebener Ehepartner: 20% der Leibrente des Verstorbenen, wenn der Verstorbene rentenberechtigte Kinder hinterlässt, andernfalls 45%. Zahlung der Leibrente bis der Leistungsempfänger das Alter von 66 Jahren erreicht.
   * Halbwaisen: 40% der Grundlage zur Berechnung der Unfallrente des Verstorbenen. Wenn mehr als ein Kind Anspruch auf Rente hat, erhöht sich der Prozentsatz für jedes weitere Kind um 20%. Die Summe wird zu gleichen Teilen unter den Kindern aufgeteilt. Bezugsberechtigt sind Waisen bis zu 18 Jahren (oder 20 Jahren, wenn die Waisen studieren).
   * Vollwaisen: Wie oben, jedoch kann für beide Elternteile Rente bezogen werden.
Keine sonstigen Berechtigten.
Bestattungsbeihilfe (begravningshjälp): 30% des Grundbetrags (prisbasbelopp) zum Todeszeitpunkt = SEK 17.640 (€1.604) werden an die Person ausgezahlt, die den Nachlass verwaltet.</t>
  </si>
  <si>
    <t>Hinterbliebener Ehegatte/Partner:
   * mit Kindern, die Anspruch auf eine Rente haben oder
   * der/die zu mindestens 2/3 invalid ist oder es innerhalb von 2 Jahren nach dem Tod des Ehegatten wird.
Ferner, Witwe:
   * mit Kindern, die nicht mehr Anspruch auf eine Rente haben, oder
   * die das 45. Altersjahr erreicht hat.
Die Rente beträgt 40% des versicherten Verdienstes.
Kapitalabfindung für die Witwe, wenn die vorgenannten Voraussetzungen nicht erfüllt sind.
Der geschiedene Ehegatte hat Anspruch auf eine Rente, wenn der Versicherte ihm Unterhaltsbeiträge ausrichtete. Die Rente entspricht 20% des versicherten Verdienstes, aber höchstens dem Unterhaltsbeitrag.
Die gerichtliche Auflösung einer eingetragenen Partnerschaft ist einer Scheidung gleichgestellt.
Kinder bis zum 18. Altersjahr, bei Studium oder Lehre bis zum 25. Altersjahr.
   * Halbwaisen: 15% des versicherten Verdienstes.
   * Vollwaisen: 25% des versicherten Verdienstes.
Bei mehreren Hinterlassenenrenten werden die Renten gleichmäßig bis auf 70% des versicherten Verdienstes herabgesetzt (90%, wenn außerdem eine Rente für einen geschiedenen Ehegatten/Ex-Partner ausgerichtet wird).
Wenn die Hinterlassenen Anspruch auf Renten der 1. Säule haben, gewährt die Unfallversicherung eine Komplementärrente (vgl. Tabelle VIII „Arbeitsunfälle und Berufskrankheiten“, „ Kumulation mit anderen
Leistungen der sozialen Sicherheit“).
Kein Sterbegeld.</t>
  </si>
  <si>
    <t>Witwenrente (Vdovský dôchodok), Witwerrente (Vdovecký dôchodok) und Waisenrente (Sirotský dôchodok), siehe Tabelle VII, „Hinterbliebene“. Einmalige Abfindungsleistung für den hinterbliebenen Ehepartner (Jednorazové odškodnenie pozostalého manžela/manželku): Das 730-fache der täglichen Bemessungsgrundlage (tägliches Bruttoeinkommen des Verstorbenen) bis zu einer Höhe von höchstens €77.195,70.
Einmalige Abfindungsleistung für hinterbliebene Kinder (Jednorazové odškodnenie pozostalého dieťaťa): 50% der Leistung für den Ehepartner, 100% der Leistung an alle Kinder bis zum Höchstbetrag von €77.195,70 pro verstorbenen Elternteil.
Hinterbliebenenrente (Pozostalostná úrazová renta): nur zahlbar an diejenigen Personen, die keinen Anspruch auf eine einmalige Abfindungsleistung (Jednorazové odškodnenie) haben und die vorher gerichtlich angeordnete Unterhaltszahlungen erhielten. Die Höhe entspricht der Unterhaltszahlung, darf jedoch die Höhe der Unfallrente (Úrazová renta) nicht übersteigen, auf die der Verstorbene bei einem 100%igen Verlust seiner Erwerbsfähigkeit einen Anspruch gehabt hätte. Die Rente endet, wenn die hinterbliebene Person das Rentenalter erreicht.</t>
  </si>
  <si>
    <t>Wie für Hinterbliebene (Tabelle VII).</t>
  </si>
  <si>
    <t>Gleiche Leistungen wie in Tabelle VII „Hinterbliebene“.
Keine Mindestbeitragszeit erforderlich.
Zur Berechnungsgrundlage siehe Tabelle VIII „Referenzentgelte oder Berechnungsgrundlage“.
Bezog der Verstorbene eine Invaliditätsleistung aufgrund seiner Arbeit, so wird die dieser Leistung zugrunde liegende Berechnungsgrundlage nach der gesetzlich vorgesehenen Aktualisierung auch hier angewendet.
Betrag: 100% der für den Fall geltenden Berechnungsgrundlage, mit einigen Ausnahmen.
Sterbegeld (auxilio por defunción):
Pauschalleistung von €46,50. Siehe Tabelle VII zu „Hinterbliebene“.
Einmalige Sonderzahlung in Höhe von 6 Monatsbeträgen der Kalkulationsgrundlage für Witwen oder Witwer oder überlebender Lebensgefährte aus einer nicht-ehelichen Beziehung, von einem Monatsbetrag für jedes leistungsberechtigte Kind (falls kein berechtigter Elternteil hinterbleibt, wird der für diesen vorgesehene Betrag an die Waisen gezahlt) und 9 Monatsbeträgen bei einem einzelnen hinterbliebenen Elternteil (bzw. 12 für beide Elternteile), wenn keiner von beiden und kein anderer Familienangehöriger Anspruch auf Hinterbliebenenleistungen hat.</t>
  </si>
  <si>
    <t>Zusätzlich zur Hinterbliebenenrente (siehe Tabelle VII „Hinterbliebene“, „Leistungen“):
Unterhaltsausgleich für Hinterbliebene (Náklady na výživu pozůstalých) wird vom Arbeitgeber an Hinterbliebene (einschließlich dem Lebenspartner, verheiratet oder unverheiratet) gezahlt, die von der verstorbenen Person abhängig waren oder für die zu sorgen sie verpflichtet war.
Der Unterhaltsausgleich wird bis zum Ende des Monats gezahlt, in dem der Verstorbene 65 Jahre alt geworden wäre.
Die Entschädigung beträgt 50% vom Durchschnittseinkommen des verstorbenen Arbeitnehmers, wenn er/sie eine Person unterhielt oder zu unterhalten verpflichtet war, oder 80% vom Durchschnittseinkommen bei zwei oder mehr Unterhaltsberechtigten.
Die Einkommen der Hinterbliebenen werden nicht berücksichtigt, aber die Entschädigung wird um die Rente des Hinterbliebenen vermindert.
Einmaliger Pauschalbetrag Hinterbliebenenentschädigung (Odškodnění pozůstlých): für den Ehepartner, eigetragenen Lebenspartner, Kind des verstorbenen Arbeitnehmers und Eltern des verstorbenen Arbeitnehmers. Die Einmalentschädigung beträgt mindestens das 20-fache des nationalen Durchschnittslohns in den ersten drei Quartalen des Kalenderjahres, das dem Kalenderjahr des Todes vorausging. Ein höherer Betrag kann durch Tarifvertrag oder durch interne Bestimmungen des Arbeitgebers festgesetzt werden.
Unterhaltsausgleich für Hinterbliebene (Náklady na výživu pozůstalých) wird an Hinterbliebene gezahlt (einschließlich Halbwaisen und Waisen), die von der verstorbenen Person abhängig waren oder für die zu sorgen sie verpflichtet war.
Der Unterhaltsausgleich wird bis zum Ende des Monats gezahlt, in dem der Verstorbene 65 Jahre alt geworden wäre.
Die Entschädigung beträgt 50% vom Durchschnittseinkommen des verstorbenen Arbeitnehmers, wenn er/sie eine Person unterhielt oder zu unterhalten verpflichtet war, oder 80% vom Durchschnittseinkommen bei zwei oder mehr Unterhaltsberechtigten.
Die Einkommen der Hinterbliebenen werden nicht berücksichtigt, aber die Entschädigung wird um die Rente des Hinterbliebenen vermindert.
Kein Höchstbetrag.</t>
  </si>
  <si>
    <t>Wie für Hinterbliebene (Tabelle VII), auch wenn der Verstorbene die Mindestversicherungszeiten nicht erfüllt hat.</t>
  </si>
  <si>
    <t>Witwen- oder Witwerrente (Σύνταξη Χηρείας) : 
Grundrente (Βασική Σύνταξη) : 60 % des wöchentlichen versicherungspflichtigen Grundentgelts (Βασικές Ασφαλιστέες Αποδοχές) in Höhe von € 213,54 erhöht auf 80 %, 90 % und 100 % für das erste, zweite und dritte abhängige Familienmitglied.
Zusatzrente (Συμπληρωματική Σύνταξη) : entspricht 60 % der Zusatzrente zur Arbeitsunfallrente (Σύνταξη Αναπηρίας) bei voller Erwerbsunfähigkeit.
Siehe Tabelle VII, „Hinterbliebene“, „Leistungen, 3. Waisen”.
Bei Vollwaisen beläuft sich die Zusatzrente bei einer Waise auf 50 % bzw. Bei Vollwaisen beläuft sich die Zusatzrente bei einer Waise auf 100 % der Todesfallleistung. 50 % der Zusatzrente zur Witwenrente, die gezahlt wurde oder gezahlt worden wäre (siehe oben:„Leistungen:Hinterbliebener Ehegatte“) bei einem Kind und 100 % bei zwei oder mehr Kindern.
Hinterbliebenenrente an Eltern (Σύνταξη Γονέως) :
Wird gezahlt, wenn eine durch einen Arbeitsunfall verstorbene Person keine Kinder oder Ehegatten hinterlässt.
Grundrente (Βασική Σύνταξη) : 40 % des versicherungspflichtigen Grundentgelts (Βασικές Ασφαλιστέες Αποδοχές) = € 85,42 pro Woche.
Zusatzrente (Συμπληρωματική Σύνταξη) : 30 % der Zusatzrente bei voller Invalidität. Siehe oben:„Dauerhafte Erwerbsunfähigkeit“.
Witwen und Witwer:
Grundrente (Βασική Σύνταξη) : 100 % der Grundversicherung (einschließlich der Zulagen für maximal 3 abhängige Familienmitglieder).
Zusatzrente (Συμπληρωματική Σύνταξη) : Kein festgesetzter Höchstbetrag, jedoch gilt für die Berechnung eine Einkommensbemessungsgrenze. Basierend auf der Beitragsbemessungsgrenze beträgt der Höchstbetrag der Zusatzrente € 1.572,43 pro Monat (für Personen, die im Jahr 2025 berechtigt werden).
Halbwaisen:
Grundrente (Βασική Σύνταξη) : 20 % des versicherungspflichtigen Grundentgelts (Βασικές Ασφαλιστέες Αποδοχές) = € 42,71 pro Woche pro Waise für bis zu drei Waisen. 
Vollwaisen:
Grundrente: 40 % des versicherungspflichtigen Grundentgelts = € 85,42 pro Woche für jede Waise.
Zusatzrente (Συμπληρωματική Σύνταξη) : Bei mehr als zwei Waisen kann der Betrag den der zusätzlichen Hinterbliebenenrente nicht übersteigen.
Sterbegeld (Βοήθημα Κηδείας) :
 € 621,82 (seit dem 6. Januar 2025) bei Tod der versicherten Person an die Witwe/den Witwer oder, wenn es keine/n Witwe/r gibt, an die Person, die die Kosten für die Beerdigung übernommen hat.
Für die Definition von versicherungspflichtigem Entgelt siehe Tabelle I zu Finanzierung – Allgemeine Sozialbeitragssätze.</t>
  </si>
  <si>
    <t>Anpassung der Renten, die einen bestimmten nach Erwerbsminderungsgrad gestaffelten Betrag nicht erreichen. Die Beträge werden durch Kgl. Erlass festgesetzt, indexiert und eventuell jährlich angepasst.</t>
  </si>
  <si>
    <t>Siehe Tabelle V „Invalidität“, „Rentenanpassung“.</t>
  </si>
  <si>
    <t>Jährliche Anpassungen gemäß dem Anpassungssatz (satsreguleringsprocenten), auf der Grundlage der Lohnentwicklung.</t>
  </si>
  <si>
    <t>Jährliche Anpassung durch Rechtsverordnung nach den für die Rentenversicherung geltenden Vorschriften.</t>
  </si>
  <si>
    <t>Hinterbliebenenrente (toitjakaotuspension) und Arbeitsfähigkeitsbeihilfe (töövõimetoetus):
Renten/Beihilfen werden jährlich zum 1. April angepasst. Der Anpassungsindex ist abhängig vom Anstieg der Verbraucherpreise und der Einnahmen aus der Sozialsteuer (sotsiaalmaks) (im Verhältnis von 20:80).</t>
  </si>
  <si>
    <t>Alle Leistungen werden jährlich nach dem gesetzlich festgelegten Index für die Gesetzliche einkommensbezogene Rente angepasst.</t>
  </si>
  <si>
    <t>Jährliche Anpassung (Preisentwicklung für den privaten Verbrauch mit Ausnahme von Tabakerzeugnissen).</t>
  </si>
  <si>
    <t>Jährliche Anpassung durch gemeinsame Entscheidung des Ministers für Wirtschaft und Finanzen, Arbeit und soziale Sicherheit, basierend auf einem Koeffizienten, der festgelegt wird durch die Summe der Änderungen des BIP und der Änderungen des Verbraucherpreisindex des vorangegangenen Jahres geteilt durch 2. Die jährliche durchschnittliche Veränderung des Verbraucherpreisindexes darf dabei nicht überschritten werden (Art. 25 Par. 4a von Gesetz 4670/2020).
Für das Jahr 2025 ist der Anpassungskoeffizient von Renten 2,4% (Ministerialentscheidung Nr. 53457/12. Dezember 2024/(B‘6865/16. Dezember 2024)).</t>
  </si>
  <si>
    <t>Sätze können von der Regierung im Rahmen des jährlichen Haushaltsverfahrens angepasst werden.</t>
  </si>
  <si>
    <t>Die Leistungen werden jährlich nach der Haushaltslage angepasst.</t>
  </si>
  <si>
    <t>Jährliche Anpassung der Rente entsprechend der jeweiligen Verordnung des Ministeriums.
Im Jahr 2025 entspricht die offizielle Indexierungsrate, die für den Industrie-, Schifffahrts- und Landwirtschaftssektor gilt, 0,84%, während die Rate, die für Leistungen gilt, die im Zusammenhang mit häuslichen Unfällen gewährt werden, 17,07% entspricht.</t>
  </si>
  <si>
    <t>Die Renten werden nach den folgenden Regeln angepasst:
1. Säule:
Halbjährliche Anpassung gemäß einer variablen Formel, die von Preis- und Lohnentwicklungen abhängig ist.
2. Säule:
Halbjährliche Anpassung. Dieselbe Anpassung wie für die 1. Säule.</t>
  </si>
  <si>
    <t>Entschädigung für den Verlust der Arbeitsfähigkeit: der Teil - der nicht das nationale Durchschnittsbruttoentgelt des Vorjahres überschreitet, auf das Beiträge gezahlt wurden - wird gemäß dem Preisindex und 50% des Lohnindexes (am 1. Oktober) angepasst.
Bei politisch unterdrückten Menschen, Menschen mit Behinderungen der Gruppe I, Beteiligten bei der Beseitigung der Folgen des Unfalls im Kernkraftwerk Tschernobyl, Personen, denen eine Altersrente zu gekürzten Konditionen gewährt wurde wegen Pflege und Erziehung von einem Kind mit Behinderungen oder fünf oder mehr Kindern, wurde die Anpassung auf den vollen Betrag angewandt.</t>
  </si>
  <si>
    <t>Anpassung alle 2 Jahre. Grundlage für die Berechnung ist der Landesindex der Konsumentenpreise.</t>
  </si>
  <si>
    <t>Regelmäßige Entschädigung bei Verlust der Teilhabefähigkeit (netekto dalyvumo periodinė kompensacija) wird entsprechend dem Durchschnittsmonatslohn D (siehe unter „Geldleistungen, Berechnungsmethode oder Leistungsformel“) angepasst.</t>
  </si>
  <si>
    <t>Anpassung der Renten an die Preisentwicklung, sobald sich der Index gegenüber dem Stand bei der letzten Anpassung um 2,5% ändert.
Anpassung der Rente an die Entwicklung des Lohnniveaus aufgrund besonderer Gesetzgebung.</t>
  </si>
  <si>
    <t>Anpassung durch die Regierung im Jahreshaushalt entsprechend der Steigerung des Nationalen Mindestlohns (Paga Minima Nazzjonali).</t>
  </si>
  <si>
    <t>Jährliche Anpassung basierend auf der Anpassung des Grundbetrags (Grunnbeløpet) der sozialen Sicherung. Jährliche Anpassung der Höhe des Grundbetrags durch den am 1. Mai in Kraft tretenden Königlichen Erlass unter Berücksichtigung der allgemeinen Einkommensentwicklung.</t>
  </si>
  <si>
    <t>Jährliche Anpassung am 1. Januar durch Verordnung des Bundesministers für Soziales, Gesundheit, Pflege und Konsumentenschutz. Bei der Ermittlung des Anpassungsfaktors wird die Inflationsrate berücksichtigt: Die jährliche Inflationsrate ist der Preis des gesamten fiktiven Warenkorbs in einem bestimmten Monat im Vergleich zum Preis des Warenkorbs im selben Monat des Vorjahrs</t>
  </si>
  <si>
    <t>Keine besonderen Regelungen für Arbeitsunfälle und Berufskrankheiten.
Arbeitsunfallrente (Renta z tytułu wypadku przy pracy) oder Berufskrankheitsrente (Renta z tytułu choroby zawodowej): Siehe Tabelle V „Invalidität"; „Rentenanpassung“.</t>
  </si>
  <si>
    <t>Eine Anpassung erfolgt einmal im Jahr unter Berücksichtigung der Entwicklung des Bruttoinlandsprodukts und des Index der Verbraucherpreise (ohne Wohnung).</t>
  </si>
  <si>
    <t>Geldleistung bei vorübergehender Arbeitsunfähigkeit (indemnizatie pentru incapacitate temporara de munca): Keine Anpassung.
Invalidenrente (pensie de invaliditate): siehe Tabelle V „Invalidität“.</t>
  </si>
  <si>
    <t>Jährliche Anpassung entsprechend eines speziellen Indexes.
Der Index wird alljährlich zur Anpassung an die wirtschaftliche Entwicklung neu berechnet und in einer Verordnung von (Riksförsäkringsverket) (RFFS 2003:24) veröffentlicht.
Kurz gesagt, die Veränderungen in der Unfallrente (livränta) jedes Jahr bestehen aus 50% der Veränderungen des Einkommensindexes und 100% der Veränderung des Grundbetrags.</t>
  </si>
  <si>
    <t>Teuerungszulagen, die unter Berücksichtigung des schweizerischen Konsumentenpreisindex festgesetzt werden. Sie bilden integrierenden Bestandteil der Rente.
Die Anpassung erfolgt gleichzeitig mit den Renten der 1. Säule.</t>
  </si>
  <si>
    <t>Die Leistungen der Unfallrente (Úrazová renta) werden jährlich zum 1. Januar entsprechend der Entwicklung der Löhne und Verbraucherpreise angepasst.
Die seit 1. Januar  2025 gewährte Unfallrente und die vom 1. Januar bis 31. Dezember gewährte Unfallrente erhöhen sich um 2,7%.</t>
  </si>
  <si>
    <t>Renten werden regelmäßig einmal pro Jahr (im Februar) auf der Grundlage einer Regierungsentscheidung je nach Wirtschaftslage (d. h. dies berücksichtigt die Gehaltsentwicklung (60%) und Inflation (40%)) angepasst. Im Januar 2025 lag der Index bei 4,5%.</t>
  </si>
  <si>
    <t>Anpassung zum Beginn des Kalenderjahres bei Inkrafttreten des jährlichen allgemeinen Staatshaushaltsgesetzes entsprechend der jährlichen Schwankung des Verbraucherpreisindexes.</t>
  </si>
  <si>
    <t>Regelmäßige Rentenanpassung am 1. Januar jeden Jahres zumindest zu 100% des Preisanstiegs und um mindestens ein Drittel der durchschnittlichen Steigerung des Reallohns. Weitere Anpassungen erfolgen bei einem Preisanstieg um mehr als 5%.
Die als Berechnungsgrundlage für den Ausgleich dienenden monatlichen Verdienste werden an die Inflation angepasst.</t>
  </si>
  <si>
    <t>Jährliche Anpassung im Januar entsprechend dem voraussichtlichen Anstieg der Verbraucherpreise (Inflation). 3,2% Anstieg im Januar 2025.
Im November werden Korrekturen gemäß der vorhergesagten jährlichen Erhöhung der Verbraucherpreise vorgenommen (berechnet auf Grundlage der für die ersten acht Monate erhältlichen Daten) und dem Verbraucherpreisindex für Rentner.</t>
  </si>
  <si>
    <t>Versicherungspflichtiges Grundentgelt (Βασικές Ασφαλιστέες Αποδοχές) : jährliche Anpassung entsprechend den Löhnen und Gehältern.
Grundrenten (Βασική Σύνταξη) werden jeweils zum Jahresanfang entsprechend der Steigerung des versicherungspflichtigen Grundentgelts angepasst. Zusatzrenten (Συμπληρωματική Σύνταξη) werden am gleichen Tag an die Steigerung des Lebenshaltungsindex angepasst (Vergleich des zweiten Halbjahrs eines Jahres mit dem zweiten Halbjahr des vorangegangenen Jahres). Die Steigerung von Zusatzrenten kann die Steigerung der Grundrenten nicht überschreiten.
Die Renten (Grund- und Zusatzrente) werden zusätzlich jeden Juli an die Steigerung des Lebenshaltungsindex (Vergleich des ersten Halbjahrs eines Jahres mit dem zweiten Halbjahr des vorangegangenen Jahres) angepasst, wenn diese mindestens 1 % beträgt. Diese Steigerung wird bei der Rentenanpassung zu Beginn des Folgejahres berücksichtigt.
Für die Definition von versicherungspflichtigem Entgelt siehe Finanzierung – Allgemeine Sozialbeitragssätze.</t>
  </si>
  <si>
    <t>Volle Kumulierung ohne Kürzung der Leistung möglich.</t>
  </si>
  <si>
    <t>Volle Kumulierung möglich.</t>
  </si>
  <si>
    <t>Volle Kumulierung ohne Kürzung der Leistung möglich.
Monatliche Leistungen: Der Ausgleich für Verlust der Erwerbsfähigkeit wird auf der Grundlage des Ausmaßes bestimmt, in dem die Fähigkeit des Verletzten, ein Einkommen aus Arbeit nach der Verletzung zu erzielen, reduziert ist (Verlust der Erwerbsfähigkeit). Wenn der Verletzte in größerem Umfang als zum Zeitpunkt der Entscheidung den Ausgleich angenommen ein Arbeitseinkommen erzielen kann, wird die Ausgleichszahlung gekürzt.
Pauschalbeträge: Keine Kürzung der Leistungen.</t>
  </si>
  <si>
    <t>Kumulation mit Erwerbseinkommen ist bei Bezug von Verletztengeld nicht möglich. Eventuelle Zahlungen von Arbeitsentgelt oder Arbeitseinkommen werden vollständig angerechnet.
Demgegenüber findet eine Anrechnung von Erwerbseinkommen auf Unfallrenten grundsätzlich nicht statt.</t>
  </si>
  <si>
    <t>Vorübergehende Arbeitsunfähigkeit:
Keine Kumulation mit Arbeitseinkommen möglich.
Dauerhafte Arbeitsunfähigkeit:
Kumulation mit Arbeitseinkommen möglich. Allerdings wird die Arbeitsfähigkeits-beihilfe gekürzt, wenn das Einkommen einer Person einen Höchstbetrag des 90-fachen des täglichen Beihilfesatzes übersteigt.</t>
  </si>
  <si>
    <t>Volle Kumulierung mit Erwerbseinkommen. Es gibt keine Grenzen für den Betrag, der verdient werden darf oder die Stunden, die gearbeitet werden dürfen.</t>
  </si>
  <si>
    <t>Kumulierung der Leistung möglich.
Es gilt keine Obergrenze für den zu erhaltenden Betrag oder die maximale Anzahl an zu leistenden Arbeitsstunden. Keine Kürzung der Leistung.</t>
  </si>
  <si>
    <t>Keine besonderen Bestimmungen für Arbeitsunfälle und Berufskrankheiten. Siehe Tabelle V „Invalidität“, „Kumulation mit Erwerbseinkommen“.</t>
  </si>
  <si>
    <t>Die Unfallrente (slysalífeyrir), die von der Berufsunfallversicherung ausgezahlt wird, unterliegt keiner Einkommensprüfung.
Zusätzliche Leistungen, die von dem System der Volksrente bezahlt werden, werden reduziert, wenn das Einkommen einen bestimmten Betrag überschreitet.</t>
  </si>
  <si>
    <t>Kumulierung nur bei dauerhaften Geldleistungen/ Leibrenten.</t>
  </si>
  <si>
    <t>Teilinvaliditätsrente (invalidska mirovina na osnovi djelomičnog gubitka radne sposobnosti) (für nicht berufliche Risiken) :
Kumulierung möglich: 66,67% der Rente werden an einen angestellten oder selbstständigen Behinderten gezahlt.
Allgemeine Invaliditätsrente (invalidska mirovina zbog potpunog gubitka radne sposobnosti) (für nicht berufliche Risiken) :
Die Zahlung der Rente wird eingestellt, wenn der Anspruchsberechtigte wieder eine Arbeit aufnimmt.</t>
  </si>
  <si>
    <t>Volle Kumulierung mit Einkünften aus Erwerbstätigkeit möglich.</t>
  </si>
  <si>
    <t>Volle Kumulierung ohne Kürzung der Leistung möglich, sofern sich der Invaliditätsgrad nicht ändert.</t>
  </si>
  <si>
    <t>Volle Kumulierung mit Erwerbseinkommen möglich.</t>
  </si>
  <si>
    <t>Die volle Unfallrente und die Überbrückungsrente sind Einkommensersatzleistungen bei vollständiger Arbeitsunfähigkeit bzw. bei Unfähigkeit, die letzte Arbeitsstelle auszuüben; eine Kumulierung mit einem neuen Erwerbseinkommen ist nicht möglich.
Die Teilrente gleicht den Einkommensverlust durch Unfallfolgen aus, nachdem der Versicherte wieder eine Erwerbstätigkeit aufgenommen hat. Sie kann folglich mit einem Erwerbseinkommen kumuliert werden.
Eine Kumulierung von Leistungen für Nichtvermögensschaden (indemnités pour préjudices extrapatrimoniaux) mit Einkommen des Betroffenen aus einer unselbstständigen oder selbstständigen Tätigkeit ist jedoch möglich.
Keine Obergrenze für Einkommen oder maximale Stundenzahl.</t>
  </si>
  <si>
    <t>Unfallgeld (Benefiċċju għal Korriment) und Unfallrente (Pensjoni tal-Korriment):
Volle Kumulation möglich.
Invaliditätsrente (Pensjoni tal- Invalidità):
Die Kumulation mit neuem Einkommen ist nicht möglich, da der Rentenempfänger als vollständig erwerbsunfähig gilt.</t>
  </si>
  <si>
    <t>Kumulationsregeln wie bei Invaliditätsrente (uføretrygd) siehe Tabelle V „Invalidität“, „Kumulation mit Erwerbseinkommen“.</t>
  </si>
  <si>
    <t>Es ist möglich, den Bezug von Leistungen mit Erwerbseinkommen zu kombinieren, die Rente wird jedoch ausgesetzt oder gemindert, siehe Tabelle V - Invalidität; „Kumulation mit Erwerbseinkommen“.</t>
  </si>
  <si>
    <t>Renten für dauerhafte teilweise Erwerbsunfähigkeit und dauerhafte Erwerbsunfähigkeit für normale Arbeit: vollständige Kumulierung möglich</t>
  </si>
  <si>
    <t>Geldleistung bei vorübergehender Arbeitsunfähigkeit (indemnizatia pentru incapacitate temporara de munca): Kumulation mit Erwerbseinkommen nicht möglich.
Invalidenrente (pensie de invaliditate): siehe Tabelle V „Invalidität“.</t>
  </si>
  <si>
    <t>Kumulierung mit Einkünften aus Erwerbsarbeit ist möglich, der zahlbare Betrag der Unfallrente (livränta) kann jedoch gekürzt werden.</t>
  </si>
  <si>
    <t>Kann bei teilweiser Arbeits- oder Erwerbsunfähigkeit mit Erwerbseinkommen kombiniert werden, nur zur Deckung der verbleibenden Arbeits- oder Erwerbsfähigkeit.</t>
  </si>
  <si>
    <t>Personen mit Anspruch auf eine Invaliditätsrente, die noch arbeitsfähig sind, ist die Kumulation mit Erwerbseinkünften nicht gestattet.</t>
  </si>
  <si>
    <t>Leistungen bei dauernder Erwerbsunfähigkeit (pensiones por incapacidad permanente) sind mit Arbeitseinkünften kumulierbar, wenn die Tätigkeit dem gesundheitlichen Zustand des Leistungsempfängers entspricht und keine Änderung des Grades der Erwerbsfähigkeit impliziert.
Keine Höchstgrenze für Einkommensbeträge.
Keine Kürzung des Leistungsbetrags.</t>
  </si>
  <si>
    <t>Kumulation ist möglich, der Schadensausgleich (Kompenzace) variiert jedoch entsprechend der Höhe des nach dem Arbeitsunfall oder der Berufskrankheit erzielten Erwerbseinkommens.</t>
  </si>
  <si>
    <t>Arbeitsunfallkrankengeld (Baleseti táppénz): Keine Kumulierung mit Erwerbseinkommen möglich.
Arbeitsunfallrente (Baleseti járadék): Volle Kumulierung ohne Kürzung der Leistung möglich. Keine Kürzung des Leistungsbetrags.</t>
  </si>
  <si>
    <t>Kumulierung möglich, außer wenn die Person eine Invaliditätsrente erhält.
Bei der Arbeitsunfähigkeitsrente kann der Empfänger weiterhin arbeiten und erhält vom Arbeitgeber das volle Gehalt oder das volle Einkommen im Fall von Selbstständigen, es sei denn, der Rentenbetrag wird erhöht, weil die Person aufgrund der beim Unfall erlittenen Verletzung auch in ihrem Beruf nicht mehr arbeiten kann.</t>
  </si>
  <si>
    <t>Kumulierung mit Leistungen der Kranken-, Invaliditäts- und Altersversicherung sowie mit anderen Renten wegen Arbeitsunfall oder Berufskrankheit ist begrenzt möglich. Die Rente wird auf einen Pauschalbetrag gemindert, sofern sie mit einer Ruhestandspension kumuliert wird.</t>
  </si>
  <si>
    <t>Der Ausgleich für Verlust der Erwerbsfähigkeit (erstatning for tab af erhvervsevne) wird nicht gekürzt bei Bezug einer Altersrente (Folkepension) und einer Behindertenrente (Førtidspension). Eine monatliche Leistung in Form der Zahlung einer Entschädigung kann sich jedoch auf die Höhe der Rente auswirken.
Leistungen der Versicherung für Arbeitsunfälle und Berufskrankheiten werden aufgrund der Kumulierung mit Leistungen der sozialen Sicherheit nicht gekürzt.</t>
  </si>
  <si>
    <t>Unfallrenten werden in vollem Umfang gezahlt. Beim Zusammentreffen mit Renten aus der gesetzlichen Rentenversicherung ruht die Rente aus der gesetzlichen Rentenversicherung insoweit, als die Summe aus beiden Leistungen einen Grenzbetrag übersteigt. Der Grenzbetrag orientiert sich an dem der Unfallrente zugrunde liegenden Jahresarbeitsverdienst.
Bei der Anrechnung bleibt ein verletzungsbedingte Mehraufwendungen und den immateriellen Schaden ausgleichender Betrag unberücksichtigt,.
Beim Zusammentreffen mit Bürgergeld wird die Unfallrente dort als Einkommen berücksichtigt.</t>
  </si>
  <si>
    <t>Kumulation mit Sozialversicherungsleistungen ist möglich mit Ausnahme von Renten. Siehe auch Leistungsbetrag.</t>
  </si>
  <si>
    <t>Bei Kumulierung der Arbeitsunfallrente (Tapaturmaeläke) mit anderen Renten oder Leistungen der sozialen Sicherheit (z.B. gesetzliche einkommensbezogene Rente, Volksrente, Invaliditätsrente, Krankengeld) werden diese anderen Renten und Leistungen gekürzt.</t>
  </si>
  <si>
    <t>Kumulierung mit einer Invaliditätsrente (pension d'invalidité) oder einer Altersrente (pension de vieillesse) erlaubt.
Bei der Invaliditätsrente darf der kumulierte Betrag das Bruttoarbeitsentgelt eines erwerbsfähigen Arbeitnehmers der gleichen Berufsgruppe nicht übersteigen. Wenn die Invaliditätsrente aufgrund von Verletzungen oder Krankheiten nach einem Unfall gewährt wird, der zur Gewährung der Rente im Zusammenhang mit einem Arbeitsunfall oder einer Berufskrankheit geführt hat, ist die Kumulierung auf 80% dieses Arbeitsentgelts begrenzt.
Keine Angaben zur Altersrente.
Kumulierung ebenfalls mit einer Invaliditäts-/Altersrente für Witwen/Witwer bis zu einer Obergrenze möglich (weitere Information in der Tabelle VII „Hinterbliebene“).</t>
  </si>
  <si>
    <t>Keine besonderen Bestimmungen für Arbeitsunfälle und Berufskrankheiten. Siehe Tabelle V „Invalidität“, „Kumulation mit anderen Leistungen der sozialen Sicherheit“.</t>
  </si>
  <si>
    <t>Volle Kumulierung ohne Kürzung der Leistung möglich</t>
  </si>
  <si>
    <t>Es besteht die Möglichkeit Arbeitsunfalltagegeld (slysadagpeningar) zusammen mit der Altersrente zu beziehen.</t>
  </si>
  <si>
    <t>Bezieher einer Arbeitsunfallrente können nicht gleichzeitig eine Invaliditätsrente (falls diese aus dem gleichen Grund gewährt wird) beziehen. Falls jedoch die Invaliditätsrente höher als die Unfallrente ist, wird der Unterschiedsbetrag zusätzlich zur Unfallrente gezahlt.</t>
  </si>
  <si>
    <t>Kumulierung im Rahmen der Rentenversicherung:
Kumulierung möglich mit der Beihilfe bei körperlicher Schädigung (novčana naknada za tjelesno oštećenje).
Kumulierung mit Leistungen aus anderen Bereichen der Sozialversicherung:
Kumulierung möglich mit Kindergeld und Sozialhilfeleistungen. Kumulierung nicht möglich mit Krankheitsleistungen mit Ausnahme der Teilinvaliditätsrente (invalidska mirovina na osnovi djelomičnog gubitka radne sposobnosti).</t>
  </si>
  <si>
    <t>Im Falle einer Kumulierung mit Altersrente wird die Differenz zwischen der Altersrente und der Leistung für den Verlust der Arbeitsfähigkeit gezahlt.
Kumulierung mit Hinterbliebenen,- Invalidenrenten und Arbeitslosengeld ist nicht möglich.</t>
  </si>
  <si>
    <t>Bei Anspruch auf eine Rente der Invalidenversicherung (IV) oder der Alters- und Hinterlassenenversicherung (AHV): Ausrichtung einer Komplementärrente: Differenz zwischen 90% des versicherten Verdienstes und der IV/AHV-Rente.
Bei Arbeitsunfähigkeit kommt eine Rente der 2. Säule in der Höhe der Differenz zwischen 90% des versicherten Verdienstes und der bereits geleisteten Rente hinzu.</t>
  </si>
  <si>
    <t>Für Empfänger staatlicher Rente (Arbeitsunfähigkeitsrente) kann nur der Teil des Arbeitslosengelds kumuliert werden, der den Betrag der Behindertenrente (Negaliospensija) der Sozialversicherung überschreitet.</t>
  </si>
  <si>
    <t>Wird gleichzeitig eine Invaliditätsrente (pension d'invalidité) gewährt, so wird Letztere gekürzt, falls beide Renten zusammen höher sind als der Durchschnitt der Arbeitseinkommen der 5 besten Jahre oder, falls dies günstiger ist, das Einkommen, das der Unfallrente (rente d'accident) zugrunde gelegt wurde.</t>
  </si>
  <si>
    <t>Eine Kumulation mit anderen Sozialleistungen ist nicht möglich.</t>
  </si>
  <si>
    <t>Nicht-Kumulationsregeln wie bei Invaliditätsrente (uføretrygd) siehe Tabelle V „Invalidität“, „Kumulation mit anderen Leistungen der sozialen Sicherheit“.</t>
  </si>
  <si>
    <t>Krankengeld (Zasiłek chorobowy) kann mit Familienleistungen kumuliert werden.
Die Rente darf nicht mit einer Invaliditätsrente (Renta z tytułu niezdolności do pracy) oder Hinterbliebenenrente (Renta rodzinna) kumuliert werden; eine Kumulation mit der Altersrente (Emerytura) ist hingegen nur dann möglich, wenn der Rentner seine Erwerbstätigkeit eingestellt hat.
Der Begünstigte kann zwischen der Arbeitsunfallrente (Renta z tytułu wypadku przy pracy), der Berufskrankheitsrente (renta z tytułu choroby zawodowej) und 50% der Altersrente bzw. der Altersrente und 50% der Arbeitsunfallrente wählen.</t>
  </si>
  <si>
    <t>Renten für dauerhafte teilweise Erwerbsunfähigkeit und dauerhafte Erwerbsunfähigkeit für normale Arbeit sind mit Invaliden- und Altersrenten der obligatorischen sozialen Sicherung kumulierbar, soweit dies die für diese Bereiche geltenden Regeln zulassen. Kumulierung mit Leistungen bei Krankheit oder aus der Arbeitslosenversicherung ist ebenfalls möglich.</t>
  </si>
  <si>
    <t>Geldleistung bei vorübergehender Arbeitsunfähigkeit (indemnizatia pentru incapacitate temporara de munca): Kumulation mit anderen Leistungen der sozialen Sicherheit nicht möglich.
Invalidenrente (pensie de invaliditate): siehe Tabelle V „Invalidität“.</t>
  </si>
  <si>
    <t>Kumulierung mit anderen sozialen Sicherungsleistungen ist möglich.
Wenn die Unfallrente (livränta) mit sozialen Sicherungsleistungen kumuliert wird, die einen Einkommensverlust aufgrund eines Arbeitsunfalls oder einer Berufskrankheit nicht kompensieren, wird der zahlbare Betrag nicht gekürzt.
Wenn die Unfallrente (livränta) mit einer Rente der sozialen Sicherung kumuliert wird, wird der zahlbare Betrag gekürzt, um nur den Verdienstausfall auszugleichen, der nicht durch die Rente der sozialen Sicherung ausgeglichen wird.</t>
  </si>
  <si>
    <t>Das Taggeld der Unfallversicherung wird nicht gewährt, wenn ein Anspruch auf ein Taggeld der Invalidenversicherung oder auf eine Mutterschaftsentschädigung, eine Entschädigung für den anderen Elternteil, eine Betreuungsentschädigung oder eine Adoptionsentschädigung besteht.
Bei Zusammentreffen einer Rente der Unfallversicherung und einer Rente der 1. Säule gewährt die Unfallversicherung eine Komplementärrente in Höhe des Unterschiedsbetrages zwischen 90% des versicherten Verdienstes und der Rente der 1. Säule, höchstens jedoch den für Voll- oder Teilinvalidität vorgesehenen Betrag.
Beim Erreichen des ordentlichen Referenzalters (Rentenalter) werden die Invalidenrenten der Unfallversicherung entsprechend dem Alter der versicherten Person im Unfallzeitpunkt und ihrem Invaliditätsgrad gekürzt (diese Regelung, die 2017 in Kraft getreten ist, wird zwischen 2025 und 2029 schrittweise eingeführt).
Bei Zusammentreffen mit einer Rente der 2. Säule geht der Anspruch auf die Unfallrente grundsätzlich vor.</t>
  </si>
  <si>
    <t>Bei Kumulation mit einer Invalidenrente (Invalidný dôchodok) wird die Unfallrente (Úrazová renta) um den Betrag der Invalidenrente gemindert.
Kein Anspruch auf eine Unfallrente (Úrazová renta) bei Bezug von Verletztengeld (Úrazový príplatok), Umschulungsgeld (Rekvalifikačné), Rehabilitationsgeld (Rehabilitačné).</t>
  </si>
  <si>
    <t>Kumulation mit anderen Leistungen der sozialen Sicherheit, die keine Renten sind, möglich, wenn die jeweiligen Bedingungen erfüllt sind (z. B. Familienleistungen).</t>
  </si>
  <si>
    <t xml:space="preserve">In der Regel wird diese Leistung nicht mit einer anderen Leistung im Rahmen desselben Systems und für denselben Empfänger (der sich für eine der Leistungen entscheiden muss) kumuliert.
Ausnahmen:
   * Kumulierung mit dem Witwen- bzw. Witwergeld (pensión de viudedad) möglich. Keine Kürzung der Leistung.
   * Bei dauernder vollständiger Berufsunfähigkeit (incapacidad permanente total para la profesión habitual) ist eine Kumulierung möglich:
   * mit einer Teilaltersrente, wenn die dauerhafte Vollinvalidität zuvor verursacht und für eine andere Beschäftigung als diejenige gemeldet wurde, in der der Leistungsempfänger teilweise in den Ruhestand versetzt ist;
   * mit Arbeitslosengeld nach dem Verlust einer kompatiblen Arbeit, d. h. einer Tätigkeit, für welche der Leistungsempfänger nicht unfähig erklärt wurde, möglich;
   * Der Zuschlag (+20%) wird ausgesetzt, wenn der Leistungsempfänger Arbeitslosengeld oder -beihilfe erhält.
</t>
  </si>
  <si>
    <t>Kumulation der Entschädigung mit anderen Leistungen der sozialen Sicherheit (wie z.B. Krankengeld und Leistungen bei Invalidität) ist möglich.</t>
  </si>
  <si>
    <t>Arbeitsunfallkrankengeld (Baleseti táppénz): Keine Kumulierung möglich.
Arbeitsunfallrente (Baleseti járadék): Kumulierung möglich mit Altersrente und Hinterbliebenenrente. Der Betrag der Arbeitsunfallrente wird nicht gekürzt.</t>
  </si>
  <si>
    <t>Kumulierung mit anderen Rentenleistungen (ohne Zulagen für abhängige Familienmitglieder) ist nur möglich, wenn der Unfall vor dem 6.10.1980 geschehen ist.
Bei einem Unfall nach dem 6.10.1980 ist Kumulierung nur mit der Witwenrente möglich.
Im Fall einer gleichzeitigen Berechtigung auf andere Renten oder Sozialleistungen wird der jeweils höchste Leistungsbetrag gewährt.
Bei mehr als einem Arbeitsunfall wird dem Leistungsempfänger nur eine einzige Arbeitsunfallrente (Σύνταξη Αναπηρίας) gewährt. Diese wird auf Grundlage des gesamten Invaliditätsgrades (maximal 100 %) bemessen.</t>
  </si>
  <si>
    <t>Die Leistungen unterliegen insoweit der Besteuerung, als sie einen Ersatz für eine dauerhafte Reduktion von Arbeitseinkünften darstellen.
In der Praxis werden Leistungen an Rentner und solche aufgrund einer Berufskrankheit oder eines Arbeitsunfalls, wodurch die Erwerbsfähigkeit um nicht mehr als 20% gemindert wird, nicht besteuert.
Die Beihilfe für die Hilfe einer Drittperson (allocation pour l'aide d'une tierce personne/tegemoetkoming voor hulp van derde) und der Bestattungskostenzuschuss (indemnité pour frais funéraires/(begrafenisvergoeding) ist nicht steuerpflichtig.</t>
  </si>
  <si>
    <t>Monatliche Leistungen unterliegen der Besteuerung.
Pauschalleistungen unterliegen nicht der Besteuerung.</t>
  </si>
  <si>
    <t>Leistungen der gesetzlichen Unfallversicherung unterliegen nicht der Besteuerung. Das Verletztengeld unterliegt jedoch dem Progressionsvorbehalt.</t>
  </si>
  <si>
    <t>Hinterbliebenenrente (toitjakaotuspension) und Krankengeld:
Leistungen unterliegen der Besteuerung.
Arbeitsfähigkeitsbeihilfe (töövõimetoetus):
Die Leistungen unterliegen keiner Besteuerung.</t>
  </si>
  <si>
    <t>Arbeitsunfallrente (Tapaturmaeläke) und Tagesgeld (Päiväraha) unterliegen der Besteuerung.
Entschädigung für funktionelle Einschränkungen (Haittaraha), Pflegegeld (Hoitotuki) und Bestattungsunterstützung (Hautausapu) sind steuerfrei.</t>
  </si>
  <si>
    <t>Die Hälfte der Geldleistung bei vorübergehender/vorläufiger Erwerbsunfähigkeit unterliegt der Besteuerung.
Jahresrenten und Kapitalabfindung unterliegen nicht der Besteuerung.</t>
  </si>
  <si>
    <t>Leistungen unterliegen der Besteuerung (mit Ausnahme der Kinderzulage).</t>
  </si>
  <si>
    <t>Kinderrente (barnalífeyrir), Sterbegeld an hinterbliebene Ehepartner, einmalige Zahlungen bei einer Minderung der Erwerbsfähigkeit um weniger als 50 % und Kapitalabfindungen bei Todesfall unterliegen nicht der Besteuerung. Andere Leistungen unterliegen der Besteuerung.</t>
  </si>
  <si>
    <t>Die Rente bei dauernder Erwerbsunfähigkeit (rendita) unterliegt nicht der Besteuerung.
Leistungen bei vorübergehender Erwerbsunfähigkeit unterliegen der Besteuerung.</t>
  </si>
  <si>
    <t>Kurzfristige Leistungen:
Leistungen unterliegen nicht der Besteuerung.
Langfristige Leistungen:
Leistungen unterliegen der Besteuerung mit Ausnahme der Beihilfe bei körperlicher Schädigung (novčana naknada za tjelesno oštećenje).</t>
  </si>
  <si>
    <t>Außer dem Krankengeld (Slimības pabalsts) bei Arbeitsunfällen oder Berufskrankheiten unterliegen die Leistungen nicht der Besteuerung.</t>
  </si>
  <si>
    <t>Taggelder, IV-Renten (Ausnahme: Kapitalabfindung) und Hinterlassenenrenten aufgrund des UVersG unterliegen der Besteuerung. Integritäts- und Hilflosenentschädigungen sind steuerfrei.</t>
  </si>
  <si>
    <t>Die Leistungen, mit Ausnahme des Kranken,- Mutterschafts-, Vaterschafts- und Kinderbetreuungsgelds, unterliegen nicht der Besteuerung.</t>
  </si>
  <si>
    <t>Geldleistung bei vorübergehender/vorläufiger Erwerbsunfähigkeit (indemnités pécuniaires) und Renten:
Unterliegen der Besteuerung.
Pauschalleistungen:
Unterliegen nicht der Besteuerung.</t>
  </si>
  <si>
    <t>Die Leistungen unterliegen nicht der Steuer.</t>
  </si>
  <si>
    <t>Keine besondere Regelung für Arbeitsunfälle und Berufskrankheiten.
Siehe Tabellen II „Krankheit – Sachleistungen’ und III „Krankheit – Geldleistungen’.</t>
  </si>
  <si>
    <t>Renten - mit Ausnahme von Renten an Kinder, für die auch Kindergeld (barnetrygd) gewährt wird - unterliegen der Besteuerung.
Der Ausgleich nicht-materieller Schäden und einmalige Pauschalleistungen sind steuerfrei.</t>
  </si>
  <si>
    <t>Leistungen der Unfallversicherung unterliegen nicht der Besteuerung.</t>
  </si>
  <si>
    <t>Keine besonderen Regelungen für Arbeitsunfälle und Berufskrankheiten.
Arbeitsunfallrente (Renta z tytułu wypadku przy pracy) oder Berufskrankheitsrente (Renta z tytułu choroby zawodowej): Siehe Tabelle V, „Invalidität"; „Besteuerung und Sozialabgaben, 1. Besteuerung von Rentenleistungen“.</t>
  </si>
  <si>
    <t>Geldleistung bei vorübergehender Arbeitsunfähigkeit (indemnizatie pentru incapacitate temporara de munca): Die Leistungen unterliegen der Besteuerung.
Invalidenrente (pensie de invaliditate): siehe Tabelle V „Invalidität“ für nähere Informationen.</t>
  </si>
  <si>
    <t>Die Leistungen, ausgenommen die Bestattungsbeihilfe (begravningshjälp), unterliegen der Steuer.</t>
  </si>
  <si>
    <t>Invaliditätsrente (invalidska pokojnina), Hinterbliebenenrente (družinska pokojnina), Witwen- bzw. Witwerrente (vdovska pokojnina) und Rehabilitationsgeld (nadomestilo za čas poklicne rehabilitacije) unterliegen der Steuer. Die Leistungen unterliegen der Steuer.
Pflegegeld (dodatek za pomoč in postrežbo) unterliegt nicht der Besteuerung.</t>
  </si>
  <si>
    <t>Dauernde teilweise oder vollständige Berufsunfähigkeit, vorübergehende Erwerbsunfähigkeit sowie Leistungen an Hinterbliebene:
Die Leistungen unterliegen der Besteuerung.
Dauernde vollständige Erwerbsunfähigkeit, Schwerstbehinderung und Waisengeld:
Die Leistungen unterliegen keiner Besteuerung.</t>
  </si>
  <si>
    <t>Arbeitsunfallkrankengeld (Baleseti táppénz) unterliegt der Besteuerung.
Die Arbeitsunfallrente (Baleseti járadék) unterliegt der Besteuerung, mit Ausnahme für Rentner.
Die Beihilfe für Pflegepersonen (Ápolási díj) und Beihilfe für häusliche Kinderpflege (Gyermekek otthongondozási díja) unterliegen nicht der Besteuerung.</t>
  </si>
  <si>
    <t>Nicht anwendbar: Leistungen unterliegen nicht der Besteuerung.</t>
  </si>
  <si>
    <t>Besteuerung nach allgemeinen geltenden Regeln. Keine Sonderregeln für Leistungen bei Arbeitsunfall und/oder Berufskrankheit.</t>
  </si>
  <si>
    <t>Arbeitsfähigkeitsbeihilfe (töövõimetoetus):
Nicht anwendbar. Leistungen unterliegen nicht der Besteuerung.
Hinterbliebenenrente (toitjakaotuspension) und Krankengeld:
Besteuerung nach allgemeinen Regeln. Keine Sonderbestimmungen für die Leistungen.</t>
  </si>
  <si>
    <t>Für Renteneinkommen gelten Steuerfreibeträge wie folgt:
   * voller Abzug bei einem jährlichen Renteneinkommen unter €11.030;
   * Steuern werden fällig, wenn das jährliche Renteneinkommen über €13.756 liegt;
   * Kein Abzug bei einem jährlichen Renteneinkommen über €48.931.
5,85% Zusatzsteuer auf den Teil des jährlichen Renteneinkommens, der €47.000 überschreitet.</t>
  </si>
  <si>
    <t>Geldleistung bei vorübergehender/vorläufiger Erwerbsunfähigkeit:
Vorbehaltlich der Bestimmungen in Tabelle VIII, „Besteuerung und Sozialabgaben, 1. Besteuerung von Geldleistungen“, Besteuerung nach allgemeinem Recht.
Jahresrenten und Kapitalabfindung:
Nicht anwendbar: Leistungen unterliegen nicht der Besteuerung.</t>
  </si>
  <si>
    <t>Besteuerung nach allgemeinen Regeln. Ausnahmen für bestimmte Gruppen wie Kriegsversehrte, Kriegsopfer und ihre Familien, Blinde und Querschnittsgelähmte.</t>
  </si>
  <si>
    <t>Besteuerung nach allgemeinem Regeln. Keine Sonderregeln für Sozialleistungen.</t>
  </si>
  <si>
    <t>Kinderrente (barnalífeyrir), Sterbegeld an hinterbliebene Ehepartner, einmalige Zahlungen bei einer Minderung der Erwerbsfähigkeit um weniger als 50 % und Kapitalabfindungen bei Todesfall:
Nicht anwendbar: Leistungen unterliegen nicht der Besteuerung.
Sonstige Leistungen:
Besteuerung nach allgemeinem Recht. Keine Sonderregeln für Sozialleistungen.</t>
  </si>
  <si>
    <t>Leistungen bei vorübergehender Erwerbsunfähigkeit:
Besteuerung nach allgemeinem Recht. Keine Sonderregeln für Sozialleistungen.
Rente bei dauernder Erwerbsunfähigkeit (rendita):
Nicht anwendbar: Die Leistungen unterliegen nicht der Besteuerung.</t>
  </si>
  <si>
    <t>Kurzfristige Leistungen:
Nicht anwendbar; Leistungen unterliegen nicht der Besteuerung.
Langfristige Leistungen:
Individueller Steuerfreibetrag für Rentner: €600 pro Monat. Dieser Betrag kann erhöht werden je nach der Anzahl von Unterhaltsberechtigten in der Familie, dem Grad der Behinderung des Rentners oder dessen Unterhaltsberechtigten.
Die Einkommensteuer wird um 50% des Steueranteils gekürzt, der speziell auf die Rente entfällt.
Beihilfe bei körperlicher Schädigung (novčana naknada za tjelesno oštećenje) : Nicht anwendbar; Leistungen unterliegen nicht der Besteuerung.</t>
  </si>
  <si>
    <t>Krankengeld (Slimības pabalsts):
Besteuerung nach allgemeinen Regeln. Keine Sonderbestimmungen für die Leistungen.
Andere Leistungen:
Nicht anwendbar. Die Leistungen, einschließlich Ausgleichszahlungen für den Verlust der Arbeitsfähigkeit, unterliegen nicht der Besteuerung.</t>
  </si>
  <si>
    <t>Bei Taggeldern wird kein Freibetrag gewährt, bei IV-Renten ein Freibetrag von 70%. Bei Hinterlassenenrenten wird bei obligatorischer Berufsunfallversicherung ein Freibetrag von 20%, bei obligatorischer Nichtbetriebsunfallversicherung ein Freibetrag von 35% gewährt.
Integritäts- und Hilflosenentschädigungen:
Nicht anwendbar: die Leistungen unterliegen nicht der Besteuerung.</t>
  </si>
  <si>
    <t>Nicht anwendbar: Leistungen unterliegen nicht der Steuer.</t>
  </si>
  <si>
    <t>Besteuerung nach allgemeinem Regeln. Keine Sonderbestimmungen für die Leistungen.</t>
  </si>
  <si>
    <t>Für Bezieher von Renten gelten Sonderregeln zur Steuererleichterung.
Bezieher einer vollen Mindestrente zahlen weder Steuern noch Sozialabgaben.</t>
  </si>
  <si>
    <t>Nicht anwendbar (Leistungen der Unfallversicherung unterliegen nicht der Besteuerung).</t>
  </si>
  <si>
    <t>Arbeitsunfallrente (Renta z tytułu wypadku przy pracy) oder Berufskrankheitsrente (Renta z tytułu choroby zawodowej), Ausbildungsgeld (Renta szkoleniowa), Rehabilitationsgeld (Świadczenie rehabilitacyjne):
Es gelten allgemeine Regeln der Besteuerung. Keine Sonderbestimmungen für Leistungen bei Arbeitsunfällen und/oder Berufskrankheiten.</t>
  </si>
  <si>
    <t>Nicht anwendbar; Leistungen unterliegen nicht der Besteuerung</t>
  </si>
  <si>
    <t>Geldleistung bei vorübergehender Arbeitsunfähigkeit (indemnizatie pentru incapacitate temporara de munca):
Steuerpflichtiges Einkommen ergibt sich nach Abzug folgender Beträge:
   * Sozialabgaben,
   * Persönliche Abzüge,
   * Gebühren für Gewerkschaften,
   * Beiträge zum freiwilligen Rentenfonds,
   * Freiwillige Krankenversicherungsprämien.
Invalidenrente (pensie de invaliditate): siehe Tabelle V „Invalidität“ für nähere Informationen.</t>
  </si>
  <si>
    <t>Es gelten allgemeine Regeln der Besteuerung. Keine Sonderregeln für Leistungen bei Arbeitsunfällen und/oder Berufskrankheiten.</t>
  </si>
  <si>
    <t>Besteuerung nach allgemeinen Regeln. Keine Sonderbestimmungen für die Leistungen.</t>
  </si>
  <si>
    <t>Nicht anwendbar. Leistungen unterliegen nicht der Steuer.</t>
  </si>
  <si>
    <t>Dauernde teilweise oder vollständige Berufsunfähigkeit, vorübergehende Erwerbsunfähigkeit sowie Leistungen an Hinterbliebene:
Besteuerung nach allgemeinem Regeln. Keine Sonderregeln für Sozialleistungen.
Dauernde vollständige Erwerbsunfähigkeit, Schwerstbehinderung und Waisengeld:
Nicht anwendbar: Die Leistungen unterliegen keiner Besteuerung.</t>
  </si>
  <si>
    <t>Besteuerung nach allgemeinem Regeln. Keine Sonderbestimmungen für Sozialleistungen.</t>
  </si>
  <si>
    <t>Besteuerung nach allgemeinen Regeln. keine besonderen Steuerfreibeträge für Leistungen.</t>
  </si>
  <si>
    <t>Beitrag von 13,07%.</t>
  </si>
  <si>
    <t>Keine Beiträge.</t>
  </si>
  <si>
    <t>Ausgleich für Verlust der Erwerbsfähigkeit (erstatning for tab af erhvervsevne): Arbeitsmarktbeitrag (15%) zahlbar.
Ausgleich für dauerhafte Schädigung (méngodtgørelse): Keine Beiträge zahlbar.</t>
  </si>
  <si>
    <t>Keine Sozialabgaben bei der Rente, jedoch bei Bezug von Verletztengeld.</t>
  </si>
  <si>
    <t>Von Geldleistungen bei vorübergehender/vorläufiger Erwerbsunfähigkeit: Allgemeiner Sozialbeitrag (contribution sociale généralisée, CSG) von 6,2% und Beitrag zur Tilgung der Sozialschuld (contribution pour le remboursement de la dette sociale, CRDS) von 0,5%.</t>
  </si>
  <si>
    <t>Siehe Tabelle V „Invalidität“, „Besteuerung und Sozialabgaben, 3. Sozialabgaben von der Rente“.</t>
  </si>
  <si>
    <t>Kurzfristige Leistungen, langfristige Leistungen und Beihilfe bei körperlicher Schädigung (novčana naknada za tjelesno oštećenje): Keine Sozialabgaben zahlbar.</t>
  </si>
  <si>
    <t>Geldleistung bei vorübergehender/vorläufiger Erwerbsunfähigkeit (indemnités pécuniaires) und Renten:
Unterliegen den Sozialabgaben, außer die Beiträge für Geldleistung bei vorübergehender/vorläufiger Erwerbsunfähigkeit, für die Kranken- und Unfallversicherung sowie für das Kindergeld.
Pauschalleistungen:
Keine Sozialabgaben.</t>
  </si>
  <si>
    <t>Rentner zahlen einen ermäßigten Beitrag von 5,1% (für Sachleistungen bei Krankheit).</t>
  </si>
  <si>
    <t>Sozialabgaben werden von der Leistung abgezogen (9%).</t>
  </si>
  <si>
    <t>Geldleistung bei vorübergehender Arbeitsunfähigkeit (indemnizatie pentru incapacitate temporara de munca): keine Beiträge.
Invalidenrente (pensie de invaliditate): siehe Tabelle V „Invalidität“ für nähere Informationen.</t>
  </si>
  <si>
    <t>Keine Sozialabgaben zahlbar, ausgenommen für die Altersrentenversicherung für Empfänger der Unfallrente (Úrazová renta). Beiträge werden von der Sozialversicherungsanstalt (Sociálna poisťovňa) gezahlt.</t>
  </si>
  <si>
    <t>Von der Invaliditätsrente (invalidska pokojnina), der Hinterbliebenenrente (družinska pokojnina), der Witwen- bzw. Witwerrente (vdovska pokojnina) und dem Rehabilitationsgeld (nadomestilo za čas poklicne rehabilitacije) sind für Gesundheitsleistungen und die Erstattung von Reisekosten im Krankheitsfall Beiträge in Höhe von 5,96% zu entrichten. Keine Bemessungsgrenze.</t>
  </si>
  <si>
    <t>Keine Beiträge zahlbar außer für Leistungen für vorübergehende Erwerbsunfähigkeit (in diesem Fall werden die Beiträge abgezogen).</t>
  </si>
  <si>
    <t>Von der Arbeitsunfallrente (Baleseti járadék) und dem Arbeitsunfallkrankengeld (Baleseti táppénz) sind keine Beiträge zu entrichten.
Von der Beihilfe für Pflegepersonen (Ápolási díj) und der Beihilfe für häusliche Kinderpflege (Gyermekek otthongondozási díja) sind Beiträge zur Rentenversicherung zu entrichten.</t>
  </si>
  <si>
    <t>Selbstständige werden nicht von einem spezifischen System im Fall von Arbeitsunfällen und Berufskrankheiten gedeckt, können in diesen Fällen aber Anspruch machen auf die Krankheits- und Invaliditätspflichtversicherung für Selbstständige.
Selbstständige können jedoch wie jeder Arbeitnehmer eine Leistung erhalten, wenn sie wegen einer Asbest-Aussetzung erkrankt sind. Der Asbestfonds wurde von der Föderalagentur für Berufsrisiken (Fedris) geschaffen und ist zuständig für das Auszahlen von Leistungen an Opfer von Mesotheliom oder Asbestose (oder diffuse bilaterale Pleuraverdickung), Lungenkrebs oder Kehlkopfkrebs durch Asbest.</t>
  </si>
  <si>
    <t>Kein System für Selbstständige.</t>
  </si>
  <si>
    <t>Kein spezifisches System für Selbstständige.
Selbstständige sind durch das allgemeine System abgedeckt, wenn sie sich für eine freiwillige Versicherung entschieden haben.</t>
  </si>
  <si>
    <t>Selbstständige, Freie Berufe, selbstständige Künstler und Publizisten: Es gibt keine eigenständige Regelung. Selbstständige sowie Freiberufler können sich freiwillig in der gesetzlichen Unfallversicherung versichern.
Bei einigen Berufsgenossenschaften (z. B. für Friseure, Taxifahrer) besteht eine Pflichtversicherung kraft Satzung für Unternehmer und ihre mitarbeitenden Ehegatten oder Lebenspartner.
Landwirte: Grundsätzlich Versicherungspflicht entsprechend den Regelungen des allgemeinen Systems, aber unterschiedliche Bemessung von Renten und Verletztengeldern. Die Leistung der Betriebs- und Haushaltshilfe gibt es nur für Landwirte.</t>
  </si>
  <si>
    <t>Kein spezifisches System für Selbstständige. Selbstständige sind auf gleiche Weise wie Arbeitnehmer durch die Krankenversicherung und die Rentenversicherung (Arbeitsfähigkeitsbeihilfe) abgedeckt.</t>
  </si>
  <si>
    <t>Selbstständige: abgedeckt durch das allgemeine Versicherungssystem auf freiwilliger Grundlage, wie es im Arbeitnehmerentschädigungsgesetz festgeschrieben ist.
Personen mit einer Rentenversicherung wie im Rentengesetz für Selbstständige festgelegt (1272/2006) (YEL) haben das Recht, Versicherungen gegen Arbeitsunfälle und Berufskrankheiten abzuschließen.
Durch MYEL rentenversicherte Landwirte und Stipendien-/Förderungsempfänger: abgedeckt durch ein besonderes System. (MATA Arbeitsunfallversicherung durch das Arbeitsunfall- und Berufskrankheiten-Gesetz für Landwirte), welches dem allgemeinen System ähnlich ist.</t>
  </si>
  <si>
    <t>Landwirte
Gesondertes Versicherungssystem (MSA).
Handwerker, Kaufleute, Gewerbetreibende und freie Berufe: Kein gesondertes System, aber Möglichkeit einer freiwilligen Versicherung bei der Krankenkasse des allgemeinen Systems.</t>
  </si>
  <si>
    <t>Es gibt keine eigenständige Versicherung für Arbeitsunfälle und Berufskrankheiten. Diese Risiken werden von den Versicherungssystemen für Sachleistungen bei Gesundheitsversorgung, Krankheit, Invalidität und Hinterbliebene abgedeckt.</t>
  </si>
  <si>
    <t> Selbstständige haben kein Anspruch auf Arbeitsunfallgeld.</t>
  </si>
  <si>
    <t>Selbstständige, die der INAIL - Nationale Versicherungsanstalt für Arbeitsunfälle (Istituto Nazionale contro gli Infortuni sul Lavoro) gemeldet sind, sind durch das allgemeine System abgedeckt, das auch Arbeitnehmer abdeckt. Keine Pflichtversicherung für Freiberufler wie Rechtsanwälte, Notare, Ingenieure und einige Selbstständige im Handelssektor.
Seit 1. Januar 2022 wurde der Versicherungsschutz gegen Arbeitsunfälle und Berufskrankheiten auf Selbstständige ausgeweitet, die in der Rentenkasse des Unterhaltungssektors gemeldet sind.
Ab dem 1. Juli 2022 sind freiberufliche Journalisten, die zuvor bei der INPGI-Versicherung gegen Arbeitsunfälle registriert waren, nun bei derselben von INAIL verwalteten Versicherung versichert.</t>
  </si>
  <si>
    <t>Selbstständige sind nicht gegen die Risiken der Arbeitsunfälle und Berufskrankheiten versichert.</t>
  </si>
  <si>
    <t>Freiwillige Versicherung in der gleichen Versicherung, die für unselbständig Erwerbende obligatorisch ist.</t>
  </si>
  <si>
    <t>Kein öffentliches System für Selbstständige.
Selbstständige können nur eine private Versicherung gegen Arbeitsunfälle abschließen.</t>
  </si>
  <si>
    <t>Freischaffende sind durch das allgemeine System abgedeckt. Selbstständige sind nicht abgedeckt.</t>
  </si>
  <si>
    <t>Gleiche Bedingungen wie für Arbeitnehmer: kein spezifisches System der sozialen Sicherheit gegen die Risiken von Arbeitsunfällen und Berufskrankheiten. Diese werden durch die Krankenversicherung (Geld- und Sachleistungen), Erwerbsunfähigkeitsversicherung (Invalidität) und Hinterbliebenenversicherung abgedeckt.</t>
  </si>
  <si>
    <t>Selbstständige sind nicht obligatorisch durch die Bestimmungen zu Arbeitsunfällen und Berufskrankheiten der Volksversicherung abgedeckt, sie können jedoch auf freiwilliger Basis beitreten.</t>
  </si>
  <si>
    <t>BSVG: Es gibt ein spezifisches System für Landwirte.
GSVG: Gewerbetreibende und Personen, die auf Grund einer betrieblichen Tätigkeit Einkünfte aus freiberuflicher oder anderer selbstständiger Erwerbstätigkeit erzielen, weiters auch jene nach dem FSVG Versicherten und freiberuflich tätige Rechtsanwälte sind vom allgemeinen System abgedeckt (vgl. die allgemeinen MISSOC-Tabellen).</t>
  </si>
  <si>
    <t>Selbstständige sind in Bezug auf Berufskrankheiten durch das allgemeine System und in Bezug auf Arbeitsunfälle durch ein privates Versicherungssystem abgedeckt.</t>
  </si>
  <si>
    <t>Selbstständige sind nicht gegen dieses Risiko abgedeckt.
Kein Pflichtsystem für Selbstständige. Freiwillige Versicherung ist nicht möglich.</t>
  </si>
  <si>
    <t>Selbstständige, die jährlich mindestens CHF66.690 (2025) erwirtschaften, können sich freiwillig gegen Unfälle versichern lassen. Die Bestimmungen über die obligatorische Versicherung von Arbeitnehmern gelten sinngemäss auch für die freiwillige Versicherung.
Wenn ein Selbstständiger sich nicht freiwillig versichert, werden die Sachleistungen bei Unfall von der obligatorischen Krankenpflegeversicherung gewährt.</t>
  </si>
  <si>
    <t>Selbstständige sind über das allgemeine System versichert, das auch Arbeitnehmern Versicherungsschutz gewährt.</t>
  </si>
  <si>
    <t>Auf Erwerbstätigkeit beruhendes Versicherungssystem.
Das System ist freiwillig („Opt-in“) für Selbstständige und ihre mitarbeitenden Ehepartner.</t>
  </si>
  <si>
    <t>Versicherungs- und arbeitsgebunden.
Selbstständige, Freie Berufe, selbstständige Künstler und Publizisten: Freiwillige Mitgliedschaft in der gesetzlichen Unfallversicherung (Opt-in, für bestimmte Gruppen teilweise Pflichtmitgliedschaft kraft Satzung).
Landwirte: Grundsätzlich besteht eine gesetzliche Pflichtmitgliedschaft.</t>
  </si>
  <si>
    <t>Gleiche Bedingungen wie für Gesundheitsversorgung und Arbeitsfähigkeitsbeihilfe.</t>
  </si>
  <si>
    <t>Selbstständige: Das System ist versicherungs- und wohnsitzgebunden. Es ist freiwillig auf „Opt-in“-Basis.
Landwirte: Das System ist versicherungsgebunden und obligatorisch.</t>
  </si>
  <si>
    <t>LandwirteSozialversicherungspflichtsystem, basierend auf der Erwerbstätigkeit.
Handwerker, Kaufleute und freie Berufe
Freiwillige Versicherung (selbst zu veranlassen).</t>
  </si>
  <si>
    <t>Auf Pflichtversicherung und Erwerbstätigkeit beruhendes System.</t>
  </si>
  <si>
    <t>Selbstständige sind über das allgemeine System versichert.
Es handelt sich um ein arbeitsgebundenes Pflichtsystem.</t>
  </si>
  <si>
    <t>Das System ist obligatorisch und unterliegt der Zahlung von Versicherungsprämien mit Ausnahme bestimmter Kategorien freier Berufe wie oben ausgeführt.</t>
  </si>
  <si>
    <t>Es ist ein versicherungsgebundenes, ‚arbeitsgebundenes‘ System zu welchem ein selbständig Erwerbender freiwillig beitreten kann (Opt-in).</t>
  </si>
  <si>
    <t>Nicht anwendbar (kein System).</t>
  </si>
  <si>
    <t>Freiwilliges, versicherungsgebundenes System („Opt-in“). Arbeitsgebundenes System.</t>
  </si>
  <si>
    <t>Selbständige sind durch ein Versicherungssystem abgedeckt. Das System ist arbeitsgebunden.
Es besteht Pflichtmitgliedschaft.
BSVG:
Spezifisches System für Landwirte (ist als Betriebsversicherung konzipiert; geschützt sind daher nicht nur der Betriebsführer, sondern auch bestimmte Angehörige, wenn sie im Betrieb mittätig sind.)
Wegfall der Versicherungspflicht, wenn der Einheitswert* des Betriebes unter €150,00 liegt und der Lebensunterhalt nicht überwiegend aus Ertrag des Betriebes bestritten wird.
(* Der Einheitswert ist ein vom Finanzamt für Steuerzwecke festgestellter Wert, der die Ertragsfähigkeit des land- und forstwirtschaftlichen Betriebes ausdrückt.)
GSVG:
Wegfall der Versicherungspflicht, wenn Einkünfte aus freiberuflicher oder anderer selbstständiger Erwerbstätigkeit unter der Geringfügigkeitsgrenze von €6.613,20 /Jahr (2025) liegen.</t>
  </si>
  <si>
    <t>Berufskrankheiten
Gesetzliches Versicherungssystem.
Arbeitsunfälle
Private Pflichtversicherung.</t>
  </si>
  <si>
    <t>Obligatorisches arbeits- und versicherungsgebundenes System.</t>
  </si>
  <si>
    <t>Freiwilliges Versicherungssystem für Selbstständige („Opt-in“-System).</t>
  </si>
  <si>
    <t>Besonderes System der Sozialen Sicherheit für Selbstständige Erwerbstätige: Obligatorisches arbeitsgebundenes Versicherungssystem.
Besonderes System für Selbstständige Landarbeiter: Freiwilliges („Opt-in“), arbeitsgebundenes Versicherungssystem, mit Ausnahme von Renten bei permanenter Erwerbsunfähigkeit und Hinterbliebenenrenten, welche obligatorisch ist.</t>
  </si>
  <si>
    <t>Wie für Leistungen bei Krankheit.</t>
  </si>
  <si>
    <t>Keine bestimmten Voraussetzungen für Selbstständige und Landwirte.</t>
  </si>
  <si>
    <t>Handwerker, Kaufleute, Gewerbetreibende und freie Berufe
Bei der freiwilligen Versicherung im Rahmen des allgemeinen Systems muss das jährliche Entgelt, das als Berechnungsgrundlage für Beiträge und Geldleistungen dient, zwischen €20.971,34 und €47.100 betragen.</t>
  </si>
  <si>
    <t>Die Versicherungsprämie wird auf Grundlage der Bruttoeinkünfte berechnet: sind diese geringer als ein bestimmter Betrag (das jährliche rentenfähige Mindesteinkommen im Jahr 2025 entspricht €18.555), wird das letzte Referenzentgelt berücksichtigt.</t>
  </si>
  <si>
    <t>Die versicherte Lohnsumme (brutto) muss mindestens 45% des Höchstbetrages (CHF 148.200) des versicherbaren Verdienstes ausmachen. Bei Familienmitgliedern beträgt der Mindestverdienst 30% des Höchstbetrages.</t>
  </si>
  <si>
    <t>Um sich für die Deckung zu qualifizieren, muss eine freischaffende Person mindestens €910 (brutto) pro Jahr verdienen.</t>
  </si>
  <si>
    <t>Selbstständige müssen unter 67 Jahre alt sein und geschätzte zukünftige Bruttojahreseinkünfte über dem Grundbetrag haben (NOK 130.160 (€11.038)).</t>
  </si>
  <si>
    <t>BSVG (Landwirte: Einheitswert* des Betriebes muss mehr oder gleich €1.150,00 betragen oder der Lebensunterhalt wird überwiegend vom Ertrag des Betriebes bestritten.
(* Der Einheitswert ist ein vom Finanzamt für Steuerzwecke festgestellter Wert, der die Ertragsfähigkeit des land- und forstwirtschaftlichen Betriebes ausdrückt.)
GSVG:
   * Gewerbetreibende: Keine bestimmten Bedingungen.
   * Freiberufler und neue Selbständige: Das Einkommen muss die Versicherungsgrenze erreichen Die Versicherungsgrenze beträgt im Kalenderjahr 2025 €6.613,20.
Bei Nichtbestand einer Versicherungspflicht ist eine freiwillige Versicherung möglich.</t>
  </si>
  <si>
    <t>Gleiche Bedingungen wie für Arbeitnehmer, aber mit Anpassungen, z. B. in Bezug auf das Referenzjahresentgelt, das zur Berechnung von Prämien und Geldleistungen berücksichtigt wird und mindestens dem 12-Fachen des monatlichen erwerbseinkommen einschl. Weihnachts- und Urlaubsgeld entspricht.</t>
  </si>
  <si>
    <t>Das Einkommen von Selbstständigen muss mindestens CHF66.690 pro Jahr betragen.</t>
  </si>
  <si>
    <t>Versicherung richtet sich im Einzelfall je nach der ausgeübten Tätigkeit als Beschäftigter oder Selbstständiger.</t>
  </si>
  <si>
    <t>Für Landwirte, die gleichzeitig als Arbeitnehmer über das allgemeine System versichert sind: Diejenigen, die in mehreren Bereichen tätig sind, müssen Beiträge in die einzelnen Versicherungssysteme einzahlen. Die Tagegelder der beiden Systeme kumuliert werden (wenn die Bedingungen für die Gewährung in jedem System erfüllt sind).</t>
  </si>
  <si>
    <t>Wie für Sachleistungen bei Krankheit.</t>
  </si>
  <si>
    <t>Die gezahlte Prämie ist die Summe der fälligen Prämien in Bezug auf die Durchführung jeder einzelnen Arbeitstätigkeit.</t>
  </si>
  <si>
    <t>Personen, die eine selbstständige Tätigkeit mit einer bezahlten Beschäftigung als Arbeitnehmer kombinieren, sind nur als Arbeitnehmer versichert.</t>
  </si>
  <si>
    <t>Keine verschiedenen Vorschriften für Fälle, in denen eine Person selbständig und unselbständig tätig ist.</t>
  </si>
  <si>
    <t>Im Falle von gleichzeitiger Tätigkeit als Arbeitnehmer und Selbstständigkeit werden Beiträge für Freischaffende für die Haupttätigkeit entrichtet, d.h. die Tätigkeit, die die höchsten Gewinne generiert.</t>
  </si>
  <si>
    <t>Keine unterschiedlichen Vorschriften.</t>
  </si>
  <si>
    <t>Selbstständige
Bei einer Kombination von selbstständiger Tätigkeit und bezahlter Beschäftigung als Arbeitnehmer sind nur Beiträge als Arbeitnehmer zu zahlen. Für Selbstständige sind Beiträge von selbstständiger Tätigkeit freiwillig.
Landwirte
Bei der Kombination von landwirtschaftlicher Tätigkeit und bezahlter Beschäftigung als Arbeitnehmer sind nur Beiträge als Arbeitnehmer zu zahlen.</t>
  </si>
  <si>
    <t>Selbstständige haben Vollzeit-Versicherungsdeckung, wenn es nicht anders bestimmt ist.
Personen, die als Arbeitnehmer in Teilzeit tätig sind (aber nicht weniger als 4 Wochenstunden) und zur gleichen Zeit als Selbstständige, müssen für die gesamte Versicherungszeit als Selbstständige abgedeckt sein.</t>
  </si>
  <si>
    <t>Personen, die Selbstständigkeit mit bezahlter Arbeit als Arbeitnehmer kombinieren, dürfen, abhängig von der Tätigkeit, bei der der Unfall sich ereignet, Leistungen empfangen.
Wenn der Unfall im Rahmen des Besonderen Systems der Sozialen Sicherheit für Selbstständige Erwerbstätige passiert und diese Risiken abgedeckt sind, erhalten sie Leistungen entsprechend den in diesem System enthaltenen Berufsrisiken. Wenn diese Risiken nicht abgedeckt sind, erhalten sie Leistungen, die einem Nicht-Berufsunfall entsprechen.
Wenn der Unfall im Rahmen des Allgemeinen Systems passiert, erhalten sie Leistungen entsprechend den in diesem System abgedeckten Risiken und Leistungen entsprechend den allgemeinen Risiken im Rahmen des Besonderen Systems.</t>
  </si>
  <si>
    <t>Selbstständige, Freie Berufe, selbstständige Künstler und Publizisten: Grundsätzlich identisch mit denen für Arbeitnehmer.
Für Landwirte bestehen Besonderheiten bei den Anspruchsbedingungen für Renten und Verletztengelder. Verletztengeld wird nur ausnahmsweise gezahlt.
Mit der Leistung Betriebs- und Haushaltshilfe können bei den Landwirten Einkommenseinbußen verhindert werden:
   * Betriebshilfe erhalten landwirtschaftliche Unternehmer während einer stationären Behandlung, wenn ihnen wegen dieser Behandlung die Weiterführung des Unternehmens nicht möglich ist und in dem Unternehmen Arbeitnehmer und mitarbeitende Familienangehörige nicht ständig beschäftigt werden.
   * Haushaltshilfe erhalten landwirtschaftliche Unternehmer, ihre im Unternehmen mitarbeitenden Ehegatten oder mitarbeitenden Lebenspartner während einer stationären Behandlung, wenn ihnen wegen dieser Behandlung die Weiterführung des Haushalts nicht möglich und diese auf andere Weise nicht sicherzustellen ist.</t>
  </si>
  <si>
    <t>Landwirte
Der Arbeitsunfall muss innerhalb von 8 Tagen gemeldet werden (wird der Arbeitsunfall später gemeldet, wird er unter Umständen nicht als Arbeitsunfall anerkannt, oder es kann eine längere Karenzfrist bis zur Auszahlung des Tagegeldes gelten).
Handwerker, Kaufleute, Gewerbetreibende und freie Berufe
Freiwillig Versicherte müssen ihrer Beitragspflicht nachgekommen sein.</t>
  </si>
  <si>
    <t>Bedingungen sind gleich: Voraussetzungen für Leistungsanspruch sind: Vorliegen einer Versicherung und der Eintritt des Versicherungsfalls des Arbeitsunfalls bzw. das Vorliegen einer Berufskrankheit.</t>
  </si>
  <si>
    <t>Selbstständige und Landwirte
Wie für Arbeitnehmer.
Landwirte
Wie für Invaliditätsleistungen.</t>
  </si>
  <si>
    <t>Wie für Arbeitnehmer mit Ausnahme von Unfällen, die sich auf dem Weg zur und von der Arbeit ereignen, und die im Fall von Selbstständigen nur als Arbeitsunfall gelten, wenn die Art der angebotenen Dienstleistungen Reisen nötig macht. 
Bezüglich der Beiträge müssen Selbstständige vor dem Tag des Unfalls 13 Wochen lang beschäftigt gewesen sein und in den 2 Trimestern vor dem Unfall Beiträge gezahlt haben.</t>
  </si>
  <si>
    <t>Identisch mit denen für Arbeitnehmer.
Landwirte: Besonderheiten bestehen bei der Bemessung von Renten und Verletztengeldern.   Die Leistung der Betriebs- und Haushaltshilfe (nur für Landwirte) wird höchstens 3 Monate erbracht, aber die Dauer kann unter bestimmten Voraussetzungen verlängert werden.</t>
  </si>
  <si>
    <t>Leistungen der Gesundheitsversorgung bei vorübergehender Erwerbsunfähigkeit sind höher als Leistungen bei allgemeiner Krankheit. Arbeitnehmer und Vorstandsmitglieder: 100% des Einkommens.
Alleinunternehmer, Inhaber von Einzelunternehmenskonten, sowie natürliche Personen mit Ermächtigungsvereinbarung oder Werksvertrag: 70% des Einkommens.
In Fällen, bei denen die Krankheit länger als 6 Monate andauert, wird die Arbeitsfähigkeitsbeihilfe auf allgemeiner Basis gezahlt (es gelten die gleichen Bedingungen).
Keine Wartezeit.</t>
  </si>
  <si>
    <t>Gleiche Bedingungen wie für Arbeitnehmer.
Keine Wartezeit.</t>
  </si>
  <si>
    <t>Landwirte
Übernahme der medizinischen Behandlungskosten zu 100%, wie für Arbeitnehmer.
Das Tagegeld entspricht 63% und danach 84% (ab dem 29. Tag der Krankschreibung) des täglichen pauschalen Gewinns, berechnet auf der Grundlage des jährlichen pauschalen Gewinns (festgelegt durch ministerielles Dekret vom 1. April). Prozentsätze und Berechnungsgrundlage weichen von denen ab, die für Arbeitnehmer gelten. Karenzfrist von 3 Tagen (keine Frist für Arbeitnehmer).
Rente ab einer Arbeitsunfähigkeit von 30%.
Die Renten bei dauerhafter Erwerbsunfähigkeit und die an die Anspruchsberechtigten ausgezahlten Renten werden ebenfalls auf der Grundlage des jährlichen Pauschaleinkommens berechnet.
Handwerker, Kaufleute, Gewerbetreibende und freie Berufe
Die freiwillige Versicherung über das allgemeine System verleiht keinen Anspruch auf Tagegeld. Im Rahmen einer freiwilligen Versicherung können Gesundheits- und Bestattungskosten erstattet, eine Pauschalentschädigung oder eine Rente bei dauerhafter Erwerbsunfähigkeit gezahlt sowie Renten an die Anspruchsberechtigten im Todesfall geleistet werden.</t>
  </si>
  <si>
    <t>Nur Selbstständige (ehemalige OAEE-Handwerker) erhalten eine monatliche Beihilfe über 4 Monate bei einem Arbeitsunfall (ΕΠΙΔΟΜΑ ΑΠΟΘΕΡΑΠΕΙΑΣ – Art. 19 der ministeriellen Entscheidung 35/1385/1999 B1814). Die Beihilfe beläuft sich auf das 3-Fache der monatlichen Beiträge, die der Versicherte zum Zeitpunkt des Unfalls entrichtet hat.
Invaliditätsrenten: dieselben wie für Arbeitnehmer. Es gibt keine Karenzzeit für Invaliditätsrenten.</t>
  </si>
  <si>
    <t>Wie für Arbeitnehmer.
Wartezeit: 7 Tage.</t>
  </si>
  <si>
    <t>Wie für Arbeitnehmer.
Keine Wartezeit für Arbeitnehmer.
Selbstständige: Wartezeit von 42 Tagen (7 Tage für Selbstständige mit Behinderung).</t>
  </si>
  <si>
    <t>Die gleichen Leistungen wie für unselbständig Erwerbende.</t>
  </si>
  <si>
    <t>BSVG und GSVG: Gleiche Regelung wie bei unselbständig Erwerbstätigen.
Keine Wartezeit.</t>
  </si>
  <si>
    <t>Selbstständige und Landwirte
Wie für Arbeitnehmer.
Keine Wartezeit.</t>
  </si>
  <si>
    <t>Gleiche Bedingungen wie für Arbeitnehmer.
Keine Karenzfrist.</t>
  </si>
  <si>
    <t>Wie für Arbeitnehmer. Keine Wartezeit, wenn Versicherte die Anforderungen für Entschädigung in Form einer Leibrente erfüllen.</t>
  </si>
  <si>
    <t>Wie für Arbeitnehmer.</t>
  </si>
  <si>
    <t>Landwirte
Leistungen bei Arbeitsunfall sind steuerpflichtig. Nur die Leistungen, die im Rahmen einer Erkrankung gezahlt werden, die eine längere und mit hohen Kosten verbundene Behandlung erfordert, sind steuerbefreit (wie für Arbeitnehmer).</t>
  </si>
  <si>
    <t>Gleiche Bedingungen wie für Arbeitnehmer. Leistungen unterliegen nicht der Steuer mit Ausnahme des befristeten Tagegeldes bei vollständiger Erwerbsunfähigkeit.</t>
  </si>
  <si>
    <t>Nicht anwendbar. Selbstständige können sich für eine freiwillige Versicherung gegen Arbeitsunfälle und Berufskrankheiten entscheiden. Sie müssen eine Prämie in Höhe von 0,4% ihres geschätzten zukünftigen Jahreseinkommens zahlen. Diese Beiträge werden nicht als Steuer betrachtet.</t>
  </si>
  <si>
    <t>BSVG und GSVG: Gleiche Regelung wie bei unselbständig Erwerbstätigen (Leistungen unterliegen nicht der Besteuerung).</t>
  </si>
  <si>
    <t>Wie für Arbeitnehmer: Renten unterliegen nicht der Besteuerung.</t>
  </si>
  <si>
    <t>Wie für Arbeitnehmer. Leistungen unterliegen nicht der Steuer.</t>
  </si>
  <si>
    <t>Identisch mit denen für Arbeitnehmer (Keine Sozialabgaben bei der Rente, jedoch bei Bezug von Verletztengeld.)</t>
  </si>
  <si>
    <t>Gleiche Bedingungen wie für Arbeitnehmer. Keine Beiträge zahlbar.</t>
  </si>
  <si>
    <t>BSVG und GSVG: Gleiche Regelung wie bei unselbständig Erwerbstätigen (Keine Sozialabgaben).</t>
  </si>
  <si>
    <t>Selbstständige und Landwirte
Wie für die Arbeitnehmer.</t>
  </si>
  <si>
    <t>Gleiche Regelungen wie für Arbeitnehmer: keine Beiträge auf die Leistungen.</t>
  </si>
  <si>
    <t>Versicherte Personen</t>
  </si>
  <si>
    <t>Ausnahmen von der Deckung  der Pflichtversicherung</t>
  </si>
  <si>
    <t>Rentenalter</t>
  </si>
  <si>
    <t xml:space="preserve"> Anwartschaftszeit und sonstige Anspruchsvoraussetzungen für den Bezug einer Altersrente</t>
  </si>
  <si>
    <t>Rentenaufschub</t>
  </si>
  <si>
    <t>Berechnungsmethode, Rentenformel bzw. Beträge</t>
  </si>
  <si>
    <t>Referenzeinkommen bzw. Berechnungsgrundlage</t>
  </si>
  <si>
    <t>Anrechenbare oder als Beitragszeiten gewertete Zeiträume</t>
  </si>
  <si>
    <t>Rückkauf von Versicherungszeiten</t>
  </si>
  <si>
    <t>Besondere Zulagen</t>
  </si>
  <si>
    <t>Mindestrente und bedürftigkeitsabhängige Leistung</t>
  </si>
  <si>
    <t>Höchstrente</t>
  </si>
  <si>
    <t>Besteuerung von Renten</t>
  </si>
  <si>
    <t>Einkommensgrenze für Besteuerung von Renten</t>
  </si>
  <si>
    <t>Auf Renten anfallende Sozialabgaben</t>
  </si>
  <si>
    <t>Verstorbener Versicherter</t>
  </si>
  <si>
    <t>Hinterbliebener Ehegatte</t>
  </si>
  <si>
    <t>Geschiedener Ehegatte</t>
  </si>
  <si>
    <t>Hinterbliebene Lebenspartner</t>
  </si>
  <si>
    <t>Kinder</t>
  </si>
  <si>
    <t>Andere Personen</t>
  </si>
  <si>
    <t>Hinterbliebener Ehegatte, geschiedener Ehegatte, hinterbliebene Lebenspartner</t>
  </si>
  <si>
    <t>Hinterbliebener Ehegatte: Wiederheirat</t>
  </si>
  <si>
    <t>Andere Berechtigte</t>
  </si>
  <si>
    <t>Höchster zahlbarer Gesamtbetrag für alle Berechtigten</t>
  </si>
  <si>
    <t>Sonstige Leistungen</t>
  </si>
  <si>
    <t>Mindestleistung</t>
  </si>
  <si>
    <t>Höchstleistung</t>
  </si>
  <si>
    <t>Besteuerung von Geldleistungen</t>
  </si>
  <si>
    <t>Einkommensgrenze für Besteuerung von Geldleistungen</t>
  </si>
  <si>
    <t>Auf Leistungen anfallende Sozialabgaben</t>
  </si>
  <si>
    <t>Vorruhestand</t>
  </si>
  <si>
    <t>Ausnahmen von der Versicherungspflicht</t>
  </si>
  <si>
    <t>Berufskrankheiten: Risikoexposition und Haftungsfrist</t>
  </si>
  <si>
    <t>Antragsfrist</t>
  </si>
  <si>
    <t>Altersrente</t>
  </si>
  <si>
    <t xml:space="preserve"> Bestimmende Faktoren</t>
  </si>
  <si>
    <t>Zulagen für Unterhaltsberechtigte</t>
  </si>
  <si>
    <t>Beschwerliche und gefährliche Arbeit</t>
  </si>
  <si>
    <t>Teilrente</t>
  </si>
  <si>
    <t>Aufgeschobene Rente</t>
  </si>
  <si>
    <t>Indexbindung</t>
  </si>
  <si>
    <t>Leistungen</t>
  </si>
  <si>
    <t>Kumulation mit anderen Sozialleistungen</t>
  </si>
  <si>
    <t xml:space="preserve">Kumulation mit Erwerbseinkommen </t>
  </si>
  <si>
    <t>Kombination von selbstständiger und unselbstständiger Tätigkeit</t>
  </si>
  <si>
    <t xml:space="preserve">Voraussetzungen für den Zugang zu Diensten/Leistungen </t>
  </si>
  <si>
    <t>Beträge, Dauer und Kostenbeteiligung</t>
  </si>
  <si>
    <t>Besteuerung und Sozialabgaben</t>
  </si>
  <si>
    <t>Hinterbliebene</t>
  </si>
  <si>
    <t>Rechtsgrundlage</t>
  </si>
  <si>
    <t>Selbstständige</t>
  </si>
  <si>
    <t>Arbeitsunfälle und Berufskrankheiten</t>
  </si>
  <si>
    <t>Hinterbliebener Ehegatte, Kinder, Andere</t>
  </si>
  <si>
    <t>Tod</t>
  </si>
  <si>
    <t>Anwendungsbereich</t>
  </si>
  <si>
    <t>Grundprinzipien</t>
  </si>
  <si>
    <t>Voraussetzungen für die Deckung</t>
  </si>
  <si>
    <t>Arbeitsunfälle</t>
  </si>
  <si>
    <t>Berufskrankheiten</t>
  </si>
  <si>
    <t>Berechnungsmethode oder Leistungsformel</t>
  </si>
  <si>
    <t>Teilleistung</t>
  </si>
  <si>
    <t>Referenzeinkommen oder Berechnungsgrundlage</t>
  </si>
  <si>
    <t>Mindestbeträge und Höchstbeträge</t>
  </si>
  <si>
    <t>Höchstdauer</t>
  </si>
  <si>
    <t>Zulagen für Pflege durch Dritte</t>
  </si>
  <si>
    <t>Andere Leistungen</t>
  </si>
  <si>
    <t>Abfindung</t>
  </si>
  <si>
    <t>Berufliche Aus- und Weiterbildung und berufliche Rehabilitation</t>
  </si>
  <si>
    <t>Sanktionen</t>
  </si>
  <si>
    <t>Kumulation mit Erwerbseinkommen</t>
  </si>
  <si>
    <t>Geltende Rechtsgrundlage</t>
  </si>
  <si>
    <t>Anwendungsbereich (in Bezug auf Verstorbene)</t>
  </si>
  <si>
    <t>Headline</t>
  </si>
  <si>
    <t>Unterthema</t>
  </si>
  <si>
    <t>Stichwort</t>
  </si>
  <si>
    <t>Ausnahmen von der Deckung der Pflichtversicherung (in Bezug auf Verstorbene)</t>
  </si>
  <si>
    <t>Berechtigte Personen</t>
  </si>
  <si>
    <t xml:space="preserve">  Kumulation mit anderen Sozialleistungen</t>
  </si>
  <si>
    <t xml:space="preserve"> Besteuerung von Geldleistungen</t>
  </si>
  <si>
    <t>Wartezeit</t>
  </si>
  <si>
    <t>Lohnfortzahlung durch den Arbeitgeber</t>
  </si>
  <si>
    <t>Beurteilungskriterien</t>
  </si>
  <si>
    <t>Gutachter</t>
  </si>
  <si>
    <t>Überprüfung</t>
  </si>
  <si>
    <t>Sachleistungen - Gesundheitsversorgung</t>
  </si>
  <si>
    <t>Unterhema</t>
  </si>
  <si>
    <t>Invalidität</t>
  </si>
  <si>
    <t>Arbeitnehmer:
Gesetz über die Gesundheitspflege- und Entschädigungspflichtversicherung (Loi relative à l'assurance obligatoire soins de santé et indemnités/Wet betreffende de verplichte verzekering voor geneeskundige verzorging en uitkeringen) in der Fassung vom 14. Juli 1994, Königlicher Erlass vom 3. Juli 1996 zur Ausführung dieses Gesetzes und Verordnung vom 16. April 1997 zur Ausführung des Artikels 80, 5° dieses Gesetzes.
Selbstständige:
Königlicher Erlass vom 20. Juli 1971 zur Schaffung einer Entschädigungsversicherung und einer Mutterschaftsversicherung für Selbstständige und ihre mithelfenden Familienangehörigen (Arrêté royal instituant une assurance indemnités et une assurance maternité en faveur des travailleurs indépendants et des conjoints aidants/Koninklijk besluit houdende instelling van een uitkeringsverzekering en een moederschapsverzekering ten voordele van de zelfstandigen en van de meewerkende echtgenoten).
Verzeichnis der Rechtsakte: Moniteur Belge - Belgisch Staatsblad (fgov.be)</t>
  </si>
  <si>
    <t>Vorwiegend aus Beiträgen finanziertes obligatorisches Sozialversicherungssystem für die erwerbstätige Bevölkerung (Arbeitnehmer und Selbstständige).
Für Arbeitnehmer: entgeltbezogene Leistungen.
Für Selbstständige: pauschale Leistungen.Die Entschädigungsversicherung (Arbeitsunfähigkeit und Invalidität) ist ein eigener Zweig der Altersvorsorge.
Keine spezifische Sozialhilfe für Invalidität</t>
  </si>
  <si>
    <t>Arbeitnehmer mit Arbeitsvertrag und Gleichgestellte.
Zu besonderen Regeln für Selbstständige: siehe Anhang zur Sozialversicherung für Selbstständige. 
Keine Möglichkeit einer freiwilligen Versicherung.
Keine Wohnsitzpflicht und keine Bedingungen bezüglich der Staatsangehörigkeit.
Bedingung ist jedoch, dass eine Pflichtmitgliedschaft bei der belgischen Sozialversicherung besteht.</t>
  </si>
  <si>
    <t>1. Anwartschaftszeit</t>
  </si>
  <si>
    <t xml:space="preserve">2. Begutachtungskriterien und Kategorien der Arbeitsunfähigkeit/Arbeitsfähigkeit  </t>
  </si>
  <si>
    <t>Minderung der Erwerbsfähigkeit um mindestens 66%.
Es obliegt dem Vertrauensarzt, die Erwerbsunfähigkeit eines Versicherten anzuerkennen (siehe Kategorie Gedecktes Risiko: Begriffsbestimmungen)</t>
  </si>
  <si>
    <t>3. Zeitraum der Leistungszahlung</t>
  </si>
  <si>
    <t>Ab dem Tag nach Ablauf der "primären Arbeitsunfähigkeit" (nach einem Jahr) und maximal bis zum Eintritt in den Ruhestand.
Solange eine Person vom Vertrauensarzt oder medizinischen Invalidenausschuss als arbeitsunfähig im Sinne der Entschädigungsversicherung anerkannt wird, erhält sie weiterhin ihre Leistungen.
Eine Entscheidung über die Anerkennung der Arbeitsunfähigkeit kann jederzeit erneut überprüft werden, wenn der Versicherte die Voraussetzungen für die Anerkennung der Arbeitsunfähigkeit nicht mehr erfüllt.
Keine Vorruhestandsregelung bei geminderter Erwerbsfähigkeit (im Rahmen der Entschädigungsversicherung).</t>
  </si>
  <si>
    <t>Begutachtung</t>
  </si>
  <si>
    <t>1. Gutachter</t>
  </si>
  <si>
    <t xml:space="preserve">2. Überprüfung  </t>
  </si>
  <si>
    <t>Keine Revision.
Eine ärztliche Untersuchung ist jedoch während der Arbeitsunfähigkeit (ab dem 7. Monat der Arbeitsunfähigkeit (zur Aufrechterhaltung der Anerkennung der Arbeitsunfähigkeit)) und während der Zeit der Invalidität (erster Antrag auf Anerkennung oder bei Beantragung der Verlängerung der Invalidität) möglich.
Es wurde keine gesetzliche Frist gesetzt.</t>
  </si>
  <si>
    <t>1. Berechnungsmethode bzw. Rentenformel</t>
  </si>
  <si>
    <t>2. Referenzeinkommen bzw. Berechnungsgrundlage</t>
  </si>
  <si>
    <t>Die Invaliditätsentschädigung (indemnité d'invalidité/invaliditeitsuitkering) errechnet sich durch Anwendung eines Prozentsatzes des entgangenen Tagesbruttoarbeitsentgelts, jedoch bis zur folgenden Bemessungsgrenze:
Datum des Eintritts der Invalidität                              max. Vergütung
Zwischen 1.1.2022 und 31,12,2023                             181,1385 €
ab 1.1.2024                                                                          183,1311 €
Die Höhe richtet sich ebenfalls nach dem Datum des Eintretens der Erwerbsunfähigkeit.
Die Berechnungsmodalitäten sind im Abschnitt „Leistungen – Berechnungsmethode bzw. Rentenformel“ dargelegt.</t>
  </si>
  <si>
    <t>3. Mindest- und Höchstleistungen</t>
  </si>
  <si>
    <t>4. Anrechenbare oder als Beitragszeiten gewertete Zeiträume</t>
  </si>
  <si>
    <t>Keine anrechenbaren beitragsfreien Zeiten.</t>
  </si>
  <si>
    <t xml:space="preserve">5. Zulagen für Unterhaltsberechtigte  </t>
  </si>
  <si>
    <t>Sind unterhaltsberechtigte Personen vorhanden, so wird der höhere Haushaltssatz (65% des Bruttoentgelts) gewährt (siehe Rentenformel).
 Kinder: Siehe Tabelle IX "Familienleistungen: Sonderfälle Rentenempfänger":</t>
  </si>
  <si>
    <t xml:space="preserve">Wiedereingliederung in die Erwerbstätigkeit  </t>
  </si>
  <si>
    <t>Umschulung, berufsbezogene Rehabilitation</t>
  </si>
  <si>
    <t xml:space="preserve">Bevorzugte und reservierte Beschäftigung von Menschen mit Behinderungen  </t>
  </si>
  <si>
    <t>Keine Maßnahmen.</t>
  </si>
  <si>
    <t>Rentenanpassung</t>
  </si>
  <si>
    <t>Indexbindung/Anpassung</t>
  </si>
  <si>
    <t>Automatische Anpassung der Leistungen um 2%, wenn sich der Verbraucherpreisindex im Verhältnis zum vorherigen Index um 1,02 erhöht hat.
Anpassung der Leistungshöhe an die Entwicklung des allgemeinen Lebensstandards durch jährliche Festsetzung eines Koeffizienten oder pauschale Anpassung in Form einer Zulage.</t>
  </si>
  <si>
    <t>Eine während der Arbeitsunfähigkeit ausgeübte berufliche Tätigkeit kann vom Vertrauensarzt der Versicherung genehmigt werden. Der Betrag des Tagegeldes darf dabei nicht höher sein, als er ohne die Kumulation wäre.
 Wenn die angepasste Erwerbstätigkeit eine 1/5-Beschäftigung (20%) nicht überschreitet: keine Minderung der Leistung, bei angepasster Erwerbstätigkeit.
 Die eine 1/5-Beschäftigung (20%) überschreitet: Kürzung der Leistung entsprechend der durchschnittlichen Anzahl von Stunden der angepassten Erwerbstätigkeit, die über eine 1/5-Beschäftigung hinausgehen (siehe Tabelle Krankheit – Geldleistungen, Leistung bei krankheitsbedingter Verringerung der Erwerbstätigkeit).</t>
  </si>
  <si>
    <t>Kumulierung mit Leistungen aufgrund von Arbeitsunfällen oder Berufskrankheiten nur bis zu einem gesetzlichen Höchstbetrag möglich.</t>
  </si>
  <si>
    <t>1. Besteuerung von Geldleistungen</t>
  </si>
  <si>
    <t>Leistungen unterliegen der Besteuerung mit Ausnahme der Beihilfe für die Hilfe einer Drittperson (allocation pour l'aide d'une tierce personne/tegemoetkoming voor hulp van derde), die nicht steuerpflichtig ist.</t>
  </si>
  <si>
    <t>2. Einkommensgrenze für Besteuerung von Geldleistungen</t>
  </si>
  <si>
    <t>3. Auf Leistungen anfallende Sozialabgaben</t>
  </si>
  <si>
    <t>Abzug von 3,55% für die Kranken- und Invaliditätsversicherung, sofern die Rente nicht unter einen Betrag von monatlich € 2.414,97 bzw. - für Personen ohne Unterhaltsberechtigte - unter € 2.037,72 sinkt.</t>
  </si>
  <si>
    <t>Selbständige</t>
  </si>
  <si>
    <t>Entspricht den Leistungen im Krankheitsfall.</t>
  </si>
  <si>
    <t>Dauert die Arbeitsunfähigkeit länger als ein Jahr an, gewähren beide Systeme unter bestimmten Bedingungen eine Invaliditätsentschädigung.
Um in der Periode der Invalidität weiterhin als arbeitsunfähig anerkannt zu sein, dürfen Selbstständige nicht in der Lage sein, eine andere berufliche Tätigkeit als die zuvor ausgeübte Tätigkeit auszuführen.
Ihre soziale Lage, ihr Gesundheitszustand und ihre berufliche Ausbildung werden unter anderem berücksichtigt, um zu bestimmen, ob sie noch eine andere Tätigkeit (selbstständig oder unselbstständig) ausüben können.</t>
  </si>
  <si>
    <t> Es wird eine pauschale Entschädigung pro Tag gewährt, die entsprechend der familiären Situation und der Geschäftsaufgabe zwischen 48,32 (Zusammenlebende) und 79,51 (mit Familienlast) beträgt.</t>
  </si>
  <si>
    <t xml:space="preserve"> Auf Leistungen anfallende Sozialabgaben</t>
  </si>
  <si>
    <t>Alter</t>
  </si>
  <si>
    <t>1. Versicherte Personen</t>
  </si>
  <si>
    <t>2. Ausnahmen von der Deckung  der Pflichtversicherung</t>
  </si>
  <si>
    <t>Anspruchsvoraussetzungen</t>
  </si>
  <si>
    <t>1. Rentenalter</t>
  </si>
  <si>
    <t>2. Anwartschaftszeit und sonstige Anspruchsvoraussetzungen für den Bezug einer Altersrente</t>
  </si>
  <si>
    <t>3. Vorruhestand</t>
  </si>
  <si>
    <t>4. Beschwerliche und gefährliche Arbeit</t>
  </si>
  <si>
    <t>5. Rentenaufschub</t>
  </si>
  <si>
    <t>1. Bestimmende Faktoren</t>
  </si>
  <si>
    <t>2. Berechnungsmethode, Rentenformel bzw. Beträge</t>
  </si>
  <si>
    <t>3. Referenzeinkommen bzw. Berechnungsgrundlage</t>
  </si>
  <si>
    <t>5. Rückkauf von Versicherungszeiten</t>
  </si>
  <si>
    <t>7. Besondere Zulagen</t>
  </si>
  <si>
    <t>8. Mindestrente und bedürftigkeitsabhängige Leistung</t>
  </si>
  <si>
    <t>9. Höchstrente</t>
  </si>
  <si>
    <t>10. Vorruhestand</t>
  </si>
  <si>
    <t>11. Beschwerliche und gefährliche Arbeit</t>
  </si>
  <si>
    <t>12. Teilrente</t>
  </si>
  <si>
    <t>Indexbindung / Anpassung</t>
  </si>
  <si>
    <t xml:space="preserve">   Kumulation mit anderen Sozialleistungen</t>
  </si>
  <si>
    <t>1. Besteuerung von Renten</t>
  </si>
  <si>
    <t>2. Einkommensgrenze für Besteuerung von Renten</t>
  </si>
  <si>
    <t>3. Auf Renten anfallende Sozialabgaben</t>
  </si>
  <si>
    <t>Alter (Selbständige)</t>
  </si>
  <si>
    <t>Anspruchsveraussetzungen</t>
  </si>
  <si>
    <t>1. Verstorbener Versicherter</t>
  </si>
  <si>
    <t>2. Hinterbliebener Ehegatte</t>
  </si>
  <si>
    <t>3. Geschiedener Ehegatte</t>
  </si>
  <si>
    <t>4. Hinterbliebene Lebenspartner</t>
  </si>
  <si>
    <t>5. Kinder</t>
  </si>
  <si>
    <t>6. Andere Personen</t>
  </si>
  <si>
    <t>1. Hinterbliebener Ehegatte, geschiedener Ehegatte, hinterbliebene Lebenspartner</t>
  </si>
  <si>
    <t>2. Hinterbliebener Ehegatte: Wiederheirat</t>
  </si>
  <si>
    <t>3. Kinder</t>
  </si>
  <si>
    <t>4. Andere Berechtigte</t>
  </si>
  <si>
    <t xml:space="preserve"> 5. Höchster zahlbarer Gesamtbetrag für alle Berechtigten</t>
  </si>
  <si>
    <t>6. Sonstige Leistungen</t>
  </si>
  <si>
    <t>7. Mindestleistung</t>
  </si>
  <si>
    <t xml:space="preserve"> 8. Höchstleistung</t>
  </si>
  <si>
    <t>Sozialgesetzbuch (Кодекс за социално осигуряване) von 1999, Abschnitt 2003 novelliert.
Arbeitsgesetzbuch (Кодекс на труда) von 1986.
Gesetz über den Haushalt der staatlichen Sozialversicherung für das Jahr 2025 (Закон за бюджета на държавното обществено осигуряване за 2025 г.), 2025
Gesetz über Menschen mit Behinderungen (Закон за хората с увреждания) von 2019.
Sozialhilfegesetz (Закон за социално подпомагане) von 1998.
Ausführungsbestimmungen zum Sozialhilfegesetz (Закон за социално подпомагане) von 1998.
Verordnung des Ministerrats (Министерски съвет) Nr. 103 vom 25. Juni 2025 zur Festsetzung des neuen Betrages der sozialen Altersrente (Социална пенсия за старост) für 2025.</t>
  </si>
  <si>
    <t>Beitragsfinanziertes Sozialversicherungssystem mit entgeltbezogenen Leistungen für Erwerbstätige. Teil des staatlichen Rentensystems.
Für Leistungen bei Arbeitsunfällen/ Berufskrankheiten gibt es ein besonderes Sicherungssystem.
Kein spezifisches Sozialhilfesystem bei Invalidität.</t>
  </si>
  <si>
    <t xml:space="preserve">
   * Arbeitnehmer,
   * Seeleute,
   * Beamte,
   * Richter, Staatsanwälte, Ermittlungsbeamte, Gerichtsvollzieher und Gerichtsangestellte sowie Anwärter für diese Berufe
   * Angehörige der Streitkräfte,
   * bezahlte und aktive Mitglieder von Genossenschaften,
   * Führungskräfte und bevollmächtigte Vertreter der Firmen, Einzelunternehmer und ihre Filialen, Mitglieder des Verwaltungsrates, Geschäftsführer und Leiter von Handelsgesellschaften sowie mit der Leitung bzw. Aufsicht staats- und gemeindeeigener Betriebe gemäß Kapitel Neun des Handelsgesetzbuches betraute Personen, deren Tochtergesellschaften oder andere juristische Personen gemäß dem Gesetz,
   * Personen in Wahlfunktionen,
   * Priester der Bulgarischen Orthodoxen Kirche und anderer registrierter Religionsgemeinschaften,
   * Personen, die wilde Pilze und Früchte sammeln,
   * Angehörige freier Berufe und Handwerker,
   * Einzelunternehmer, Eigentümer oder Teilhaber von Handelsgesellschaften,
   * registrierte Landwirte,
   * Personen, die ohne Arbeitsvertrag arbeiten und nicht anderweitig versichert sind, vorausgesetzt ihr Nettoverdienst entspricht mindestens dem nationalen Mindestlohn;
   * Personen, die ohne Arbeitsvertrag arbeiten und aus anderen Gründen versichert sind während des Monats ihrer Tätigkeit unabhängig von der Höhe ihrer Entlohnung.</t>
  </si>
  <si>
    <t>Leistungsanspruch: 50% Minderung der Erwerbsfähigkeit/Grad der Behinderung.
Verschiedene Kriterien kommen je nach Art der Behinderung zur Anwendung.</t>
  </si>
  <si>
    <t>Die Invalidenrente (Пенсия за инвалидност) wird ab dem Datum des Eintretens der Erwerbsunfähigkeit über den Invaliditätszeitraum oder auf Lebenszeit gewährt, falls die Erwerbstätigkeit nach Erreichen des Ruhestandsalters eintritt und der Betrag die Altersrente übersteigt.
Die Dauer des Anspruchs richtet sich nicht nach der Art der Invalidität.
Kein Vorruhestand bei eingeschränkter Erwerbsfähigkeit.</t>
  </si>
  <si>
    <t>Die Bewertung wird von dem regionalen Fachausschuss für ärztliche Untersuchung/staatlichen Fachausschuss für ärztliche Untersuchung auf der Grundlage der medizinischen Dokumentation zum Beleg des Schweregrads der Beeinträchtigung und, falls erforderlich, einer eingehenden klinischen und funktionellen Untersuchung durchgeführt. Die Bewertungsverfahren sind landesweit identisch.
Die beiden Ausschüsse entscheiden auch über die Notwendigkeit ausländischer Hilfe und bei einem Grad der dauerhaften Erwerbsminderung (Invaliditätsgrad) von 80 %, wenn eine oder mehrere Begleiterkrankungen mehr als 50 % der dauernden Erwerbsminderung (Invaliditätsgrad) verursachen.
Die Entscheidung der medizinischen Behörden kann vor einer höheren medizinischen Behörde oder einem Gericht angefochten werden.</t>
  </si>
  <si>
    <t>Die Invalidenrente (Пенсия за инвалидност) wird für den Zeitraum der Erwerbsminderung gewährt; die betroffene Person hat sich bei dem für die Festsetzung zuständigen regionalen Fachausschuss für ärztliche Untersuchung (Териториални експертни лекарски комисии) vorzustellen, wenn eine Verlängerung der Leistung beantragt wird.
Die erneute Bewertung wird nach dem Ablaufdatum der Entscheidung der medizinischen Behörden, die für einen Zeitraum von höchstens 3 Jahren ausgestellt wird, durchgeführt.</t>
  </si>
  <si>
    <t>Jeder Arbeitgeber mit mehr als 50 Angestellten ist verpflichtet, Arbeitsplätze für Personen mit verringerter Erwerbsfähigkeit bereitzustellen und entsprechend anzupassen (jeweils 1 Arbeitsplatz für Arbeitgeber mit 50-99 Arbeitnehmer und 2 % aller Arbeitnehmer für Arbeitgeber mit 100 und mehr Arbeitnehmern).
Der Arbeitgeber kann bei der Agentur für Personen mit Behinderungen (Агенция за хората с увреждания) im Rahmen eines nationalen Beschäftigungsprogramms für Personen mit Behinderungen Zuschüsse für behindertengerechten Zugang zum Arbeitsplatz, für Anpassungen und Ausstattung für Personen mit dauerhaften Behinderungen, für Qualifizierung, Umschulung oder Schulungen für die berufliche Weiterentwicklung sowie unter Umständen andere Aktivitäten beantragen. Nach Erhalt des Zuschusses muss der Arbeitgeber für mindestens drei Jahre Menschen mit dauerhafter Behinderung beschäftigen. Ein solcher Arbeitgeber hat Anspruch auf Erstattung von 30 % der für den behinderten Arbeitnehmer gezahlten Sozialabgaben aus der Staatskasse.
Der Staat deckt 50 % der Beiträge für Menschen mit Behinderungen und ihre Betreuer, die für bestimmte Arbeitgeber arbeiten, wie z. B. spezialisierte Unternehmen und Kooperativen für Menschen mit Behinderungen und Einrichtungen zur Arbeitsaufnahme (d. h. Einheiten für Ergotherapie und Rehabilitation für Personen mit Behinderungen, die in spezialisierten Einrichtungen für soziale Dienste errichtet wurden). Diese Fonds werden für Investitionen, Rehabilitation und soziale Eingliederung von Personen mit Behinderungen und ihrer Betreuer genutzt.
Wenn ein Arbeitgeber eine Produktionseinheit oder -abteilung einrichtet, in der mindestens 5 Personen mit Behinderungen beschäftigt sind, kann dieser Arbeitgeber für diese Produktionsstrukturen eine Förderung im Rahmen von gezielten Projekten und Programmen für spezialisierte Unternehmen und Kooperativen für Personen mit Behinderungen beantragen und hat zudem Anspruch auf eine Finanzierung von 50 % der Abgaben für die dort beschäftigten Personen mit Behinderungen durch den Staatshaushalt.
Die Agentur für Personen mit Behinderungen realisiert und bezuschusst Programme und Projekte zum Unternehmertum für Personen mit Behinderungen und finanziert auch spezialsierte Unternehmen und Kooperativen von Menschen mit Behinderungen im Rahmen zielgerichteter Programme und Projekte.
Um Menschen mit multiplen, dauerhaften Behinderungen, Menschen mit psychischen Problemen und mentalen Störungen eine Be-schäftigung anzubieten, können Zentren geschützter Beschäftigung eingerichtet werden.
Zentren geschützter Beschäftigung sowie Einrichtungen für Arbeit und Behandlung können in den spezialisierten Unternehmen und Kooperativen von Menschen mit Behinderugen etabliert werden.</t>
  </si>
  <si>
    <t>Renten, die bis zum 31. Dezember jedes Jahres gewährt werden, werden jährlich am 1. Juli des folgenden Jahres um einen Prozentsatz, der der Summe von 50 % der Erhöhung des beitragspflichtigen Einkommens und 50 % des Verbraucherpreisindexes im vorangegangenen Kalenderjahr entspricht (so genannte „Schweizer Regel”) angepasst. Ist der Prozentsatz negativ, wird die Rente nicht angepasst.</t>
  </si>
  <si>
    <t> Kumulierung ist uneingeschränkt möglich. Invaliditätsleistungen werden nicht gekürzt.</t>
  </si>
  <si>
    <t>Nicht anwendbar. Renten unterliegen keiner Besteuerung.</t>
  </si>
  <si>
    <t>Kein spezifisches System für Selbstständige. Sie sind vom allgemeinen System abgedeckt.
Als Selbstständige zählen Freiberufler oder ausgebildete Handwerker, Einzelunternehmer, Unternehmensinhaber oder -partner, Mitglieder rechtsfähiger Vereine, Besteuerte nach Artikel 26(7) des Einkommenssteuergesetzes sowie eingetragene Landwirte und Tabakproduzenten.</t>
  </si>
  <si>
    <t>Keine spezifischen Vorschriften. Selbstständige zahlen Sozialabgaben auf die Summe ihres versicherbaren Einkommens, aber nicht mehr als das versicherbare Höchsteinkommen (BGN 4.130 (€ 2.112)).</t>
  </si>
  <si>
    <t>Konsolidiertes Gesetz Nr. 1123 vom 21. Oktober 2024 über Volksrenten (lov om social pension).
Konsolidiertes Gesetz Nr. 1033 vom 2. September 2024 über Invalidenrente usw. (lov om højeste, mellemste, forhøjet almindelig og almindelig førtidspension mv).
Konsolidiertes Gesetz Nr. 909 vom 3. Juli 2024 über Leistungen der sozialen Dienste (lov om social service).
Verzeichnis der Rechtsakte: https://www.retsinformation.dk/</t>
  </si>
  <si>
    <t>Steuerfinanziertes universelles System für die gesamte Bevölkerung, das Teil des Rentensystems ist und einkommensbezogene Leistungen bereitstellt: Invalidenrente (førtidspension) und Seniorenrente (seniorpension).
Kein spezifisches System. Es gilt das allgemeine Mindestsicherungssystem (siehe Tabelle XI).</t>
  </si>
  <si>
    <t>Invalidenrente (førtidspension): Dauernde Verringerung der Arbeitsfähigkeit einer Person im Alter von 40 Jahren bis zum Rentenalter in einem Ausmaß, dass sie ihren Lebensunterhalt nicht selbst bestreiten kann. In besonderen Fällen gilt dies auch für Personen im Alter von 18 bis 39 Jahren, wenn es absolut erwiesen ist, dass sie nie wieder in der Lage sein werden zu arbeiten.
Die Seniorenrente (seniorpension) ist eine Leistung für diejenigen, deren Erwerbsfähigkeit in ihrer aktuellen Beschäftigung auf weniger als 15 Wochenstunden reduziert ist. Der Empfänger muss weniger als sechs Jahre bis zum Rentenalter und eine aktuelle Beteiligung im Arbeitsmarkt haben, die 20 bis 25 Jahre einer Vollzeitbeschäftigung entspricht. Bei diesem System müssen sie an keinen Rehabilitationsprogrammen teilnehmen.</t>
  </si>
  <si>
    <t>Alle Einwohner.
Der Anspruch hängt vom Wohnsitz ab, nicht von der Staatsbürgerschaft.</t>
  </si>
  <si>
    <t>Mindestens 3 Jahre Wohnsitz in Dänemark im Alter zwischen 15 Jahren und dem Rentenalter.
Ausländer: mindestens 10 Jahre Wohnsitz, davon 5 unmittelbar vor Auszahlung der Rente. Für Personen, die in einem anderen EU/EWR-Land oder der Schweiz gelebt und/oder gearbeitet haben sowie für Flüchtlinge gelten besondere Regeln. Besondere Regeln gelten auch für Personen, die in den Geltungsbereich des Handels- und Kooperationsabkommens zwischen dem Vereinigten Königreich und der Europäischen Union fallen.
Ab dem Rentenalter wird die Rente automatisch in eine Altersrente umgewandelt.</t>
  </si>
  <si>
    <t>Invalidenrente (førtidspension): Die Arbeitsfähigkeit einer Person zwischen 40 Jahren und dem Rentenalter muss dauerhaft zu einem solchen Grad vermindert sein, dass die Person ihren eigenen Lebensunterhalt nicht bestreiten kann, auch nicht durch die Tätigkeit in einem Flexi-Job in irgendeiner Berufssparte. Die Arbeitsfähigkeit wird für jeden Fall von der Gemeinde und dem Rehabilitationsteam bemessen.
Bei einer Person im Alter zwischen 18 und 39 Jahren muss zweifellos erwiesen sein, dass sie nie arbeiten können wird.
Seniorenpension (seniorpension): Die Arbeitsfähigkeit beim letzten Arbeitsverhältnis ist auf weniger als 15 Stunden pro Woche reduziert. Die Arbeitsfähigkeit wird von der Abteilung für Seniorenpensionen (Senionpensionsenhed) ermittelt.
Kein offizielles Mindestmaß an Arbeitsfähigkeit festgelegt.</t>
  </si>
  <si>
    <t>Die Invalidenrente (førtidspension) wird an Personen im Alter zwischen 18 Jahren und dem Rentenalter gezahlt, die einen Rentenanspruch haben. Die Rente wird dauerhaft bis zum Rentenalter gewährt.
Zahlbar ist die Rente ab dem ersten Tag des Monats nach der Entscheidung, spätestens jedoch ab dem ersten Tag des vierten Monats nach Annahme des Antrags durch die Gemeinde. Entscheidend für die Rentengewährung ist das Datum, an dem die Gemeinde mit der Prüfung des Antrags beginnt.
Die Seniorenrente (seniorpension) wird an Personen gezahlt, die Anspruch auf Rente haben und denen weniger als 6 Jahre bis zum Renteneinstiegsalter fehlen. Die Rente wird dauerhaft bis zum Renteneinstiegsalter gewährt.
Die Rente wird ab dem ersten Tag des Monats nach der Entscheidung, spätestens jedoch ab dem ersten Tag des sechsten Monats nach der Antragstellung gezahlt.</t>
  </si>
  <si>
    <t>Invalidenrente (førtidspension): In den meisten Fällen prüft die Gemeinde einen Fall und leitet ihn an ein Rehabilitationsteam weiter. Die Rehabilitationsteams setzen sich aus Vertretern des Arbeitsmarktsektors, des Gesundheitssektors, des Sozialbereichs und des Bildungssektors zusammen. Das Rehabilitationsteam weist Personen einem interdisziplinären Rehabilitationsprogramm, einem Flexi-Job, einer Invaliditätsrente oder einer anderen Initiative zu. Danach gewährt die Gemeinde den Personen mit Rentenanspruch die Invalidenrente.
Ihre Entscheidung kann beim Beschwerdeausschuss der Sozialversicherung angefochten werden.
Seniorenrente (Seniorpension): Der Antrag wird bei einer zentralen staatlichen Behörde (Abteilung für Seniorenpensionen) gestellt. In den meisten Fällen wird die Dienststelle die Wohngemeinde des Antragstellers um Hilfe bei der Beurteilung der Arbeitsfähigkeit bitten und die Seniorenrente gewähren, wenn die Bedingungen erfüllt sind.
Ihre Entscheidung kann beim Beschwerdeausschuss der Sozialversicherung angefochten werden.</t>
  </si>
  <si>
    <t>Invalidenrente (førtidspension): Die Berechtigung wird sehr selten neu geprüft. Die lokalen Behörden sind jedoch verpflichtet, eine Invalidenrente zurückzuziehen, wenn sich die Arbeitsfähigkeit deutlich verbessert hat, so dass die Person in der Lage ist, durch eine entlohnte Tätigkeit für ihren Lebensunterhalt zu sorgen. Zwischen dem 1. Januar 2023 und dem 31. Dezember 2025 kann die Invalidenrente nicht zurückgezogen, sondern nur eingefroren werden.
Seniorenrente (seniorpension): Keine Überprüfung. Die Pension kann nicht entzogen werden.</t>
  </si>
  <si>
    <t>Rentenansprüche werden nach der Dauer des Wohnsitzes zwischen dem Alter von 15 Jahren und dem Rentenalter berechnet.
Invalidenrente (førtidspension) und Seniorenrente (seniorpension):
Monatliche Beträge:
   * DKK 21.103 (€2.828) für eine Person,
   * DKK 17.938 (€2.404) für verheiratete oder zusammenlebende Empfänger.
Der Betrag wird reduziert, wenn das Jahreseinkommen (vor Steuern) einen bestimmten Grenzwert überschreitet:
   * DKK 90.000 (€12.062) für eine Person,
   * DKK 143.000 (€19.165) für verheiratete oder zusammenlebende Empfänger.
Der Betrag variiert nicht nach dem Grad der Arbeitsunfähigkeit; er kann jedoch gekürzt werden, wenn der Begünstigte oder der Ehepartner/zusammenlebende Partner über Einkommen verfügt (Einkünfte aus Erwerbstätigkeit führen nicht zu einer Reduzierung des Betrags).
Häufigkeit der Zahlungen: monatlich. Keine zusätzlichen Zahlungen in das Sozialrentensystem.</t>
  </si>
  <si>
    <t>Die Höhe der Leistung kann durch die Höhe des Jahreseinkommens (vor Steuern) beeinflusst werden, das sich zusammensetzt aus:
   * Persönlichem Einkommen;
   * Positiven Kapitalerträgen;
   * Eigenkapitalertrag.
Hat die Person einen Ehepartner oder Lebenspartner, hat deren Gesamtjahreseinkommen Einfluss auf den Leistungsbetrag. Das persönliche Arbeitseinkommen des Ehepartners/Lebenspartners wird jedoch nicht berücksichtigt.</t>
  </si>
  <si>
    <t>Mindestrente:
   * DKK 5.778 (€774) für eine alleinstehende Person,
   * DKK 4.967 (€666) für verheiratete oder zusammenlebende Empfänger.
Maximale Rente:
   * DKK 21.103 (€2.829) für eine Person,
   * DKK 17.938 (€2.404) für verheiratete oder zusammenlebende Empfänger.</t>
  </si>
  <si>
    <t>Keine anrechenbaren Zeiten.</t>
  </si>
  <si>
    <t>Keine Rentenzulage. Rentner haben jedoch Anspruch auf eine Zulage zu den Familienleistungen (siehe Tabelle IX „Familienleistungen“, „Kindergeld, 6. Sonderfälle“).</t>
  </si>
  <si>
    <t>Geldleistung zur Kompensation zusätzlicher Ausgaben aufgrund der Behinderung (merudgiftsydelse), die alle unten genannten Einzelleistungen ersetzt. Der Betrag wird für jeden Einzelfall aufgrund der voraussichtlichen Ausgaben festgelegt. Mindestausgaben pro Jahr: DKK 7.560 (€1.008).
Bestimmte Gruppen behinderter Menschen haben Anspruch auf Vergünstigungen bei Eisenbahn-, Schiffs- und Busbeförderung, so z. B. Blinde mit einer medizinischen Begleitperson.</t>
  </si>
  <si>
    <t>Maßnahmen zur Unterstützung für Personen mit Behinderungen zur Wiedereingliederung in den Arbeitsmarkt:
   * Unterhaltsbeihilfen während der beruflichen Rehabilitation;
   * Flexi-Jobs;
   * Persönliche Unterstützung für Personen mit Behinderungen in Beschäftigung und beim Arbeitsbewertungsverfahren;
   * Hilfen der örtlichen Behörden.
Die Berufsausbildung und die persönliche Rehabilitation werden von der Gemeinde durchgeführt. Die Teilnahme ist für den Empfänger einer Invaliditätsrente freiwillig.</t>
  </si>
  <si>
    <t>Behörden müssen bevorzugt Menschen mit Behinderungen einstellen, die in Privatunternehmen keine Beschäftigung finden, aber als fähig zur Ausübung der betreffenden Tätigkeit anzusehen sind.
Die Gemeinden gewähren Arbeitgebern Lohnkostenzuschüsse bei der Beschäftigung von behinderten Personen.
Eine Sozialklausel in Tarifverträgen wird die Chancen der Schwächsten auf dem Arbeitsmarkt verbessern.</t>
  </si>
  <si>
    <t>Der Anpassungssatz (satsreguleringsprocenten) von Volksrenten und anderen Transfereinkommen (overførselsindkomster) wird einmal jährlich auf der Grundlage der Lohnentwicklung festgelegt.</t>
  </si>
  <si>
    <t>Kumulierung möglich, jedoch wird die Leistung gekürzt.</t>
  </si>
  <si>
    <t>In der Regel ist es nicht möglich, Leistungen zu kumulieren, die denselben Unterhaltsbedarf decken sollen. Das bedeutet beispielsweise, dass eine Invaliditätsrente nicht mit einer anderen Unterhaltsgeldleistung kombiniert werden kann.
Es ist jedoch möglich, Unterhaltsleistungen wie eine Invaliditätsrente mit ergänzenden Leistungen, z. B. Wohngeld, zu kombinieren.
In diesem Fall wird die Höhe der Invaliditätsleistung nicht gekürzt.</t>
  </si>
  <si>
    <t>Invalidenrente (førtidspension)/Seniorenrente (seniorpension): Beiträge zum Zusatzrentensystem (Arbejdsmarkedets Tillægspension ATP).
Beiträge zum obligatorischen Rentensystem (Obligatorisk Pensionsordning) werden vom Staat gezahlt.</t>
  </si>
  <si>
    <t>Allgemeines wohnsitz- und steuerabhängiges Pflichtsystem (Invalidenrente/Seniorenpension).</t>
  </si>
  <si>
    <t>Dieselben wie für Arbeitnehmer (aber Leistungen für eine flexible Arbeit für Selbstständige werden gemäß dem Gewinn des Unternehmens berechnet).</t>
  </si>
  <si>
    <t>Sozialgesetzbuch Sechstes Buch, eingeführt durch das Rentenreformgesetz vom 18. Dezember 1989, in der Fassung der Bekanntmachung vom 19. Februar 2002 (BGBl. I S. 754, 1404, 3384) zuletzt geändert durch Art. 11 G v. 18.12.2024 (BGBl. I Nr. 423)
SGB 6 - nichtamtliches Inhaltsverzeichnis (gesetze-im-internet.de)</t>
  </si>
  <si>
    <t>Aus Beiträgen und Steuern im Umlageverfahren finanziertes obligatorisches Sozialversicherungssystem für Arbeitnehmer und einzelne Gruppen von Selbstständigen mit entgeltbezogenen Renten, deren Höhe von den Beiträgen und der Versicherungsdauer abhängt.
Die Erwerbsminderungsrente ist Teil des nationalen Rentensystems.
Kein spezifisches Sozialhilfesystem. Es gilt das allgemeine System der Mindestsicherung (siehe Tabelle XI).</t>
  </si>
  <si>
    <t xml:space="preserve">
   * Rente wegen voller Erwerbsminderung erhalten Versicherte, die wegen Krankheit oder Behinderung auf nicht absehbare Zeit außerstande sind, unter den üblichen Bedingungen des allgemeinen Arbeitsmarkts mindestens 3 Stunden täglich erwerbstätig zu sein.
   * Rente wegen teilweiser Erwerbsminderung erhalten Versicherte, die wegen Krankheit oder Behinderung auf nicht absehbare Zeit außerstande sind, unter den üblichen Bedingungen des allgemeinen Arbeitsmarkts mindestens 6 Stunden täglich erwerbstätig zu sein.
   * Versicherte, die zwar mindestens drei, aber nicht mehr 6 Stunden täglich erwerbstätig sein können, können eine Rente wegen voller Erwerbsminderung erhalten, so lange ein dem eingeschränkten Leistungsvermögen entsprechender Arbeitsplatz nicht vermittelt werden kann.
   * Versicherte, die vor dem 2. Januar 1961 geboren sind, können eine Rente wegen teilweiser Erwerbsminderung bei Berufsunfähigkeit erhalten, wenn sie berufsunfähig sind. Berufsunfähig sind Versicherte, die in ihrem bisherigen Beruf oder einem anderen zumutbaren Beruf nicht mehr 6 Stunden täglich arbeiten können.
</t>
  </si>
  <si>
    <t>Pflichtversicherung für Arbeitnehmer und für einzelne Gruppen von Selbstständigen sowie einige weitere Personengruppen (z. B. Kindererziehende, nicht erwerbsmäßig tätige Pflegepersonen).
Freiwillige Versicherung ab vollendetem 16. Lebensjahr für alle in Deutschland wohnenden Personen und alle Deutschen im Ausland möglich (siehe jedoch Tabelle V, ‘Bedingungen’).</t>
  </si>
  <si>
    <t>Befreiungsmöglichkeit für Arbeitnehmer mit einer ausschließlich geringfügig entlohnten Beschäftigung (bis zu €556 brutto monatlich) und Versicherungsfreiheit bei einer kurzfristigen Beschäftigung (bis zu 3 Monaten oder 70 Arbeitstagen im Kalenderjahr), es sei denn, dass die Beschäftigung berufsmäßig ausgeübt wird und ihr Entgelt €556 brutto im Monat übersteigt. Darüber hinaus gibt es weitere Befreiungsmöglichkeiten, etwa für versicherungspflichtige Mitglieder berufsständischer Versorgungswerke (z. B. Ärzte, Anwälte) oder für selbständige Handwerker nach 18 Jahren Pflichtbeitragszahlung.</t>
  </si>
  <si>
    <t>Arbeitnehmer und Selbstständige:
60 Monate Beitrags- und Ersatzzeiten vor Eintritt der Erwerbsminderung (allgemeine Mindestversicherungszeit) und grundsätzlich mindestens 36 Monate Pflichtbeiträge in den letzten 5 Jahren vor Eintritt der Erwerbsminderung. Verlängerung des Fünfjahreszeitraums ist möglich. Die Mindestversicherungszeit kann vorzeitig erfüllt sein, wenn der Versicherte zum Beispiel aufgrund eines Arbeitsunfalls oder innerhalb von 6 Jahren nach Beendigung einer Ausbildung vermindert erwerbsfähig geworden ist.
Menschen mit Behinderung:
Versicherte, die bereits vor Erfüllung der allgemeinen Wartezeit von 60 Monaten voll erwerbsgemindert waren und seitdem ununterbrochen voll erwerbsgemindert sind (z.B. bei schweren angeborenen oder in der Kindheit entstandenen Leiden) haben Anspruch auf Rente wegen voller Erwerbsminderung, wenn sie 240 Monate mit Beitrags- und Ersatzzeiten erfüllt haben. Als Wartezeit gilt zum Beispiel die Zeit der Beschäftigung in einer Werkstatt für Menschen mit Behinderung.</t>
  </si>
  <si>
    <t>Teilweise Erwerbsminderung:
Leistungsvermögen zwischen 3 bis unter 6 Stunden täglich, unabhängig von dem vor dem Leistungsfall ausgeübten Beruf. Abgestellt wird auf die üblichen Bedingungen und Anforderungen des allgemeinen Arbeitsmarktes.
Volle Erwerbsminderung:
Leistungsvermögen unter 3 Stunden täglich.</t>
  </si>
  <si>
    <t>Von dem Monat an, zu dessen Beginn die Bedingungen erfüllt sind. Befristete Erwerbsminderungsrenten werden ab dem siebten Kalendermonat nach Eintritt der Erwerbsminderung geleistet; vor dem siebten Kalendermonat, sofern zwischenzeitlich ein bestehender Anspruch auf Arbeitslosengeld oder Krankengeld entfällt.
Renten wegen voller oder teilweiser Erwerbsminderung werden grundsätzlich auf Zeit geleistet. Die Befristung erfolgt für längstens 3 Jahre. Verlängerungen sind möglich.
Ende der Rentenzahlung zum Monat, zu dem die Anspruchsvoraussetzungen wegfallen.
Mit Erreichen der Regelaltersgrenze wird die Rente in eine Altersrente umgewandelt. Es gibt keine Vorruhestandsregelung im Falle verminderter Arbeitsfähigkeit.</t>
  </si>
  <si>
    <t>Das individuelle Leistungsvermögen des Versicherten wird durch den sozialmedizinischen Dienst des Rentenversicherungsträgers beurteilt. Dazu werden alle vorliegenden ärztlichen und psychologischen Gutachten und Unterlagen beigezogen.
Es werden im Wesentlichen folgende Merkmale berücksichtigt: Körperliche und geistige Belastbarkeit, zusätzliche Leistungseinschränkungen, Wegefähigkeit und tägliche Arbeitszeit.
Das Begutachtungsverfahren und die angewendeten Kriterien sind bundesweit die gleichen. Sie erfolgen mithilfe von einheitlichen Leitlinien der Rentenversicherungsträger.
Wird der Antrag auf Erwerbsminderungsrente abgelehnt, steht dem Antragssteller ein Widerspruchsrecht zu: binnen eines Monats kann er gegen die Ablehnung Widerspruch einlegen.
Ein Widerspruchsausschuss der Rentenversicherung überprüft die angefochtene Entscheidung und kann diese abändern oder, beispielsweise bei medizinischen Angelegenheiten, überprüfen lassen.
Wird auch der Widerspruch zurückgewiesen, kann der Antragssteller Klage vor dem zuständigen Sozialgericht erheben.</t>
  </si>
  <si>
    <t>Erwerbsminderungsrenten werden grundsätzlich für längstens drei Jahre befristet. Nach Ende der Befristung kann die Rente nach Überprüfung des Gesundheitszustandes (durch den sozialmedizinischen Dienst) durch den Rentenversicherungsträger verlängert werden.
Eine unbefristete Erwerbsminderungsrente ( Dauerrente) kommt nur in Betracht, wenn unwahrscheinlich ist, dass die Minderung der Erwerbsfähigkeit behoben werden kann, da medizinische Gründe gegen die Besserung des Gesundheitszustandes sprechen.</t>
  </si>
  <si>
    <t>Teilweise Erwerbsminderung:
PEP x RA (0.5) x AR.
Volle Erwerbsminderung:
PEP x RA (1,0) x AR
PEP = persönliche Entgeltpunkte:
Die Summe der Entgeltpunkte ergibt sich aus den jährlich versicherten Entgelten oder Einkommen, geteilt durch das Durchschnittsentgelt im selben Jahr, hinzu kommen Entgeltpunkte für bestimmte beitragsfreie Zeiten und Zuschläge für sogenannte beitragsgeminderte Zeiten. Die Summe der Entgeltpunkte wird multipliziert mit dem Zugangsfaktor. Der Zugangsfaktor bewirkt Rentenabschläge; bei Beginn einer Rente wegen verminderter Erwerbsfähigkeit vor Vollendung des 65. Lebensjahres jedoch max. 10,8%. Die Altersgrenze für den abschlagsfreien Rentenbeginn wurde für diese Rente zwischen 2012 und 2024 stufenweise vom 63. Lebensjahr auf das 65. Lebensjahr angehoben. Für Versicherte mit 40 Pflichtbeitragsjahren verbleibt es beim abschlagsfreien Rentenbeginn von 63 Jahren.
RA = Rentenartfaktor:
nach dem jeweiligen Sicherungsziel einer Rente festgelegter Faktor (bei teilweiser Erwerbsminderung 0,5, bei voller Erwerbsminderung 1,0).
AR = Aktueller Rentenwert:
Der aktuelle Rentenwert ist der Betrag, der einer abschlagsfreien monatlichen Rente wegen Alters der allgemeinen Rentenversicherung entspricht, wenn für ein Kalenderjahr Beiträge aufgrund des Durchschnittsentgelts gezahlt worden sind. Er wird jedes Jahr zum 1. Juli neu bestimmt. Die Anpassung orientiert sich grundsätzlich an der Entwicklung der Löhne und Gehälter. Der aktuelle Rentenwert beträgt seit 1. Juli 2025 €40,79.
Seit 1. Juli 2024 erhalten Erwerbsminderungsrentner/innen, deren Rente zwischen 2001 und 2018 begonnen hat, einen Zuschlag. Damit wird ein Ausgleich erreicht für diejenigen Bestandsrentner/innen, die von den Verbesserungen in der Zurechnungszeit durch Reformen der vergangenen Jahre nicht profitiert haben. Liegt der Rentenbeginn zwischen Januar 2001 und Juni 2014, beträgt der Zuschlag 7,5 Prozent. Liegt der Rentenbeginn in der Zeit von Juli 2014 bis Dezember 2018, beträgt er 4,5 Prozent.</t>
  </si>
  <si>
    <t>Versicherte Arbeitsentgelte (bis zur Beitragsbemessungsgrenze) und freiwillige Beiträge während des gesamten Versicherungsverlaufs. Die monatliche Beitragsbemessungsgrenze beträgt 2025: €8.050 brutto.
Zeiten der Kindererziehung in den ersten 36 Kalendermonaten nach dem Geburtsmonat (30 Kalendermonate für Geburten vor 1992) werden als Beitragszeiten mit Durchschnittsverdienst angerechnet.</t>
  </si>
  <si>
    <t>Kein Mindestbeitrag.
Keine Obergrenze.</t>
  </si>
  <si>
    <t>Anrechnungszeiten:
Zeiten der Krankheit, Rehabilitation, Arbeitslosigkeit oder mit Rentenbezug und Zeiten schulischer Ausbildung nach dem 17. Lebensjahr.
Zurechnungszeiten:
Beginnt eine Rente wegen verminderter Erwerbsfähigkeit oder eine Erziehungsrente nach dem 31. Dezember 2019 und vor dem 1. Januar 2031, so wird das Ende der Zurechnungszeit schrittweise auf 67 Jahre angehoben. Beginnt die Rente im Jahr 2025, so endet die Zurechnungszeit mit dem 66. Lebensjahr plus 2 Monate.
Ersatzzeiten:
Zeiten bis 31.12.1991, zum Beispiel Kriegsdienst oder Haftzeiten aufgrund politischer Verfolgung.
Berücksichtigungszeiten:
Zeiten der Erziehung eines Kindes bis zur Vollendung des 10. Lebensjahres.</t>
  </si>
  <si>
    <t>Es werden Leistungen zur Prävention, zur medizinischen Rehabilitation, zur Nachsorge, zur Teilhabe am Arbeitsleben (z.B. Arbeitsplatzanpassung, Umschulung) ergänzende Leistungen (z.B. Übergangsgeld) und sonstige Leistungen (z.B. bes. Eingliederungsleistungen) gewährt, um die Erwerbsfähigkeit zu erhalten oder wiederherzustellen. Die Rentenversicherung muss prüfen, ob eine beantragte Rente durch Rehabilitationsmaßnahmen vermeidbar wäre.
Bei der jährlichen Anpassung des der Rentenversicherung für diese Leistungen zur Verfügung stehenden Reha-Budgets wird neben der Lohnkostenentwicklung zusätzlich die demografische Entwicklung berücksichtigt. Das Reha-Budget steigt seitdem auch entsprechend der demografischen Entwicklung, wobei die demografische Komponente auch eine senkende Wirkung auf das Reha-Budget entfalten kann.
Die Leistungen zur Prävention und die Leistungen zur Teilhabe wie z.B. Rehabilitationsmaßnahmen haben Vorrang vor Rentenleistungen, vgl. § 9 Abs.1 Satz 2 und 3 SGB VI. Ein Anspruch auf Erwerbsminderungsrente besteht in diesem Fall nicht.</t>
  </si>
  <si>
    <t>Pflicht zur Beschäftigung schwerbehinderter Menschen in allen Betrieben mit mind. 20 Arbeitsplätzen, Pflichtquote 5% der Arbeitsplätze.
Ausgleichsabgabe für jeden unbesetzten Arbeitsplatz von monatlich
   * €105 bei einer Beschäftigungsquote von 3% bis unter 5%,
   * €180 bei einer Beschäftigungsquote von 2% bis unter 3%,
   * €260 bei einer Beschäftigungsquote von unter 2%.
Sonderregelungen für Arbeitgeber mit bis zu 59 Beschäftigten.</t>
  </si>
  <si>
    <t>Für Renten wegen teilweiser Erwerbsminderung besteht eine pauschale Hinzuverdienstgrenze von rund €39.322 brutto. Daneben gilt eine individuelle Hinzuverdienstgrenze, die sich am höchsten Verdienst der letzten 15 Jahre vor dem Eintritt der Erwerbsminderung orientiert. Die individuelle Grenze kann höher sein als die pauschale Grenze. Bei Renten wegen voller Erwerbsminderung liegt die Hinzuverdienstgrenze bei rund €19.661 brutto.
Die Aufnahme einer Erwerbstätigkeit führt in bestimmten Fällen unabhängig von der Höhe des Hinzuverdiensts zum Wegfall des Rentenanspruchs.</t>
  </si>
  <si>
    <t>Im Fall des Zusammentreffens mit einer Rente aus der gesetzlichen Unfallversicherung ruht die Rente wegen verminderter Erwerbsfähigkeit insoweit, als die Summe der Renten das frühere (entsprechend der durchschnittlichen Lohnentwicklung fortgeschriebene) Nettoeinkommen (pauschal festgestellt) übersteigt.
Darüber hinaus gelten bestimmte Sozialleistungen als Hinzuverdienst und können zur Minderung oder zum Ruhen der Rente führen.</t>
  </si>
  <si>
    <t>Besteuerung des steuerpflichtigen Teils (vgl. Tabelle V, ‘Besteuerung und Sozialabgaben – 1. Einkommensbesteuerung’) der Rente nach allgemeinen Regeln.</t>
  </si>
  <si>
    <t>Der Krankenversicherungsbeitragsanteil für pflichtversicherte Rentner beträgt 7,3% (Hälfte des allgemeinen Beitragssatzes der gesetzlichen Krankenversicherung von 14,6%). Den verbleibenden Beitragsanteil von 7,3% zahlt der Rentenversicherungsträger.
Je nach Krankenkasse ist zudem ein individueller Zusatzbeitrag zu zahlen, der ebenfalls paritätisch vom Rentenversicherungsträger und dem pflichtversicherten Rentner getragen wird.
Der Pflegeversicherungsbeitrag beträgt für Rentner mit Kindern 3,4% und für kinderlose Rentner erfolgt ein Zuschlag von 0,6 Prozentpunkten. Der Zuschlag erfolgt grundsätzlich ab Vollendung des 23. Lebensjahres. Ausgenommen von diesem Zuschlag sind vor 1940 geborene Rentner. Der Beitrag ist von der Rente vom Rentner allein zu zahlen.</t>
  </si>
  <si>
    <t>Versicherungspflichtige und freiwillig versicherte Selbstständige in der gesetzlichen Rentenversicherung: Allgemeines System.
Freie Berufe: eigenfinanzierte, versicherungsgebundene Sondersysteme, die auf landesrechtlicher Grundlage die Pflichtversorgung für Invalidität sicherstellen.
Selbstständige Künstler und Publizisten: Grundsätzlich Versicherungspflicht in der gesetzlichen Rentenversicherung nach dem Künstlersozialversicherungsgesetz.
Landwirte: Spezifisches System: Pflichtmitgliedschaft in der Alterssicherung der Landwirte.</t>
  </si>
  <si>
    <t>Versicherungs- und arbeitsgebundenes System.
Rentenversicherungspflichtige Selbstständige: Pflichtmitgliedschaft in der gesetzlichen Rentenversicherung,
Sonstige Selbstständige: Möglichkeit, dem gesetzlichen Rentenversicherungssystem beizutreten (Opt-in), je nach Voraussetzung über eine Versicherungspflicht auf Antrag oder eine freiwillige Versicherung
Freie Berufe: Pflichtmitgliedschaft in einem berufsständischen Versorgungswerk.
Selbstständige Künstler und Publizisten: Grundsätzlich Versicherungspflicht in der gesetzlichen Rentenversicherung nach dem Künstlersozialversicherungsgesetz.
Landwirte: Pflichtmitgliedschaft, wenn das Unternehmen eine bestimmte Größe erreicht (z. B. 8 ha landwirtschaftliche Fläche oder 75 ha Forst).</t>
  </si>
  <si>
    <t>Versicherungspflichtige Selbstständige:  Geringfügig selbstständig Tätige (monatliches Arbeitseinkommen (brutto) bis €556 oder die Tätigkeit ist von Vornherein auf maximal drei Monate oder 70 Arbeitstage innerhalb eines Kalenderjahres begrenzt und erfolgt - sofern das Arbeitseinkommen €556 monatlich übersteigt - nicht berufsmäßig) sind versicherungsfrei.
Selbstständige Künstler und Publizisten: Um nach dem Künstlersozialversicherungsgesetz versichert zu sein, muss das Arbeitseinkommen (brutto) der Künstler und Publizisten den Betrag von €3.900 im Kalenderjahr übersteigen.
Landwirte: Keine bestimmten Voraussetzungen für den Anspruch auf Deckung für Selbstständige.</t>
  </si>
  <si>
    <t>Selbstständige in der gesetzlichen Rentenversicherung: Werden mehrere selbstständige Tätigkeiten ausgeübt, kann eine Mehrfachversicherungspflicht entstehen. Auch die Kombination Beschäftigungsverhältnis plus Selbstständigkeit kann zur Mehrfachversicherung führen. Die Beiträge an die gesetzliche Rentenversicherung sind dann grundsätzlich aus jeder einzelnen entstandenen Versicherungspflicht zu zahlen, insgesamt jedoch höchstens bis zur Beitragsbemessungsgrenze.
Freie Berufe: Eigenfinanzierte Versorgungswerke: eigenes Beitrags- und Leistungsrecht.
Landwirte: Die Versicherungspflicht für Landwirte und mitarbeitende Familienangehörige in der Alterssicherung der Landwirte bleibt bestehen, wenn diese einer bezahlten Tätigkeit nachgehen, die eine Versicherungspflicht in anderen Sozialversicherungssystemen (zum Beispiel in der gesetzlichen Rentenversicherung) auslöst. Sie können jedoch auf Antrag von der Versicherungspflicht in der Alterssicherung der Landwirte befreit werden, solange sie regelmäßig außerland- bzw. forstwirtschaftliches Arbeitsentgelt, Arbeitseinkommen, vergleichbares Einkommen oder Erwerbsersatzeinkommen beziehen, dass jährlich das Zwölffache der Geringfügigkeitsgrenze nach § 8 Absatz 1a des Vierten Buches Sozialgesetzbuch überschreitet..</t>
  </si>
  <si>
    <t>Versicherungspflichtige und freiwillig versicherte Selbstständige in der gesetzlichen Rentenversicherung: Identisch mit denen für Arbeitnehmer.
Freie Berufe: Eigenfinanzierte Versorgungswerke: eigenes Beitrags- und Leistungsrecht.
Für Landwirte gilt für Leistungen bei Erwerbsminderung eine Mindestversicherungszeit von 5 Jahren.</t>
  </si>
  <si>
    <t>Versicherungspflichtige und freiwillig versicherte Selbstständige in der gesetzlichen Rentenversicherung: Identisch mit denen für Arbeitnehmer.
Freie Berufe: Eigenfinanzierte Versorgungswerke: Eigenes Beitrags- und Leistungsrecht.
Landwirte: Die Alterssicherung der Landwirte stellt nur eine Teilsicherung dar. Der Teilsicherungscharakter der Alterssicherung der Landwirte schlägt sich in der Höhe der Beiträge und im Niveau der Renten nieder.</t>
  </si>
  <si>
    <t>Thema</t>
  </si>
  <si>
    <t>Land</t>
  </si>
  <si>
    <t>m</t>
  </si>
  <si>
    <t>w</t>
  </si>
  <si>
    <t>d</t>
  </si>
  <si>
    <r>
      <rPr>
        <sz val="11"/>
        <color rgb="FF000000"/>
        <rFont val="Arial"/>
        <family val="2"/>
      </rPr>
      <t>Ø</t>
    </r>
    <r>
      <rPr>
        <sz val="11"/>
        <color rgb="FF000000"/>
        <rFont val="Calibri"/>
        <family val="2"/>
      </rPr>
      <t xml:space="preserve"> 10 Jahre</t>
    </r>
  </si>
  <si>
    <r>
      <rPr>
        <sz val="11"/>
        <color rgb="FF000000"/>
        <rFont val="Arial"/>
        <family val="2"/>
      </rPr>
      <t>Ø</t>
    </r>
    <r>
      <rPr>
        <sz val="11"/>
        <color rgb="FF000000"/>
        <rFont val="Calibri"/>
        <family val="2"/>
      </rPr>
      <t xml:space="preserve"> 5 Jahre</t>
    </r>
  </si>
  <si>
    <t>Lebenserwartung</t>
  </si>
  <si>
    <t>Datum des Versorgungsbeginns der ausgleichspflichtigen Person</t>
  </si>
  <si>
    <t>Gedecktes Risiko: Definition</t>
  </si>
  <si>
    <t>6.  Zulagen für Unterhaltsberechtigte</t>
  </si>
  <si>
    <t>13. Aufgeschobene Rente</t>
  </si>
  <si>
    <t>Beitragsfinanziertes obligatorisches Sozialversicherungssystem für Arbeitnehmer und Selbstständige mit einkommensbezogenen Renten und anderen Leistungen, die von Beiträgen und der Versicherungsdauer abhängen.
Die Invaliditätsrenteist Teil des staatlichen Rentensystems.
Kein spezifisches System. Es gilt das allgemeine System der Mindestsicherung (siehe Tabelle XI).</t>
  </si>
  <si>
    <t>Die Invaliditätsrente wird an Versicherte und Selbständige sowie an freiwillig für einen zypriotischen Arbeitgeber im Ausland tätige Personen gezahlt, die seit mindestens 156 Tagen erwerbsunfähig sind (berechnet wird Montag bis Samstag) und innerhalb dieses Zeitraums belegen, dass sie dauerhaft erwerbsunfähig sein werden, d. h. dass sie im Rahmen einer Tätigkeit, die sie unter normalen Umständen grundsätzlich ausüben könnten, kein Entgelt erhalten können, das über einem Drittel des Betrags liegt, den eine gesunde Person mit gleichem Bildungsniveau, die den gleichen Beruf in derselben Region ausübt, im Allgemeinen verdient; oder, im Falle von Personen im Alter von 60 bis 63 Jahren, diejenigen, die nicht in der Lage sind, ein Entgelt zu erzielen, das sich auf mehr als die Hälfte dieses Betrags beläuft.</t>
  </si>
  <si>
    <t>Die Invaliditätsrente kann bei Voll- oder Teilinvalidität bis zum Alter von 63 Jahren beantragt werden (es gibt kein Mindestalter).
Die Invaliditätsrente wird an Personen gezahlt, die seit mindestens 156 Tagen (berechnet wird Montag bis Samstag) erkrankt sind (unabhängig davon, ob sie Krankengeld erhalten haben oder nicht) und die innerhalb dieses Zeitraums belegen, dass sie dauerhaft erwerbsunfähig sein werden (siehe Bewertungskriterien und -kategorien von Erwerbsfähigkeit bzw. Erwerbsunfähigkeit). Versicherte müssen durch ärztliche Bescheinigungen oder ihre Krankenakte die Erkrankung nachweisen. Die Invaliditätsrente wird ab dem 63. Lebensjahr in eine staatliche Altersrente umgewandelt (bei Teilinvalidität erfolgt die Umwandlung der Rente, als ob es sich um einen Invaliditätsgrad von 100% handeln würde). </t>
  </si>
  <si>
    <t>Der Leiter der Sozialversicherungsdienste oder ein ermächtigter Sozialversicherungsbeamter prüft den Antrag auf Invaliditätsrente innerhalb einer angemessenen Frist. Der Antragsteller kann vor der Annahme/Ablehnung des Antrags zur Prüfung an einen Facharzt oder einen medizinischen Ausschuss oder zur erneuten Prüfung an einen medizinischen Ausschuss verwiesen werden.
Der medizinische Ausschuss erstellt einen Bericht über den Gesundheitszustand des Antragstellers, den Invaliditätsgrad und die Erwerbsfähigkeit entsprechend den gesetzlichen Bestimmungen.
Es werden landesweit dieselben Bewertungsverfahren und Kriterien angewandt.
Ist der Antragsteller mit der Entscheidung nicht einverstanden, hat er das Recht, innerhalb von 15 Kalendertagen beim Ministerium für Arbeit und Sozialversicherung oder innerhalb von 75 Kalendertagen nach Zustellung der Entscheidung beim Verwaltungsgericht Berufung einzulegen.</t>
  </si>
  <si>
    <t>Bezieher einer Leistung wegen teilweiser oder vollständiger Invalidität können von einem medizinischen Ausschuss erneut untersucht werden, um den Invaliditätsgrad neu festzusetzen oder festzustellen, ob die Arbeitsfähigkeit wieder hergestellt ist und die Rentenzahlung entfallen kann.
Der medizinische Ausschuss legt auch die Häufigkeit der erneuten Bewertung fest.</t>
  </si>
  <si>
    <t>Durchschnittliches versicherungspflichtiges Einkommen seit dem ersten Tag des Jahres, in dem die Person das Alter von 16 Jahren erreicht hat bis zum Eintritt der Invalidität.
Für die Definition von versicherungspflichtigem Entgelt siehe Tabelle I zu Finanzierung – Allgemeine Sozialbeitragssätze.</t>
  </si>
  <si>
    <t>Kostenfreie medizinische Behandlung in staatlichen Krankenhäusern und medizinischen Einrichtungen.
Invaliditätsrentner und zypriotischen Staatsangehörige ab dem Alter von 63 Jahren erhalten eine "Sozialkarte", die ihnen die Teilnahme an kulturellen und sozialen Veranstaltungen ermöglicht und sie zu verschiedenen Leistungen berechtigt.</t>
  </si>
  <si>
    <t>Empfänger von Invaliditätsrente können zu Umschulungs- oder Rehabilitationsmaßnahmen verpflichtet werden, die Kosten hierfür werden von der Sozialversicherung übernommen.</t>
  </si>
  <si>
    <t>Erwartet wird die Förderung der Chancengleichheit beim Zugang zum Arbeitsmarkt, insbesondere für solche Gruppen, die von sozialem Ausschluss bedroht sind.
Amt für soziale Eingliederung von Menschen mit Behinderung (Τμήμα Κοινωνικής Ενσωμάτωσης Ατόμων με Αναπηρίες):
Es gibt eine Quote (bis 10%) für begünstigte Einstellungen von Menschen mit Behinderung auf freie Stellen im öffentlichen Dienst, Bildungsangeboten und halbstaatlichen Organisationen.
Das Amt überwacht die Anwendung des Gesetzes und reicht einen informativen Bericht über die Ergebnisse beim Ministerrat, dem Repräsentantenhaus und Zyperns Verband der Behindertenorganisationen ein. </t>
  </si>
  <si>
    <t>Bei Teilinvalidität (Μερική Ανικανότητα) werden die Beschäftigungszeit und das Gehalt proportional berücksichtigt.</t>
  </si>
  <si>
    <t>Besteuerung nach allgemeinen Regeln. Keine Sonderbestimmungen für die Renten.</t>
  </si>
  <si>
    <t> Wie für Arbeitnehmer.</t>
  </si>
  <si>
    <t> Kein Unterschied.</t>
  </si>
  <si>
    <t>Gesetz CXCI von 2011 über Leistungen für Personen mit veränderter Erwerbsfähigkeit und Änderungen bestimmter Gesetze (törvény a megváltozott munkaképességű személyek ellátásairól).
Verzeichnis der Rechtsakte: https://njt.hu/</t>
  </si>
  <si>
    <t>Beitragsfinanziertes obligatorisches Sozialversicherungssystem für Arbeitnehmer und Selbstständige mit einkommensbezogenen Leistungen.
Personen, die noch nicht das Rentenalter erreicht haben, erhalten Leistungen der Krankenversicherung (Leistungen für Personen mit veränderter Erwerbsfähigkeit (megváltozott munkaképességű személyek ellátásai)). während Personen, die das Rentenalter erreicht haben, Altersrenten erhalten.
Leistungen für Personen mit veränderter Erwerbsfähigkeit sind nicht Teil des nationalen Rentensystems. Sie können in Form von entweder einer Rehabilitationsleistung (rehabilitációs ellátás) oder einer Invaliditätsleistung (rokkantsági ellátás) gewährt werden. Beide Leistungen werden von der Krankenversicherung (Egészségbiztosítási Alap) finanziert.
   * Eine Person mit veränderter Erwerbsfähigkeit hat Anspruch auf Rehabilitierungsleistungen, wenn sie rehabilitierungsfähig ist. Die Rehabilitierungsleistungen beinhalten die für eine erfolgreiche Rehabilitierung notwendigen Dienstleistungen sowie Geldleistungen;
   * Eine Person mit veränderter Erwerbsfähigkeit hat Anspruch auf Invaliditätsleistungen in Fällen, in denen die Rehabilitierung nicht empfohlen wird oder wahrscheinlich erfolglos ist oder wenn die Person Anspruch auf Rehabilitierungsleistungen hat, aber die bis zum Rentenalter verbleibende Zeit 5 Jahre oder weniger beträgt;
   * Eine Person mit veränderter Erwerbsfähigkeit hat Anspruch auf außerordentliche Invaliditätsleistungen (kivételes rokkantsági ellátás) in Fällen, in denen der Gesundheitszustand mit 50% oder weniger beurteilt wird oder wenn die Person dauerhafte Rehabilitierung benötigt, sofern die bis zum Rentenalter verbleibende Zeit 5 Jahre oder weniger beträgt und die Person mindestens die Hälfte der für die Rehabilitierungs- oder Invaliditätsleistung erforderliche Mindestversicherungszeit aufweist.
Es gibt kein gesondertes Sozialhilfesystem für Invalidität. Es gilt das allgemeine System der Mindestsicherung (siehe Tabelle XI).</t>
  </si>
  <si>
    <t>Invalidität bezieht sich auf den Gesundheitszustand und beruht nicht auf der Arbeitsfähigkeit. Personen mit Anspruch auf Leistungen für Personen mit veränderter Erwerbsfähigkeit (megváltozott munkaképességű személyek ellátásai) sind Personen, deren Gesundheitszustand mit 60% oder weniger beurteilt wurde.</t>
  </si>
  <si>
    <t>Arbeitnehmer und Selbstständige und Gleichgestellte. Anspruchsberechtigung auf Invaliditätsleistungen ist unabhängig von Wohnort oder Staatsangehörigkeit.</t>
  </si>
  <si>
    <t>Alle Antragsteller werden von der Rehabilitationsstelle des Bezirksverwaltungsbüros untersucht. Personen, deren Gesundheitszustand 60% oder weniger entspricht, haben Anspruch auf die Leistung.
Bei einer Beurteilung des Gesundheitszustands von weniger als 31%, wird ihre Eigenständigkeit untersucht (Personen, die mit dauerhafter Unterstützung angestellt werden können, gelten als eigenständig).
Kein Mindestmaß an Arbeitsfähigkeit/-unfähigkeit angegeben.</t>
  </si>
  <si>
    <t>Die Rehabilitationsleistung (rehabilitációs ellátás) kann ab dem Tag nach der Entscheidung der Rehabilitationsstelle des Bezirksverwaltungsbüros gezahlt werden. Der zur Rehabilitation benötigte Zeitraum beträgt höchstens 36 Monate.
Die Invaliditätsleistung (rokkantsági ellátás) kann ab dem Zeitpunkt der Erfüllung der Anspruchskriterien, frühestens am ersten Tag des 6-monatigen Zeitraums vor dem Zeitpunkt der Antragstellung gezahlt werden. Es handelt sich hierbei um eine dauerhafte Leistung.
Bei Erreichen des Rentenalters können sich die Personen entscheiden, ob sie weiter die Invaliditätsleistung oder die Altersrente beziehen, auf die sie Anspruch haben. Bei verminderter Erwerbsfähigkeit stehen keine Möglichkeiten eines vorgezogenen Ruhestands zur Verfügung.</t>
  </si>
  <si>
    <t>Der Antrag wird von der Rehabilitationsstelle des Bezirksverwaltungsbüros bearbeitet. Privatunternehmen sind nicht involviert. Diese Stelle besteht aus zwei in einem zertifizierten Verzeichnis eingetragenen Ärzten, einem Experten für berufliche Rehabilitation und einem Sozialexperten.
Die Bewertungsverfahren sowie die angewendeten Verfahren sind landesweit die gleichen.
Kein Widerspruchsrecht, aber gegen Entscheidungen kann Klage eingereicht werden.</t>
  </si>
  <si>
    <t>Der Versicherungszeitraum umfasst Zahlungszeiträume für Krankengeld (Táppénz), Arbeitsunfallkrankengeld (Baleseti táppénz), Mutterschaftsgeld (Csecsemőgondozási díj), Kinderbetreuungsgeld (Gyermekgondozási díj), Adoptionsbeihilfe (Örökbefogadói díj), Beihilfe für Pflegepersonen (Ápolási díj) und Beihilfe für häusliche Kinderpflege (Gyermekek otthongondozási díja), Arbeitslosengeld (Álláskeresési járadék), Invaliditätsrente (Rokkantsági nyugdíj), Erwerbsunfähigkeitsrente bei Arbeitsunfall oder Berufskrankheit (Baleseti rokkantsági nyugdíj), Rehabilitationsrente (Rehabilitációs járadék), rentenähnliche Leistungen für Personen mit Gesundheitsschäden und Leistungen für Personen mit veränderter Erwerbsfähigkeit (megváltozott munkaképességű személyek ellátásai).</t>
  </si>
  <si>
    <t>Rehabilitation umfasst medizinische, soziale, Ausbildungs- und beschäftigungsbezogene Aktivitäten. Das Ziel ist die Wiedereingliederung von Personen mit veränderter Erwerbsfähigkeit in den Arbeitsmarkt und deren Vorbereitung auf eine Beschäftigung in einem Arbeitsplatz, der ihrer Erwerbsfähigkeit entspricht.
Berufsausbildung oder persönliche Rehabilitationsaktivitäten sind nicht verpflichtend für Personen, die Invaliditätsleistungen beziehen.</t>
  </si>
  <si>
    <t>Beschäftigungsquote: Arbeitgeber mit 25 oder mehr Beschäftigten müssen mindestens 5% der Stellen mit behinderten Personen besetzen. Wird diese Verpflichtung nicht erfüllt, muss der Arbeitgeber einen Betrag in die Nebenkasse für Rehabilitation des Staatshaushalts leisten. Dieser Betrag beläuft sich auf das 9-fache des Mindestlohns (d.h. HUF2.617.200 (€6.562) pro Person und pro Jahr im Jahr 2025).
Unterstützung vom Staatshaushalt: für Arbeitgeber, die Personen mit veränderter Erwerbsfähigkeit beschäftigen (d. h. deren Gesundheitszustand mit 60% oder weniger veranschlagt wird). Die Höhe der Rente richtet sich nach der Dauer der Beschäftigung.
Umschulung: Betriebliche Weiterbildung mit Unterstützung des Nationalen Beschäftigungsfonds (Nemzeti Foglalkoztatási Alap).
Beschützende Werkstätten: Staatlich unterstützte Unternehmen für Personen, deren Erwerbsfähigkeit gemindert ist.
Existenzgründungshilfe: Für behinderte Personen, die sich selbstständig machen möchten.</t>
  </si>
  <si>
    <t>Jährliche Anpassung im Januar entsprechend dem voraussichtlichen Anstieg der Verbraucherpreise (Inflation). 3,2% Anstieg im Januar 2025.</t>
  </si>
  <si>
    <t>Kumulierung möglich mit Erwerbseinkommen. Es gibt keine Obergrenze für die Höhe von Erwerbseinkommen. Keine Kürzung des Leistungsbetrags.</t>
  </si>
  <si>
    <t>Invaliditätsleistungen und Rehabilitationsleistungen können nicht mit anderen Leistungen der sozialen Sicherheit kumuliert werden, mit Ausnahme der Hinterbliebenenrente (hozzátartozói nyugellátás), Beihilfe für Pflegepersonen (Ápolási díj) oder Beihilfe für häusliche Kinderpflege (Gyermekek otthongondozási díja), Mutterschaftsgeld (Csecsemőgondozási díj), Kinderbetreuungsgeld (Gyermekgondozási díj), Adoptionsbeihilfe (Örökbefogadói díj) und Behindertenunterstützung (fogyatékossági támogatás).</t>
  </si>
  <si>
    <t>Leistungen für Personen mit veränderter Erwerbsfähigkeit (megváltozott munkaképességű személyek ellátásai) unterliegen nicht der Besteuerung.</t>
  </si>
  <si>
    <t>Von der Rehabilitationsleistung (rehabilitációs ellátás) sind Beiträge zur Rentenversicherung zu entrichten.
Invaliditätsleistung (rokkantsági ellátás): Keine Sozialabgaben.</t>
  </si>
  <si>
    <t>Gesetz über die Grundrentenversicherung (Zákon o důchodovém pojištění) Nr. 155/1995.
Gesetz über die Öffentliche Krankenversicherung (Zákon o veřejném zdravotním pojištění) Nr. 48/1997.
Beschäftigungsgesetz, Nr. 435/2004 (Zákon o zaměstnanosti).
Verzeichnis der Rechtsakte: https://www.zakonyprolidi.cz/.</t>
  </si>
  <si>
    <t>Obligatorisches Sozialversicherungssystem für alle Erwerbstätigen (Arbeitnehmer und Selbstständige) mit entgeltbezogenen Renten, die von Beiträgen und der Versicherungsdauer abhängen.
Leistungen bei Invalidität sind Teil des Rentensystems.
Sozialhilfeleistungen für Personen mit Behinderungen umfassen auch die Mobilitätsbeihilfe (příspěvek na mobilitu) und den Sonderhilfezuschuss (příspěvek na zvláštní pomůcku). Zusätzlich haben Personen mit Behinderungen Anspruch auf einen Behindertenausweis, der verschiedene Vorteile bietet (z.B. kostenloser öffentlicher Personennahverkehr, vergünstigte Zugticketpreise, Steuererleichterungen). Für nähere Informationen zum Pflegegeld: siehe Tabelle XII – Langzeitpflege.</t>
  </si>
  <si>
    <t>Invalidität ersten Grades (První stupeň invalidity): Minderung der Erwerbsfähigkeit: 35% bis 49%.
Invalidität zweiten Grades (Druhý stupeň invalidity): Minderung der Erwerbsfähigkeit: 50% bis 69%.
Invalidität dritten Grades (Třetí stupeň invalidity): Minderung der Erwerbsfähigkeit: mehr als 70%.</t>
  </si>
  <si>
    <t>Pflichtversicherung für alle Erwerbstätigen (Arbeitnehmer und Selbstständige). Für nähere Informationen zu Selbstständigen, siehe die Informationen zum Sozialschutz von Selbstständigen.
Uneingeschränkte freiwillige Versicherung für Arbeitssuchende, die bei der Arbeitsagentur gemeldet sind (und die keine Leistungen bei Arbeitslosigkeit beziehen); Studenten; im Ausland beschäftigte Personen; Freiwillige; Mitglieder des EU-Parlaments; Ausländer, die in Tschechien für ausländische Arbeitgeber arbeiten; Ehepartner von Diplomaten sowie andere Staatsbedienstete, die im Ausland leben sowie Selbstständige, deren Versicherungsschulden verfallen sind.
Andere Personen über 18 Jahren mit mindestens einjähriger Beitragszeit können sich ebenfalls freiwillig versichern, jedoch für maximal 15 Jahre.</t>
  </si>
  <si>
    <t>Invaliditätsrente ersten, zweiten und dritten Grades (Invalidní důchod prvního druhého a třetího stupně):
Die Mindestversicherungszeit ist abhängig vom Alter:
&lt;20            weniger als 1 Jahr; 20 - &lt;22                            1 Jahr; 
22 - 24                              2 Jahre; 24 - 26                              3 Jahre
26 - 28                             4 Jahre; 28 und älter                  5 Jahre
Der erforderliche Versicherungszeitraum wird anhand des Zeitraums vor Eintreten der Invalidität bestimmt. Versicherte Personen im Alter von 28 Jahren oder darüber müssen über mindestens 5 Versicherungsjahre im Bezugszeitraum von 10 Jahren vor dem Eintreten der Invalidität verfügen. Personen im Alter von 38 Jahren oder darüber müssen über mindestens 5 Versicherungsjahre im Bezugszeitraum von 10 Jahren vor dem Eintreten der Invalidität verfügen oder über 10 Versicherungsjahre über einen 20-jährigen Bezugszeitraum vor dem Eintreten der Invalidität. Die Mindestversicherungszeit ist auch erfüllt, wenn der erforderliche Mindestversicherungszeitraum innerhalb eines Zeitraums von 10 Jahren nach Eintreten der Invalidität geleistet wurde (im Fall eines Versicherten unter 24 Jahren beträgt der erforderliche Mindestversicherungszeitraum 2 Jahre).
Personen ab 18 Jahren, die invalide werden, haben Anspruch auf die Invaliditätsrente dritten Grades (Invalidní důchod třetího stupně), auch wenn sie nicht den Mindestversicherungszeitraum geleistet haben (so genannte „von Jugend an arbeitsunfähige Personen“).
Keine erforderliche Mindestversicherungszeit bei Invalidität aufgrund eines Arbeitsunfall oder einer Berufskrankheit.</t>
  </si>
  <si>
    <t>Die Beurteilung der Invalidität konzentriert sich auf die Langzeitinvalidität (d.h. über ein Jahr oder voraussichtlich über ein Jahr) und Verlust der Arbeitsfähigkeit. Um den Grad der Invalidität festzulegen, bewertet der Arzt die Minderung der Arbeitskapazität, die Fähigkeit zur Wiederaufnahme einer Arbeit sowie die Möglichkeit der Teilnahme an einer Umschulung/Ausbildung zu einer anders gearteten Erwerbstätigkeit, wenn die Person ihrer bisherigen Beschäftigung nicht mehr nachgehen kann.
Mindestlevel der Minderung der Arbeitskapazität: Invalidität ersten Grades (První stupeň invalidity): 35% Minderung der Arbeitsfähigkeit.</t>
  </si>
  <si>
    <t>Ab Beginn der Erfüllung der Anspruchsvoraussetzungen bis zum Alter von 65 Jahren (oder dem Ruhestandsalter, wenn es höher ist) oder bis zu einer Veränderung im Gesundheitszustand (siehe unten unter “Überprüfung”). Der Anspruchszeitraum ist nicht vorgegeben, kann aber vom Ergebnis einer Neubeurteilung des Invaliditätsgrades beeinflusst werden.
Das Auslaufen des Krankengelds ist keine Bedingung für Anspruchsberechtigung auf Invaliditätsrente (für Kumulation mit Krankengeld siehe “Kumulation mit anderen Sozialleistungen”).
Bei Erreichen des Ruhestandsalters kann der Berechtigte die Altersrente beantragen, wenn der Betrag höher ist. Ab dem 65. Lebensjahr (oder dem Ruhestandsalter, wenn es höher ist) wird die Invaliditätsrente automatisch durch die Altersrente ersetzt.
Bei verminderter Arbeitsfähigkeit gibt es keine Möglichkeit des vorzeitigen Ruhestands.</t>
  </si>
  <si>
    <t>Der Antrag auf Invaliditätsleistungen wird von den Ärzten des Institutes für Gesundheitsbewertung (Institut posuzování zdravotního stavu) begutachtet, welches unter der Kontrolle der tschechischen Sozialversicherungsanstalt (Česká správa soicálního zabezpečení) steht. Private Auftragnehmer sind nicht gestattet.
Die Kriterien, die von den Ärzten des Institutes für Gesundheitsbewertung angewendet werden, sind landesweit die gleichen. Siehe “Beurteilungskriterien und Kategorien der Arbeitsfähigkeit/Arbeitsunfähigkeit” weiter oben für nähere Informationen.
Versicherte Personen haben ein Anrecht, bei der Tschechischen Sozialversicherungsanstalt Widerspruch einzulegen und können, wenn dieser abgewiesen wird, Verwaltungsklage einlegen (Rechtsbehelf vor dem Amtsgericht). Das Verfahren ist kostenlos.</t>
  </si>
  <si>
    <t>Die Versicherten können eine Überprüfung ihrer Anspruchsberechtigung beantragen, wenn sich ihr Gesundheitszustand verschlechtert. In einigen Fällen (d.h. wenn der Gesundheitszustand sich voraussichtlich verändern wird), muss die Anspruchsberechtigung regelmäßig überprüft werden.
Neubewertungen werden von den Ärzten des Institutes für Gesundheitsbewertung vorgenommen.</t>
  </si>
  <si>
    <t>Gesundheitsversorgung:
Speziale balneologische Behandlungen, ambulante balneologische Behandlungen, obligatorische Spezialbehandlungen, Rehabilitationsbehandlung, usw.
Behandlungen, die als unverzichtbarer Teil des Heilungsprozesses oder als zusätzliche Versorgung von chronischen Erkrankungen angesehen werden, können von den öffentlichen Krankenkassen rück-erstattet werden.
Die Bedingungen der Rückerstattung durch öffentliche Krankenkassen sind im Gesetz über die Öffentliche Krankenversicherung (Zákon o veřejném zdravotním pojištění) Nr. 48/1997 festgelegt. Der Teilnahme der Patienten an solchen Behandlungen folgt eine Empfehlung eines Facharztes, ist aber nicht verpflichtend für den Bezug der Invaliditätsleistung.
Berufliche Bildungsmaßnahmen und arbeitsbezogene Rehabilitation:
Umschulung wird normalerweise von der regionalen Außenstelle des Arbeitsamtes organisiert, die die Kursgebühren zahlt und, wenn die Fortbildung weit vom Wohnort entfernt stattfindet, auch für Verpflegung, Unterbringung und Reisekosten aufkommt. Fortbildungsprogramme dauern normalerweise nicht länger als 3 Monate.
Die regionale Außenstelle des Arbeitsamtes unterstützt erwerbsunfähige Personen bei der Suche nach einer Arbeitsstelle. Die regionale Außenstelle des Arbeitsamtes beschäftigt spezialisierte Berater, die im direkten Kontakt mit Arbeitgebern stehen.
Personen mit Behinderung haben einen Anspruch auf Arbeitsrehabilitation, die von der zuständigen Außenstelle des Arbeitsamtes in Zusammenarbeit mit Rehabilitationszentren oder (beruhend auf einer schriftlichen Einverständniserklärung) anderen legalen oder natürlichen Personen organisiert wird.
Rehabilitationskosten werden vom Arbeitsamt erstattet.
Arbeitgeber sind verpflichtet, den Arbeitsplatz anzupassen und berufliche Ausbildung für Arbeitnehmer mit Behinderung anzubieten. Alle Arbeitgeber mit mehr als 25 Arbeitnehmern sind verpflichtet, mindestens 4% der Stellen mit Menschen mit Behinderung zu besetzen. Siehe Tabelle V “Bevorzugte oder vorbehaltene Beschäftigung von Personen mit Behinderungen“ für nähere Informationen.</t>
  </si>
  <si>
    <t>Automatische Rentenanpassung an jedem 1. Januar zu 100% der Veränderungen des Verbraucherpreisindexes für Rentner um ein Drittel der durchschnittlichen Steigerung des Reallohns. Weitere Anpassungen erfolgen bei einem Preisanstieg um mehr als 5%.
Der Prozentuale Anteil (Procentní část) von Renten kann weiter erhöht werden, so dass die Steigerung der Durchschnittsrente 2.7% beträgt, wenn die automatische Inflationsbereinigung von Preisen und Löhnen niedriger ist.
Die Grenzwerte für die Persönliche Bemessungsgrundlage (Osobní vyměřovací základ) werden ebenfalls regelmäßig entsprechend des Durchschnittslohns angepasst.</t>
  </si>
  <si>
    <t>Invaliditätsrente ersten, zweiten und dritten Grades (Invalidní důchod prvního druhého a třetího stupně): Kumulierung mit Arbeitseinkommen möglich, ohne Beschränkung des Betrags, der verdient werden kann, und ohne Kürzung der Leistung.</t>
  </si>
  <si>
    <t>Kumulation einer Invaliditätsrente mit einer Altersrente ist nicht möglich: die höhere Rente wird gezahlt.
Bei gleichzeitigem Anspruch auf eine Rente aufgrund von Invalidität und eine Hinterbliebenenrente (Witwen-, Witwer- oder Waisenrente) werden der volle Betrag der höheren Rente und die Hälfte des Prozentualen Betrags (Procentní část) der niedrigeren Rente gezahlt.
Kumulation mit Leistungen bei Krankheit:
Nicht möglich, wenn die Invalidität während des Zahlungszeitraums des Krankengelds auftrat.
Arbeitslosenleistungen können mit Invaliditätsrenten des ersten und zweiten Grades (invalidní důchod prvního a druhého stupně) und nur in Sonderfällen auch mit Invaliditätsrenten dritten Grades (Invalidní důchod třetího stupně) kumuliert werden.</t>
  </si>
  <si>
    <t>Renten werden nur besteuert, wenn sie 36 Mal höher sind als der monatliche Bruttomindestlohn (CZK 748.800 (€30.257) jährlich).</t>
  </si>
  <si>
    <t>Renten werden nur besteuert, wenn sie 36 Mal höher sind als der monatliche Bruttomindestlohn (CZK 748.800/(€30.257) jährlich).</t>
  </si>
  <si>
    <t xml:space="preserve">
   * Obligatorische, arbeitsgebundene Versicherung.</t>
  </si>
  <si>
    <t>Keine zusätzlichen Anspruchsvoraussetzungen (gleiche Bedingungen wie für Arbeitnehmer).</t>
  </si>
  <si>
    <t>Gesetz über die Renten- und Invaliditätsversicherung (Zakon o pokojninskem in invalidskem zavarovanju) (Amtsblatt der Republik Slowenien, Nr. 48/22 in der offiziell konsolidierten Version einschließlich späterer Änderungen).
Gesetz über Beschäftigung und Rehabilitation von invaliden Personen (Zakon o zaposlitveni rehabilitaciji in zaposlovanju invalidov) (Amtsblatt der Republik Slowenien, Nr. 16/2007 – in der offiziell konsolidierten Version einschließlich späterer Änderungen).
Gesetz über Beschäftigungsbedingungen (Zakon o delovnih razmerjih) (Amtsblatt der Republik Slowenien, Nr. 21/2013 einschließlich späterer Änderungen).
Gesetz zum Finanzausgleich (Zakon za uravnoteženje javnih financ (ZUJF)) (Amtsblatt der Republik Slowenien, Nr. 40/2012, mit Änderungen).
Gesetz zur persönlichen Einkommenssteuer (Zakon o dohodnini (ZDoh-2)) (Amtsblatt der Republik Slowenien, Nr. 13/2011 – in der offiziell konsolidierten Version einschließlich späterer Änderungen).
Gesetz über die Umsetzung der Haushaltspläne der Republik Slowenien für die Jahre 2025 und 2026 (Zakon o izvrševanju proračunov Republike Slovenije za leti 2025 in 2026) (Amtsblatt der Republik Slowenien, Nr. 104/24 einschließlich späterer Änderungen).
Verzeichnis der Rechtsakte: https://pisrs.si/</t>
  </si>
  <si>
    <t>Die Invaliditätsrente (invalidska pokojnina) ist Teil des nationalen Rentensystems. Es ist ein beitragsfinanziertes, obligatorisches Sozialversicherungssystem für alle Arbeitnehmer und Selbstständigen und bietet einkommensbezogene Leistungen.
Es gibt kein besonderes Sozialhilfesystem für Invalidität.
Kein besonderes System. Es gilt das allgemeine Mindestsicherungssystem (siehe Tabelle XI).</t>
  </si>
  <si>
    <t>Invalidität ist definiert als eine Verminderung der Arbeitsfähigkeisfähigkeit aufgrund von Krankheit oder Verletzung (arbeitsbedingt oder ohne Zusammenhang zur Tätigkeit), die durch medizinische Behandlung oder Rehabilitation nicht behoben werden kann.</t>
  </si>
  <si>
    <t xml:space="preserve">
   * Arbeitnehmer, Selbstständige, Landwirte, Aktionäre, leitende Angestellte und Personen, die eine Beschäftigung auf anderer rechtlicher Grundlage ausüben;
   * Empfänger von Arbeitslosengeld (denarno nadomestilo za primer brezposelnosti) und Personen, deren Beiträge für Renten- und Invaliditätsversicherung vom Beschäftigungsservice übernommen werden bis sie die Anspruchsbedingungen für eine Altersrente erfüllen;
   * Personen mit Anspruch auf Lohnersatzleistungen aufgrund zeitlich begrenzter Erwerbsunfähigkeit nach Beendigung des Arbeitsverhältnisses, wenn sie nicht durch die Pflichtversicherung aus anderen Gründen abgedeckt sind;
   * Personen, die professionelle Pflegschaftsdienste ausführen;
   * Personen, die ein religiöses Amt als religiöser Arbeitnehmer ausführen;
   * Personen mit Anspruch auf Lohnersatzleistungen während beruflicher Rehabilitation;
   * Ein Elternteil, der Anspruch auf Elterngeld (starševski dodatek) hat, wenn diese Person nicht durch die Pflichtversicherung aus anderen Gründen abgedeckt ist; Anspruch auf Teilzahlungen bei Einkommensersatzleistung (delno plačilo za izgubljeni dohodek); Anspruch auf Elternschaftsgeld, aber keinen Anspruch auf Elternurlaub hat sowie nicht durch die Pflichtversicherung aus anderen Gründen abgedeckt ist; Anspruch auf Zahlungen des proportionalen Beitragsanteils und Anrecht auf Teilzeitarbeit zur Pflege und Schutz von Kindern zur Deckung des Unterschiedes zur Vollzeitarbeit;
   * Familienhelfer mit Anspruch auf Teilzahlungen bei Einkommensersatzleistung (delno plačilo za izgubljeni dohodek) (siehe Tabelle XII „Pflegebedürftigkeit");
   * Soldaten, die freiwillig Wehrdienst leisten, und Bürger während freiwilligen Rettungskursen.
Für Personen im Alter von über 15 Jahren mit einem dauerhaften Wohnsitz in Slowenien, die die Bedingungen zur Deckung durch die Pflichtversicherung nicht erfüllen, ist eine freiwillige Versicherung möglich.
Anspruch auf Invaliditätsleistungen ist unabhängig von Aufenthalt und/oder Nationalität, ist aber geknüpft an die Aufnahme in eine Versicherung.</t>
  </si>
  <si>
    <t>Ausnahmen von der Pflichtversicherung möglich für Landwirte, wenn ihr Einkommen aus landwirtschaftlicher Tätigkeit 60% des nationalen Durchschnittslohns nicht übersteigt.</t>
  </si>
  <si>
    <t>Anspruchsberechtigung auf die Leistung beginnt, sobald die Invalidität anerkannt wurde; sie ist nicht verknüpft mit dem Ablauf der Zahlung von Krankengeld. Sie gilt für den gesamten Zeitraum der Invalidität, es sind aber regelmäßige medizinische Kontrollen vorgesehen.
Bei Erreichen des Rentenalters kann zwischen Altersrente (starostna pokojnina) und Invaliditätsrente (invalidska pokojnina) gewählt werden, wenn die Anspruchsbedingungen auf Altersrente erfüllt sind.
Der Zeitraum der Anspruchsberechtigung ist unabhängig von der Art der Invalidität.
Bei verminderter Erwerbsfähigkeit ist kein vorgezogener Ruhestand möglich.</t>
  </si>
  <si>
    <t>Das Beurteilungsverfahren beginnt mit der Vorstellung der gesamten medizinischen und beruflichen Dokumentation durch den Hausarzt der versicherten Person bei der Renten- und Invaliditätsversicherungsanstalt (Pension and Disability Insurance Institute (PDII)). Der Grad der Invalidität wird durch die von der PDII berufenen Invaliditätskommissionen (erste und zweite Instanz) beurteilt, unter dem Vorsitz von sachverständigen Medizinern und bestehend aus zwei oder mehr Ärzten. Kommissionen der ersten Instanz sind innerhalb der regionalen Einheiten der PDII organisiert und sind an nationale Regeln und Vorschriften gebunden.
Widerspruch gegen eine Entscheidung kann innerhalb von 15 Kalendertagen ab der Entscheidung eingelegt werden und werden von der Behörde der zweiten Instanz (Invaliditätskommission II) der Zentraleinheit des PDII geklärt.</t>
  </si>
  <si>
    <t>Für Personen, die vor dem Alter von 45 Jahren Invaliditätsrente bezogen, sind alle 5 Jahre medizinische Neubeurteilungen vorgesehen. In besonderen Fällen sind Neubeurteilungen unnötig.
Einer versicherten Person kann jederzeit eine Nachfolgeuntersuchung zur Feststellung des Invaliditätsgrads auferlegt werden, welche durch die Renten- und Invaliditätsversicherungsanstalt (PDII) durchgeführt wird. Wenn eine Person ohne Angabe von triftigen Gründen nicht zur Nachfolgeuntersuchung erscheint, wird die Zahlung der Leistung ausgesetzt.
Ähnliche Vereinbarungen gelten für Personen mit Anspruch auf andere Leistungen der Invaliditätsversicherung.</t>
  </si>
  <si>
    <t>Der Betrag der Invaliditätsrente (invalidska pokojnina) wird aufgrund der Rentenberechnungsbasis (pokojninska osnova) in gleicher Weise wie die Altersrente (starostna pokojnina) bestimmt und hängt von der Ursache und dem Zeitpunkt des Auftretens der Invalidität ab. Die Höhe der Leistung hängt vom Alter der Person zum Zeitpunkt des Auftretens der Invalidität ab. Für die erhöhten Beträge bei Berufskrankheit oder Arbeitsunfall siehe Tabelle VIII „Arbeitsunfälle und Berufskrankheiten“.
Die Rentenberechnungsbasis ist festgelegt und berücksichtigt die tatsächliche Mindestversicherungszeit für Leistungen und den zusätzlichen (fiktiven) Zeitraum, welches der Zeitraum zwischen dem Auftreten der Invalidität und dem vollen Rentenalter ist. Der fiktive Zeitraum wird berücksichtigt als: 2/3 des Zeitraums zwischen dem Auftreten der Invalidität und dem Alter von 60 Jahren und 1/2 des Zeitraums zwischen 60 und 65 Jahren.
Der Leistungsanspruch unterliegt keiner Bedürftigkeitsprüfung.
Der Betrag der Leistungen bei Invalidität ist unabhängig von anderen Sozialleistungen.
Leistungen werden monatlich am letzten Tag des Monats gezahlt.
Empfänger der Invaliditätsrente haben Anspruch auf eine pauschale Bonuszahlung (letni dodatek), die jährlich von der Renten- und Invaliditätsversicherungsanstalt an Empfänger der Invaliditätsrente im Rahmen der Invaliditätsversicherung ausgezahlt wird. Der Betrag des Bonus ist abhängig von Betrag und Art der Rente (fünf verschiedene Beträge zwischen €155 und €465 im Jahr 2025).</t>
  </si>
  <si>
    <t>Rentenberechnungsbasis (pokojninska osnova): monatliches Durchschnittseinkommen über 24 aufeinander folgende Versicherungsjahre ab dem 1. Januar 1970 (es wird der für die versicherte Person günstigste Zeitraum gewählt). Berechnungsgrundlage ist das Nettoeinkommen der Person, von dem Rentenversicherungsbeiträge gezahlt wurden.</t>
  </si>
  <si>
    <t>Eine versicherte Person mit Anspruch auf Invaliditätsrente (invalidska pokojnina) erhält eine Mindestrente entsprechend 41% der Mindest-Rentenberechnungsbasis (pokojninska osnova) von €947,67 (brutto) (dieser Betrag muss jährlich angepasst werden, während die Mindestrentenbasis im Jahr 2025 €1.219,95 ist), d. h. €490,03 pro Monat. Die Mindest-Rentenberechnungsbasis wird durch die Renten- und Invaliditätsversicherungsanstalt Sloweniens (Zavod za pokojninsko in invalidsko zavarovanje Slovenije) festgelegt.
Im Oktober 2017 wurde die garantierte Rente (zagotovljena pokojnina) für Empfänger von Alters- oder Invaliditätsrente, die Beiträge in das Alterssystem (1. Säule) für den zum Erhalt einer Vollrente erforderlichen Zeitraum leisten, deren Betrag nicht unter €620 pro Monat (€781,94 seit 1. Januar 2025) liegt.
Die Höhe der garantierten Mindestinvaliditätsrente (zagotovljena najnižja invalidska pokojnina) ist auf 41% der Mindest-Rentenberechnungsbasis festgelegt und beträgt €490,03.
Keine gesetzliche Höchstrente vorgesehen, ergibt sich aber aus dem durch die Berechnungsmethode erhaltenen Höchstbetrag, welcher seit 1. Januar 2025 der maximalen Rentenberechnungsbasis von €4.879,80 (brutto) entspricht (d.h. viermal höher als die minimale Rentenberechnungsbasis).</t>
  </si>
  <si>
    <t>Zeiten von Krankheit, Mutterschaft, Vaterschaft und Arbeitslosigkeit und Kindererziehung werden für die Anspruchsberechtigung auf Leistungen bei Invalidität und der Berechnung von deren Betrag berücksichtigt.</t>
  </si>
  <si>
    <t>Medizinische Rehabilitation:
Siehe Tabelle II „Krankheit – Sachleistungen“.
Berufliche Rehabilitation:
Wird vom Arbeitgeber in Zusammenarbeit mit der Renten- und Invaliditätsversicherungsanstalt Sloweniens (Zavod za pokojninsko in invalidsko zavarovanje Slovenije) organisiert, die auch die Kosten trägt.
Die berufliche Rehabilitation ist ein integrierter Prozess, bei dem ein Versicherter beruflich, physisch und psychosozial für einen anderen Beruf oder eine andere Arbeit ausgebildet wird, damit er ordnungsgemäß eingestellt und wieder in das Arbeitsumfeld eingegliedert werden kann, oder für die Ausübung desselben Berufs oder derselben Arbeit ausgebildet wird, indem der Arbeitsplatz mit geeigneten technischen Hilfsmitteln an ihn angepasst wird. Ein Versicherter, der das Recht auf berufliche Rehabilitation erworben hat, ist verpflichtet, sich unter den gesetzlich festgelegten Bedingungen und in der gesetzlich festgelegten Weise und gemäß den im Vertrag festgelegten Verpflichtungen für eine angemessene Arbeit auszubilden.
Rehabilitationsgeld (nadomestilo za čas poklicne rehabilitacije) wird bis zur Beendigung der beruflichen Rehabilitation gezahlt. Die Leistung beträgt 130% der Invaliditätsrente (invalidska pokojnina), auf die Personen zum Zeitpunkt des Auftretens der Invalidität Anspruch gehabt hätten (bei außerbetrieblichen Maßnahmen beträgt die Leistung 40% dieses Betrags). Wenn die Anpassung der Räumlichkeiten und Arbeitsstätten erforderlich ist für die berufliche Rehabilitation oder die Aufrechterhaltung der Beschäftigung, trägt die Renten- und Invaliditätsversicherungsanstalt ganz oder teilweise die Kosten.
Beschäftigte Invaliden der Kategorien II und III, die noch erwerbsfähig sind, haben Anspruch auf die Leistung zum Ausgleich des Lohnverlusts, der durch Teilzeitarbeit, durch ein niedrigeres Entgelt in der neuen angemessenen Arbeitsstelle und durch Arbeitsplatzwechsel entstanden ist (siehe Tabelle V, Invalidität, „Andere Leistungen“).</t>
  </si>
  <si>
    <t>Behinderte Arbeitnehmer haben bei der Beschäftigung Priorität, so lange sie angemessen qualifiziert sind.
Es bestehen verschiedene Anreize für die Beschäftigung von Personen mit Behinderungen (Lohnkostenzuschüsse, andere finanzielle Anreize für die Beschäftigung von Menschen mit Behinderung oberhalb der vorgeschriebenen Quote, jährliche Auszeichnungen für Arbeitgeber mit vorbildlichem Verfahren).
Geschützte Werkstätten, Beschäftigungszentren und Arbeitgeber, die Menschen mit Behinderung oberhalb der vorgeschriebenen Quote beschäftigen, sind von der Zahlung der Renten- und Invaliditätsversicherungsbeiträge ausgenommen.
Arbeitgeber mit mehr als 20 Beschäftigten sind verpflichtet, einen bestimmten Anteil von Menschen mit Behinderung anzustellen. (welcher abhängig ist von dem Bereich der Tätigkeit, z.B. 2% in Handel, Fischerei, Catering, Finanzdienstleistungen, öffentlicher Verwaltung, 3% auf Baustellen, Transportwesen, Immobilienwesen, Bildungswesen, 6% in der Landwirtschaft, Bergbau, Gesundheitswesen, Sozialfürsorge).</t>
  </si>
  <si>
    <t>Renten werden regelmäßig einmal pro Jahr (im Februar) auf der Grundlage einer staatlichen Entscheidung je nach der Wirtschaftslage (d. h. dies berücksichtigt die Gehaltsentwicklung (60%) und die Inflation (40%)) angepasst. Im Januar 2025 lag der Indexierungssatz bei 4,5%.</t>
  </si>
  <si>
    <t>Recht auf Teilzeitarbeit und Teilbeihilfe (delno nadomestilo): Siehe Tabelle V, Invalidität, „Sonstige Leistungen“.</t>
  </si>
  <si>
    <t>Die Invaliditätsrente kann sowohl mit Pflegegeld (dodatek za pomoč in postrežbo) als auch mit Ergänzungszulage (EZ) (varstveni dodatek) kumuliert werden, vorausgesetzt, dass die Bedingungen erfüllt werden.</t>
  </si>
  <si>
    <t>Besteuerung nach allgemeinen Regeln. Keine besonderen Erleichterungen für Invaliditätsrente (invalidska pokojnina).
Ausgenommen: Einwohner, die Renten der obligatorischen Renten- und Invaliditätsversicherung beziehen, haben Anspruch auf eine zusätzliche persönliche Einkommenssteuererleichterung von 13,5% der betreffenden Rente.</t>
  </si>
  <si>
    <t>Von der Invaliditätsrente (invalidska pokojnina) und dem Rehabilitationsgeld (nadomestilo za čas poklicne rehabilitacije) sind für Gesundheitsleistungen und die Erstattung von Reisekosten im Krankheitsfall Beiträge in Höhe von 5,96% zu entrichten. Keine Bemessungsgrenze.</t>
  </si>
  <si>
    <t>Obligatorisches, versicherungsgebundenes System.
Selbstständige können nicht teilweise durch die gesetzliche Versicherung und teilweise durch die freiwillige Versicherung abgedeckt werden.</t>
  </si>
  <si>
    <t>Sozialversicherungsgesetz (Zákon o sociálnom poistení) Nr. 461/2003.
Arbeitsförderungsgesetz (Zákon o službách zamestnanosti) Nr. 5/2004.
Gesetz über Soziale Dienste (Zákon o sociálnych službách) Nr. 448/2008.
Gesetz zur finanziellen Unterstützung des Behindertenausgleichs (Zákon o peňažných príspevkoch na kompenzáciu ťažkého zdravotného postihnutia) Nr. 447/2008.
Verzeichnis der Rechtsakte: https://www.slov-lex.sk/pravne-predpisy</t>
  </si>
  <si>
    <t>Beitragsfinanziertes gesetzliches Sozialversicherungssystem für Arbeitnehmer und bestimmte Gruppen von Selbstständigen mit einkommensbezogenen Renten, die von Beiträgen und der Versicherungsdauer abhängen.
Invaliditätsleistungen sind Teil des staatlichen Rentensystems.
Möglichkeit der freiwilligen Versicherung für Personen über 16 Jahren.
Es gibt ein spezifisches Sozialhilfesystem für Invalidität – siehe Tabelle XI „Mindestsicherung“.
Sondersystem für Polizisten, Soldaten und Zollbeamte.</t>
  </si>
  <si>
    <t>Personen haben Anspruch auf eine Invalidenrente, wenn sie an einem langfristig schlechten Gesundheitszustand leiden. Invalidität beruht auf dem Grad der Einschränkung, die die Erwerbsfähigkeit vermindert.</t>
  </si>
  <si>
    <t>Pflichtmitgliedschaft für:
   * Arbeitnehmer;
   * Selbstständige mit Krankenversicherungspflicht;
   * Personen, die ein Kind bis zu dessen 6. Lebensjahr betreuen (oder bis zum 18. Lebensjahr bei einem Kind mit Behinderungen);
   * Personen, die Geldleistungen der häuslichen Pflege (Peňažný príspevok na opatrovanie) erhalten;
   * Personen, die persönliche Unterstützung von mindestens 140 Stunden im Monat verrichten;
   * Soldaten in freiwilligem Militärdienst;
   * Zeugen unter Bedrohung oder in Zeugenschutz.
Freiwillige Mitgliedschaft für:
Personen über 16 Jahre mit ständigem oder vorläufigem Wohnsitz in der Slowakei, z. B. im Ausland Beschäftigte, Arbeitslose, Selbstständige mit einem Jahreseinkommen unter €8.580 im Jahr 2024 (50% des nationalen Durchschnittslohns des Jahres 2023).</t>
  </si>
  <si>
    <t>Keine Pflichtversicherung für Selbstständige mit einem Jahreseinkommen unter €8.580 im Jahr 2024 (50% des nationalen Durchschnittslohns im Jahr 2023).</t>
  </si>
  <si>
    <t>Die erforderliche Mindestbeschäftigungsdauer ist abhängig vom Alter:
   * bis 20 Jahre &lt; 1 Jahr
   * 20 - 24 Jahre: 1 Jahr
   * 24 - 28 Jahre: 2 Jahre
   * 28 - 34 Jahre: 5 Jahre
   * 34 - 40 Jahre: 8 Jahre
   * 40 - 45 Jahre: 10 Jahre
   * über 45 Jahre: 15 Jahre
Bei Arbeitsunfällen oder Berufskrankheiten oder für Personen, die von Kindheit an behindert sind, ist keine Mindestdauer der Mitgliedschaft erforderlich.</t>
  </si>
  <si>
    <t>Anspruchsberechtigung auf Leistungen bei Invalidität ist abhängig vom Grad der Einschränkung der Person, d.h. das Ausmaß, in der ein längerfristig ungünstiger Gesundheitszustand eine Abnahme der Fähigkeit verursacht, einer Erwerbstätigkeit für mindestens ein Jahr nachzukommen.
Die Verminderung der Arbeitsfähigkeit wird auf der Basis der körperlichen und geistigen Verfassung der Person beurteilt, indem jeder Art von Krankheit oder Behinderung ein bestimmter Prozentsatz zugeordnet wird (wie im Anhang des Gesetzes angegeben).
Für eine Anspruchsberechtigung auf die Leistung beträgt das Mindestmaß an Verminderung der Erwerbsfähigkeit im Vergleich zu einer gesunden Person über 41%. Ist der Verlust der Fähigkeit größer als 70%, wird die Invalidität als Vollinvalidität eingestuft (Plná invalidita).</t>
  </si>
  <si>
    <t>Leistungen bei Invalidität werden ab Ausschöpfung des Anspruchs auf Leistungen bei Krankheit ausgezahlt (bis zu 52 Wochen), bis der Zustand der Invalidität anhält und längstenfalls bis der Anspruch auf Altersrente (Starobný dôchodok) beginnt.
Der Anspruchszeitraum auf Leistungen bei Invalidität wird auf dauerhafter Basis gewährt, wird aber überprüft, wenn sich Änderungen an der Fähigkeit ergeben, eine Erwerbstätigkeit auszuüben.
Kein vorgezogener Ruhestand im Fall verminderter Erwerbsfähigkeit.</t>
  </si>
  <si>
    <t xml:space="preserve">Der Antrag auf Leistungen bei Invalidität muss schriftlich beim Sozialversicherungsträger eingereicht werden.
Der Antrag auf Invalidität wird von einem Gerichtsmediziner des Sozialversicherungsträgers beurteilt, der mit einem praktischen Arzt, einem anwesenden Mediziner und einem Gutachter der Krankenkasse zusammenarbeitet. Ärzte sind Teil der beglaubigten Liste des Sozialversicherungsträgers.
Der Sozialversicherungsträger fällt dann die Entscheidung über den Anspruch auf Leistungen.
Die Bewertungsverfahren und angewendeten Kriterien gelten landesweit.
Das Recht auf Widerspruch ist garantiert. Die Berufungsinstanz ist in zweiter Instanz der Sozialversicherungsträger. </t>
  </si>
  <si>
    <t>Regelmäßige Überprüfungen der Arbeitsfähigkeit werden wie vom Gerichtsmediziner festgelegt durchgeführt. Bei vorübergehender Arbeitsunfähigkeit findet die Überprüfung alle 4 Wochen statt, während sie bei dauernder Invalidität nur dann durchgeführt wird, wenn sich eine Änderung des Grades der Arbeitsfähigkeit ergibt.
Die regelmäßige Überprüfung wird von einem Mediziner aus der beglaubigten Liste des Sozialversicherungsträgers durchgeführt.</t>
  </si>
  <si>
    <t>Höhe der monatlichen Leistung:
Invalidenrente (Invalidný dôchodok):
   * Ist die Erwerbsunfähigkeit höher als 70%: IB = DPE x RVZ x ARW.
   * Ist die Erwerbsunfähigkeit zwischen 41% und 70%: IB = DPE x RVZ x ARW x II/100.
DPE = Durchschnittlicher Persönlicher Entgeltpunkt (Priemerný osobný mzdový bod). Dieser wird bestimmt als Verhältnis der persönlichen Entgeltpunkte während bestimmter Kalenderjahre (im entscheidenden Zeitraum) zu den Zeiten der Rentenversicherung. Der persönliche Entgeltpunkt wird als Verhältnis des jährlichen Bruttoeinkommens des Versicherten zum durchschnittlichen Jahreseinkommen in der Slowakei bestimmt. Der Höchstwert des persönlichen Entgeltpunkts beträgt 3, während der Höchstwert des DPE 2,44 entspricht.
RVZ = Rentenversicherungszeit (Obdobie dôchodkového poistenia) = Anzahl der Versicherungsjahre als Versicherter + verbleibende Jahre bis zum Rentenalter.
II = Minderung der Erwerbsfähigkeit in Prozent.
ARW = aktueller Rentenwert (Aktuálna dôchodková hodnota). Der ARW wird jährlich von der Sozialversicherungsanstalt festgelegt. Für die Berechnung der Leistungen für das Jahr 2025 beträgt der ARW €18.7434.
Die Rente wird zwölf Mal im Jahr ausgezahlt mit einer 13. Zusatzzahlung am Jahresende, die der nationalen Durchschnittsinvalidenrente für das vorige Jahr entspricht, d.h. mindestens €300 (siehe Tabelle VI „Alter“).
Bezug anderer Sozialleistungen beeinflusst den Betrag der Leistung bei Invalidität (siehe „Kumulation mit anderen Sozialleistungen“).</t>
  </si>
  <si>
    <t>Leistungen sind abhängig vom Erwerbseinkommen des Versicherten während der gesamten Versicherungszeit siehe „Leistungen, 1. Berechnung, Formel, Beträge und Zahlungshäufigkeit“).</t>
  </si>
  <si>
    <t>Keine gesetzliche Invaliditätsrente. Siehe auch Tabelle VI „Alterssicherung, Mindestrente".
Keine gesetzliche Höchstrente, aber de facto besteht ein Maximum aufgrund der Berechnungsmethode.</t>
  </si>
  <si>
    <t xml:space="preserve">
   * Zeiten des Bezugs von Mutterschaftsgeld (Materské) und Pflegegeld für die Pflege eines kranken Angehörigen (Ošetrovné);
   * Zeiten der Betreuung von Kindern bis zum Alter von 6 Jahren oder für die Betreuung eines langfristig schwer behinderten Kindes bis zum Alter von 18 Jahren;
   *  Empfang von Geldleistungen der häuslichen Pflege (Peňažný príspevok na opatrovanie) oder Pflegegeld (Príspevok na osobnú asistenciu);
   * Zeiten freiwilligen Militärdiensts oder Zeiten unter Zeugenschutz.
</t>
  </si>
  <si>
    <t>Ausgleich für die verringerte Fähigkeit, grundlegende Aufgaben im Haushalt zu erfüllen, umfasst:
   * Sozialdienst, d.h. häuslicher Pflegedienst und Pflege in entsprechenden Einrichtungen;
   * Geldleistungen (siehe Leistungen im Zusammenhang mit Tabelle XII „Langzeitpflege“).
Schmerzensgeld (Náhrada za bolesť) und Ausgleich für geminderte soziale Chancen (Náhrada za sťaženie spoločenského uplatnenia) im Falle einer Verletzung:
Siehe Tabelle III „Krankheit - Geldleistungen".</t>
  </si>
  <si>
    <t>Maßnahmen zur Integration von Personen mit Einschränkungen in den Arbeitsmarkt:
   * Medizinische Rehabilitation erfolgt nach den ärztlichen Vorgaben: spezielle Kuraufenthalte (in Heilbädern), einfache Kuraufenthalte, genehmigte Spezialkuren, zwangsweise Rehabilitation auf Anordnung des Arztes;
   * Die Teilnahme an Ausbildung oder persönlichen Rehabilitationsaktivitäten ist nicht verpflichtend für den Bezug von Invaliditätsrente.</t>
  </si>
  <si>
    <t>Maßnahmen für bevorzugte Beschäftigung von Personen mit Behinderung, angeboten vom Amt für Beschäftigung, Soziales und Familie, sind:
   * Einstellungsquoten für Personen mit Behinderung: Arbeitgeber, die mindestens 20 Arbeitnehmer beschäftigen (mit Ausnahme von Polizei und staatlichen Sicherheits- und Rettungskräften), müssen eine Quote von mindestens 3,2% Arbeitnehmern mit Behinderungen haben;
   * niedrigere Krankenversicherungsbeiträge, gezahlt von Arbeitgebern für Arbeitnehmer mit Behinderung (5,5% anstelle von 11%);
   * Staatliche Zuschüsse (nicht-erstattungsfähiger finanzieller Beitrag) für die Beschäftigung von Personen mit einem chronisch schlechten Gesundheitszustand in sozialen Integrationsunternehmen (d.h. solchen, die mindestens 30% benachteiligte und/oder gefährdete Arbeitnehmer beschäftigen).
   * Staatliche Zuschüsse (nicht-erstattungsfähiger finanzieller Beitrag) für Arbeitgeber zur Schaffung geschützter Werkstätten und geschützter Arbeitsplätze, Arbeitsstellen für Arbeitnehmer mit Behinderungen und erschwertem Zugang zum Arbeitsmarkt zu erhalten, zur Zahlung der Arbeitsvermittlung und von Betriebs- und Transportkosten;
   * Staatlicher Zuschuss (nicht-erstattungsfähiger finanzieller Beitrag) für Menschen mit Behinderungen und erschwertem Zugang zum Arbeitsmarkt zur Einrichtung eines geschützten Arbeitsplatzes als Selbstständiger;
   * Geschützte Werkstätten (d.h. Arbeitsplätze, an denen mindestens 50% der Arbeitnehmer eine Behinderung und erschwerten Zugang zum Arbeitsmarkt haben) und geschützte Arbeitsplätze für Personen mit Behinderung und erschwertem Zugang zum Arbeitsmarkt;
   * Berufsberatung und Arbeitsvermittlung.</t>
  </si>
  <si>
    <t>Jährliche Anpassung (1. Januar) des aktuellen Rentenwertes gemäß der durchschnittlichen Veränderung der Bruttolöhne (im dritten Quartal des vorigen Jahres im Vergleich mit denen desselben Quartals von vor zwei Jahren).
Die Erhöhung des Durchschnittslohns wird mit einem Koeffizienten von 0,95 multipliziert.
Jährliche Anpassung (zum 1. Januar) der „Invalidenleistungen“ entsprechend der Entwicklung der Verbraucherpreise von Rentnerhaushalten. Außerordentliche Anpassung der Rentenleistungen: wenn der kumulative Anstieg der Verbraucherpreise für Rentnerhaushalte (bis 30. Juni) seit der letzten Erhöhung der Rentenleistungen 5% übersteigt.</t>
  </si>
  <si>
    <t>Kumulation mit Arbeitseinkommen (als Arbeitnehmer sowie als Unternehmer) möglich ohne Kürzung des Betrags der Invaliditätsleistung.</t>
  </si>
  <si>
    <t xml:space="preserve">
   * Kumulation mit einer ähnlichen Rentenart (d. h. Altersrenten): Die Rente mit dem höchsten Betrag ist zahlbar;
   * Kumulation mit einer anderen Leistungsart (z. B. Hinterbliebenenrente): Die höchste Leistung plus 50% der niedrigsten Rente sind zahlbar;
   * Kumulation mit einer separaten Leistungsart (z. B. Rente für die geleisteten Dienstjahre als Soldat) ist möglich.</t>
  </si>
  <si>
    <t>Renten unterliegen keiner Steuer.</t>
  </si>
  <si>
    <t>Invaliditätsversicherung ist obligatorisch für Selbstständige mit einem Jahreseinkommen über €8.580 im Jahr 2024, während es freiwillig für jene ist, die weniger als diesen Betrag verdienen. Keine Beiträge sind zahlbar, wenn die Person die Anspruchsbedingungen auf eine Altersrente erfüllt oder ihr eine vorzeitige Rente (Predčasný starobný dôchodok) oder eine Altersrente für geleistete Dienstjahre (Výsluhový dôchodok) nach Erreichen des Rentenalters zuerkannt wird.</t>
  </si>
  <si>
    <t>1. Säule (Grundsystem):
Bundesgesetz vom 19. Juni 1959 über die Invalidenversicherung (IVG).
Bundesgesetz vom 6. Oktober 2000 über den Allgemeinen Teil des Sozialversicherungsrechts (ATSG).
2. Säule (obligatorische Mindestvorsorge):
Bundesgesetz vom 25. Juni 1982 über die berufliche Alters-, Hinterlassenen- und Invalidenvorsorge (BVG).
Publikationsplattform des Bundesrechts: https://www.fedlex.admin.ch/fr/cc/internal-law/83</t>
  </si>
  <si>
    <t>1. Säule (Grundsystem):
Allgemeine Versicherung, welche den Existenzbedarf in angemessener Weise decken soll. Finanzierung durch Beiträge und Steuern nach dem Umlageverfahren. Für Erwerbstätige hängen die Beiträge von ihrem Einkommen ab, für Nichterwerbstätige von ihren sozialen Bedingungen.
2. Säule (obligatorische Mindestvorsorge):
Beitragsfinanzierte Pflichtversicherung für Arbeitnehmer ab einem bestimmten Lohn, finanziert nach dem Kapitaldeckungsverfahren. Zusammen mit der ersten Säule soll sie die Fortsetzung der gewohnten Lebenshaltung in angemessener Weise ermöglichen.
Das BVG sieht Mindestleistungen vor. Die Vorsorgeeinrichtungen können in ihren internen Statuten eine weitergehende Vorsorge vorsehen. In den MISSOC-Tabellen wird nur die gesetzliche Mindestvorsorge behandelt.
Säule 3a (gebundene Selbstvorsorge)
Freiwillige private Vorsorge für Erwerbstätige, die durch steuerliche Maßnahmen gefördert wird. Sie wird in den MISSOC-Tabellen nicht dargestellt.
Ergänzungsleistungen zur 1. Säule (EL)
Personen, die eine Alters-, Hinterbliebenen- oder Invalidenrente beziehen, haben Anspruch auf Ergänzungsleistungen, wenn ihre Mittel nicht ausreichen, um den Lebensbedarf zu decken. Siehe Tabelle XI „Mindestsicherung“.</t>
  </si>
  <si>
    <t>1. Säule (Grundsystem)/2. Säule (obligatorische Mindestvorsorge):
Invalidität ist die voraussichtlich bleibende oder längere Zeit dauernde ganze oder teilweise Erwerbsunfähigkeit. Für die 1. Säule: Nicht erwerbstätige Versicherte gelten als invalid, wenn die Beeinträchtigung ihrer Gesundheit sie daran hindert, sich im bisherigen Aufgabenbereich zu betätigen.
Die Invalidität kann Folge von Geburtsgebrechen, Krankheit oder Unfall sein.</t>
  </si>
  <si>
    <t>1. Säule (Grundsystem):
Drei Beitragsjahre.
2. Säule (obligatorische Mindestvorsorge):
Keine Mindestversicherungsdauer.</t>
  </si>
  <si>
    <t>1. Säule (Grundsystem):
Der Rentenanspruch beginnt frühestens mit dem 18. Altersjahr des Versicherten; er endet, sobald der Versicherte seine gesamte Altersrente vorzeitig bezieht oder das Referenzalter (Rentenalter) erreicht hat oder stirbt. (Umwandlung der Invalidenrente in eine Altersrente mit 64 Jahren und 3 Monaten bei Frauen und mit 65 Jahren bei Männern).
2. Säule (obligatorische Mindestvorsorge):
Frühestens mit 18 Jahren und während der Dauer der Invalidität.
Die Dauer der Leistungszahlungen variiert nicht je nach Art der Invalidität.</t>
  </si>
  <si>
    <t>Die kantonalen IV-Stellen sind für die Bemessung der Invalidität der Versicherten zuständig. Regionale ärztliche Dienste stehen ihnen zur Beurteilung der medizinischen Voraussetzungen des Leistungsanspruchs zur Verfügung. Darüber hinaus können sich die IV-Stellen auch Dritter bedienen.
Das Begutachtungsverfahren und die angewendeten Kriterien sind landesweit die gleichen.
Gegen Entscheidungen der IV-Stellen kann Beschwerde eingelegt werden.</t>
  </si>
  <si>
    <t>Die Invalidenrente wird von Amtes wegen oder auf Gesuch hin für die Zukunft revidiert, d.h. erhöht, herabgesetzt oder aufgehoben, wenn der Invaliditätsgrad des Rentenbezügers sich um mindestens fünf Prozentpunkte ändert, sich auf 100 Prozent erhöht oder sich der Sachverhalt nachträglich erheblich verändert.
Das Revisionsverfahren wird von der IV-Stelle durchgeführt.</t>
  </si>
  <si>
    <t>Minimum:
1. Säule (Grundsystem):
Vollrenten:
CHF1.260 (€1.346) pro Monat.
Kinderrente:
CHF504 (€538) pro Monat.
2. Säule (obligatorische Mindestvorsorge):
Keine gesetzliche Mindestrente.
Maximum:
1. Säule (Grundsystem):
CHF2.520 (€2.692) pro Monat. Die Summe der zwei Invalidenrenten (oder der Invaliden- und der Altersrente) für ein Ehepaar oder für eingetragene Partner darf 150% des Höchstbetrages der Altersrente nicht übersteigen: CHF3.780 (€4.039).
Kinderrente: CHF1.008 (€1.077) pro Monat.
2. Säule (obligatorische Mindestvorsorge):
Keine gesetzliche Höchstrente.</t>
  </si>
  <si>
    <t>1. Säule (Grundsystem):
Erziehungsgutschriften: Berücksichtigung eines fiktiven Einkommens (bei Berechnung der Rente) für die Jahre, während denen die Versicherten die elterliche Sorge über ein oder mehrere weniger als 16 Jahre alte Kinder innehaben.
Betreuungsgutschriften: das Gleiche gilt für Jahre, während denen die Versicherten hilflose Verwandte in auf- oder absteigender Linie oder Geschwister betreuen, die die Versicherten leicht erreichen können. Verwandten gleichgestellt sind Ehegatten, Schwiegereltern und Stiefkinder sowie die Lebenspartnerin oder der Lebenspartner, die oder der seit mindestens fünf Jahren ununterbrochen mit der versicherten Person einen gemeinsamen Haushalt führt.
Bei nichterwerbstätigen Ehegatten von erwerbstätigen Versicherten sowie Personen, die im Betrieb ihres Ehegatten ohne Barlohn mitarbeiten, gelten die eigenen Beiträge als bezahlt, sofern der Ehegatte Beiträge von mindestens der doppelten Höhe des Mindestbeitrages bezahlt hat.
Die eingetragene Partnerschaft ist einer Ehe gleichgestellt.
2. Säule (obligatorische Mindestvorsorge):
Keine anrechenbaren bzw. berücksichtigungsfähigen beitragsfreie Zeiten.</t>
  </si>
  <si>
    <t>1. Säule (Grundsystem)/2. Säule (obligatorische Mindestvorsorge):
Ehegatte/eingetragener Partner:
Keine Zulagen.
Kinder:
Der Bezüger einer Invalidenrente hat Anspruch auf eine Rente für jedes Kind, das bei seinem Tod Anspruch auf eine Waisenrente hätte.
1. Säule:
40% der Invalidenrente.
2. Säule:
20% der vollen Invalidenrente.</t>
  </si>
  <si>
    <t>1. Säule (Grundsystem):
Die Eingliederung geht vor. Maßnahmen der Frühintervention sollen dazu beitragen, dass gesundheitlich beeinträchtigte Minderjährige ab dem vollendeten 13. Altersjahr und gesundheitlich beeinträchtigte junge Erwachsene bis zum vollendeten 25. Altersjahr beim Zugang zu einer erstmaligen beruflichen Ausbildung und bei ihrem Eintritt in den Arbeitsmarkt unterstützt werden, arbeitsunfähige Versicherte ihren bisherigen Arbeitsplatz behalten können und die Versicherten an einem neuen Arbeitsplatz innerhalb oder ausserhalb des bisherigen Betriebes eingegliedert werden.
Eingliederungsmaßnahmen: medizinische Maßnahmen für die Versicherten unter 20 Jahren (in bestimmten Fällen unter 25 Jahren), Beratung und Begleitung, Integrationsmaßnahmen zur Vorbereitung auf die berufliche Eingliederung (Maßnahmen zur sozialberuflichen Rehabilitation, Beschäftigungsmaßnahmen), Maßnahmen beruflicher Art (Berufsberatung, erstmalige berufliche Ausbildung, Umschulung, Arbeitsvermittlung, Arbeitsversuch, PersonalverleihEinarbeitungszuschuss zugunsten des Arbeitgebers, Entschädigung für Beitragserhöhungen der 2. Säule und der Krankentaggeldversicherung wenn die versicherte Person nach erfolgter Arbeitsvermittlung innert drei Jahren erneut arbeitsunfähig wird und Kapitalhilfe), Hilfsmittel (Stützapparate, Körperersatzstücke, usw.), Maßnahmen zur Wiedereingliederung von Rentenbezügern (Beratung und Begleitung, Integrationsmaßnahmen zur Vorbereitung auf die berufliche Eingliederung, Maßnahmen beruflicher Art, Hilfsmittel, Beratung und Begleitung der Rentenbezüger und ihrer Arbeitgeber).
Taggelder werden im Prinzip während der Durchführung von Eingliederungsmaßnahmen oder während der erstmaligen oder höheren beruflichen Ausbildung ausgerichtet.
Die IV-Stellen sind für die Eingliederung zuständig.
2. Säule (obligatorische Mindestvorsorge):
Keine Eingliederungsmaßnahmen (werden von der 1. Säule gewährt).</t>
  </si>
  <si>
    <t>1. Säule (Grundsystem)/2. Säule (obligatorische Mindestvorsorge):
Quoten: Nicht vorgesehen.
Formen der geschützten Beschäftigung: Organisiert auf kantonaler Ebene.
Die Eingliederung von Menschen mit Behinderungen und ihre Integration in den Arbeitsmarkt werden auch durch Anreize für Arbeitgeber gefördert (vgl. Tabelle V „Invalidität“, „Wiedereingliederung in die Erwerbstätigkeit, Umschulung, berufsbezogene Rehabilitation“).</t>
  </si>
  <si>
    <t>1. Säule (Grundsystem):
Grundsätzlich alle zwei Jahre Anpassung der Renten an die Entwicklung der Löhne und Preise (im Grundsatz arithmetisches Mittel des Lohnindexes und des Landesindexes der Konsumentenpreise). Vorgezogene Anpassung, wenn der Konsumentenpreisindex in einem Jahr um mehr als 4% gestiegen ist.
2. Säule (obligatorische Mindestvorsorge):
Die seit 3 Jahren laufenden Invalidenrenten werden erstmals am Beginn des folgenden Kalenderjahres an die Preisentwicklung angepasst. Die folgenden Anpassungen erfolgen gleichzeitig mit den Anpassungen der Renten der 1. Säule.</t>
  </si>
  <si>
    <t>1. Säule (Grundsystem)/2. Säule (obligatorische Mindestvorsorge):
Erlaubt.
Übersteigt der Umfang der beruflichen Tätigkeit die von den IV-Stellen geschätzte Resterwerbsfähigkeit, wird der Invaliditätsgrad überprüft.</t>
  </si>
  <si>
    <t>1. Säule (Grundsystem):
Kumulation mit der Invalidenrente der Unfallversicherung erlaubt. Letztere wird bei Überversicherung gekürzt.
2. Säule (obligatorische Mindestvorsorge):
Kumulation erlaubt, jedoch Kürzung der Leistungen soweit sie zusammen mit anderen Leistungen gleicher Art und Zweckbestimmung sowie weiteren anrechenbaren Einkünften 90% des mutmaßlich entgangenen Verdienstes übersteigen.</t>
  </si>
  <si>
    <t>1. Säule (Grundsystem)/2. Säule (obligatorische Mindestvorsorge):
Die Renten unterliegen der Besteuerung.</t>
  </si>
  <si>
    <t>1. Säule (Grundsystem)/2. Säule (obligatorische Mindestvorsorge):
Besteuerung nach allgemeinen Regeln. Keine Sonderbestimmungen für die Renten.</t>
  </si>
  <si>
    <t>1. Säule (Grundsystem):
Versicherungsbasiertes und universelles System, das alle Personen, die in der Schweiz wohnen oder arbeiten, obligatorisch abdeckt.
2. Säule:
Freiwilliges Versicherungssystem für Selbstständige („Opt-in“-System).</t>
  </si>
  <si>
    <t>Sozialgesetzbuch (Socialförsäkringsbalk) von 2010.
Abschnitt B, Kapitel 22, Pflegebeihilfe für behinderte Kinder (vårdbidrag)/Betreuungsgeld für Kinder mit Behinderungen (omvårdnadsbidrag)/Pflegebeihilfe für behinderte Kinder (vårdbidrag) gemäß älteren Verordnungen vor 1. Januar 2019.
Sozialgesetzbuch (Socialförsäkringsbalken), Abschnitt C, Kapitel 33-37, Krankheitsausgleich und Aktivitätsausgleich (sjukersättning och aktivitetsersättning).
Sozialgesetzbuch, Abschnitt D, Kapitel 50, Beihilfe zur Deckung von Mehrkosten (merkostnadsersättning)/Behindertenbeihilfe (handikappersättning) gemäß älteren Verordnungen vor 1. Januar 2019.
Sozialgesetzbuch, Abschnitt D, Kapitel 51, Pflegebeihilfe (assistansersättning).
Sozialgesetzbuch, Abschnitt D, Kapitel 52, Kraftfahrzeugbeihilfe für Personen mit Behinderungen (bilstöd).
Verzeichnis der Rechtsakte: Socialförsäkringsbalk (2010:110) | Sveriges riksdag</t>
  </si>
  <si>
    <t>Krankheitsausgleich (sjukersättning):
Für Personen im Alter von 19 bis 29 Jahren: dauerhafte vollständige Arbeitsunfähigkeit aufgrund von Krankheit oder sonstiger physischer oder mentaler Beeinträchtigung.
Für Personen im Alter von 30 bis 65 Jahren: dauerhafte vollständige oder teilweise (mindestens 25%) geminderte Arbeitsfähigkeit aufgrund von Krankheit oder sonstiger physischer oder mentaler Beeinträchtigung.
Aktivitätsausgleich (aktivitetsersättning):
Für Personen im Alter von 19 bis 29 Jahren:
Langfristige (mindestens ein Jahr) vollständige oder teilweise (mindestens 25%) geminderte Arbeitsfähigkeit aufgrund von Krankheit oder sonstiger physischer oder mentaler Beeinträchtigung.</t>
  </si>
  <si>
    <t>Einkommensbezogener Aktivitäts-/Krankheitsausgleich (inkomstrelaterad sjukersättning/aktivitetsersättning) für alle Erwerbstätigen (Arbeitnehmer und Selbstständige) sowie Garantierter Ausgleich (garantiersättning) für Einwohner.
Krankheitsausgleich (sjukersättning): Personen im Alter von 19 bis 29 Jahren mit dauerhafter vollständiger Arbeitsunfähigkeit. Personen im Alter von 30 bis 65 Jahren mit dauerhafter vollständiger oder teilweise geminderter Arbeitsunfähigkeit.
Aktivitätsausgleich (aktivitetsersättning): Ab Vollendung des 19. Lebensjahres bis zum Alter von 29 Jahren mit vollständiger oder teilweiser Langzeitarbeitsunfähigkeit (mindestens ein Jahr).</t>
  </si>
  <si>
    <t>Krankheitsausgleich (sjukersättning) oder Aktivitätsausgleich (aktivitetsersättning) kann Personen mit vollständiger oder teilweiser Minderung der Arbeitsfähigkeit aufgrund von Krankheit oder anderen physischen oder psychischen Beeinträchtigungen gewährt werden.
Bei teilweiser Minderung wird je nach Invaliditätsgrad eine gekürzte Leistung in Höhe von ¾, ½ oder ¼ des vollen Betrages gezahlt.
Die geminderte Arbeitsfähigkeit wird als 1/1, ¾, ½ und ¼ ausgedrückt. Die Mindestminderung der Arbeitsfähigkeit ist ¼ (mit Ausnahme des Krankengeldes (sjukersättning) für die Altersgruppe 19-29 Jahre, das nur gewährt wird, wenn die Arbeitsfähigkeit um 1/1 gemindert ist). Die geminderte Arbeitsfähigkeit wird auf diese Weise bewertet, unabhängig davon, ob die Leistung aus einem Garantierten Ausgleich (garantiersättning), einem einkommensbezogenen Krankheits-/Aktivitätsausgleich (inkomstrelaterad sjukersättning/aktivitetsersättning) oder beidem besteht.</t>
  </si>
  <si>
    <t>Einem Antrag auf Aktivitätsausgleich (aktivitetsersättning) oder Krankenausgleich (sjukersättning) muss ein ärztliches Gutachten beiliegen.
Soziale Umstände, wirtschaftliche Situation, vorherige Arbeitserfahrung oder Ausbildung werden nicht berücksichtigt, es sei denn, der Versicherte ist über 61 Jahre alt.
Ein besonderer Beamter, der mit der Entscheidungsfindung betraut ist, führt eine Qualitätskontrolle durch und trifft die endgültige Entscheidung.
Ist die Person nicht mit der Entscheidung einverstanden, kann sie diese vor einem Verwaltungsgericht (Förvaltningsrätten) anfechten. Die Beschwerde muss innerhalb von zwei Monaten ab dem Tag eingereicht werden, an dem der Bescheid erhalten wurde.
Sämtliche Bewertungsverfahren und Kriterien sind die gleichen landesweit.</t>
  </si>
  <si>
    <t>Krankheitsausgleich (sjukersättning):
Die Überprüfung erfolgt durch einen Sachbearbeiter der schwedischen Sozialversicherungsanstalt (Försäkringskassan) mindestens in jedem dritten Jahr. Der Leistungsanspruch wird ebenfalls überprüft, wenn die Arbeitsfähigkeit sich verbessert hat, wenn die Versicherten Arbeitsfähigkeit nachgewiesen haben, die zu dem Zeitpunkt der Entscheidung nicht bekannt war, oder wenn sie ihre Möglichkeit, sich selbst zu unterhalten, durch ertragreiche Arbeit verbessert haben.
Aktivitätsausgleich (aktivitetsersättning):
Nach jeder Bewilligungsperiode erfolgt eine erneute Überprüfung der Arbeitsfähigkeit durch einen Sachbearbeiter der schwedischen Sozialversicherungsanstalt (Försäkringskassan). Der Leistungsanspruch wird ebenfalls überprüft, wenn die Arbeitsfähigkeit sich bedeutend verbessert hat, wenn die Versicherten regelmäßig und über einen längeren Zeitraum Arbeitsfähigkeit nachgewiesen haben, welche zu dem Zeitpunkt der Entscheidung nicht bekannt war, oder wenn sie ihre Möglichkeit, sich selbst zu unterhalten, durch ertragreiche Arbeit bedeutend verbessert haben.</t>
  </si>
  <si>
    <t>Einkommensbezogener Krankheits-/Aktivitätsausgleich (inkomstrelaterad sjukersättning/aktivitetsersättning):
Die Leistung beruht auf den rentenfähigen Einkommen, d. h. Erwerbseinkommen und Einkommen aus bestimmten Zweigen der sozialen Sicherheit wie Einkommensersatzleistungen bei Krankheit, Arbeitslosigkeit und Elternurlaub.</t>
  </si>
  <si>
    <t>Kein Mindestbetrag.
Keine gesetzliche Höchstrente.
Einkommensbezogener Krankheits-/Aktivitätsausgleich (inkomstrelaterad sjukersättning/aktivitetsersättning): Der Höchstbetrag der Leistung beträgt SEK 23.777 (€2.162) pro Monat.</t>
  </si>
  <si>
    <t>Einkommensbezogener Krankheits-/Aktivitätsausgleich (inkomstrelaterad sjukersättning/aktivitetsersättning):
Zeiten ohne Beitragsentrichtung werden bei der Leistungsberechnung nicht berücksichtigt.
Garantierte Vergütung (garantiersättning):
Zeiten der Abwesenheit vom Arbeitsplatz außerhalb Schwedens werden in Übereinstimmung mit der EU-Verordnung 883/2004 gutgeschrieben oder bei der Anspruchsberechtigung für garantierte Vergütung berücksichtigt (und/oder bei der Berechnung des zahlbaren Betrags).</t>
  </si>
  <si>
    <t>Hilfsmittel können von den örtlichen Gesundheitsbehörden gestellt werden und Arbeitgeber können Hilfsgeräte (arbetshjälpmedel) erwerben, damit eine Person im Krankenstand an den Arbeitsplatz zurückkehren kann.
Eine Kombination von Berufstraining und Leistung bei Teilinvalidität ist möglich.
Die Teilnahme an einem Berufstraining oder eine persönliche Rehabilitation sind manchmal notwendig/erforderlich, um Invalidenrente zu beziehen.</t>
  </si>
  <si>
    <t>Personen mit verminderter Arbeitsfähigkeit aufgrund einer Behinderung können, den Umständen entsprechend, verschiedene Arten der Unterstützung, Hilfen und Anpassungen erhalten. Der Arbeitgeber kann einen Ausgleich für die Bereitstellung der Unterstützung und auch finanzielle Zulagen zu Löhnen erhalten.
Keine besonderen Quoten für die Einstellung von Personen mit Behinderungen.
Es gibt entsprechend angepasste Arbeitsplätze für Personen mit Behinderungen.</t>
  </si>
  <si>
    <t>Für Leistungen, die vom Grundbetrag (prisbasbelopp) abhängig sind, wird die Anpassungsrate jährlich entsprechend der Preisentwicklung angepasst.</t>
  </si>
  <si>
    <t>Kumulierung des Einkommens aus Erwerbstätigkeit ist möglich mit Pflegebeihilfe (assistansersättning), Kraftfahrzeugbeihilfe für Personen mit Behinderung (bilstöd till personer med funktionsnedsättning), Betreuungsgeld für Kinder mit Behinderungen (omvårdnadsbidrag) oder Pflegebeihilfe für behinderte Kinder (vårdbidrag) und Beihilfe zur Deckung von Mehrkosten (merkostnadsersättning) oder Behindertenbeihilfe (handikappersättning).
Sobald der Krankheits-/Aktivitätsausgleich (sjukersättning/aktivitetsersättning) mindestens ein Jahr lang gezahlt wurde, darf der Leistungsempfänger arbeiten und kann die Ausgleichszahlungen ruhen lassen (für höchstens zwei Jahre). Während dieses Zeitraums wird ein steuerfreier Betrag in Höhe von 25% des ruhenden Ausgleichs gezahlt.
In bestimmten Fällen kann die Leistung mit Erwerbseinkommen kumuliert werden, sofern die Leistung spätestens ab Juni 2008 gewährt wurde.</t>
  </si>
  <si>
    <t>Kumulierung des Krankheits-/Aktivitätsausgleichs (sjukersättning/aktivitetsersättning) mit der Pflegebeihilfe (assistansersättning), Beihilfe zur Deckung von Mehrkosten (merkostnadsersättning) oder Behindertenbeihilfe (handikappersättning) oder dem Betreuungsgeld für Kinder mit Behinderungen (omvårdnadsbidrag) oder Pflegebeihilfe für behinderte Kinder (vårdbidrag) und Kraftfahrzeugbeihilfe für Personen mit Behinderung (bilstöd) ist möglich.</t>
  </si>
  <si>
    <t>Renten unterliegen der Besteuerung. Ausgenommen hiervon sind die Wohnzulage (bostadstillägg), Beihilfe zur Deckung von Mehrkosten (merkostnadsersättning), Behindertenbeihilfe (handikappersättning), Pflegebeihilfe (assistansersättning), Kraftfahrzeugbeihilfe für Personen mit Behinderung (bilstöd) und der Teil der Pflegebeihilfe für behinderte Kinder (vårdbidrag), mit dem zusätzliche Kosten aufgrund der Behinderung gedeckt werden.</t>
  </si>
  <si>
    <t>Besteuerung nach allgemeinem Regeln kommt zur Anwendung. Keine Sonderbestimmungen für Invalidenrenten.</t>
  </si>
  <si>
    <t>Erste Säule (Pilonul I):
Gesetz Nr. 360/2023 über das öffentliche Rentensystem (Legea nr.360/2023 privind sistemul public de pensii), mit späteren Änderungen.
Regierungsbeschluss Nr. 181/2024 zur Anerkennung der Regeln für die Anwendung von Gesetz Nr. 360/2023 über das öffentliche Rentensystem.
Zweite Säule (Pilonul II):
Gesetz Nr. 411 vom 18. Oktober 2004 über privat verwaltete Rentenfonds (Legea privind fondurile de pensii administrate privat), mit späteren Änderungen.
Dritte Säule (Pilonul III):
Gesetz Nr. 204 vom 22. Mai 2006 über freiwillige Renten (Legea privind pensile facultative), mit späteren Änderungen.
Die Informationen in dieser Tabelle beziehen sich ausschließlich auf das öffentliche System (Erste Säule).
Verzeichnis der Rechtsakte: https://legislatie.just.ro/Public/Acasa</t>
  </si>
  <si>
    <t>Allgemeines Rentensystem (Säule I):
Obligatorisches allgemeines Sozialversicherungssystem, beitragsfinanziert im Umlageverfahren, leistungsorientiert, mit Geld- und Sachleistungen.
Invaliditätsleistungen sind Teil des nationalen Rentensystems.
Kein spezifisches Sozialhilfesystem für Empfänger von Invaliditätsleistungen. Es gilt das allgemeine Mindestsicherungssystem (siehe Tabelle XI).</t>
  </si>
  <si>
    <t>Keine Mindestversicherungszeit.
Personen mit verminderter Arbeitsfähigkeit haben Anspruch auf eine Invalidenrente (pensie de invaliditate), wenn sie Beiträge kumuliert haben, und zwar unabhängig von der Dauer der Beitragsperiode.</t>
  </si>
  <si>
    <t>Die Beurteilung der Arbeitsfähigkeit zur Bestimmung der Kategorie der Invalidität erfolgt durch den medizinischen Sachverständigen der Sozialversicherung des Nationalinstituts für medizinische Expertise und zur Wiederherstellung der Arbeitsfähigkeit.
Die Kriterien und Bewertungsverfahren sind im ganzen Land identisch.
Nach der klinischen Untersuchung und Prüfung der Krankenakten wird eine medizinische Entscheidung über die Arbeitsfähigkeit getroffen.
Gegen diese Entscheidung kann innerhalb von 30 Kalendertagen nach Bekanntgabe der Entscheidung bei den Medizinischen Beschwerdekommissionen Berufung eingelegt werden, deren Entscheidung innerhalb von 30 Kalendertagen nach der Vorlage bei den zuständigen Gerichten weiter angefochten werden kann.</t>
  </si>
  <si>
    <t>Das Berechnungsverfahren beruht auf einem Punktesystem. Die Rentenformeln sind für die Alters-, Invaliden- und Hinterbliebenenrente sowie die Renten bei Arbeitsunfällen und Berufskrankheiten ähnlich. Der Anspruch unterliegt keinem Bedürftigkeitsnachweis.
Der Erhalt anderer Sozialleistungen wirkt sich nicht auf die Höhe der erhaltenen Invalidenrente aus.
Rentenformel für die Invalidenrente (pensie de invaliditate):
IR = RPW * GZP
Wobei
IR  = Invalidenrente (monatlicher Betrag)
RPW  = Referenzpunktwert = RON 81
GZP  = Gesamtzahl Punkte = JP+SP
JP  = Jahrespunkte = Summe (MP/12)
MP  = Monatspunkte = RE/DBE
RE  = Referenzeinkommen:
DBE  = Durchschnittliches Bruttoentgelt (d.h. der durchschnittliche Bruttolohn, der als Grundlage für die Berechnung des staatlichen Sozialversicherungshaushalts für das jeweilige Jahr herangezogen wird)
SP   = Stabilitätspunkte = 0,5 Punkte für jedes beitragspflichtige Jahr über 25; 0,75 Punkte für jedes beitragspflichtige Jahr über 30; 1 Punkt für jedes beitragspflichtige Jahr über 35.
Die Monatspunkte einer versicherten Person, die auch in die zweite Säule eingezahlt hat, werden an das Verhältnis zwischen dem Beitragssatz bei normalen Arbeitsbedingungen, der in das allgemeine Rentensystem einzuzahlen ist, und dem Beitragssatz bei normalen Arbeitsbedingungen, der sowohl in das allgemeine Rentensystem als auch in die zweite Säule einzuzahlen ist, angepasst.
Die Rentenformel für die Invalidenrente (pensie de invaliditate) berücksichtigt den zugerechneten Beitragszeitraum (stagiu potential), vorausgesetzt, dass die Person, bis zu dem Datum der medizinischen Entscheidung über die Arbeitsfähigkeit, bereits einen gewissen Beitragszeitraum erfüllt hat.
Der zugerechnete Beitragszeitraum entspricht der Differenz zwischen dem vollständigen beitragsabhängigen Versicherungszeitraum und dem Beitragszeitraum bis zur Gewährung der Invalidenrente. Dieser darf den von der versicherten Person potentiell erreichbaren Beitragszeitraum vom Beginn der Leistungsgewährung der Invalidenrente bis zum gesetzlichen Renteneintrittsalter nicht überschreiten.
Die Monatspunkte des zugerechneten Beitragszeitraums sind je nach Invaliditätskategorie unterschiedlich:
Invalidität Monatspunkte
Kategorie  (Punkte)
I —  0,25
II — 0,20
III — 0,10
Monatliche Zahlungen.
Finanzielle Unterstützung in Höhe von RON 800 (€157), ausgezahlt in zwei Raten von RON 400 (€79) jeweils im April und Dezember 2025, für Empfänger von Invalidenrenten, deren monatliches Renteneinkommen insgesamt RON 2.574 (€506) nicht übersteigt. Diese finanzielle Unterstützung ist derzeit nur für das Jahr 2025 vorgesehen.</t>
  </si>
  <si>
    <t>Referenzeinkommen: monatliches Bruttoeinkommen ähnlich der Berechnungsgrundlage für den in Tabelle I „Finanzierung“, „Beiträge der Versicherten und Arbeitgeber, 5. Invalidität“ genannten Arbeitnehmerbeitrag.
Referenzzeitraum ist der Beitragszeitraum.</t>
  </si>
  <si>
    <t>Mindesthöhe:
Rentner beziehen die Sozialbeihilfe für Rentner (indemnizatie sociala pentru pensionari), die sich auf RON 1.281 (€252) pro Monat beläuft, wenn ihre Invalidenrente unterhalb dieses Betrags liegt.
Maximal: Keine Höchstrente.</t>
  </si>
  <si>
    <t>Geldleistungen, z. B.:
Leistung für Pflegepersonen (indemnizatie de insotitor) für Personen mit einer Invalidenrente der Kategorie I (pensie de invaliditate gradul I).
Ab dem 1. Januar 2025 beträgt die Leistung für Pflegepersonen RON 2.025 (€398) monatlich.
Die Formel für die Leistung für Pflegepersonen lautet:
LP = 50%*MBL
Wobei:
LP = Leistung für Pflegepersonen (monatlicher Betrag)
MBL = Mindestbruttolohn = RON 4.050 (€797)</t>
  </si>
  <si>
    <t>Als allgemeine Regel gilt, dass Empfänger der Invalidenrente (pensie de invaliditate) an individuell zugeschnittenen Rehabilitationsprogrammen teilnehmen müssen, die vom Facharzt der Sozialversicherung erstellt wurden, der die medizinische Beurteilung der Arbeitsfähigkeit vorgenommen hat (d. h. an Programmen, die ihren Gesundheitszustand verbessern, um sie zur Arbeitsaufnahme zu befähigen). Ausgenommen sind Personen, deren Zustand unheilbar ist oder die noch fünf Jahre vom gesetzlichen Renteneintrittsalter entfernt sind und den vollständigen beitragsabhängigen Versicherungszeitraum erfüllt haben.
Die Nichteinhaltung dieser Verpflichtung führt zur Einstellung oder Beendigung der Invalidenrente.
Die Rehabilitationsprogramme werden vom Facharzt der Sozialversicherung entwickelt.
Andere Systeme bieten ebenfalls Rehabilitationsmöglichkeiten.</t>
  </si>
  <si>
    <t>Subventionierte Beschäftigung:
Um die Beschäftigung von Hochschulabsolventen und anderen Personen mit Behinderungen zu fördern, haben Arbeitgeber für einen bestimmten Zeitraum (Hochschulabsolventen 18 Monate, andere Personen 12 Monate) Anspruch auf monatliche Lohnkostenzuschüsse von RON 2.250 (€443). Die Arbeitgeber sind zur Beschäftigung der Betroffenen für einen Mindestzeitraum von 18 Monaten verpflichtet. Der Arbeitsplatz muss entsprechend angepasst werden und bei Heimarbeitern muss der Transport von Rohmaterial und Fertigprodukten von und zur Wohnung des Betroffenen gewährleistet werden.
Geschützte Beschäftigung:
Umfasst geschützte Arbeitsplätze und Unternehmen. Geschützte Unternehmen können öffentlich oder privat sein. Die geschützten Einrichtungen decken alle Behinderungsarten ab. Bedingungen wie die Beschäftigung eines bestimmten Prozentsatzes von Menschen mit Behinderungen (30%) sind zu erfüllen; zudem muss deren kumulierte Arbeitszeit mindestens 50% der Gesamtarbeitszeit aller Beschäftigten entsprechen. Die geschützten Unternehmen erhalten Steuervergünstigungen.
Quote:
Für den Fall der Nichterfüllung dieser Auflagen sieht das System Strafen vor. Die Standardquote von 4% gilt für private und öffentliche Arbeitgeber. Kleinere Unternehmen (mit weniger als 50 Mitarbeitern) sind von der Beschäftigungsverpflichtung ausgenommen. Bei Nichterfüllung sind Ausgleichsabgaben in der Höhe des Mindestbruttoentgelts (d. h. RON 4.050 (€797)) für jede beschäftigte Person unter der Quote zu zahlen.
Steuererleichterungen:
Arbeitgeber haben Anspruch auf Steuererleichterungen wie von der Körperschaftsteuer absetzbare Beträge in Höhe der Ausgaben für die Anpassung des Arbeitsplatzes, den Transport von Rohmaterial und Fertigprodukten von und zur Wohnung von Heimarbeitern mit Behinderungen, Transport von Mitarbeitern mit Behinderungen von und zum Arbeitsplatz. Arbeitgebern von Graduierten mit Behinderungen, die diese für einen festgesetzten Zeitraum (zwei Jahre) nach der für die Zahlung von Lohnkostenzuschüssen vorgeschriebenen Mindestbeschäftigungsdauer (18 Monate) beschäftigen, werden die Arbeitsversicherungsbeiträge für diese Mitarbeiter für diesen Zeitraum (zwei Jahre) erstattet.</t>
  </si>
  <si>
    <t>Der Referenzpunktwert wird jährlich auf der Grundlage der durchschnittlichen jährlichen Inflationsrate angepasst, ergänzt um 50% des realen Wachstums des durchschnittlichen Bruttolohns (anwendbar ab 2026).  Die Anpassung darf jedoch weder den prozentualen Anstieg der Einnahmen aus den Sozialbeiträgen noch die durchschnittliche jährliche Inflationsrate der letzten 2 Jahre übersteigen.</t>
  </si>
  <si>
    <t>Kumulation von Invalidenrente mit Einkommen aus Selbstständigkeit ist für alle Kategorien der Arbeitsunfähigkeit möglich, während Kumulierung mit Einkommen aus Erwerbstätigkeit für bestimmte berufliche Tätigkeiten gestattet ist, wie sie in der medizinischen Entscheidung über die Arbeitsfähigkeit ausgeführt sind. Die Höhe der Invaliditätsleistung wird in diesen Fällen nicht gekürzt.</t>
  </si>
  <si>
    <t>Invalidenrente (pensie de invaliditate) kann nicht mit anderen Rentenarten oder Arbeitslosengeld kumuliert werden.
Kumulation mit Leistungen aus anderen Systemen (z. B. garantiertes Mindesteinkommen) ist unter Berücksichtigung der jeweiligen Bedingungen dieser Systeme generell möglich.</t>
  </si>
  <si>
    <t>Die Invalidenrente (pensie de invaliditate):
Leistungen unterliegen der Besteuerung, außer diejenigen, die Beziehern von Invalidenrente mit schweren und hochgradigen Behinderungen gewährt werden.</t>
  </si>
  <si>
    <t>Obligatorische Sozialversicherung und wohnsitzgebundenes System.</t>
  </si>
  <si>
    <t>Versicherung in der staatlichen Rentenversicherung ist obligatorisch, wenn das monatliche durchschnittliche Nettoeinkommen dem Mindestbruttolohn entspricht oder diesen überschreitet, d.h. RON 4.050 (€797) ab 1. Januar 2025. </t>
  </si>
  <si>
    <t>Rechtsordnung Nr. 360/97 vom 17. Dezember 1997 über das System zur Überprüfung der Arbeitsunfähigkeit (SVI) im Rahmen der sozialen Sicherheit (Decreto-Lei nº 360/97, de 17/12, versão consolidada, Sistema de verificação de incapacidades no âmbito da segurança social), mehrfach geändert.
Rechtsordnung Nr. 265/99 vom 14. Juli 1999 über die Pflegezulage (Decreto-Lei nº 265/99, de 14/7, versão consolidada, complemento por dependência), mehrfach geändert.
Gesetz Nr. 53-B/06 vom 29. Dezember 2006 über den Indexwert für soziale Unterstützungen (Lei nº 53-B/06, de 29/12, versão consolidada, Indexante dos Apoios Sociais), mehrfach geändert.
Rechtsverordnung Nr. 187/07 vom 10. Mai 2007 über das Absicherungssystem bei Invalidität und Alter im allgemeinen System (Decreto-Lei nº 187/07, de 10/5, versão consolidada, regime de proteção nas eventualidades invalidez e velhice do regime geral), mehrfach geändert.
Gesetz Nr. 90/2009 vom 31. August 2009 über das besondere Absicherungssystem bei Invalidität (Lei nº 90/2009, de 31/10, regime especial de proteção na invalidez), mehrfach geändert
Verzeichnis der Rechtsakte - siehe hier.</t>
  </si>
  <si>
    <t>Obligatorisches Sozialversicherungssystem mit entgeltbezogenen Renten, die vom versicherungspflichtigen Entgelt und der Beitragsdauer abhängen.
Invaliditätsleistungen sind integraler Bestandteil des staatlichen Rentensystems.
Es gibt eine besondere Schutzklausel für den Fall der Invalidität, die die dauerhafte Arbeitsunfähigkeit mit der Prognose einer raschen Entwicklung hin zu einer Situation des Verlustes der Autonomie abdeckt, mit negativen Auswirkungen auf den ausgeübten Beruf, entweder aufgrund spezifischer schwerer und/oder degenerativer Krankheiten und seltener Krankheiten oder aufgrund von Nichtberufskrankheiten oder der zivilrechtlichen Haftung Dritter, plötzlichem oder frühem Auftreten.
(Beitragsunabhängiges System mit Leistungen, die der Bedürftigkeitsprüfung unterliegen, für Personen, die nicht über (ausreichende) finanzielle Mittel verfügen: siehe Tabelle XI „Mindestsicherung“.)</t>
  </si>
  <si>
    <t>Der Begriff der Invalidität umfasst jede Situation der Invalidität, die auf eine nicht berufsbedingte Ursache zurückzuführen ist, welche zu einer dauerhaften körperlichen, sensorischen oder geistigen Beeinträchtigung in Bezug auf die Ausübung der Berufstätigkeit führt.
Es kann zwischen zwei Arten unterschieden werden:
Relative Invalidität:
Als Invalide gilt der Arbeitnehmer, der vor Erreichen des Rentenalters wegen Arbeitsunfähigkeit aufgrund von Krankheit oder eines nicht durch die Sondergesetzgebung über Arbeitsunfälle und Berufskrankheiten erfassten Unfalls nicht mehr als ein Drittel des bei normaler Berufsausübung erhaltenen Einkommens erzielen kann.
Absolute Invalidität:
Vollständige und andauernde Erwerbsunfähigkeit für jegliche Tätigkeit.</t>
  </si>
  <si>
    <t>Relative Invalidität:
Entrichtete oder angerechnete Beiträge für mindestens 5 Jahre.
Absolute Invalidität:
Entrichtete oder angerechnete Beiträge für mindestens 3 Jahre.
Für die Invalidität, die durch die besondere Schutzregelung abgedeckt ist, sieht das Gesetz eine Mindestversicherungszeit von drei Jahren vor.
Zur Anerkennung von einem Jahr sind 120 Tage registriertes Einkommen notwendig.</t>
  </si>
  <si>
    <t>Um zu überprüfen, ob eine dauernde Invalidität vorliegt, werden die körperliche, sensorische und geistige Funktionsfähigkeit, der Allgemeinzustand, das Alter, die beruflichen Fähigkeiten und die verbleibende Arbeitsfähigkeit beurteilt.
Abhängig vom Grad der Invalidität des Empfängers kann die Invalidität relativ oder absolut sein.
Relative Invalidität:
66,66% Minderung der Fähigkeit zur Ausübung der normalen aktuellen oder früheren Tätigkeit; die invalide Person kann in der derzeitigen Tätigkeit nicht mehr als ein Drittel des normalerweise erhaltenen Gehalts verdienen, und es wird geschätzt, dass sie nicht innerhalb von 3 Jahren die Fähigkeit wiedererlangen kann, mehr als 50% des aktuellen Gehalts zu verdienen..
Absolute Invalidität:
100% andauernde Erwerbsunfähigkeit für jegliche Tätigkeit; die invalide Person kann bis zum 65. Lebensjahr nicht mehr in den Beruf zurückkehren.</t>
  </si>
  <si>
    <t>Die Invalidenrente wird ab dem Datum gezahlt, das von der ärztlichen Kommission zur Feststellung dauernder Invalidität (Commissão de verificação da incapacidade permanente) oder der Berufungskommission (commission d’appel (comissão de recurso) bestimmt wurde, oder ab dem Datum, an dem die Invalidität der Kommission zufolge eingetreten ist.
Eine vorläufige Invalidenrente wird gewährt, wenn der Empfänger die Krankheitsdauer von 1095 Tagen überschritten hat, arbeitsunfähig bleibt und auf die Invaliditätsprüfung wartet.
Die Invalidenrente wird ab dem Monat nach dem Monat, in dem der Rentner das 65. Lebensjahr vollendet hat, in eine Altersrente umgewandelt.
Die Invalidität wird durch das Invaliditätsprüfungssystem aufgrund der vom Empfänger vorgelegten dauerhaften Arbeitsunfähigkeit bescheinigt, unbeschadet der Tatsache, dass die Invalidenrente einer Revision der Invalidität auf Beschluss der Sozialversicherung oder des Empfängers unterzogen werden kann.
Die Revision der Invalidität kann erst nach Ablauf von sechs Monaten ab dem Zeitpunkt der Gewährung der Pension beantragt werden, außer im Falle einer Verschlimmerung der Invalidität.
Kein Vorruhestand im Falle einer Verringerung der Arbeitsfähigkeit.</t>
  </si>
  <si>
    <t>Im Bewertungsprozess bereitet ein vom Sozialversicherungssystem bestellter medizinischer Berichterstatter die Verfahren vor, sammelt die erforderlichen Unterlagen und erstellt die klinischen Berichte, die die Grundlage für die Entscheidung der Prüfungskommission bilden.
Der Grad der Invalidität, der Leistungsfähigkeit oder der Arbeitsunfähigkeit oder deren Minderung wird von der medizinischen Kommission für die Feststellung der dauernden Invalidität (Commissão de verificação da incapacidade permanente) beurteilt. Diese Kommission, die sich aus zwei von den Sozialversicherungsdiensten ernannten medizinischen Sachverständigen zusammensetzt, von denen einer den Vorsitz in der Kommission führt, bewertet den Gesundheitszustand der betreffenden Person und entscheidet, ob sie die Voraussetzungen für den Bezug der Pension erfüllt.
Die Bewertungsverfahren und -kriterien sind landesweit identisch.
Die Berufungskommission greift ein, wenn die Entscheidung des Invaliditätsausschusses die betroffene Partei nicht zufriedenstellt und diese eine neue Bewertung verlangt.
Die Kommission besteht aus zwei von der Sozialversicherung ernannten medizinischen Gutachtern, die sich von denen unterscheiden, die Mitglieder des Invaliditätsausschusses waren. Einer dieser Gutachter führt den Vorsitz in der Kommission. Ein dritter Gutachter kann von der betreffenden Person ausgewählt werden.
Wird die Invalidenrente zu diesem Zeitpunkt abgelehnt, kann ein neuer Antrag erst nach sechs Monaten nach dem Datum der Beratung gestellt werden.</t>
  </si>
  <si>
    <t>Die Revision der Invalidität ist sowohl auf Initiative der zuständigen Institutionen als auch auf Antrag der betroffenen Person möglich.
Die Revision/Neubewertung kann erst nach sechs Monaten ab dem Zeitpunkt der Beratung beantragt werden, außer im Fall der Verschlechterung der Arbeitsunfähigkeit.
Die Revision erfolgt durch das System zur Überprüfung der Arbeitsunfähigkeit, das sich aus den medizinischen Kommissionen für die Feststellung der dauernden Invalidität (Commissão de verificação da incapacidade permanente), der Berufungskommissionen und den medizinischen Berichterstattern zusammensetzt.</t>
  </si>
  <si>
    <t>Bezugslohn: durchschnittlicher Monatsbruttoverdienst in der gesamten Versicherungszeit bis zu max. 40 Jahren. Bei mehr Beitragsjahren wird das Durchschnittseinkommen der besten 40 Jahre zugrunde gelegt.
E/J x 14
E =Summe der versicherungspflichtigen Entgelte
J =Anzahl der Versicherungsjahre.
Die für die Rentenberechnung zugrunde gelegten Entgelte werden nach dem Preisindex des privaten Konsums (ohne Wohnung) aktualisiert.
Diese Regel gilt nicht für die versicherten Entgelte ab dem 01.01.2002 hinsichtlich der Effekte der Rentenberechnung für jedes Beitragsjahr. Hier erfolgt eine gewichtete Anpassung an den Verbraucherpreisindex (ohne Wohnung) zu 75% und an den Index der Lohnentwicklung zu 25%. Dabei darf die Anpassung die Entwicklung des Verbraucherpreisindex (ohne Wohnung) nicht um mehr als 0,5% übersteigen.
Für durch die besondere Schutzregelung abgedeckte Invalidität entspricht das berücksichtigte Referenzeinkommen R/42.
R = die Summe der Einkünfte der drei Kalenderjahre mit den höchsten Einkünften innerhalb der letzten 15 Jahre des registrierten Einkommens.</t>
  </si>
  <si>
    <t>Zeiten der Krankheit, Mutterschaft, Arbeitslosigkeit, des Militärdienstes, Zeiten, in denen Leistungen für berufliche Risiken bezogen oder die Aufgaben eines Geschworenen wahrgenommen wurden, Zeiten einer verringerten Erwerbstätigkeit oder der Aussetzung des Arbeitsvertrags in wirtschaftlichen Krisensituationen und Urlaubszeiten für die Kinderbetreuung, werden bezüglich Ansprüchen und Berechnung berücksichtigt.
Der Urlaub für die Betreuung von Kindern (Licença para assistência a filho), obwohl dieser nicht in den Bereich der Sozialversicherung fällt, wird beim Rentenprozentsatz berücksichtigt, wenn die Elternzeit ausgeschöpft ist.</t>
  </si>
  <si>
    <t>Ehepartner : € 46,61 pro Monat (lediglich für die vor dem 1. Januar 1994 gezahlten Renten).
Kinder:
Keine Rentenzulagen.</t>
  </si>
  <si>
    <t>Pflegezulage (complemento por dependência):
Zulage an Empfänger einer Invaliden-, Alters- oder Hinterbliebenenrente, die auf ständige Fremdhilfe angewiesen sind. Monatlicher Betrag, der an den Wert der Sozialrente (pensão social) gekoppelt ist: € 127,63 oder € 229,73 entsprechend der Pflegestufe (1. oder 2. Pflegestufe).
Jährlich erfolgen 14 Zahlungen. Das Urlaubs- und Weihnachtsgeld entspricht jeweils dem Betrag des entsprechenden Monats.
Sonderzulage für Mindestrenten bei Invalidität (complemento extraordinário para pensões de mínimos de invalidez): Gewährung für Rentner mit einer Invalidenmindestrente, die ab dem 1. Januar 2019 oder zwischen dem 1. Januar 2017 und dem 31. Dezember 2018 gezahlt wird und deren Gesamtbetrag 1,5xIAS (€ 783,75) oder weniger beträgt.
Rentner des allgemeinen Systems mit Rentenbezug ab 2017, 2018 oder ab 2019: monatliche Leistung in Höhe von € 5,68 bis € 23,18, je nach dem Jahr des Renteneintritts (2017, 2018 oder ab 2019) und der Dauer der beitragspflichtigen Erwerbstätigkeit.
Wird 14 Mal im Jahr bezahlt.</t>
  </si>
  <si>
    <t>Kein Angebot an beruflichen Schulungen oder Schulungen zur Wiedereingliederung (außer bei Arbeitsunfällen und Berufskrankheiten. Siehe Tabelle VIII).
(Im Rahmengesetz zur sozialen Sicherheit, Gesetz Nr. 4/07 vom 16.01.2007, sind Maßnahmen vorgesehen, doch wurden bisher noch keine Regelungen getroffen).</t>
  </si>
  <si>
    <t>Senkung der Sozialversicherungsbeiträge für Arbeitgeber, die Menschen mit Behinderungen einstellen.
Die Rechtsvorschriften sehen auch eine Mindestbeschäftigungsquote von bis zu 2% der Gesamtzahl der Arbeitnehmer im privaten Sektor und bis zu 5% in der öffentlichen Verwaltung (für Personen mit einem Behinderungsgrad von 60% oder mehr) vor.
Geplant sind auch Maßnahmen zur Sicherung der Beschäftigung.</t>
  </si>
  <si>
    <t>Eine Anpassung erfolgt einmal im Jahr ( außerordentliche Erhöhungen möglich) unter Berücksichtigung der Entwicklung des Bruttoinlandsprodukts und des Index der Verbraucherpreise (ohne Wohnung); für die niedrigsten Renten wird die günstigste Berechnung angewendet.
Außerordentliche Aktualisierungen für die niedrigsten Renten seit 2017</t>
  </si>
  <si>
    <t>Kumulierung mit Renten anderer obligatorischer oder freiwilliger Systeme, der Hinterbliebenenrente, der Zulage für unterhaltsberechtigte Personen (vor 1984 die Pflegezulage (complemento por dependência), die Leistungen zur sozialen Eingliederung (Prestação social para a Inclusão) (wenn die Behinderung mindestens 80% beträgt) und der Solidaritätszuschlag für ältere Menschen (Complemento de Solidariedade para as pessoas Idosas) (wenn kein Anspruch auf die Leistungen zur sozialen Eingliederung besteht).) unter bestimmten Bedingungen und mit der Pflegezulage möglich.
Die Invalidenrente - relativ und absolut - kann nicht mit Kranken- und Arbeitslosengeld kumuliert werden.</t>
  </si>
  <si>
    <t>Invalidenrenten unterliegen der Besteuerung entsprechend den Regelungen für Arbeitseinkommen.</t>
  </si>
  <si>
    <t>Für Renten wird wie für die Arbeitseinkommen ein besonderer Abschlag von € 4.462,15 (oder der Gesamtbetrag der Pflichtbeiträge zu den Sozialversicherungssystemen, falls dieser höher ist) gewährt, während für Invalidenrenten mit einem Invaliditätsgrad von über 60% zudem andere günstigere Regelungen gelten.</t>
  </si>
  <si>
    <t> Keine Beiträge.</t>
  </si>
  <si>
    <t>Rentenempfänger mit relativer Invalidität, die eine Tätigkeit ausüben: keine Unterschiede.
Die Rentenempfänger mit vollständiger Invalidität können Sozialleistungen nicht mit einer Erwerbstätigkeit kumulieren.</t>
  </si>
  <si>
    <t>Wie für Arbeitnehmer: Leistungen unterliegen der Besteuerung.</t>
  </si>
  <si>
    <t>Gleiche Regelungen wie für Arbeitnehmer. Keine Beiträge auf die Leistungen.</t>
  </si>
  <si>
    <t>Gesetz über das System der Sozialversicherung (Ustawa o systemie ubezpieczeń społecznych) vom 13. Oktober 1998.
Gesetz über Renten des Sozialversicherungsfonds (Ustawa o emeryturach i rentach z Funduszu Ubezpieczen Spolecznych) vom 17. Dezember 1998.
Verzeichnis der Rechtsakte – siehe https://isap.sejm.gov.pl/.</t>
  </si>
  <si>
    <t>Beitragsfinanziertes gesetzliches Sozialversicherungssystem für alle Arbeitnehmer und Selbstständigen mit einkommensbezogenen Renten, die von Beiträgen und der Versicherungsdauer abhängen.
Sondersystem für Angehörige der Polizei und der Streitkräfte, Staatsanwälte und Richter.
Gesetzliches Sozialversicherungssystem für Landwirte und deren Familienangehörige (für nähere Informationen siehe den Abschnitt der MISSOC-Datenbank zum Sozialschutz von Selbstständigen).
Invaliditätsrenten (Renty z tytulu niezdolności do pracy) sind Teil des nationalen Rentensystems.
Es gibt kein besonderes Unterstützungssystem. Es gilt das allgemeine System der Mindestsicherung (siehe Tabelle XI).</t>
  </si>
  <si>
    <t>Das Invalididtätssystem basiert auf der Arbeitsfähigkeit der betroffenen Person.</t>
  </si>
  <si>
    <t xml:space="preserve">
   * Arbeitnehmer;
   * Selbstständige;
   * Landwirte;
   * Empfänger von Arbeitslosengeld (Zasiłek dla bezrobotnych);
   * Personen im Elternurlaub;
   * Empfänger von Erziehungsgeld (Dodatek wychowawczy).
Personen, die nicht pflichtversichert sind, haben die Möglichkeit, sich freiwillig in der Rentenversicherung zu versichern.
Anspruchsberechtigung für Leistungen bei Invalidität ist nicht abhängig von Wohnsitz oder Staatsangehörigkeit.</t>
  </si>
  <si>
    <t>Invaliditätsrenten (Renty z tytułu niezdolności do pracy) sind zahlbar während eines Zeitraums beglaubigter Arbeitsunfähigkeit, beginnend ab dem in der Entscheidung der Sozialversicherungsanstalt (Zakład Ubezpieczeń Społecznych, ZUS) angegebenen Tag. Erhält eine person Krankengeld (zasiłek chorobowy) oder Rehabilitationsgeld (Świadczenie rehabilitacyjne), beginnt der Anspruch auf Invaliditätsrente mit der Erschöpfung des Anspruchs auf Krankengeld (Höchstdauer: 182 Tage oder 270 Tage bei Tuberkulose oder Schwangerschaft) oder Rehabilitationsgeld (Höchstdauer: 12 Monate).
Die Leistung wird bis zum gesetzlichen Rentenalter gezahlt; von da an wird die Invaliditätsrente durch die Altersrente ersetzt.
Die vorübergehende Erwerbsunfähigkeitsrente ist zahlbar für den in der Entscheidung angegebenen Zeitraum.
Vorgezogener Ruhestand ist möglich bei verminderter Erwerbsfähigkeit – siehe Tabelle VI „Altersrente”, „Bedingungen, 3. Vorgezogener Ruhestand”.</t>
  </si>
  <si>
    <t>Die Häufigkeit der Neubewertung ist nicht abhängig vom Grad der Invalidität oder dem Ausmaß der Erwerbsunfähigkeit, sondern vom Zeitraum der Erwerbsunfähigkeit, der in der Entscheidung der ZUS angegeben wurde. Vor dem Ende dieses Zeitraums ist eine Neubewertung notwendig für die Verlängerung des Anspruchs auf Invaliditätsleistung. Der bewertende Arzt der ZUS ist verantwortlich für die Durchführung der Neubewertung.
Leistungsempfänger können auch zu jeder Zeit eine Neubewertung verlangen, wenn sich der Gesundheitszustand verschlechtert. In einem solchen Fall beginnt das Verfahren von vorne, d.h. eine neue Entscheidung wird vom bewertenden Arzt und der medizinischen Kommission der ZUS ausgestellt (nach Vorlage der neuen ärztlichen Untersuchung und der medizinischen Dokumentation).</t>
  </si>
  <si>
    <t>Das Bezugseinkommen entspricht entweder dem durchschnittlichen Entgelt in 10 aufeinander folgenden Jahren innerhalb der letzten 20 Jahre oder der besten 20 Versicherungsjahre mit den höchsten Einkommen.
Bemessungsgrenze: 250% des nationalen Durchschnittslohns.</t>
  </si>
  <si>
    <t>Sozialrente (Renta socjalna): Erwachsene (ab 18 Jahren), und diejenigen, deren Invalidität vor dem Alter von 18 Jahren (bzw. 25 Jahren bei Vollzeitstudenten) eintritt, erhalten eine pauschale Leistung von PLN 1.878,91 (€443) pro Monat.
Pflegezulage (Dodatek pielęgnacyjny): Leistung an Personen mit Anspruch auf eine Alters-, Invaliditäts- oder Hinterbliebenenrente, die vollständig erwerbsunfähig und auf fremde Hilfe angewiesen sind oder die das 75. Lebensjahr vollendet haben. Betrag: Die Zulage beträgt monatlich PLN 348,22 (€82) (Anpassung wie bei Renten).</t>
  </si>
  <si>
    <t>Arbeitgeber mit 25 oder mehr Arbeitnehmern (Vollzeitäquivalent) müssen eine Behindertenquote von 6% erfüllen, wobei Schwerbehinderte doppelt oder dreifach angerechnet werden. Bei Nichteinhaltung dieser Quote droht den Arbeitgebern eine Geldstrafe von 40,65% des Durchschnittslohns für jeden Behinderten, der hätte eingestellt werden müssen (d. h. eine Steuer von maximal etwa 2,5% der Lohnsumme). Die Strafzahlungen fließen an den Staatlichen Fonds für die Rehabilitation von Menschen mit Behinderungen (Państwowy Fundusz Rehabilitacji Osób Niepełnosprawnych, PFRON), der diese Mittel für die Finanzierung verschiedener Rehabilitations- und Beschäftigungsprogramme nutzt.
Bei Arbeitnehmern, die durch einen Arbeitsunfall behindert werden, sind die Arbeitgeber verpflichtet, innerhalb von drei Monaten, nachdem der Arbeitnehmer sich bereit zur Wiederaufnahme der Arbeit erklärt hat, einen geeigneten Arbeitsplatz bereitzustellen. Dieser Vorgang wird von der staatlichen Arbeitsaufsicht überwacht. Bei Nicht-Einhaltung hat der Arbeitgeber einen Betrag in Höhe von 15 Monatsgehältern an PFRON zu entrichten. Ein Arbeitgeber hat nach den allgemeinen Gesundheits- und Sicherheitsbestimmungen dafür zu sorgen, dass behinderte Arbeitnehmer geeignete Arbeitsplatzbedingungen und einen geeigneten Zugang zum Arbeitsplatz haben.</t>
  </si>
  <si>
    <t>Invaliditätsrente (Renta z tytulu niezdolnosci do pracy), Sozialrente (Renta socjalna), Rehabilitationsgeld (Świadczenie rehabilitacyjne) und Ausbildungsgeld (Renta szkoleniowa):
Leistungen unterliegen der Besteuerung.
Pflegezulage (Dodatek pielęgnacyjny):
Leistung unterliegt nicht der Besteuerung.</t>
  </si>
  <si>
    <t>Invaliditätsrente (Renta z tytulu niezdolnosci do pracy), Sozialrente (Renta socjalna), Rehabilitationsgeld (Świadczenie rehabilitacyjne) und Ausbildungsgeld (Renta szkoleniowa):
Es gelten allgemeine Regeln der Besteuerung. Keine Einkommensgrenzen für die Besteuerung von Leistungen.</t>
  </si>
  <si>
    <t>9% Krankenversicherungsbeitrag.</t>
  </si>
  <si>
    <t>Selbstständige
Bei einer Kombination von selbstständiger Tätigkeit und bezahlter Beschäftigung als Arbeitnehmer sind nur Beiträge als Arbeitnehmer zu zahlen. Beiträge hinsichtlich der selbstständigen Tätigkeit sind freiwillig.
Landwirte
Bei der Kombination von landwirtschaftlicher Tätigkeit und bezahlter Beschäftigung als Arbeitnehmer sind nur Beiträge als Arbeitnehmer zu zahlen.</t>
  </si>
  <si>
    <t>Selbstständige
Wie für Arbeitnehmer.
Landwirte
Es gelten die gleichen Regelungen wie für Arbeitnehmer, während jedoch die Erwerbsunfähigkeitsrente für Landwirte einen beitragsabhängigen und einen zusätzlichen Teil umfasst. Der beitragsabhängige Teil gewährt dem Landwirt eine Leistung, die sich auf das Durchschnittseinkommen der betreffenden Person bezieht. Die Ersatzrate des zusätzlichen Teils beläuft sich auf rund 25% des Grundbetrags.</t>
  </si>
  <si>
    <t>Allgemeines Sozialversicherungsgesetz vom 9. September 1955 (ASVG).
Allgemeines Pensionsgesetz vom 18. November 2004 (APG).
Rechtsinformationssystem: https://www.ris.bka.gv.at</t>
  </si>
  <si>
    <t>Keine Versicherungspflicht, wenn das Bruttoentgelt unter der Geringfügigkeitsgrenze von monatlich €551,10 (2025) liegt.</t>
  </si>
  <si>
    <t>Invaliditätsrente/Berufsunfähigkeitsrente/Erwerbsunfähigkeitsrente bzw. Knappschaftsvollrente:
60 Versicherungsmonate innerhalb der letzten 120 Kalendermonate (nach Vollendung des 50. Lebensjahres wird die Wartezeit für jeden nach dem 50. Lebensjahr liegenden Monat um 1 Monat und der Beobachtungszeitraum um jeweils 2 Monate angehoben bis maximal 180 Versicherungsmonate innerhalb der letzten 360 Kalendermonate) oder das Vorliegen von mindestens 180 Beitragsmonaten oder mindestens 300 Versicherungsmonaten.
Die Wartezeit ist nicht erforderlich, wenn die Invalidität/Berufsunfähigkeit als Folge eines Arbeitsunfalls oder einer Berufskrankheit eintritt, bzw. bei Eintritt noch vor Vollendung des 27. Lebensjahres, wenn zumindest 6 Versicherungsmonate vorliegen.
Sonderregelung für originäre Invalidität (siehe Tabelle V‚ Gedecktes Risiko: Definition).</t>
  </si>
  <si>
    <t>Bei Berufsschutz: Um mindestens 50% reduzierte Arbeitsfähigkeit im Vergleich zu einem gesunden Versicherten mit ähnlicher Ausbildung.
Ohne Berufsschutz: Wenn die betroffene Person nicht mehr in der Lage ist, in einem zumutbaren Beruf zumindest die Hälfte des Entgelts eines gesunden Versicherten zu erwerben.
Entscheidungen für die Anspruchsberechtigung bzw. die diesbezüglichen Begutachtungen sind stets Einzelfallentscheidungen. Grundlage für die Entscheidung, ob Invalidität/Berufsunfähigkeit/Erwerbsunfähigkeit vorliegt, bildet eine ärztliche Begutachtung, bei der die Leistungsfähigkeit des:der Antragstellers:in in seinem:ihrem Beruf (bei Berufsschutz) bzw. auf dem Arbeitsmarkt generell (ohne Berufsschutz) festgestellt wird.</t>
  </si>
  <si>
    <t>Im Kompetenzzentrum Begutachtung bekommt der medizinische Dienst anlässlich des Antrags auf Rente den Auftrag, Invalidität und Berufsunfähigkeit oder Erwerbsunfähigkeit zu prüfen bzw. ob Berufsschutz vorliegt. Im Kompetenzzentrum Begutachtung erstellen medizinische und berufskundliche Begutachter:innen gemeinsam arbeitsmarktbezogene Gutachten. Bei Bedarf ist im Bereich des Allgemeinen Sozialversicherungsgesetzes auch ein:e sachkundige:r Vertreter:in des Arbeitsmarktservice beizuziehen bzw. werden auch externe Stellen wie z.B. das Berufliche Bildungs- und Rehabilitationszentrum befasst. Die entsprechenden Bescheide sind für das Arbeitsmarktservice und die Rentenversicherungsträger gleichermaßen bindend.
Ergibt die medizinische Untersuchung, dass die Invalidität oder die Berufsunfähigkeit vorübergehend mindestens sechs Monate dauern wird, dann wird für Versicherte, die ab 1.1.1964 geboren sind, statt einer befristeten Rente ein Rehabilitationsgeld von der Gesundheitskasse oder Umschulungsgeld vom Arbeitsmarktservice ausbezahlt. Längstens ein Jahr nach Zuerkennung des Rehabilitationsgeldes oder der letzten Begutachtung erfolgt eine Überprüfung des weiteren Vorliegens der vorübergehenden Invalidität/Berufsunfähigkeit.
Im nächsten Schritt werden die bei den Gesundheitskassen eingesetzten Case-Manager:innen tätig, welche die Leistungsbezieher:innen im Genesungsprozess unterstützen und begleiten. Nach einer Bedarfserhebung wird ein individueller Versorgungsplan erstellt und die im Einzelfall notwendigen und zweckmäßigen medizinischen Rehabilitationsmaßnahmen gewährt.
Sämtliche Maßnahmen sollen eine Besserung des Gesundheitszustandes bzw. die Wiedereingliederung der betroffenen Person in das Berufsleben bewirken.
Ein Beschwerderecht gibt es gegen den Bescheid, mit dem über den Antrag entschieden wird.
Das Begutachtungsverfahren wird bundesweit einheitlich angewendet.</t>
  </si>
  <si>
    <t>Für Personen, die ab dem 1. Jänner 1964 geboren sind:
Eine Invaliditätsrente/Berufsunfähigkeitsrente bzw. Knappschaftsvollrente gebührt nur bei dauerhafter Invalidität/Berufsunfähigkeit, bei der keine weitere Überprüfung erforderlich ist.
Befristete Erwerbsunfähigkeitsrenten werden weiterhin bei vorübergehender Erwerbsunfähigkeit zuerkannt.
Für Personen, die bis zum 31. Dezember 1963 geboren sind:
Die befristete Invaliditätsrente/Berufsunfähigkeitsrente/Erwerbsunfähigkeitsrente bzw. Knappschaftsvollrente wird, abhängig vom Grad der Invalidität/Berufsunfähigkeit/Erwerbsunfähigkeit längstens für 24 Monate vom Rentenversicherungsträger zuerkannt. Dann erfolgt eine Überprüfung des Gesundheitszustandes und die Zuerkennung erfolgt wieder für längstens 24 Monate.
Die Rente wird ohne zeitliche Befristung zuerkannt, wenn aufgrund des körperlichen oder geistigen Zustandes dauernde Invalidität/Berufsunfähigkeit/Erwerbsunfähigkeit anzunehmen ist.
Für die Durchführung der Überprüfung ist der Pensionsversicherungsträger bzw. das Kompetenzzentrum Begutachtung (siehe Tabelle V, Begutachtung, 1. Gutachter) verantwortlich.</t>
  </si>
  <si>
    <t>Die Berechnung der Invaliditätsrente erfolgt ähnlich wie bei einer Altersrente (siehe Tabelle VI).
Da insbesondere bei frühzeitiger Invalidität/Berufsunfähigkeit die auf dem Rentenkonto aufscheinende Gesamtgutschrift eine unzureichende Rentenhöhe ergäbe, ist die Anrechnung sogenannter Zurechnungsmonate vorgesehen. Liegt der Stichtag der Rente vor Vollendung des 60. Lebensjahres ist eine Anrechnung von Monaten vorgesehen, die zwischen dem Stichtag und der Vollendung des 60. Lebensjahres liegen, allerdings begrenzt mit 60% der Bemessungsgrundlage. Außerdem werden die Verluste aufgrund der mit der frühen Inanspruchnahme der Rente einhergehenden Rentenabschläge gedeckelt. Die Rentenabschläge von 4,2 Prozentpunkten pro Jahr vor Erreichen des Regelrentenalters dürfen insgesamt 13,8 Prozentpunkte nicht übersteigen. Der Stichtag ist der Tag der Antragstellung, wenn er auf einen Monatsersten fällt, sonst der dem Tag der Antragstellung folgende Monatserste.
Besondere Berechnungsvorschriften gibt es in der knappschaftlichen Rentenversicherung.
"Frühstarterbonus": Dadurch erhalten Personen, die zumindest 25 Beitragsjahre aufgrund einer Erwerbstätigkeit und davon mindestens 12 Erwerbstätigkeitsmonate vor dem 20. Geburtstag erworben haben, einen besonderen Zuschuss.
Der Betrag der zahlbaren Leistungen ist nicht vom Grad der Invalidität/Berufsunfähigkeit abhängig.
 Eine Kombination mit Erwerbseinkommen ist möglich; die Rente wird, wenn das monatliche Bruttoerwerbseinkommen die Geringfügigkeitsgrenze (€551,10) übersteigt, entsprechend reduziert. Die Höhe der Teilrente richtet sich nach dem Zuverdienst und der Rentenleistung.
Die Auszahlung der Rente erfolgt im Nachhinein, jeweils am Ersten des folgenden Monats.
Die Rente wird 14-mal jährlich gezahlt (je eine Sonderzahlung im April und Oktober).</t>
  </si>
  <si>
    <t>Rechtslage ab dem 1.1.2005 (gilt für Personen, die ab dem 1. Jänner 1955 geboren sind):
Rentenkontensystem mit jährlicher Feststellung der erworbenen Rentenhöhe. Berechnungsgrundlage ist das Erwerbseinkommen im Kalenderjahr bis zur Höchstbeitragsgrundlage. Die Aufwertung vergangener Beitragsgrundlagen erfolgt anhand der Lohnentwicklung.
Zur Rentenberechnung siehe Tabelle V, Berechnungsmethode bzw. Rentenformel.</t>
  </si>
  <si>
    <t xml:space="preserve">
   * Ehepartner:in: Keine Zulage.
   * Kinder: €29,07 pro Monat für jedes Kind bis zur Vollendung des 18. Lebensjahres bzw. bis zur Vollendung des 27. Lebensjahres bei Studium oder Berufsausbildung; kein Alterslimit bei Behinderung des Kindes.
   * Erhöhte Richtsätze für die Ausgleichszulage für im gemeinsamen Haushalt lebende:n Ehepartner:in und für Kinder (siehe Tabelle V, Leistungen - Mindest- und Höchstleistungen).</t>
  </si>
  <si>
    <t>Pflegegeld: Siehe Tabelle XII.
Erhöhte Familienbeihilfe: Siehe Tabelle IX.</t>
  </si>
  <si>
    <t>Anrechnungsbestimmungen falls eine Person, die Anspruch auf Invaliditätsrente, Berufsunfähigkeitsrente bzw. Knappschaftsvollrente oder Erwerbsunfähigkeitsrente hat, ein Bruttoerwerbseinkommen bezieht, das die Geringfügigkeitsgrenze in der Höhe von €551,10 (2025) pro Monat überschreitet: bei einem monatlichen Bruttogesamteinkommen über €1.557,93 (2025) bis €2.336,99 (2025) wird die Rente um 30% gekürzt, über €2.336,99 (2025) bis €3.115,86 (2025) um 40% und über €3.115,86 (2025) um 50%. Der Anrechnungsbetrag darf jedoch weder das Erwerbseinkommen noch 50% der Rente überschreiten.</t>
  </si>
  <si>
    <t>Kumulierung mit Leistungen aufgrund von Arbeitsunfällen und Berufskrankheiten sowie Hinterbliebenenrenten möglich. Auf das Pflegegeld werden andere pflegebezogene Leistungen angerechnet.
Keine Kumulierung mit der Altersrente.</t>
  </si>
  <si>
    <t>Es gelten die allgemeinen Besteuerungsregeln. Keine Einkommensgrenzen für die Besteuerung von Leistungen.</t>
  </si>
  <si>
    <t>6,0% Krankenversicherungsbeitrag.
ab 1.6.2025.
Bei Personen, die eine Ausgleichszulage (nicht aber einen Ausgleichszulagenbonus / Pensionsbonus) beziehen sowie deren im gemeinsamen Haushalt lebende und im Familienrichtsatz berücksichtigte (Ehe)Partnern weiterhin generell ein begünstigter KVB in der Höhe von 5,1% im Zeitraum vom 01.06.2025 bis 31.12.2025 in Abzug zu bringen (auch von ausländischen Renten). Bei Bezug eines Ausgleichszulagenbonus / Pensionsbonus ist bei der Leistung des AZ - Beziehers und der Leistung des (Ehe)Partners der reguläre KVB in der Höhe von 6,0% in Abzug zu bringen.</t>
  </si>
  <si>
    <t> Es gibt unterschiedliche spezifische Systeme für
   * Landwirte (BSVG) und
   * Gewerbetreibende (GSVG) Gewerbegesellschafter, Neue Selbständige, Freiberufler und Angehörige. Für die einzelnen Gruppen gelten unterschiedliche sozialversicherungsrechtliche Bestimmungen.</t>
  </si>
  <si>
    <t>BSVG und GSVG: keine spezifischen Bedingungen.
Versicherungsgrenze für „Neue Selbständige“ im GSVG (2025: €6.613,20 pro Jahr) sowie Mindesteinheitswert* (€1.500) im BSVG.
(* Der Einheitswert ist ein vom Finanzamt für Steuerzwecke festgestellter Wert, der die Ertragsfähigkeit des land- und forstwirtschaftlichen Betriebes ausdrückt.)</t>
  </si>
  <si>
    <t>BSVG und GSVG: Grundsätzlich gleiche Bedingungen, aber eine unterschiedliche Definition von Erwerbsunfähigkeit.
GSVG:
Die Definition der Erwerbsunfähigkeit hängt vom Alter der versicherten Person ab: Unter 50 Jahren gelten jene Personen als erwerbsunfähig, denen es aufgrund ihres Gesundheitszustandes nicht möglich ist, irgendeiner regelmäßigen Erwerbstätigkeit nachzugehen (kein Berufsschutz). Die reellen Chancen, am Arbeitsmarkt eine passende (noch ausübbare) Arbeit zu finden, sind unerheblich.
Über 50 Jahren gelten jene Personen als erwerbsunfähig, deren persönliche Arbeitsleistung zur Erhaltung des Betriebes notwendig war und denen es aufgrund ihres Gesundheitszustandes nicht möglich ist, eine selbstständige Erwerbstätigkeit auszuüben, die ähnliche Voraussetzungen und Kenntnisse erfordert wie jene, die in den letzten 60 Kalendermonaten ausgeübt wurde und wenn innerhalb der letzten 15 Jahre vor dem Stichtag in zumindest 90 Pflichtversicherungsmonaten (7,5 Jahre) eine selbstständige Erwerbstätigkeit oder eine Erwerbstätigkeit als Angestellte/Angestellter ausgeübt wurde (eingeschränkter Berufsschutz).
Ab 60 Jahren ist die Selbstständige/der Selbstständige auch dann erwerbsunfähig, wenn sie/er aus gesundheitlichen Gründen die Erwerbstätigkeit nicht mehr ausüben kann, die in den letzten 180 Kalendermonaten (15 Jahren) vor dem Pensionsstichtag mindestens 120 Monate (10 Jahre) hindurch ausgeübt wurde (Berufsschutz).
BSVG:
Bäuerinnen/Bauern gelten als erwerbsunfähig, wenn sie aus gesundheitlichen Gründen keine (regelmäßige) selbstständige oder unselbstständige Erwerbstätigkeit mehr ausüben können (kein Berufsschutz).
Ab 60 Jahren ist die Bäuerin/der Bauer auch dann erwerbsunfähig, wenn sie/er aus gesundheitlichen Gründen die Erwerbstätigkeit nicht mehr ausüben kann, die in den letzten 180 Kalendermonaten (15 Jahren) vor dem Pensionsstichtag mindestens 120 Monate (10 Jahre) hindurch ausgeübt wurde (Berufsschutz).</t>
  </si>
  <si>
    <t>BSVG und GSVG: Gleiche Regelung wie für Arbeitnehmer:innen.
GSVG: Ein Überbrückungszuschuss kann zur Sicherung einer bereits bestehenden selbstständigen Erwerbstätigkeit von Unternehmern:Unternehmerinnen mit einem Grad der Behinderung von mindestens 50% zur Abgeltung eines im laufenden Betrieb entstehenden behinderungsbedingten Mehraufwandes gewährt werden.</t>
  </si>
  <si>
    <t>Dasselbe Steuersystem wie für Arbeitnehmer:innen: Besteuerung nach allgemeinen Regeln.</t>
  </si>
  <si>
    <t>Regelrentenalter: Männer: 65 - Frauen: 61
Stufenweise Erhöhung der Altersgrenze für Frauen auf jene der Männer bis zum Jahr 2033 (Anhebung des Regelrentenalters um 6 Monate pro Kalenderjahr).</t>
  </si>
  <si>
    <t>Das Rentenalter ist nicht abhängig von einer bestimmten Anzahl von Beitrags- oder Versicherungsjahren. Allerdings müssen für einen Anspruch auf eine Rente zumindest 180 Versicherungsmonate (= 15 Jahre) vorliegen.</t>
  </si>
  <si>
    <t>Volksversicherungsgesetz (folketrygdloven) vom 28. Februar 1997, Abschnitte 6, 10, 11 und 12.
Verzeichnis der Rechtsakte – siehe hier.</t>
  </si>
  <si>
    <t>Invaliditätsleistungen (uføretrygd):
Dauerhaft verminderte Erwerbsfähigkeit aufgrund von dauerhafter Krankheit, Unfall oder Missbildung. Der Gesundheitszustand muss die Hauptursache der vollständigen oder teilweisen Minderung der Erwerbsfähigkeit sein.
Erwerbsfähigkeit muss dauerhaft um mindestens 50% für Einkommen aus jeglicher Art der Beschäftigung vermindert sein; um 40%, wenn die Person zum Zeitpunkt des Antrags auf Invaliditätsleistungen Zulage zur Arbeitsbeurteilung bezieht, oder um 30%, wenn die Invalidität durch eine berufsbedingte Verletzung der Krankheit begründet ist.</t>
  </si>
  <si>
    <t>Alle Mitglieder der Volksversicherung sind abgedeckt. Grundsätzlich gilt, dass alle Personen, die entweder ihren Wohnsitz oder Arbeitsplatz in Norwegen oder auf dauerhaften oder mobilen Anlagen auf dem norwegischen Festlandsockel haben, im Rahmen des Systems pflichtversichert sind. Staatsangehörigkeit ist keine Anspruchsvoraussetzung.
Personen mit geringem oder keinem bisherigen Einkommen haben Anrecht auf einen jährlichen Mindestbetrag.</t>
  </si>
  <si>
    <t>Invaliditätsleistungen (uføretrygd): 5 Versicherungsjahre unmittelbar vor Eintritt der Invalidität. Die Mindestversicherungszeit ist unabhägig vom Alter.
Unter besonderen Umständen sind besondere Regelungen anwendbar.
 Es gibt keine Mindestversicherungszeit für die Grundleistung (grunnstønad) oder Pflegeunterstützungsgeld (hjelpestønad).</t>
  </si>
  <si>
    <t>Invaliditätsleistungen (uføretrygd):
Fähigkeit, Einkommen aus (jeglicher) Erwerbsarbeit zu beziehen, muss um mindestens 50% oder 40% vermindert sein aufgrund von dauerhafter Erkrankung, eines Unfalls oder Ausfalls, wenn die Person zum Zeitpunkt der Beantragung der Invaliditätsleistungen Zulage zur Arbeitsbeurteilung bezieht oder 30%, wenn die Behinderung aufgrund eines Arbeitsunfalls oder einer Berufskrankheit besteht.</t>
  </si>
  <si>
    <t>Invaliditätsleistungen (uføretrygd):
Versicherte zwischen 18 und 67 Jahren, deren Arbeitsfähigkeit aufgrund von Krankheit, Verletzung oder Einschränkung vermindert ist, haben Anspruch auf Invaliditätsleistungen ohne Neubewertung. Die Leistung ist zahlbar, so lange die Person versichert bleibt oder Anspruch auf Altersrente hat (67). Invaliditätsleistungen werden nicht vorübergehend gewährt.
Hat die Person Anspruch auf Krankengeld (Dauer: ein Jahr) oder Zulage zur Arbeitsbeurteilung (normale Dauer bis zu drei Jahren), werden die Invaliditätsleistungen gewährt, nachdem das Krankengeld oder die Zulage zur Arbeitsbeurteilung ausgeschöpft wurden.
Grundleistung (grunnstønad) (zum Ausgleich zusätzlicher Ausgaben aufgrund der Gesundheitssituation) und Pflegeunterstützungsgeld (hjelpestønad):
Weder untere noch obere Altersgrenze mit Ausnahme der Leistung für zusätzliche Transportkosten, für die der Sonderbedarf vor dem Alter von 70 Jahren enstanden sein muss, um abgedeckt zu werden.
Eine verringerte Arbeitsfähigkeit ergibt keinen Anspruch auf eine vorgezogene Ruhestandsrente. Personen, die Teilinvaliditätsleistungen beziehen, können eine vorgezogene Teilrente beziehen, solange die anderen Bedingungen erfüllt sind.</t>
  </si>
  <si>
    <t>Bevor über die Gewährung von Invaliditätsleistungen entschieden wird, muss geklärt werden, welche Möglichkeiten bestehen, in Erwerbstätigkeit zu bleiben. Der Antragsteller muss entweder an seinem derzeitigen Arbeitsplatz oder in einem anderen Unternehmen an arbeitsorientierten Maßnahmen teilgenommen haben. Zusätzlich müssen alle angemessenen Behandlungen mit dem Ziel der Verbesserung der Arbeitsfähigkeit durchgeführt worden sein. Diese müssen von einem Arzt dokumentiert werden.
Die Beurteilung wird vom norwegischen Arbeits- und Wohlfahrtsdienst (Nav) durchgeführt; in den meisten Fällen, während die Person die Zulage zur Arbeitsbeurteilung bezieht.
Die Verfahren zur Beurteilung und angewendeten Kriterien sind landesweit die gleichen.
Für beide Leistungen besteht Widerspruchsrecht. Es gibt drei Ebenen: Widerspruch beim Arbeits- und Wohlfahrtsdienst Nav, beim nationalen Versicherungsgericht und bei den regulären Gerichten.</t>
  </si>
  <si>
    <t>Versicherte haben Anspruch auf Invaliditätsleistungen ohne Neubewertung. Ergeben sich aufgrund eines veränderten Gesundheitszustands jedoch erhebliche Änderungen an der Erwerbsfähigkeit, ist in bestimmten Fällen eine Neubewertung möglich. Die Beurteilung wird vom norwegischen Arbeits- und Wohlfahrtsdienst (Nav) durchgeführt.</t>
  </si>
  <si>
    <t>Invaliditätsleistungen werden auf der Basis des pensionsfähigen Durchschnittseinkommen der drei besten Jahre der letzten 5 Jahre vor Eintritt der Invalidität berechnet. Einkommen, das das 6-fache des Grundbetrags übersteigt (NOK 780.960 (€66.228)) wird nicht berücksichtigt. Der Satz für die Invaliditätsleistungen beträgt 66% der Berechnungsgrundlage im Jahr.
Personen mit geringem oder keinem bisherigen Einkommen erhalten einen jährlichen Mindestbetrag.
Der jährliche Mindestsatz beträgt 2,329 des Grundbetrags, d. h. NOK 303.143 (€25.707) für Personen, die mit einem Ehe- bzw. Lebenspartner zusammenleben, aber 2,379 des Grundbetrags, d.h. NOK 309.651 (€26.259), wenn die Leistung in Invaliditätsrente umgewandelt wird. Das Jahresminimum ist 2,529 des Grundbetrags, d. h. NOK 329.175 (€27.915) für alle weiteren Personen.
Versicherte, die seit der Geburt behindert sind oder vor dem 26. Lebensjahr aufgrund einer schweren Erkrankung invalide geworden sind, haben Anspruch auf einen höheren jährlichen Satz. Der jährliche Mindestsatz beträgt 2,709 des Grundbetrags, d. h. NOK 352.603 (€29.902) für Personen, die mit einem Ehe- bzw. Lebenspartner zusammenleben, und 2,959 des Grundbetrags, d. h. NOK 385.143 (€32.661) für alle weiteren Personen.
Die Zurechnung zukünftiger Versicherungszeiten soll unzureichende Versicherungsjahre aufgrund frühen Eintritts der Invalidität ausgleichen. Betragen die bisherigen und künftigen Versicherungszeiten insgesamt weniger als 40 Jahre, wird die Invaliditätsrente proportional gekürzt.
Bei teilweise verminderter Arbeitsfähigkeit wird die Leistung anteilsmäßig vermindert.
Die Leistung unterliegt keiner Bedürftigkeitsprüfung und ist unberührt vom Bezug anderer Sozialleistungen.
Es gibt keine zusätzlichen Zahlungen zu bestimmten Zeiten des Jahres (z.B. Weihnachten oder im Winter für Heizmaterial). Zusätzliche finanzielle Sozialhilfe kann gewährt werden, ist aber abhängig von einer Bedürftigkeitsprüfung.</t>
  </si>
  <si>
    <t>Siehe Tabelle V, “Invalidität - Leistungen - Berechnungsmethode, Formel, Beträge und Zahlungshäufigkeit”.</t>
  </si>
  <si>
    <t>Es gibt einen jährlichen Mindestbetrag für Personen mit geringem oder keinem bisherigen Einkommen, aber es gibt kein garantiertes Minimum, da der Mindestsatz gemäß der Versicherungsdauer, d.h. dem Zeitraum des Wohnsitzes in Norwegen, vermindert werden kann. Die jährlichen Invaliditätsgrundleistungen werden anteilsmäßig vermindert, wenn die Summe der bisherigen und zukünftigen Versicherungszeiträume weniger als 40 Jahre beträgt. Für eine alleinstehende Person mit 40 (allein auf dem Wohnsitz beruhenden) früheren und zukünftigen Versicherungszeiten einschließlich der Zurechnungszeiten beträgt die jährliche Rente das 2,529-fache des Grundbetrags, d.h. NOK 329.175 (€27.915).
Die höchstmöglichen Leistungen betragen seit 1. Mai 2025 66% des 6-fachen Grundbetrags, d.h. NOK 515.434 (€43.710).
Monatliche Zahlungen. Bei teilweiser Invalidität werden die Invaliditätsleistungen anteilsmäßig vermindert.</t>
  </si>
  <si>
    <t>Jahre des Militärdienstes, d. h. Mindesterträge des 3-Fachen des Grundbetrags.</t>
  </si>
  <si>
    <t>Keine Ehegattenzulage.
Bei Bedürftigkeit wird eine Kinderzulage (barnetillegg) von 40% des Grundbetrags für jedes unterhaltene Kind unter 18 Jahren gewährt, d.h. NOK 52.064 (€4.415).</t>
  </si>
  <si>
    <t xml:space="preserve">
   * Grundleistung (grunnstønad) zur Bestreitung zusätzlicher Aufwendungen aufgrund dauernder Krankheit, Verletzung oder Missbildung: 6 je nach dem zusätzlichen Bedarf unterschiedliche Stufen zwischen NOK 9.024 (€765) und NOK 44.928 (€3.810) im Jahr. Monatliche Zahlungen;
   * Pflegeunterstützungsgeld (hjelpestønad) zur Bestreitung des zusätzlichen Pflegebedarfs. Die Standardleistung beträgt NOK 16.152 (€1.370) jährlich. Für behinderte Kinder unter 18 Jahren gelten 3 höhere Leistungssätze bis zu NOK 96.912 (€8.218) jährlich. Monatliche Zahlungen;
   * Technische und andere Hilfsmittel zum Ausgleich der funktionalen Behinderung bei Verrichtungen des täglichen Lebens.
</t>
  </si>
  <si>
    <t>Berufliche Bildungsmaßnahmen und Rehabilitation werden nicht grundsätzlich angeboten, sobald die Invaliditätsleistungen gewährt wurden. Bedingung für den Bezug von Invaliditätsleistungen (uføretrygd) ist, dass zuvor geeignete berufliche Bidlungs- und Rehabilitationsmaßnahmen versucht wurden. Personen können anspruchsberechtigt sein für bezuschusste Arbeit innerhalb des Unternehmens oder in geschützten Werkstätten.</t>
  </si>
  <si>
    <t>Falls sinnvoll, können Lohnkostenzuschüsse gewährt werden. Eine entlohnte Rehabilitationsmaßnahme kann beim bisherigen Arbeitgeber oder in einer beschützten Werkstatt erfolgen.</t>
  </si>
  <si>
    <t>Jährliche Anpassung basierend auf der Anpassung des Grundbetrags (Grunnbeløpet) der sozialen Sicherung. Jährliche Anpassung der Höhe des Grundbetrags durch den am 1. Mai in Kraft tretenden Königlichen Erlass unter Berücksichtigung der allgemeinen Einkommensentwicklung.
Grundleistung (grunnstønad) und Pflegeunterstützungsgeld (hjelpestønad) sind im Rahmen des Haushalts unabhängig vom Grundbetrag fixierte Beträge. Während der letzten Jahre wurde der Nominalwert jedoch ohne weitere Anpassungen weitergeführt.</t>
  </si>
  <si>
    <t>Der Bezieher der vollen Invaliditätsleistungen (uføretrygd) kann ein jährliches Arbeitseinkommen von bis zu 40% des Grundbetrags (Grunnbeløpet), d.h. NOK 52.064 (€4.415) haben, ohne dass eine Leistungskürzung erfolgt. Bei höherem Einkommen werden die Leistungen um einen Teil des übersteigenden Einkommens herabgesetzt. Der Grad der Invalidität wird nicht neu berechnet.
Der Bezieher von Invaliditätsleistungen für eine teilweise Invalidität kann zusätzlich zu dem Einkommen, das dem Grad der verbliebenen Erwerbsfähigkeit entspricht, weiteres Erwerbseinkommen bis zu 40% des Grundbetrags haben, ohne dass eine Leistungskürzung erfolgt.
Finanzielle Hilfen, die der Arbeitgeber über den Lohn hinaus aufgrund einer Vereinbarung über die Beendigung des Arbeitsverhältnisses oder eine Verkürzung der Arbeitszeit gewährt, führen zu einer entsprechenden Kürzung von Invaliditätsleistungen.</t>
  </si>
  <si>
    <t>Der Bezug der vollen Invaliditätsleistungen (uføretrygd) schließt den Bezug anderer Einkommensersatzleistungen der Volksversicherung (folketrygden) aus. Teilinvaliditätsleistungen können mit mit anderen Leistungen kombiniert werden, die Einkommensverluste kompensieren.
Sowohl Teilinvaliditätsleistungen als auch Invaliditätsleistungen können mit Grundleistung (grunnstønad) und Pflegeunterstützungsgeld (hjelpestønad) und anderen Sozialleistungen kombiniert werden, zum Beispiel Wohngeld oder Wirtschaftlicher Sozialhilfe (økonomisk sosialhjelp).
Die Invalidenrente des öffentlichen Dienstes wird zusätzlich zur Zulage zur Arbeitsbeurteilung und Invaliditätsleistungen der Volksversicherung gezahlt und unabhängig von dieser festgelegt.</t>
  </si>
  <si>
    <t>Invaliditätsleistung (uføretrygd) unterliegt der Besteuerung.
Grundleistung (grunnstønad) und Pflegeunterstützungsgeld (hjelpestønad) unterliegen nicht der Besteuerung.</t>
  </si>
  <si>
    <t>Die Leistung wird wie Arbeitseinkommen versteuert. Es gelten allgemeine Steuervorschriften. Keine besonderen Regelungen.</t>
  </si>
  <si>
    <t>Bezieher von Invaliditätsleistungen zahlen einen ermäßigten Beitrag von 7,7%.</t>
  </si>
  <si>
    <t>Allgemeines wohnsitzgebundenes Pflichtversicherungssystem.</t>
  </si>
  <si>
    <t>Gleiche Bedingungen wie für Arbeitnehmer.
Invaliditätsrente (uføretrygd) wird wie Lohneinkommen besteuert.</t>
  </si>
  <si>
    <t>Invaliditätsversicherungsgesetz (Wet op de arbeidsongeschiktheidsverzekering, WAO) (vorheriges System).
Gesetz über Arbeit und Einkommen entsprechend der Arbeitsfähigkeit (Wet Werk en Inkomen naar Arbeidsvermogen, WIA) (aktuelles System, geltend seit dem 1.1.2006).
Gesetz zur Hilfe bei Arbeitsunfähigkeit für junge Behinderte (Wet arbeidsongeschiktheidsvoorziening jonggehandicapten, Wajong).
Verzeichnis der Rechtsakte: www.wetten.nl</t>
  </si>
  <si>
    <t>Als völlig oder teilweise arbeitsunfähig gilt, wer infolge von Krankheit oder Behinderungen nicht mehr imstande ist, dasjenige zu verdienen, was gesunde Arbeitnehmer mit ähnlicher Ausbildung und gleichwertigen Fähigkeiten normalerweise an ihrem jetzigen oder jüngsten Arbeitsplatz oder in der Region verdienen würden.
In den Niederlanden ist die Ursache der Arbeitsunfähigkeit (Invalidität oder Arbeitsunfall/Berufskrankheit) unerheblich.</t>
  </si>
  <si>
    <t>WIA/WAO: Alle Arbeitnehmer die jünger als die Regelaltersgrenze sind.
Selbstständige sind nicht automatisch durch das WIA/WAO-System abgesichert: sie können sich für eine Mitgliedschaft auf freiwilliger Basis im allgemeinen System entscheiden.
Wajong: Einwohner der Niederlande, die das gesetzliche Rentenalter noch nicht erreicht haben und die
   * bei Vollendung des 18. Lebensjahres dauerhaft erwerbsunfähig waren oder
   * seit diesem Zeitpunkt erwerbsunfähig wurden und im direkt vorausgegangen Jahr mindestens 6 Monate lang Studenten waren.</t>
  </si>
  <si>
    <t>Keine Mindestversicherungsdauer erforderlich.</t>
  </si>
  <si>
    <t>WAO/WIA
Wenn die Einkommenskapazität nach 88 Wochen der Krankheit noch vermindert ist, kann ein Antrag auf Invaliditätsleistung gestellt werden. Ein Arzt und Experte der Ausführungsbehörde für Arbeitnehmerversicherungen (Uitvoeringsinstituut werknemersverzekeringen, UWV) bewerten den Antrag durch eine Untersuchung des Invaliditätsgrades. Siehe ‘Begutachtungskriterien und Kategorien der Arbeitsunfähigkeit/Arbeitsfähigkeit’ für nähere Informationen.
Bewertungsverfahren und –kriterien gelten landesweit.
Wajong seit 2015
Ein Arzt und Experte des UWV führen eine Untersuchung durch, um zu bestimmen, ob die Invalidität dauerhaft ist (duurzaam geen arbeidsvermogen). Siehe ‘Bewertungs-kriterien und Kategorien der Erwerbsfähigkeit/Erwerbsunfähigkeit’ für nähere Informationen.
WIA/WAO/Wajong
Personen, die mit einer Entscheidung des zuständigen Trägers nicht einverstanden sind, können zunächst bei dieser Institution Widerspruch einlegen und dann nach Beendigung des Widerspruchverfahrens die Abteilung für Verwaltungsrecht beim Bezirksgericht anrufen.</t>
  </si>
  <si>
    <t>Die Häufigkeit der Bewertungen ist abhängig vom Grad der Erwerbsfähigkeit und wird vom Arzt und Experten des UWV festgelegt oder auf Anfrage des Leistungsempfängers oder selbstversicherten (ehemaligen) Arbeitgebers (‘eigen risicodrager’) durchgeführt.
Für die Neubewertung ist das UWV verantwortlich.</t>
  </si>
  <si>
    <t>WIA/WAO: Netto-Arbeitsverdienst (Obergrenze: €297,82 am Tag). Ausgenommen Anschlussleistung: gesetzlicher Mindestlohn
Wajong: Siehe „Leistungen 1. Berechnungsmethode oder Rentenformel“.</t>
  </si>
  <si>
    <t>WAO und Wajong: Das Sterbegeld entspricht dem Brutto-Betrag einer Monatsleistung, auf die der Verstorbene Anspruch hatte.</t>
  </si>
  <si>
    <t>WIA/WAO und Wajong:
Arbeitgeber können beim UWV eine Beitragssenkung beantragen, wenn sie Empfänger einer Invaliditätsleistung ab einem Alter von 50 Jahren einstellen.
Arbeitgeber, die Leistungsempfänger einer Invaliditätsleistung (WIA/ WAO/Wajong) einstellen, können Ausgleichzahlungen für Lohnkosten im Krankheitsfall erhalten (so genannte „no-riskpolis’ des Krankengeldgesetz (Ziektewet, ZW)).
Das UWV kann Leistungsempfängern, die eine Beschäftigung als Arbeitnehmer oder Selbstständiger aufnehmen und berufsunterstützende Hilfsmittel benötigen, um ihrer Beschäftigung nachzugehen, diese Hilfsmittel anbieten. Die Hilfsmittel müssen erforderlich sein und der Person eine Beschäftigung ermöglichen. Verschieden Arten von angebotenen Hilfsmitteln umfassen ‚transportable Hilfsmittel‘ für eine Einzelperson (und an diese Person gebunden), Transportmittel um zum Arbeitsplatz zu gelangen, intermediäre Hilfsmittel für Personen mit Seh- oder Hörbeeinträchtigungen oder Einschränkungen im Bewegungsapparat, sowie persönliche Berufsberatung. Persönliche Berufsberatung ist insbesondere für Wajong wichtig. Diese Hilfsmittel können auch während einer Krankheitsperiode (WIA) bezogen werden.
Für Wajong, WIA, ZW und WAO wurde die Höchstdauer des Praktikums (proefplaatsing) von 3 auf 6 Monate verlängert. Während des Praktikums kann der Leistungsempfänger arbeiten, während er die vollen Leistungen erhält.
Die Teilnahme an einer Berufsausbildung ist für den Bezug der Leistung nicht verpflichtend, aber wenn es zwischen Leistungsempfänger und UWV eine gemeinsame Absprache gibt, sollte diese befolgt werden.
Wajong:
Arbeitgeber, die einen Empfänger einer Wajong Beihilfe einstellen, können für einen bestimmten Zeitraum weniger als den gesetzlich festgelegten Mindestlohn zahlen, wenn die Produktivität der Person als niedriger als der Mindestlohn eingeschätzt wird (loondispensatie).
Wajong DGA:
Lediglich dauerhaft erwerbsunfähige Personen (Duurzaam geen arbeidsermogen DGA) haben Anspruch auf den Erhalt von der höheren Leistung (75%). Umschulungen und Rehabilitation sind daher hier nicht anwendbar. Wenn eine Person, die DGA bezieht, wieder eine Arbeit aufnimmt, endet der Erhalt der Leistungen.</t>
  </si>
  <si>
    <t>Keine besondere Gesetzgebung. Pilotprojekte in Vorbereitung.</t>
  </si>
  <si>
    <t>Jährlich zum 1. Januar und 1. Juli automatische Anpassung an die Entwicklung der durchschnittlichen Tariflöhne.</t>
  </si>
  <si>
    <t>WIA/WAO kann mit Erwerbseinkünften kumuliert werden; in diesem Fall wird die Leistung gekürzt (siehe Tabelle V, Leistungen, 1. Berechnungsmethode, Formel, Beträge und Zahlungshäufigkeit für nähere Informationen). Wenn ein Leistungsbezieher eine geeignete Beschäftigung gefunden hat und diese über einen längeren Zeitraum auszuüben vermag, kann sein Grad der Invalidität (d.h. der Grad der bewerteten verminderten Erwerbskapazität) abhängig vom Arbeitsentgelt geändert werden. Dies kann entsprechend eine Revision der Leistungshöhe zur Folge haben.
Wajong: Siehe Tabelle V, „Leistungen, 1. Berechnungsmethode, Formel, Beträge und Zahlungshäufigkeit“.</t>
  </si>
  <si>
    <t>WIA/WAO und Wajong: Kumulierung mit anderen Sozialleistungen ist möglich. Je nach Leistung kann dies zu einer Kürzung führen.
Kürzung der Invaliditätsrente, wenn gleichzeitig wegen derselben Arbeitsunfähigkeit eine Leistung aufgrund der Gesetzgebung eines anderen Staates gewährt wird.</t>
  </si>
  <si>
    <t>Leistungen bei Invalidität unterliegen der Besteuerung.</t>
  </si>
  <si>
    <t>Besteuerung nach allgemeinen Regeln. Keine Sonderbestimmungen für Leistungen.</t>
  </si>
  <si>
    <t>WIA/WAO//Wajong: Einbehalten werden Beiträge nach dem Allgemeinen Hinterbliebenengesetz (Algemene Nabestaandenwet, Anw), Langzeitpflegegesetz (Wet langdurige zorg, WLZ) und Allgemeinen Altersrentengesetz (Algemene Ouderdomswet, AOW).
Die Beiträge nach dem Krankenversicherungsgesetz werden durch die Einrichtung, die die Leistungsauszahlung verwaltet, gezahlt.</t>
  </si>
  <si>
    <t>Selbstständige sind nicht automatisch vom allgemeinen System, das Arbeitnehmer abdeckt, gegen das Risiko der Invalidität abgesichert.
Sie können auf freiwilliger Basis entscheiden, ob sie am allgemeinen System teilnehmen oder nicht.</t>
  </si>
  <si>
    <t>Freiwillige („Opt-in’) und arbeitsgebundene Versicherung.</t>
  </si>
  <si>
    <t>Um sich zu qualifizieren, müssen sich Selbstständige mindestens ein Jahr vor Eintritt in das freiwillige System an einer obligatorischen Krankenversicherung beteiligt haben und sich innerhalb von 13 Wochen nach Ende der Pflichtversicherung am Opt-in-System beteiligt haben.</t>
  </si>
  <si>
    <t>Keine spezifischen Vorschriften</t>
  </si>
  <si>
    <t>Wie für Arbeitnehmer Leistungen sind steuerpflichtig).</t>
  </si>
  <si>
    <t>Gesetz über soziale Sicherheit (Att dwar is-Sigurtà Soċjali) (Kap. 318).
Verzeichnis der Rechtsakte: https://legislation.mt/Legislation.</t>
  </si>
  <si>
    <t>Beitragsfinanziertes obligatorisches Sozialversicherungssystem, enthalten im nationalen Rentensystem, für alle Arbeitnehmer und Freischaffende mit Pauschalrenten, die von Beiträgen und der Versicherungsdauer abhängen.
Für Invalidität gibt es kein besonderes Sozialhilfesystem.
Kein besonderes System. Es gilt das allgemeine Mindestsicherungssystem (siehe Tabelle XI).</t>
  </si>
  <si>
    <t>Arbeitnehmer und Freischaffende.
Mitarbeiter des öffentlichen Dienstes, die vor 1979 beschäftigt wurden, haben Anspruch auf eine betriebliche Altersversorgung nach 30-jähriger Tätigkeit; Angehörige der Polizei, der Streitkräfte und der Abteilung für Katastrophenschutz nach 25 Jahren.
Anspruchsberechtigung für Invaliditätsleistungen ist unabhängig von Wohnort oder Staatsangehörigkeit.</t>
  </si>
  <si>
    <t>Mindestens 5 Jahre Beitragszeit.
Die Mindestversicherungszeit ist unabhängig vom Alter.
Bei tödlich erkrankten Personen ist die Mindestversicherungszeit auf 1 Jahr festgelegt; die Rente wird gewährt, als habe die Person ihr gesamtes Arbeitsleben lang Beiträge gezahlt.</t>
  </si>
  <si>
    <t>Invaliditätsrente ist zahlbar nach 6 Monaten des Bezugs von Krankengeld für den Zeitraum, den die medizinische Kommission gewährt hat und spätestens bis die Person das gesetzliche Rentenalter erreicht hat.
Sie kann für mindestens ein Jahr und eine Höchstdauer von 3 Jahren gewährt werden, wenn eine Besserung des Gesundheitszustands erwartet wird. Hält die Erkrankung an, wird die Person in jedem Fall erneut untersucht und der Zeitraum der Invalidität kann verlängert werden.
Bei Erreichen des Ruhestandsalters können sich die Empfänger für den Bezug der Ruhestandsrente (Pensjoni tal-Irtirar) entscheiden, wenn dies für sie vorteilhafter ist.
Bei verminderter Erwerbsfähigkeit gibt es keine Möglichkeit des vorgezogenen Ruhestands.</t>
  </si>
  <si>
    <t>Der Gesundheitszustand wird untersucht von einem Team aus Ärzten mit unterschiedlichen Fachgebieten, beauftragt von der Abteilung für Soziale Sicherheit.
Die medizinische Kommission untersucht die medizinischen Informationen, die zusammen mit dem Rentenantrag eingereicht wurden. Wenn nötig, kann sie weitere medizinische Information direkt von dem Krankenhaus/Praxis erbitten, in dem die Person normalerweise behandelt wird.
Es gelten die gleichen Beurteilungsverfahren und –kriterien landesweit.
Es besteht das Recht auf Widerspruch beim Büro des Schiedsrichters. In solchen Fällen wird der Gesundheitszustand erneut von einem anderen Facharzt untersucht.</t>
  </si>
  <si>
    <t>Die Fälle werden nach Ablauf des Zeitraums der Arbeitsunfähigkeit überprüft, die der Ärzteausschuss bei der Gewährung der Rente festgelegt hat.
Die Ärzte, die die erneuten Untersuchungen durchführen, stehen ebenfalls auf der Liste von Ärzten, die von der Abteilung für Soziale Sicherheit beauftragt werden.
Die Häufigkeit der Neubeurteilungen ist abhängig von der Dauer der Leistungen (siehe auch Tabelle V, „Zeitraum, für den Leistungen zahlbar sind”). Sie ist nicht gesetzlich festgelegt, sondern automatisch an den im ersten ärztlichen Bericht angegebenen Zeitraum gebunden, der in der Regel zwischen einem und drei Jahren liegt.</t>
  </si>
  <si>
    <t>Einkommensunabhängige Pauschalleistungen, allerdings wird eine niedrigere Leistung an eine Person gezahlt, die eine Rente aus dem Arbeitsverhältnis (Pensjoni tas-Servizz) erhält.</t>
  </si>
  <si>
    <t>Ehepartner:
Der Rentensatz für Verheiratete ist selbst dann zahlbar, wenn die Ehefrau erwerbstätig ist (siehe Tabelle V, „Leistungen, 4. Berechnungsmethode, Formel und Zahlungshäufigkeit“).
Kinder:
Keine Pflegezulage.</t>
  </si>
  <si>
    <t>Ein Empfänger von Invaliditätsrente kann bei Bedürftigkeit und nach Entscheidung einer von der Abteilung für Soziale Sicherheit eingesetzten medizinischen Kommission Anspruch auf Gesundheitshilfe (Ghajnuna Medika) haben. Jedes Mitglied des Haushaltes, das die Bedingungen erfüllt, erhält wöchentlich €33,44.
Der Leistungsempfänger, der kein Kindergeld bekommt, kann vorbehaltlich einer Bedürftigkeitsprüfung (Ghajnuna Supplementari) (d.h. das jährliche Gesamtbruttoeinkommen darf €18.000 für ein Paar und €12.493 für eine alleinstehende Person nicht übersteigen) Anspruch auf eine Zulage haben. Die Beihilfe beträgt höchstens €24,80 wöchentlich für ein Paar und €12,82 für eine alleinstehende Person.</t>
  </si>
  <si>
    <t>Berufliche Ausbildung und Rehabilitation werden nicht angeboten.</t>
  </si>
  <si>
    <t>Das Gesetz über die Beschäftigung von Personen mit Behinderungen (Att dwar l-Impjiegi ta' Persuni b'Diżabilità) verpflichtet Arbeitgeber mit mehr als 20 Arbeitnehmern u.a. dazu, mindestens 2% der Arbeitsplätze (Minimum 1 Arbeitsplatz) mit Personen zu besetzen, die bei der Agentur für Arbeitsvermittlung und Berufsförderung als Personen mit Behinderungen registriert sind (bezeichnet als „Jobsplus“). Gegen Arbeitgeber, die diesem nicht nachkommen, werden Sanktionen verhängt entsprechend der Anzahl der Arbeitnehmer mit Behinderungen, die sie beschäftigen sollten, im Verhältnis zu ihrem gesamten Personalbestand. Der zu zahlende Betrag beläuft sich auf €2.400 jährlich pro Person bis zu einer Höchstgrenze von €10.000 jährlich pro Arbeitgeber.
Arbeitgeber, die Personen mit Behinderungen beschäftigen, erhalten eine Steuergutschrift von €4.500 jährlich für jeden Beschäftigten und sind von der Zahlung des Arbeitgeberanteils an den Sozialversicherungsbeiträgen befreit.
Arbeitgeber erhalten darüber hinaus eine Rückerstattung in Höhe von 25% des Gehalts des Beschäftigten bis zu einem Höchstbetrag von €4.500 jährlich (bei benachteiligten Personen, die allein leben, erhöht sich dieser Betrag auf bis zu €10.000 jährlich). Der Begriff benachteiligte Personen bezieht sich auf Personen mit Behinderungen, ehemalige Drogenabhängige, ehemalige Straftäter, andere Personen mit sozioökonomischen Schwierigkeiten.
Die staatliche Arbeitsvermittlung bietet ein „Überbrückungsprogramm“ für arbeitslose Personen mit Behinderung an, das bei der Wiedereingliederung in den Arbeitsmarkt helfen soll.</t>
  </si>
  <si>
    <t>Die Rente wird jährlich um mindestens der für Arbeitnehmer erfolgenden Anpassung an den Anstieg der Lebenshaltungskosten erhöht. Die Regierung kann die Renten auch entsprechend den im jährlichen Haushaltsgesetz bekanntgegebenen Maßnahmen weiter erhöhen.</t>
  </si>
  <si>
    <t>Die Bezieher einer Invaliditätsrente (Pensjoni tal- Invalidità): Leistungsempfänger dürfen weder eine abhängige noch eine selbständige berufliche Tätigkeit  ausüben. Die Rente wird eingestellt, wenn die Erwerbstätigkeit wieder aufgenommen wird.</t>
  </si>
  <si>
    <t>Eine Invaliditätsrente (Pensjoni tal- Invalidità) wird nicht ausgezahlt, wenn der Empfänger eine andere beitragsabhängige Rente (z.B. Ruhestandsrente oder Witwen-/Witwerrente) bezieht, die höher ist. In diesem Fall wird allein die höhere Rente gezahlt.
Kumulierung mit ausländischen Renten ist möglich entsprechend der EU-Koordinierungsregeln.</t>
  </si>
  <si>
    <t>Nicht anwendbar: Die Leistungen unterliegen nicht der Steuer.</t>
  </si>
  <si>
    <t>Freischaffende sind durch das allgemeine System abgedeckt.
Selbstständige sind nicht abgedeckt.</t>
  </si>
  <si>
    <t>Obligatorisches, sozialversicherungsgebundenes System.</t>
  </si>
  <si>
    <t>Im Falle von gleichzeitiger Tätigkeit als Arbeitnehmer und freischaffende Person werden Beiträge für die Haupttätigkeit entrichtet, d.h. die Tätigkeit, die die höchsten Gewinne generiert.</t>
  </si>
  <si>
    <t>Band III des Gesetzbuches über soziale Sicherheit (Code de la sécurité sociale): Invalidenpension.
Gesetz vom 12. September 2003: Einkommen für schwerstbehinderte Menschen.
Verzeichnis der Rechtsakte: https://legilux.public.lu/eli/etat/leg/code/securite_sociale/20250101  und https://legilux.public.lu/eli/etat/leg/code/travail/20250628</t>
  </si>
  <si>
    <t>Invalidenpension (pension d'invalidité):
Durch Beiträge mit staatlicher Beteiligung finanziertes obligatorisches Sozialversicherungssystem für die Arbeitnehmer und die Selbstständigen mit von der Versicherungsdauer abhängigen pauschalen und von der Beitragshöhe abhängigen Leistungen. Invaliditätsleistungen sind ein integraler Bestandteil des staatlichen Pensionsversicherungssystems.
Einkommen für schwerstbehinderte Menschen (revenu pour personnes gravement handicapées):
Steuerfinanziertes System, getrennt vom staatlichen Pensionsversicherungssystem. Pauschalleistung.
Abgesehen vom Einkommen für schwerstbehinderte Menschen existiert kein gesondertes Sozialhilfesystem für Menschen mit Behinderungen. Es gilt das allgemeine System der Mindestsicherung (vgl. Tabelle XI).</t>
  </si>
  <si>
    <t>Invalidenpension (pension d'invalidité):
Als Invalide gilt eine versicherte Person, deren Erwerbsfähigkeit infolge einer längeren Krankheit, einer Behinderung oder durch Verschleiß in dem Maße herabgesetzt wurde, dass der zuletzt ausgeübte oder ein anderer den Fähigkeiten entsprechender Beruf nicht ausgeübt werden kann.
Einkommen für schwerstbehinderte Menschen (revenu pour personnes gravement handicapées):
Basiert auf der Verringerung der Arbeitsfähigkeit der Person, deren Gesundheitszustand eine Anpassung an den Arbeitsplatz in der normalen oder geschützten Umgebung entsprechend ihrer Bedürfnisse unmöglich macht.</t>
  </si>
  <si>
    <t>Invalidenpension (pension d'invalidité):
Pflichtversicherung für die Arbeitnehmer und die Selbstständigen.
Die Empfänger von Einkommensersatzleistungen, von denen ein Rentenbeitrag einbehalten wird (Arbeitslosigkeit, Krankheit, Mutterschaft, Unfallrente, Elternurlaub), sind ebenfalls abgedeckt.
Freiwillige Versicherung sowie rückwirkender Erwerb von Anrechnungszeiten möglich.
Der Anspruch ist nicht vom Wohnsitz oder der Staatsangehörigkeit abhängig.
Einkommen für schwerstbehinderte Menschen (revenu pour personnes gravement handicapées):
System offen für Gebietsansässige. Bedingungen: rechtmäßigen Wohnsitz in Luxemburg haben, dort gemeldet sein und tatsächlich am gemeldeten Wohnsitz wohnen.
Personen, die keine Staatsangehörigen der EU, des EWR oder der Schweiz sind und weder internationalen Schutz genießen noch staatenlos sind, müssen während der letzten 20 Jahren mindestens 5 Jahre rechtmäßig in Luxemburg niedergelassen sein.</t>
  </si>
  <si>
    <t>Invalidenpension (pension d'invalidité):
Personen, die ihre berufliche Tätigkeit über einen vorab festgelegten Zeitraum von höchstens drei Monaten pro Kalenderjahr nur gelegentlich und nicht gewohnheitsmäßig ausüben, sind von der Versicherungspflicht befreit.
Auf Antrag der betreffenden Person ist eine nebenberufliche Tätigkeit im kulturellen oder sportlichen Bereich für eine nicht gewinnorientierte Vereinigung versicherungsfrei, wenn das erzielte Erwerbseinkommen zwei Drittel des sozialen Mindestlohns pro Jahr nicht übersteigt.
Eine selbstständige Erwerbstätigkeit ist von der Pflichtversicherung befreit, wenn das Einkommen aus der Berufstätigkeit höchstens einem Drittel des sozialen Mindestlohns (salaire social minimum) pro Jahr entspricht.
Einkommen für schwerstbehinderte Menschen (revenu pour personnes gravement handicapées):
Nicht anwendbar.</t>
  </si>
  <si>
    <t>Invalidenpension (pension d'invalidité):
12 obligatorische oder freiwillige Versicherungsmonate in den 3 Jahren vor Beginn der Invalidität. Falls in diese drei Jahre Anrechnungszeiten (insbesondere Studien- oder Elternzeit) fallen, wird die Frist entsprechend verlängert. Die Mindestversicherungszeit entfällt, wenn die Invalidität infolge eines Unfalls gleich welcher Art oder einer Berufskrankheit, die sich während der Zeit der Versicherung ereigneten, eingetreten ist.
Der Referenzzeitraum ist nicht altersabhängig.
Einkommen für schwerstbehinderte Menschen (revenu pour personnes gravement handicapées):
Keine Mindestbeschäftigungs-, Beitrags- oder Aufenthaltszeiten (aber Personen, die keine Staatsangehörigen der EU, des EWR oder der Schweiz sind und weder internationalen Schutz genießen noch staatenlos sind, müssen innerhalb der letzten 20 Jahre mindestens 5 Jahre rechtmäßig in Luxemburg niedergelassen sein).</t>
  </si>
  <si>
    <t>Invalidenpension (pension d'invalidité):
Die Person ist erwerbsunfähig, wenn ihre Arbeitsfähigkeit so weit eingeschränkt ist, dass sie daran gehindert wird, ihren letzten Beruf oder einen anderen Beruf auszuüben, der ihren Stärken und Fähigkeiten entspricht.
Es ist kein Mindestmaß an Kapazität/Arbeitsunfähigkeit festgelegt.
Einkommen für schwerstbehinderte Menschen (revenu pour personnes gravement handicapées):
   * Die Person muss aufgrund einer körperlichen, geistigen, sensorischen oder psychischen Beeinträchtigung und/oder aufgrund psychosozialer Schwierigkeiten, die die Beeinträchtigung verschlimmern, eine Verringerung der Arbeitsfähigkeit von mindestens 30% aufweisen;
   * Die Beeinträchtigung muss vor dem 65. Lebensjahr eingetreten sein;
   * Die Person muss einen Gesundheitszustand aufweisen, dem gemäß jede Art von Berufstätigkeit kontraindiziert ist, oder ihre Arbeitsfähigkeit ist soweit eingeschränkt, dass es unmöglich ist, einen Arbeitsplatz in der normalen oder geschützten Umgebung an ihre Bedürfnisse anzupassen.</t>
  </si>
  <si>
    <t>Invalidenpension (pension d'invalidité):
Bei vorübergehender Invalidität (invalidité temporaire) wird die Pension nach Erlöschen des Anspruchs auf Krankengeld (indemnité pécuniaire de maladie) (d. h. nach höchstens 78 Wochen) oder, falls dieser nicht bestand, nach einer ununterbrochenen Invaliditätszeit von 6 Monaten gewährt.
Bei dauerhafter Invalidität (invalidité permanente) wird die Invalidenpension ab dem ersten Tag der Feststellung der Invalidität, frühestens jedoch ab dem Tag, an dem die Mindestversicherungszeit gegeben ist, wirksam.
Im Falle einer gesetzlichen oder vertraglichen Beibehaltung der Vergütung für die vor der Invalidität ausgeübten Angestelltentätigkeit wird die Pension erst an dem Tag gewährt, an dem die Vergütung endet.
Ist die Invalidität in erster Linie auf einen Arbeitsunfall oder eine Berufskrankheit zurückzuführen, wird die Invalidenpension erst ab dem Zeitpunkt der Konsolidierung wirksam (d. h., wenn die Beeinträchtigung definitiven Charakter angenommen hat und ein gewisses Maß an dauerhafter Invalidität festgestellt werden kann).
Die Invalidenpension wird dem Versicherten nicht ausgezahlt, solange er Krankengeld bezieht.
Aufhebung, wenn die medizinischen Bedingungen der Invalidität nicht mehr gegeben sind oder wenn der Bezieher eine berufliche Tätigkeit ausübt, im Rahmen derer sein Einkommen mehr als ein Drittel des sozialen Mindestlohns beträgt.
Im Alter von 65 Jahren Umwandlung in Altersrente (pension de vieillesse).
Keine Vorruhestandspension bei verringerter Arbeitsfähigkeit.
Einkommen für schwerstbehinderte Menschen (revenu pour personnes gravement handicapées):
Die Leistung wird gewährt, wenn eine ausreichende Stabilisierung des Zustands der Person aus medizinischer Sicht gegeben ist. Die Leistung wird gezahlt, solange die Bedingungen für den Bezug der Leistung erfüllt sind.</t>
  </si>
  <si>
    <t>Invalidenpension (pension d'invalidité):
Der medizinische Dienst der Sozialversicherung (Contrôle médical de la sécurité sociale, CMSS) nimmt Stellung zum Grad der Erwerbsminderung des Arbeitnehmers basierend auf dem ärztlichen Bericht des behandelnden Arztes. Die Verfahren und Kriterien sind landesweit identisch.
Jedem Antrag auf Invalidenpension folgt eine Entscheidung über deren Gewährung oder Ablehnung. Gegen die Entscheidung kann beim zuständigen Verwaltungsrat Widerspruch eingelegt werden. Gegen die Entscheidung des Verwaltungsrats kann beim Schiedsrat der Sozialversicherung (Conseil arbitral de la sécurité sociale) Berufung eingelegt werden. Gegen das Urteil des Schiedsgerichtsrats der Sozialversicherung kann beim Obersten Rat der Sozialversicherung (Conseil supérieur de la sécurité sociale) Berufung eingelegt werden.
Einkommen für schwerstbehinderte Menschen (revenu pour personnes gravement handicapées):
Bewertung der Verringerung der Arbeitsfähigkeit durch den Ärzteausschuss, im Rahmen dessen Experten Stellung nehmen können.
Berufung kann beim Schiedsrat der Sozialversicherung (Conseil arbitral de la sécurité sociale) und beim Obersten Rat der Sozialversicherung (Conseil supérieur de la sécurité sociale) eingelegt werden.</t>
  </si>
  <si>
    <t>Invalidenpension (pension d'invalidité):
Neubewertung durch den medizinischen Dienst der Sozialversicherung (Contrôle médical de la sécurité sociale, CMSS) entsprechend der Situation.
Einkommen für schwerstbehinderte Menschen (revenu pour personnes gravement handicapées):
Die Bedingungen für den Bezug der Leistung werden regelmäßig vom Ärzteausschuss geprüft.</t>
  </si>
  <si>
    <t>Invalidenpension (pension d'invalidité):
Die Höhe der Pension richtet sich nach der Dauer der beruflichen Laufbahn und dem erzielten Einkommen. Der Grad oder die Art der Erwerbsminderung hat keine Auswirkungen.
Zusammensetzung der Rente:
   * Die von der Versicherungsdauer abhängige Pauschalleistung (majorations forfaitaires) beträgt bei 40 Versicherungsjahren €652,06 im Monat (ansonsten einkommensabhängige Minderung).
   * Der einkommensabhängige Rententeilbetrag (majorations proportionnelles) maximal 1,769% des Gesamtbetrags der berücksichtigten Einkommen.
Um die vorzeitige Unterbrechung der Versicherungsdauer infolge von Invalidität auszugleichen, werden spezielle Pauschalleistungen auf prospektive Zeiträume und spezielle anteilmäßige Zuschläge auf fiktive Einkommen gewährt, wobei jeweils die Dichte der Versicherungsdauer und die Einkommenshöhe vor der Invalidität berücksichtigt werden.
Besondere Zurechungszulage (majorations forfaitaires spéciales) von 1/40 für jedes Jahr zwischen dem Beginn des Rentenanspruchs und dem Alter von 65 Jahren (im Verhältnis zur Anzahl der Versicherungs- und Kalenderjahre zwischen dem Alter von 25 Jahren und dem Beginn der Invaliditätsrente) (max. 40 Jahre insgesamt für die pauschalen Zeiträume und die besondere Zurechnungszulage).
Besondere einkommensabhängige Zurechnungszulage (majorations proportionnelles spéciales) (bei Invalidität vor dem 55. Lebensjahr) für die zwischen dem Rentenbeginn und dem Alter von 55 Jahren verbleibenden Jahre; die Zulage beläuft sich auf prozentual 1,769% des durchschnittlichen Arbeitseinkommens ab dem Alter von 25 Jahren bis zum Jahr des Eintritts der Invalidität.
Monatliche Zahlungen. Unter bestimmten Bedingungen Gewährung einer Zulage zum Jahresende (allocation de fin d'année).
Einkommen für schwerstbehinderte Menschen (revenu pour personnes gravement handicapées):
Pauschale von €1.896,98 pro Monat. Die Höhe der Leistung wird entsprechend dem Berufs- und Ersatzeinkommen gekürzt.
Monatliche Zahlung.</t>
  </si>
  <si>
    <t>Invalidenpension (pension d'invalidité):
Als Bemessungsgrundlage für den einkommensabhängigen Rententeilbetrag (majorations proportionnelles) wird das Arbeits- bzw. Erwerbseinkommen, das dem Einbehalt von Ruhegehalt unterliegt, der gesamten beruflichen Laufbahn innerhalb der folgenden Grenzen berücksichtigt.
Beitragspflichtiger Mindestbetrag: €2.703,74 monatlich.
Beitragspflichtiger Höchstbetrag: €13.518,68 monatlich.
Einkommen für schwerstbehinderte Menschen (revenu pour personnes gravement handicapées):
Nicht anwendbar.</t>
  </si>
  <si>
    <t>Invalidenpension (pension d'invalidité):
Bei einer Mindestversicherungszeit von 40 Jahren erreicht die Rente mindestens 90% des Referenzbetrages: daher gilt eine monatliche Mindestrente von €2.350,89. Falls der Versicherte die oben genannte Anwartschaftszeit nicht erfüllt, aber mindestens 20 Versicherungsjahre belegen kann, wird die Mindestrente (pension minimale) um 1/40 je fehlendes Jahr gekürzt.
Die Rente kann höchstens 5/6 des fünffachen Referenzbetrags betragen, nämlich €10.883,74 pro Monat.
Einkommen für schwerstbehinderte Menschen (revenu pour personnes gravement handicapées):
Nicht anwendbar.</t>
  </si>
  <si>
    <t>Invalidenpension (pension d‘invalidité):
Als effektive Versicherungszeiten, die für die Mindestversicherungszeit und die Berechnung der pauschalen und anteiligen Zulagen berücksichtigt werden, gelten insbesondere folgende:
   * Zeiten, die durch ein Ersatzeinkommen abgedeckt sind, auf das ein Rentenbeitrag einbehalten wird: Arbeitslosigkeit, Krankheit, Mutterschaft, Unfallrente, Elternurlaub;
   * ein Zeitraum von 24 Monaten für die Erziehung eines Kindes („Babyjahre“ (années bébé);
   * Zeiten, in denen ein informeller Helfer eine Person betreut, die nach den Rechtsvorschriften über die Pflegebedürftigkeit pflegebedürftig ist.
Als zusätzliche Zeiten, die für die Mindestversicherungszeit und die pauschalen Zulagen berücksichtigt werden, gelten insbesondere folgende:
   * Ausbildungszeiten zwischen dem 18. und dem 27. Lebensjahr;
   * Zeiten der Erziehung von Kindern unter 6 Jahren (18 Jahre bei Krankheit des Kindes) – Insgesamt: 8 Jahre für 2 Kinder und 10 Jahre für 3 Kinder;
   * Zeiten für die Pflege eines Hilfsbedürftigen;
   * Zeiten, in denen eine Invaliditätsrente gewährt wird.
Einkommen für schwerstbehinderte Menschen (revenu pour personnes gravement handicapées):
Nicht anwendbar.</t>
  </si>
  <si>
    <t>Invalidenpension (pension d'invalidité):
Zulage zum Jahresende (allocation de fin d'année): jährlicher Pauschalbetrag in Höhe von €1.004,28 (für 40 Versicherungsjahre, andernfalls anteilig gekürzter Betrag).</t>
  </si>
  <si>
    <t>Invalidenpension (pension d'invalidité):
Bis zum Alter von 50 Jahren hat der Versicherte an von der Kasse verfügten Rehabilitations- und Umschulungsmaßnahmen teilzunehmen, bei Weigerung kann die Rente ruhen. Die Maßnahmen werden vom medizinischen Dienst der Sozialversicherung (Contrôle médical de la sécurité sociale, CMSS) vorgeschlagen.</t>
  </si>
  <si>
    <t>Je nach Größe des Unternehmens ist eine bestimmte Anzahl von Arbeitsplätzen für Behinderte vorgesehen.
Befreiung vom Arbeitgeberanteil an den Sozialversicherungsbeiträgen für einen Arbeitgeber, der eine höhere Anzahl von behinderten Arbeitnehmern einstellt, als er zu leisten hat.
Unter bestimmten Bedingungen wird ein Teil der Gehalts-/Lohnkosten, der Ausbildungskosten, der Kosten für die Einrichtung der Arbeitsplätze und des Zugangs zur Arbeit sowie der Transportkosten übernommen; außerdem wird eine angepasste Berufsausstattung zur Verfügung gestellt und der Arbeitgeber, der einen Arbeitnehmer mit Behinderung einstellt, wird vom Arbeitgeberanteil der Sozialabgaben befreit.
Geschützte Werkstätten, deren Struktur und Arbeitsweise an die besonderen Bedürfnisse und individuellen Fähigkeiten von Menschen mit Behinderungen angepasst sind.</t>
  </si>
  <si>
    <t>Anpassung der Renten und des Einkommens für schwerstbehinderte Menschen an die Preisentwicklung, sobald sich der Index gegenüber dem Stand bei der letzten Anpassung um 2,5% ändert.
Jährliche Anpassung der Rente an die Entwicklung des Lohnniveaus, jeweils entsprechend der finanziellen Situation des Rentensystems.</t>
  </si>
  <si>
    <t>Invalidenpension (pension d'invalidité):
Der Bezieher einer Invalidenpension kann einer unselbstständigen oder selbstständigne Erwerbstätigkeit nachgehen, wobei das Entgelt höchstens ein Drittel des sozialen Mindestlohns betragen darf.
Einkommen für schwerstbehinderte Menschen (revenu pour personnes gravement handicapées):
Die Leistung wird bis zur Höhe des Berufs- und Ersatzeinkommens des Beziehers ausgesetzt und wird bis zu 30% des Einkommens für schwerstbehinderte Menschen gewährt (d. h. €569,09). Folglich:
   * Wenn das Berufseinkommen der betroffenen Person weniger als €569,09 beträgt, ist es vollständig kumulierbar;
   * Übersteigt das Berufseinkommen der Person €569,09, wird die Leistung um den Betrag des Einkommens, der €569,09 übersteigt, gekürzt.</t>
  </si>
  <si>
    <t>Invalidenpension (pension d'invalidité):
Bei Kumulation mit einer Unfallrente (rente d'accident) Kürzung der Invaliditätsrente (pension d'invalidité), wenn beide Renten zusammen entweder den Durchschnitt der 5 höchsten Jahreseinkommen während der gesamten Versicherungszeit oder, falls dies günstiger ist, das Einkommen, das der Bemessung der Unfallrente zugrunde gelegen hat, überschreiten.
Einkommen für schwerstbehinderte Menschen (revenu pour personnes gravement handicapées):
Die Leistung wird bis zur Höhe des Berufs- und Ersatzeinkommens des Beziehers ausgesetzt und wird bis zu 30% des Einkommens für schwerstbehinderte Menschen gewährt (d. h. €569,09). Folglich:
   * Wenn das Ersatzeinkommen der betroffenen Person weniger als €569,09 beträgt, ist es vollständig kumulierbar;
   * Übersteigt das Ersatzeinkommen der Person €569,09, wird die Leistung um den Betrag des Einkommens, der €569,09 übersteigt, gekürzt.</t>
  </si>
  <si>
    <t>Besteuerung nach allgemeinem Regeln. Keine Sonderbestimmungen.</t>
  </si>
  <si>
    <t>Invalidenpension und Einkommen für schwerstbehinderte Menschen: Beiträge für die Sachleistungen bei Krankheit (2,8%) und die Pflegeversicherung (1,4%).
Auch für das Einkommen für schwerstbehinderte Menschen sind Rentenversicherungsbeiträge zu leisten, wenn der Bezieher Einzahlungen in die Rentenversicherung über einen Zeitraum von mindestens 25 Jahren belegen kann.</t>
  </si>
  <si>
    <t>Das Änderungsgesetz zum Gesetz Nr. I-549 der Republik Litauen über Renten der staatlichen Sozialversicherung (Lietuvos Respublikos valstybinių socialinio draudimo pensijų įstatymo Nr. I-549 pakeitimo įstatymas) vom 29. Juni 2016 (Nr. XII.2512).
Gesetz über die Grundlagen des Schutzes der Rechte von Menschen mit Behinderungen ( Asmens su negalia teisių apsaugos pagrindų įstatymas) vom 20. Dezember 2022 (Nr. XIV-1722).
Gesetz über bevorzugte Personenbeförderung (Transporto lengvatų įstatymas) vom 30. März 2000 (Nr. VIII-1605).
Gesetz über die Sozialversicherung bei Krankheit und Mutterschaft (Ligos ir motinystės socialinio draudimo įstatymas) vom 28. Juni 2016 (Nr. XII-2501).
Gesetz über Leistungen für Alleinstehende (Vienišo asmens išmokos įstatymas) vom 27. Mai 2021 (Nr. XIV-352).
Verzeichnis der Rechtsakte: https://e-seimas.lrs.lt/.</t>
  </si>
  <si>
    <t>Behindertenrente (Negalios pensija):
Obligatorisches Sozialversicherungssystem (Umlageverfahren), finanziert durch eine Mischung von Steuern und Beiträgen, für Arbeitnehmer und Selbstständigen mit Renten, die aus einem allgemeinen Teil und einem individuellen (entgeltbezogenen) Teil bestehen. Sie sind Teil des Rentensystems.
Eine besondere Sozialhilferente (Šalpos pensija) bei Behinderung existiert (siehe Tabelle XI, „Mindestsicherung“).</t>
  </si>
  <si>
    <t>Sowohl für Erwachsene als auch für Personen unter 18 Jahren, die über die staatliche Sozialversicherung versichert sind (waren), beruht die Anspruchsberechtigung auf Leistungen bei Behinderung auf dem Grad der Teilhabefähigkeit.
Mit Behinderung ist eine langfristige funktionale Einschränkung (angeboren oder erworben) gemeint (welche die Person an einer vollständigen und erfolgreichen Teilhabe an der Gesellschaft hindert).</t>
  </si>
  <si>
    <t>Behindertenrente (Negalios pensija):
Pflichtversicherung für Arbeitnehmer und Selbstständige.
Anspruchsberechtigung auf Leistungen bei Invalidität sind unabhängig von der Staatsangehörigkeit.</t>
  </si>
  <si>
    <t>Behindertenrente (Negalios pensija) beginnt mit dem Auslaufen des Anspruchs auf Krankengeld und endet mit dem Beginn des Anspruchs auf Altersrente.
In diesem Fall wird das Krankengeld nicht mehr als 90 Tage pro Jahr gezahlt.
Bei verminderter Teilhabefähigkeit gibt es keine Möglichkeit des vorgezogenen Ruhestands.</t>
  </si>
  <si>
    <t>Die Behinderung einer Person wird von der Agentur zum Schutz der Rechte von Menschen mit Behinderung des Ministeriums für Soziale Sicherheit und Arbeit beurteilt. Die von der Agentur getroffenen Entscheidungen sind verbindlich und können nach dem im Gesetz über Verwaltungsstreitigkeiten festgelegten Verfahren und/oder nach dem im Gesetz über Verwaltungsverfahren festgelegten Verfahren verbindlich sein.
Sobald der Grad der Teilhabefähigkeit bestimmt ist, wird der Antrag auf Behindertenrente (Negalios pensija) an die Staatliche Sozialversicherungsanstalt gerichtet.
Die Staatliche Sozialversicherungsanstalt kann darauf angewiesen sein, einen Arzt hinzuzuziehen, wenn es Zweifel bezüglich des Grads der Teilhabefähigkeit der betroffenen Person gibt, und verfügt über ein Widerspruchsrecht gegen die Entscheidungen der Agentur zum Schutz der Rechte von Menschen mit Behinderung des Ministeriums für Soziale Sicherheit und Arbeit.</t>
  </si>
  <si>
    <t>Versicherte Entgelte seit 1994 für den individuellen Anteil der Behindertenrente (Negalios pensija).</t>
  </si>
  <si>
    <t>Keine gesetzliche Mindestrente und/oder Höchstrente, aber 5 Rentenpunkte sind das Höchste, was in einem Jahr verdient werden kann.</t>
  </si>
  <si>
    <t>Ausgleich von Kosten der Pflege oder Betreuung für behinderte Personen mit einer Minderung der Teilhabefähigkeit um mindestens 60% und für Menschen im Ruhestandsalter, wenn Stufe 3 oder Stufe 4 der Anspruchsberechtigung auf Rückerstattung von Kosten für individuelle Unterstützung festgelegt wird. Die Leistung wird aus dem Staatshaushalt finanziert und zusätzlich zur Behindertenrente (Negalios pensija) oder Altersrente gewährt.</t>
  </si>
  <si>
    <t>Medizinische, berufliche und soziale Rehabilitation werden angeboten.
Berufliche Rehabilitationsleistung (Profesinės reabilitacijos išmoka) wird Menschen mit Behinderungen gewährt, die an Programmen zur beruflichen Rehabilitation teilnehmen und kein Arbeitseinkommen erzielen können. Diese Leistung wird ab dem ersten Tag der Teilnahme am Programm bis zur Beschäftigungsfähigkeit oder der Anerkennung der Behinderung für eine Dauer von maximal 180 Kalendertagen gezahlt. Die Leistung wird aus dem Staatshaushalt gezahlt und beträgt das Doppelte der Grundrente der gesetzlichen Sozialversicherung. Der Bedarf an Dienstleistungen der beruflichen Rehabilitation wird von der Agentur für den Schutz der Rechte von Menschen mit Behinderungen des Ministeriums für Soziale Sicherheit und Arbeit festgestellt.
Das Ministerium für Soziale Sicherheit und Arbeit ist verantwortlich für die Organisation der Bereitstellung von beruflichen Rehabilitationsdiensten, welche im Folgenden zusammen mit dem Arbeitsmarktservice durchgeführt werden. Es organisiert und koordiniert insbesondere die angebotenen beruflichen Rehabilitationsdienste, betreut deren Durchführung und kooperiert mit den Anbietern der beruflichen Rehabilitationsdienste.
Teilnahme an Berufsausbildung oder persönlicher Rehabilitations-aktivitäten ist nicht verpflichtend.</t>
  </si>
  <si>
    <t>Die Werte der Grundrenten- und Rentenpunkte sowie die Grundbeträge von Witwen-/Witwerrenten, die zur Festlegung der Sozialversicherungsrenten genutzt werden, werden jährlich angepasst basierend auf einer 7-jährigen durchschnittlichen Lohnfonds-Wachstumsrate (während 3 vergangener Jahre, dem aktuellen Jahr und der Vorhersage für die nächsten 3 Jahre).
Diese Rate wird so lange angewendet, wie die entstehenden Rentenkosten für das aktuelle Jahr die Sozialversicherungseinnahmen nicht übersteigen und die geschätzten Kosten für das kommende Jahr ebenfalls die geschätzten Einnahmen nicht übersteigen.
Wenn die Einnahmen der Sozialversicherungsrenten die der Rentenkosten übersteigen, wird die Indexierungsrate so berechnet, dass die entstehenden Kosten 75% des Überschusses ohne Indexierung nicht übersteigen.
Renten werden nicht angepasst, wenn die berechnete Steigerungsrate unter 1% oder das BIP bei konstanten Preisen liegen oder der Lohnfonds abgenommen hat oder eine Abnahme für das kommende Jahr geschätzt wurde.
Der Wert des Rentenpunktes, der zur Berechnung des persönlichen Anteils an der Sozialversicherungsrente dient, wird zusätzlich angepasst, wenn die Armutsgefährdungsquote der Menschen ab 65 Jahren, die von der staatlichen Datenagentur veröffentlicht wird, über 25% liegt und/oder die hochgerechnete Durchschnittsaltersrente weniger als 50% des Durchschnittsnettolohns beträgt. Der Ergänzungsindex wird derart berechnet, dass die zusätzlichen Mittel, die für die Anpassung des persönlichen Anteils der Sozialversicherungsrente genutzt werden, 75% des geplanten staatlichen Sozialversicherungshaushalts nicht übersteigen.
Es wird keine zusätzliche Anpassung des persönlichen Rentenanteils durchgeführt, wenn ein Defizit des staatlichen Sozialversicherungshaushalts vorhergesagt wird oder wenn die berechnete zusätzliche Anpassung weniger als 1,01 beträgt.
Der Koeffizient der Indexierung ist 1,1063 und der zusätzliche Koeffizient der Indexierung für den persönlichen Anteil der Sozialversicherungsrente ist 1,014.</t>
  </si>
  <si>
    <t>Kumulierung uneingeschränkt möglich.</t>
  </si>
  <si>
    <t>Kumulierung ist mit Witwen-/Witwerrente (Našlių pensija) oder Waisenrente (Našlaičių pensija), Leistung für Alleinstehende (Vienišo asmens išmoka), staatlicher Rente und Familienbeihilfe möglich. Die Leistungen werden bei Kumulierung nicht gekürzt.
Für Empfänger staatlicher Rente (Invaliditätsrente) kann nur der Teil des Arbeitslosengeldes kumuliert werden, der den Betrag der Rente übersteigt.</t>
  </si>
  <si>
    <t>Kein spezifischen Vorschriften.</t>
  </si>
  <si>
    <t>Wie für Arbeitnehmer.
Leistungen unterliegen nicht der Einkommenssteuer.</t>
  </si>
  <si>
    <t>1. Säule: Gesetz über die Invalidenversicherung (IVG), LGBl. 1960 Nr. 5.
2. Säule: Gesetz über die betriebliche Personalvorsorge, LGBl. 1988 Nr. 12.
Gesetz über die betriebliche Personalvorsorge des Staates, LGBL. 2013 Nr. 329.
Rechtsinformationssystem: www.gesetze.li</t>
  </si>
  <si>
    <t>1. Säule:
Beitrags- (und teilweise steuer-) finanziertes obligatorisches Sozialversicherungssystem (Existenzsicherung) für alle Personen mit Wohnsitz oder Erwerbstätigkeit (Arbeitnehmer und Selbstständige) mit Renten, die im Wesentlichen von der Versicherungsdauer und von Beiträgen (z.T. fiktiven Beiträgen) abhängen.
Reichen die anrechenbaren Einnahmen aus den Renten und allfälligen anderen Quellen nicht aus, um die anerkannten Ausgaben zu decken, besteht ein Anspruch auf Ergänzungsleistungen um die minimalen Lebenshaltungskosten decken zu können (s. Tabelle XI ‚Mindestsicherung‘).
2. Säule:
Beitragsfinanziertes obligatorisches Sozialversicherungssystem (Sicherung eines angemessenen Lebensstandards) für unselbstständig Erwerbstätige mit Renten, die im Wesentlichen von den Beiträgen abhängen.
Es handelt sich in beiden Fällen um getrennte Systeme.
Im Rahmen des Systems der 2. Säule werden auch Mindestleistungen für Invalidität vor Erreichen des ordentlichen Rentenalters versichert.</t>
  </si>
  <si>
    <t>Als Invalidität gilt die dauernde, gesundheitsbedingte Einschränkung der Erwerbsfähigkeit. Es gibt keine Berufsunfähigkeitsrente, sondern nur Erwerbsunfähigkeitsrente.</t>
  </si>
  <si>
    <t>1. Säule:
Alle Erwerbstätigen (Arbeitnehmer und Selbstständige) sowie alle nichterwerbstätigen Einwohner.
2. Säule:
Für unselbstständig Erwerbstätige und Arbeitslose beginnt die Versicherungspflicht für die Risikoleistungen bei Tod und Invalidität mit dem 1. Januar nach Vollendung des 17. Altersjahres, wenn sie in der 1. Säule beitragspflichtig sind und mehr als  CHF 14.700 (€15.707) Bruttojahreseinkommen aufweisen.
Selbständige können sich freiwillig versichern.
Im Invaliditätsfall des Versicherten hat dieser für seine Kinder jeweils einen Anspruch auf eine Rente von jährlich 6% des versicherten Lohnes.
Maßgebend für die Anspruchsberechtigung ist nicht der Wohnsitz- resp. die Staatszugehörigkeit, sondern die Sozialversicherungspflicht.</t>
  </si>
  <si>
    <t>1. Säule: Ein Beitragsjahr (für Rentenanspruch).
2. Säule: Keine Mindestversicherungsdauer (wenn Krankheit zur Invalidität führt; sonst besteht keine Versicherungsleistung).</t>
  </si>
  <si>
    <t>1. Säule:
1 Jahr nach Eintritt der rentenbegründenden Arbeitsunfähigkeit bis zum Ende der Invalidität oder bis zur Ablösung durch eine Altersrente. Während des ersten Jahres hat man, sofern man versichert ist, Anspruch auf Krankengeld.
2. Säule:
Mit Eintritt der rentenbegründenden Arbeitsunfähigkeit. Solange der Lohn oder ein Taggeld der Kranken- oder Unfallversicherung ausbezahlt wird, besteht keine Leistungspflicht.
Die Rente läuft bis zum Ende der Invalidität, längstens aber, bis der Versicherte das ordentliche Rentenalter erreicht hat. Anschließend besteht Anspruch auf Altersrente.
Keine gesetzliche Vorgabe. Aber: Eine vorzeitige Pensionierung ist grundsätzlich auf Basis der Regelungen des jeweiligen Reglements möglich (somit individuell).</t>
  </si>
  <si>
    <t>Der Grad der Invalidität ist ein wirtschaftlich berechneter Wert. Es wird das mögliche Einkommen als Gesunder dem noch möglichen Einkommen als gesundheitlich eingeschränkter Person gegenübergestellt. Das dazu relevante Kriterium der Arbeitsunfähigkeit in der angestammten und in einer leidensangepassten Tätigkeit wird in der Regel durch externe medizinische Gutachter insbesondere aus dem Ausland festgelegt.
Der von der 1. Säule festgelegte Invaliditätsgrad wird mit Rechtsmittelmöglichkeit den Durchführungsstellen der 2. Säule mitgeteilt.
2. Säule:
Bezüglich des Vorliegens einer Invalidität und des Invaliditätsgrades sind die Feststellungen der Liechtensteinischen Invalidenversicherung maßgeblich.
Das Begutachtungsverfahren und die angewendeten Kriterien sind landesweit die gleichen.</t>
  </si>
  <si>
    <t>1. und 2. Säule: Revisionsbegründend sind wesentliche Veränderungen des Gesundheitszustandes.
2. Säule: Die Überprüfung wird durch die Liechtensteinische Invalidenversicherung durchgeführt.</t>
  </si>
  <si>
    <t>1. Säule:
Stammrente von mindestens  CHF 1.190 (€1.272) und höchstens  CHF 2.380 (€2.543) pro Monat (13 x im Jahr) bei lückenloser Beitragsdauer.
2. Säule:
Invalidenrente von jährlich 30% des versicherten Lohns; Kinderrenten von jährlich 6% des versicherten Lohns. Diese Ansätze gelten bei Vollinvalidität. Keine Mindest- und Höchstbeträge.</t>
  </si>
  <si>
    <t>1. Säule: Die Jahre von 1954 bis 1996, während welcher nichterwerbstätige Ehegatten mit Wohnsitz in Liechtenstein von der Beitragspflicht befreit waren (bspw. "Hausfrauen"), gelten als Beitragsjahre. Seit 1996 haben alle Versicherten einen Beitrag zu zahlen; die Berechnungsgrundlage kann sich durch Gutschrift verbessern.
2. Säule: Keine anrechenbaren bzw. berücksichtigungsfähigen beitragsfreien Zeiten.</t>
  </si>
  <si>
    <t>Gesetz über die Invalidenversicherung (IVG), LGBl. 1960 Nr. 5 für Hilfsmittel (Rollstühle etc.).
Gesetz über Ergänzungsleistungen zur Alters-, Hinterlassenen- und Invalidenversicherung (LGBl. 1965 Nr. 46) für
   *  Hilflosenentschädigungen bei Hilfsbedürftigkeit (steuerfinanziert, wohnsitzgebunden) und
   *  Ergänzungsleistungen bei wirtschaftlicher Bedürftigkeit (steuerfinanziert,einkommens- und vermögensabhängig und wohnsitzgebunden).
Gesetz über die Gewährung von Blindenbeihilfen (LGBl. 1971 Nr. 7) für Blindenbeihilfen bei ganzer oder teilweiser Blindheit (steuerfinanziert, wohnsitzgebunden).</t>
  </si>
  <si>
    <t>Es gilt das Prinzip "Eingliederung vor Rente" (durch berufliche Maßnahmen verbunden mit Taggeld, Hilfsmittel wie Rollstühle oder Arbeitsplatzadaptierung etc.). Zuständig für die Durchführung solcher Maßnahmen ist die Liechtensteinische Invalidenversicherung.
Berechtigt sind alle Versicherten, sofern sie subjektiv und objektiv die Voraussetzung für eine Eingliederung erfüllen. Eine Teilnahme ist nicht in jedem Fall erforderlich, um eine Rente zu erhalten.</t>
  </si>
  <si>
    <t>Die Beschäftigung von Behinderten wird durch individuelle Lohnzuschüsse an Arbeitgeber gefördert.</t>
  </si>
  <si>
    <t>1. Säule: Die Regierung passt die Renten in der Regel alle zwei Jahre auf Beginn des Kalenderjahres der Lohn- und Preisentwicklung an, indem sie den Rentenindex neu festsetzt und dabei eine Prognose der künftigen Entwicklung des Rentenindexes für das Folgejahr vornimmt. Die Regierung kann die Renten früher anpassen, wenn der Landesindex der Konsumentenpreise innerhalb eines Jahres um mehr als 4 % angestiegen ist; sie kann sie später anpassen, wenn dieser Index innerhalb von zwei Jahren um weniger als 5 % angestiegen ist.
2. Säule: Wird im Reglement der jeweiligen Vorsorgeeinrichtung geregelt.</t>
  </si>
  <si>
    <t>1. Säule: Eine Kumulierung der Rente mit Arbeitseinkommen ist möglich, solange dieses Invalideneinkommen den Invaliditätsgrad nicht unter 40% herabsinken lässt.
2. Säule: Eine Kumulierung ist möglich. Ein erwerbstätiger, teilinvalider Arbeitnehmer gilt seinem Beschäftigungsgrad entsprechend als Teilbeschäftigter.</t>
  </si>
  <si>
    <t>1. Säule: Renten unterliegen der Besteuerung. Kosten- und Pflegebeiträge, Ergänzungsleistungen und Hilflosenentschädigungen unterliegen nicht der Besteuerung.
2. Säule: Renten und Kapitalleistungen unterliegen der Besteuerung.</t>
  </si>
  <si>
    <t>1. Säule: Bei Renten wird ein Freibetrag von 70% gewährt.
2. Säule: Besteuerung nach allgemeinen Regeln. Keine Sonderbestimmungen für Sozialleistungen.</t>
  </si>
  <si>
    <t xml:space="preserve">
   * Keine direkten Abzüge von den Renten der 1. oder 2. Säule.
   * Nichterwerbstätige Bezüger einer Invalidenrente entrichten den Mindestbeitrag an die Alters- und Hinterlassenenversicherung (1. Säule), die Invalidenversicherung (1. Säule) sowie an die Familienausgleichskasse von  CHF 362,25 (€387) inklusive Verwaltungskostenbeitrag pro Jahr.
</t>
  </si>
  <si>
    <t>Die selbständig Erwerbenden sind vom allgemeinen System abgedeckt.</t>
  </si>
  <si>
    <t>Die gleichen Bedingungen wie für unselbständig Erwerbende.</t>
  </si>
  <si>
    <t>Es gelten die gleichen Bedingungen wie für unselbständig Erwerbende (d.h. Leistungen unterliegen der Besteuerung).</t>
  </si>
  <si>
    <t>Es gelten dieselben Vorschriften für Sozialbeiträge wie für unselbständig Erwerbende.</t>
  </si>
  <si>
    <t>Gesetz über die staatliche Sozialversicherung (Likums „Par valsts sociālo apdrošināšanu“) vom 1. Oktober 1997.
Gesetz über staatliche Renten (Likums „Par valsts pensijām“) vom 2. November 1995.
Gesetz über staatliche Sozialleistungen (Valsts sociālo pabalstu likums) vom 1. Januar 2003.
Behindertengesetz (Invaliditātes likums) vom 20. Mai 2010.
Verordnung des Ministerkabinetts Nr. 805 bezüglich der Kriterien vorhersehbarer Behinderung, Behinderung und der Ausstellung des Behindertenausweises (MK noteikumi Nr.805 “Prognozējamas invaliditātes, invaliditātes un darbspēju zaudējuma noteikšanas un invaliditāti apliecinoša dokumenta izsniegšanas noteikumi”) vom 23. Dezember 2014.
Verzeichnis der Rechtsakte: https://likumi.lv/</t>
  </si>
  <si>
    <t>Obligatorisches Sozialversicherungssystem für alle Arbeitnehmer und Selbstständige, das beitragsbezogene Leistungen gewährt. Dies ist Teil des nationalen Rentensystems.
Es gibt kein besonderes Sozialhilfesystem für Invalidität. Es gilt das allgemeine Mindestsicherungssystem (siehe Tabelle XI). Zusätzlich kann, wer keinen Anspruch auf Leistungen bei Invalidität (invaliditātes pensija) hat, unter bestimmten Umständen die Staatliche Grundleistung der sozialen Sicherheit (Valsts sociālā nodrošinājuma pabalsts) erhalten (siehe Tabelle V, „Andere Leistungen“).</t>
  </si>
  <si>
    <t>Alle Arbeitnehmer und Selbstständigen jünger als das gesetzliche Rentenalter.
Der Anspruch ist abhängig vom Wohnsitz.
Freiwillige Versicherung möglich.</t>
  </si>
  <si>
    <t>3 Versicherungsjahre für Leistungen bei Invalidität.
Die Mindestversicherungszeit ist nicht altersabhängig.</t>
  </si>
  <si>
    <t>Der Anspruch auf Leistungen bei Invalidität (Invaliditātes pensija) für Personen zwischen 18 Jahren und dem Rentenalter beginnt mit der Feststellung des Grads der Arbeitsunfähigkeit und der Gruppe der Behinderung. Sie kann für einen festen Zeitraum oder dauerhaft sein. Ändert sich der Grad der Arbeitsunfähigkeit und die Gruppe der Behinderung, ändert sich dementsprechend die Höhe der Leistung bei Invalidität.
Bei Erreichen des gesetzlichen Rentenalters wird die Invaliditätsrente in eine Altersrente umgesetzt.
Aus einer verringerten Arbeitsfähigkeit ergibt sich kein Anspruch auf eine vorgezogene Altersrente.</t>
  </si>
  <si>
    <t>Überprüfung möglich,
   * wenn sich die Gruppe der Person mit Behinderung geändert hat,
   * wenn für die Invalidenrenten der Gruppen I und II die individuellen Sozialversicherungsbeiträge erhöht wurden.
Diese Überprüfung kann ein Mal im Jahr erfolgen.
Die Neubewertung wird von der Staatlichen Kommission der Fachärzte für Gesundheit und Arbeitsfähigkeit (Veselības un darbspēju ekspertīzes ārstu valsts komisija) durchgeführt.
Die Leistungen werden von der Staatlichen Sozialversicherungsanstalt (Valsts sociālās apdrošināšanas aģentūra) neu berechnet.</t>
  </si>
  <si>
    <t>Der Betrag der Leistungen bei Invalidität ist abhängig von den geleisteten Sozialversicherungs-beiträgen.
Gruppe I:
P = 0,45 x Vi + (ASi / ASie) x Vi x 0,1
Gruppe II:
P = 0,40 x Vi + (ASi / ASie) x Vi x 0,1
   * P: Rente (monatlicher Betrag);
   * Vi: Referenzeinkommen (siehe Tabelle V „Leistungen, 3. Referenzeinkommen oder Berechnungsgrundlage“);
   * ASi: individueller Versicherungszeitraum in Jahren;
   * ASie: maximal möglicher Versicherungszeitraum ab dem Alter von 15 Jahren bis zur Regelaltersgrenze.
Gruppe III:
festgesetzte Beträge entsprechend der Höhe der Berechnungsgrundlage für Invalidenrente (invaliditātes pensijas aprēķina bāze): €189 monatlich (für Personen mit Behinderungen seit Kindesalter in Höhe von €226 monatlich).
Leistungen bei Invalidität werden jeden Monat gezahlt. Es werden keine zusätzlichen Zahlungen geleistet (aber der Staat zahlt in einigen Fällen einen monatlichen Zuschlag).
Der Anspruch auf Leistungen unterliegt nicht der Bedürftigkeitsprüfung, und der Leistungsbetrag variiert nicht in Abhängigkeit des aktuellen Einkommens aus Erwerbstätigkeit oder anderer Sozialleistungen.</t>
  </si>
  <si>
    <t>Das durchschnittliche Bruttoeinkommen der Person, auf das Beiträge gezahlt wurden im 36-monatigen Zeitraum mit den höchsten Einnahmen in den 5 Jahren vor dem Rentenanspruch.
Falls die Person in den letzten 5 Jahren vor dem Leistungsanspruch weniger als 36 aufeinanderfolgende Monate beschäftigt war, wird das Durchschnittseinkommen in Höhe von 40% des nationalen Bruttolohns, auf den Beiträge gezahlt wurden, berechnet.</t>
  </si>
  <si>
    <t>Die Mindestrente basiert auf der Berechnungsgrundlage für Invalidenrente (invaliditātes pensijas aprēķina bāze) in Höhe von €189 monatlich oder für Personen mit Behinderungen seit Kindesalter in Höhe von €226 monatlich.
   * Gruppe I: 1,6 x Berechnungsgrundlage für Invalidenrente,
   * Gruppe II: 1,4 x Berechnungsgrundlage für Invalidenrente,
   * Gruppe III: 1 x Berechnungsgrundlage für Invalidenrente.
Keine gesetzliche Höchstrente.</t>
  </si>
  <si>
    <t>Der Staat finanziert Maßnahmen zur sozialen und beruflichen Rehabilitation, Anmietung und Verteilung von technischen Hilfen sowie die staatliche Unterstützung zur Anpassung von Spezialfahrzeugen.
Schulungen sind für Personen mit Behinderungen verfügbar, die arbeitslos gemeldet sind (Dienste von Gebärdesprachdolmetschern werden falls notwendig bereitgestellt), sowie Mentordienste.
Die Teilnahme an der beruflichen Ausbildung oder der persönlichen Rehabilitation ist nicht zwingend erforderlich, um Invalidenrente zu erhalten.</t>
  </si>
  <si>
    <t>Eine vorübergehende Beschäftigungsbeihilfe wird an Arbeitgeber gezahlt, die einen Arbeitnehmer mit Behinderung einstellen. Arbeitsplatzanpassungen werden für Personen mit Behinderungen finanziert, die arbeitslos gemeldet sind (zusätzlich zur Beschäftigungsbeihilfe oder gesondert).
Präferenzbehandlung bei Entlassung und Reduzierung der Beschäftigtenanzahl.</t>
  </si>
  <si>
    <t>Ein Teil der Rente – der nicht das nationale Durchschnittsbruttoentgelt des Vorjahres überschreitet, auf das Beiträge gezahlt wurden - wird gemäß dem Preisindex und 50% des Lohnindexes (am 1. Oktober) angepasst.
Bei politisch unterdrückten Personen, Personen mit Behinderungen der Gruppe I, Beteiligten bei der Beseitigung der Folgen des Unfalls im Kernkraftwerk Tschernobyl, Personen, denen eine Altersrente zu gekürzten Konditionen gewährt wurde wegen der Pflege und Erziehung eines Kindes mit Behinderungen oder fünf oder mehr Kindern, wurde die Anpassung auf alle Renten angewandt, unabhängig von deren Betrag.</t>
  </si>
  <si>
    <t>Kumulation möglich.</t>
  </si>
  <si>
    <t>Leistungen, die vor dem 01.01.1996 gewährt wurden, unterliegen nicht der Besteuerung.
Leistungen, die nach dem 01.01.1996 gewährt oder neu berechnet wurden, unterliegen der Besteuerung.</t>
  </si>
  <si>
    <t>Personen, die eine selbstständige Tätigkeit mit einer unselbstständigen Tätigkeit kombinieren, zahlen gesonderte Beiträge jeweils als Arbeitnehmer und als Selbstständiger.</t>
  </si>
  <si>
    <t>Obligatorisches Sozialversicherungssystem für die aktive Bevölkerung mit Leistungen in Abhängigkeit vom früheren Einkommen, dem Invaliditätsgrad und der Beschäftigungsdauer, ergänzt durch ein obligatorisches kapitalgedecktes System der 2. Säule.
Invaliditätsleistungen sind Teil des nationalen Rentensystems.
Zusätzlich bietet das Sozialfürsorgesystem Menschen mit Behinderungen Zugang zu Geld- und/oder Sachleistungen, je nach Grad der Behinderung und anderen Umständen (siehe Tabelle XI zu “Mindestsicherung” und Tabelle XII zu “Langzeitpflege”).</t>
  </si>
  <si>
    <t>Invalidität wird entweder auf der Basis des Grades der Arbeitsunfähigkeit oder des Grades der Funktionsbeeinträchtigung definiert.
Verminderte Leistungsfähigkeit:
Aufgrund einer bleibenden Veränderung des Gesundheitszustandes, die nicht durch medizinische Behandlung gebessert werden kann, ist die Leistungsfähigkeit einer versicherten Person um mehr als die Hälfte im Vergleich zu einem gesunden Menschen mit demselben oder einem vergleichbaren Bildungsstand vermindert.
Verbleibende Leistungsfähigkeit:
Sie bezieht sich auf die Möglichkeit, den Gesundheitszustand von Versicherten mit verminderter Leistungsfähigkeit durch berufliche Rehabilitation in solch einem Maße zu verbessern, dass sie in der Lage sind, andere Aktivitäten in Vollzeit auszuüben.
Teilweise Leistungsfähigkeit:
Berufliche Rehabilitation kann den Gesundheitszustand eines Versicherten mit verminderter Leistungsfähigkeit nicht in dem Maße verbessern, dass er/sie Vollzeit arbeiten kann, er/sie jedoch in der Lage ist, mindestens 70% der Arbeitsstunden in einem angepassten Arbeitsumfeld zu absolvieren, das den selben oder einen vergleichbaren Bildungsstand voraussetzt und den vorhergehenden Arbeitsstellen entspricht.
Vollständige Arbeitsunfähigkeit:
Bei dauerhaftem Verlust der Leistungsfähigkeit, ohne jegliche verbleibende Leistungsfähigkeit.</t>
  </si>
  <si>
    <t>Die Bewertung wird auf der Grundlage der Verordnung über Methodik von Untersuchungen, durchgeführt, die auch zwei Methoden der Messung beinhaltet: eine Liste mit Organschäden und eine Liste mit Formen von Behinderungen und Einschränkungen funktionaler Fähigkeiten.
Auf diese Weise wird eine umfassende Bewertung der betroffenen Person erstellt, unter Nutzung eines einzigartigen Kriterienkatalogs, der angewendet wird, um den Grad der Behinderung festzustellen.
Mindestlevel der Erwerbsminderung: 50%.</t>
  </si>
  <si>
    <t>Eine versicherte Person hat Anspruch auf Behindertenrente ab dem Datum des teilweisen oder vollständigen Verlusts der Arbeitsfähigkeit.
Die versicherte Person und der Empfänger der Behindertenrente müssen sich innerhalb von 3 Jahren nach dem angegebenen Verlust der Arbeitsfähigkeit einer Nachuntersuchung unterziehen.. Die Zahlung der Leistung kann im Fall eines unentschudligten Nichterscheinens ausgesetzt werden. Die Zahlung wird am ersten Tag des Monats nach dem Monat, in dem die Nachuntersuchung durchgeführt wurde, wieder aufgenommen, innerhalb von höchstens 12 Monaten.
Es besteht keine Möglichkeit der vorgezogenen Altersrente. Der Leistungsempfänger ist mit Erreichen der Regelaltersgrenze automatisch anspruchsberechtigt für eine Altersrente.
Ein Arbeitnehmer mit Behinderung, der nach Beendigung einer beruflichen Rehabilitation arbeitslos bleibt, kann eine vorübergehende Behindertenrente beziehen, wenn die Arbeitslosigkeit nach der Rehabilitation mehr als 5 Jahre und bis zum Alter von 58 Jahren andauerte und vorausgesetzt, dass ein Stellenangebot ohne Verzug angenommen wird.
Ein Arbeitnehmer mit Behinderung, der nach Beendigung einer beruflichen Rehabilitation zunächst weiterarbeiten konnte, anschließend aber arbeitslos wurde, verfügt ebenfalls über das oben genannte Recht.</t>
  </si>
  <si>
    <t>Das Verfahren zur Anspruchsberechtigung auf Behindertenrente wird von einem ausgewählten Arzt der medizinischen Grundversorgung veranlasst. Der Arzt reicht die vollständige medizinische Dokumentation sowie seine Beurteilung bei der kroatischen Rentenversicherungsanstalt ein, die auf der Basis der Ergebnisse und Meinungen des Instituts für Fachwissen, berufliche Rehabilitation und Beschäftigung von Menschen mit Behinderung die Arbeitsfähigkeit bestimmt. Eine versicherte Person hat Anspruch auf eine Behindertenrente ab dem Datum des teilweisen oder vollständigen Verlusts der Arbeitsfähigkeit.
Es besteht ein Widerspruchsrecht. Widerspruch an die zentrale Organisationseinheit der kroatischen Rentenversicherungsanstalt kann gegen die Entscheidung über Rechte und Pflichten eingelegt werden, die die Versicherungsanstalt in der ersten Instanz getroffen hat. Der Widerspruch verzögert nicht die Vollstreckung der Entscheidung, ausgenommen in außerordentlichen, gesetzlich vorgeschriebenen Fällen.
Das Bewertungsverfahren und die angewendeten Kriterien sind landesweit die gleichen.</t>
  </si>
  <si>
    <t>Empfänger von Behindertenrente müssen sich innerhalb von 3 Jahren ab dem Datum ihres angegebenen verminderten, teilweisen oder vollständigen Verlusts ihrer Arbeitsfähigkeit einer Neubewertung unterziehen. Entzieht sich die Person ohne triftigen Grund einer Überprüfung, wird die Zahlung der Leistung ausgesetzt. Sie wird am ersten Tag des Monats nach dem Monat, in dem die Neubewertung durchgeführt wurde, wieder aufgenommen, innerhalb von höchstens 12 Monaten.
Verbessert sich der Gesundheitszustand der versicherten Person, findet eine Neubewertung statt und der Anspruch auf Behindertenrente kann erlöschen.
Die kroatische Rentenversicherungsanstalt ist die Einrichtung, die über die Gewährung von Leistungen und der Notwendigkeit einer Neubewertung entscheidet.</t>
  </si>
  <si>
    <t>1. Säule:
Das Jahresbruttoentgelt des betreffenden Versicherten wird mit dem durchschnittlichen nationalen Jahresbruttoentgelt aller Beschäftigten in Beziehung gesetzt.
Das Ergebnis ist ein Wertpunkt für jedes Jahr der Erwerbsbiografie. Alle Wertpunkte werden sodann addiert und durch die Anzahl der Jahre dividiert, für die sie angerechnet wurden. Das Ergebnis ist der durchschnittliche Wertpunkt, der in der Rentenformel angesetzt wird.
2. Säule:
Nicht anwendbar. Kein Bezug zum früheren Bruttoeinkommen.</t>
  </si>
  <si>
    <t>1. Säule:
Abhängig vom nationalen Durchschnittslohn, dem Rentenanpassungssatz, den Versicherungszeiten und der Rentenart: 0,825 des nationalen Durchschnittslohns der Beschäftigten im Jahr 1998 x Anpassung x zurückgelegte Versicherungszeiten x Rentenfaktor.
Alle Rentenberechtigten, deren berechnete Rente unter der Mindestrente liegt, sind anspruchsberechtigt. Auf alle Renten anwendbar (Alters-, Invaliditäts-, Hinterbliebenenrente).
Der durchschnittliche Wertpunkt darf 3,8 nicht übersteigen, d. H. Das persönliche Durchschnittsentgelt der gesamten angerechneten Erwerbsdauer darf das 3,8-fache der Durchschnittsentgelte aller Beschäftigten nicht übersteigen. Der endgültige Betrag der Höchstrente richtet sich dann nach den Versicherungszeiten und der Rentenart (Alters-, Invaliditäts-, Hinterbliebenenrente). Siehe Tabelle V zu Invalidität – „Leistungen 1. Berechnungsmethode,Rentenformel, Beträge und Zahlungshäufigkeit”.
2. Säule:
Keine gesetzliche Mindestrente.</t>
  </si>
  <si>
    <t xml:space="preserve">
   * Zeiten, die Militärangehörige oder Soldaten im Krieg zurückgelegt haben,
   * Zeiten im Krieg und Zeiten der politischen Gefangenschaft nach dem Krieg,
   * Erziehung eines Kindes unter zwölf Monaten durch einen arbeitslosen Elternteil.
</t>
  </si>
  <si>
    <t>Volle und Teilinvaliditätsrente: Kumulierung nicht möglich.
Für die Invaliditätsrente werden die Renten der Leistungsempfänger aufgrund des teilweisen Verlusts der Arbeitsfähigkeit nicht ausgesetzt, werden aber zur nächsten Rate neu bestimmt.
Somit beträgt die Invaliditätsrente, die die versicherte Person aufgrund des teilweisen Verlusts der Arbeitsfähigkeit während der Anstellung oder Selbstständigkeit gezahlt bekommt (wenn der Grund Krankheit oder Schädigung ist) 63% des Betrags der vorherigen Rente. Die Behindertenrente, die der versicherten Person aufgrund des teilweisen Verlusts der Arbeitsfähigkeit während der Anstellung oder Selbstständigkeit gezahlt wird, wenn der Grund ein Arbeitsunfall oder eine Berufskrankheit ist, beträgt 83% der vorherigen Rente.</t>
  </si>
  <si>
    <t>Individueller Steuerfreibetrag für Rentner: €600 pro Monat.
Dieser Betrag kann erhöht werden je nach der Anzahl von Unterhaltsberechtigten in der Familie dieser Person, dem Grad der Behinderung der Person oder deren Unterhaltsberechtigten.
Die Einkommensteuer wird um 50% des Steueranteils gekürzt, der speziell auf die Rente entfällt.</t>
  </si>
  <si>
    <t>Allgemeines System, das auch Arbeitnehmer abdeckt.</t>
  </si>
  <si>
    <t>Keine Bedingungen.</t>
  </si>
  <si>
    <t>Wie für Arbeitnehmer (Beitragsgesetz gilt für beide Kategorien).</t>
  </si>
  <si>
    <t>Gesetz Nr. 222 vom 12. Juni 1984 über Invalidität und Erwerbsunfähigkeit (Legge 12 Giugno 1984 n. 222 - Revisione della disciplina della invalidità pensionabile).
Gesetz Nr. 335 vom 8. August 1995 zur Rentenreform (Legge 8 Agosto 1995 n. 335 - Riforma del sistema pensionistico obbligatorio e complementare).
Gesetz Nr. 243 vom 23. August 2004 über die Förderung von Zusatzrenten (Legge 23 Agosto 2004 n. 243 - Norme in materia pensionistica e deleghe al Governo nel settore della previdenza pubblica, per il sostegno alla previdenza complementare e all'occupazione stabile e per il riordino degli enti di previdenza ed assistenza obbligatoria).
Gesetz Nr. 247 vom 24. Dezember 2007 über die Finanzen und Rentenreform (Legge 24 Dicembre 2007 n. 247 -Norme di attuazione del Protocollo del 23 Luglio 2007 su previdenza, lavoro e competitività per favorire l’equità e la crescita sostenibili, nonché ulteriori norme in materia di lavoro e previdenza sociale).
Gesetz Nr. 122 vom 30. Juli 2010 über dringende Maßnahmen im Bereich der finanziellen Stabilisierung und wirtschaftlichen Wettbewerbsfähigkeit (Legge 30 Luglio 2010 n. 122 - misure urgenti in materia di stabilizzazione finanziaria e competitività economica).
Gesetzgebende Verordnung Nr. 201 vom 6. Dezember 2011, umgewandelt in Gesetz Nr. 214 vom 22. Dezember 2011 über dringende Maßnahmen zur Steigerung des Wachstums und der Gerechtigkeit zur Konsolidierung der Staatsschulden (Legge 22 dicembre 2011 n. 214 – Disposizioni urgenti per la crescita, l’equità e il consolidamento dei conti pubblici).
Gesetz Nr. 147 vom 27. Dezember 2013 über Bestimmungen für die Aufstellung des jährlichen und mehrjährigen Staatshaushalts - Stabilitätsgesetz 2014 (Disposizioni per la formazione del bilancio annuale e pluriennale dello Stato - Legge di stabilità 2014).
Gesetzesdekret Nr. 65 vom 21. Mai 2015 mit Sofortmaßnahmen in Bezug auf die Sicherheit – Sicherheitsnetze and Abfindungsgarantien – zur Anwendung des Urteils des Verfassungsgerichts Nr. 70 vom 10. März – 30. April 2015 (Decreto Legge 21 maggio 2015, n. 65 recante “Disposizioni urgenti in materia di pensioni, di ammortizzatori sociali e di garanzie TFR” – applicazione della sentenza della Corte Costituzionale n. 70 del 10 marzo – 30 aprile 2015).
Gesetz Nr. 19 vom 27. Februar 2017 (veröffentlicht im Amtsblatt der Italienischen Republik Nr. 49 vom 28. Februar 2017) – Umwandlung in Gesetz von Gesetzesdekret 244 vom 30. Dezember 2016 (Legge 27 febbraio 2017, n. 19 - pubblicata su GU Serie Generale n.49 del 28-02-2017 - Suppl. Ordinario n. 14 - conversione in legge, con modificazioni, del decreto-legge 30 dicembre 2016, n. 244, recante proroga e definizione di termini).
Verzeichnis der Rechtsakte: https://www.gazzettaufficiale.it</t>
  </si>
  <si>
    <t>Beitragsfinanziertes gesetzliches Sozialversicherungssystem für Arbeitnehmer mit entgeltbezogenen Renten, die von Beiträgen und der Versicherungsdauer abhängen.
Leistungen bei Invalidität sind Teil des nationalen obligatorischen Rentensystems.
Kein spezifisches System. Es gilt das allgemeine Mindestsicherungssystem (siehe Tabelle XI, „Mindestsicherung").
Für die beitragsfreie Leistung bei Ivalidität (sog. Invalidità civile) siehe Tabelle XII, Langzeitpflege.
Sondersysteme für Selbstständige (siehe MISSOC-Informationen zum Sozialschutz für Selbstständige).</t>
  </si>
  <si>
    <t>Für die Entscheidung über Anspruchsberechtigung auf beitragsabhängige Leistungen, Erwerbsunfähigkeitsrente (pensione di inabilità) und Invaliditätsbeihilfe (assegno ordinario d'invalidità, AOI) beruht die Beurteilung der Invalidität auf dem Grad der Minderung der Erwerbsfähigkeit (teilweise oder vollständig) aufgrund von Krankheit oder Behinderung (körperlich oder geistig).</t>
  </si>
  <si>
    <t>Alle Arbeitnehmer in der Privatwirtschaft.
Pflichtdeckung unter den betreffenden Sondersystemen für Selbstständige (MISSOC-Informationen zum Sozialschutz für Selbstständige).
Anspruchsberechtigung auf Leistungen bei Invalidität beruht auf den Anspruchsvoraussetzungen, die für jedes betreffende Versicherungssystem festgelegt sind und nicht auf Wohnsitz und/oder Staatsangehörigkeit beruhen.</t>
  </si>
  <si>
    <t>Personen mit weniger als €5.000 Bruttojahreseinkommen sind von Sozialversicherungsabgaben ausgenommen.</t>
  </si>
  <si>
    <t>Anspruchsberechtigung auf Leistungen bei Invalididtät beginnt ab dem Monat, der auf die Antragstellung der betroffenen versicherten Person oder der Feststellung der Invalidität oder Erwerbsunfähigkeit folgt.
Sowohl für die Invaliditätsbeihilfe (assegno ordinario d'invalidità, AOI) als auch die Erwerbsunfähigkeitsrente (pensione di inabilità) beginnen, wenn das Krankengeld ausläuft. Die Invaliditätsbeihilfe (assegno ordinario d'invalidità, AOI) wird für drei Jahre gewährt und kann höchstens dreimal erneuert werden. Danach wird sie dauerhaft gewährt, bis sie entweder durch die Erwerbsunfähigkeitsrente (pensione di inabilità) ersetzt wird oder, wenn aufgrund völliger oder dauerhafter Beeinträchtigung keine Erwerbsfähigkeit mehr vorhanden ist, durch die Altersrente, wenn die gesetzliche Rentenaltersgrenze erreicht wird.
Vorgezogener Ruhestand im Fall verminderter Erwerbsfähigkeit ist nur möglich für Personen, die Vorruhestandsbeihilfe (A.PE Sociale - Anticipo Pensionistico) beantragen (siehe Tabelle VI Alter, „1. Gesetzliches Rentenalter, Vorruhestand“).</t>
  </si>
  <si>
    <t>Dem Antrag muss der ärztliche Bericht (sog. „SS3”) beigefügt sein, den der Hausarzt des Arbeitnehmers ausstellt.
Die entscheidende ärztliche Untersuchung zur Feststellung der Anspruchsberechtigung wird von Ad-hoc-Kommissionen innerhalb der rechtlich-medizinischen Abteilung des Nationalen Instituts für Soziale Sicherheit (Istituto Nazionale della previdenza sociale, INPS) durchgeführt.
Mitglieder dieser Kommissionen sind Teil der rechtlich-medizinischen Abteilung des INPS.
Die angewendeten Bewertungsverfahren und Kriterien gelten landesweit.
Im Fall der Ablehnung eines Antrags hat der Antragsteller innerhalb von 90 Tagen ab der Ablehnung das Recht, Widerspruch einzulegen.</t>
  </si>
  <si>
    <t>Die Anspruchsberechtigung auf Invaliditätsbeihilfe (assegno ordinario d'invalidità, AOI) wird insgesamt dreimal überprüft und zwar alle drei Jahre, während die Erwerbsunfähigkeitsrente (pensione di inabilità) keiner Überprüfung unterliegt.
Die Überprüfung liegt in der Verantwortung der rechtlich-medizinischen Abteilung des INPS.</t>
  </si>
  <si>
    <t>Invaliditätsbeihilfe (assegno ordinario d‘invalidità, AOI):
Für Personen, die vor dem 31. Dezember 1995 versichert waren: der zahlbare Mindestleistungsbetrag entspricht der Mindestrente (pensione minima), d.h. €7.781,93, wenn sich in 2024 das steuerpflichtige Jahreseinkommen auf weniger als €15.563,86 für Einzelhaushalte bzw €23.345,79 für Haushalte (Ehepaare) beläuft.
Es gibt keine Obergrenze.
Für Personen, die seit 1. Januar 1996 versichert sind: keine gesetzliche Mindestrente und keine gesetzliche Höchstrente.</t>
  </si>
  <si>
    <t>Zeiten der Abwesenheit vom Arbeitsplatz in Bezug auf Mutterschaft oder Arbeitslosigkeit werden berücksichtigt hinsichtlich der Anspruchsberechtigung sowohl auf Invaliditätsbeihilfe (assegno ordinario d'invalidità, AOI) als auch Erwerbsunfähigkeitsrente (pensione di inabilità).</t>
  </si>
  <si>
    <t>Rentner mit Behinderungen sowie versicherte Arbeiter, die zur Fortbewegung auf die Hilfe einer dritten Person angewiesen sind und/oder die für die alltäglichen Verrichtungen ständiger Hilfe bedürfen, haben Anspruch auf eine monatliche Unterstützungsbeihilfe (assegno di accompagnamento) in Höhe von €542,02 für 2025 (siehe Tabelle XII, „Langzeitpflege“).</t>
  </si>
  <si>
    <t>Empfänger von Leistungen bei Invalidität haben Zugang zu Berufsausbildung und Rehabilitation, die darauf abzielt, ihre Fähigkeit, eine weniger anstrengende Beschäftigung an ihrer bisherigen Arbeitsstätte auszuüben oder eine neue Beschäftigung zu finden, der ihrer verbleibenden Erwerbsfähigkeit entspricht.
Diese Aktivitäten fallen unter die Verantwortlichkeit der lokalen Arbeitsämter (Centro per l’impiego provinciale).
Teilnahme an diesen Aktivitäten ist nicht verpflichtend für den Bezug von Leistungen bei Invalidität.</t>
  </si>
  <si>
    <t xml:space="preserve">
   * Monatliche Renten bis €2.394,44 (entspricht dem 4-fachen von €603,40 entsprechend der monatlichen Mindestrente, die 2025 gezahlt wurde): vollständig angepasst um 0,80% (offizielle Indexierungsrate, veröffentlicht vom Ministerium für Wirtschaft und Finanzen für das Jahr 2025);
   * monatliche Renten von €2.394,45 bis €2.993,05 (dem 5-fachen der Mindestrente): angepasst um 0,720%;
   * monatliche Renten von €2.993,06 und darüber: angepasst um 0,600%.</t>
  </si>
  <si>
    <t>Invaliditätsbeihilfe (assegno ordinario d‘invalidità, AOI): Teilweise Kumulierung ist möglich. Die Invaliditätsbeihilfe wird um 25 oder 50% gekürzt wie in der Tabelle unten angezeigt:
Einkommen 2024                                                                                       Kürzung der Beihilfe
bis zum 4-fachen des Mindeseinkommens:        31.127,72 €            keine
ab dem 4-fachen bis 5-fachen                            bis 38.909,65 €             25%
mehr als 5-fache                                                     &gt;      38.909,65 €             50%</t>
  </si>
  <si>
    <t>Sowohl Invaliditätsbeihilfe (assegno ordinario d'invalidità, AOI) und Erwerbsunfähigkeitsrente (pensione di inabilità) können nicht kumuliert werden mit Renten aufgrund von Arbeitsunfällen (falls diese wegen derselben Einschränkung der Erwerbsfähigkeit gewährt werden). Ist allerdings die Leistung bei Invalidität, die vom Nationalen Institut für Soziale Sicherheit (Istituto Nazionale della previdenza sociale, INPS) gezahlt wird, höher als die Arbeitsunfallrente (rendita da infortunio sul lavoro - vitalizia), die vom Nationalen Institut der Arbeitsunfallversicherung (Istituto Nazionale contro gli infortuni sul lavoro, INAIL) gezahlt wird, ist eine Kumulierung für den Unterschiedsbetrag zulässig.</t>
  </si>
  <si>
    <t>Invalidität ist durch das Sondersystem für Selbstständige der Allgemeinen Pflichtversicherung (AGO) für traditionelle Selbstständige abgedeckt und durch das gesonderte Rentensystem (Gestione separata) für andere Kategorien von Selbstständigen.</t>
  </si>
  <si>
    <t>Insbesondere können Selbstständige im gesonderten Rentensystem (Gestione separata), Beiträge in das System einzahlen, vorausgesetzt, dass ihr jährliches Arbeitseinkommen €5.000 übersteigt.</t>
  </si>
  <si>
    <t>Traditionell Selbstständige und Selbstständige, die im gesonderten Rentensystem (Gestione separata) gemeldet sind, zahlen nur dann Beiträge in das Arbeitnehmersystem ein, wenn die Person sowohl als Arbeitnehmer als auch als Selbstständiger arbeitet.</t>
  </si>
  <si>
    <t>Gleiche Bedingungen wie für Arbeitnehmer. Grade der Erwerbsunfähigkeit, die die Art der gewährten Leistung beeinflussen, korrespondieren mit denen, die im allgemeinen System gelten, darunter auch der Grad der Erwerbsunfähigkeit (74%) in Hinblick auf der Vorruhestandsbeihilfe (APE sociale - Anticipo Pensionistico) falls das Einkommen nicht €5.000 überschreitet.</t>
  </si>
  <si>
    <t>Gleiche Bedingungen wie für Arbeitnehmer. Da die Invaliditätsbeihilfe (assegno ordinario d'invalidità, AOI) alle drei Jahre drei Überprüfungen unterzogen wird wie im allgemeinen System, ist die Dauer abhängig von der Bestätigung.</t>
  </si>
  <si>
    <t>Sozialversicherungsgesetz (Lög um almannatryggingar) Nr. 100/2007 vom Mai 2007.
Sozialhilfegesetz (Lög um félagslega aðstoð) Nr. 99/2007 vom Mai 2007.
Gesetz über die obligatorische Versicherung für Renten und die Tätigkeit von Rentenfonds (Lög um skyldutryggingu lífeyrisréttinda og starfsemi lífeyrissjóða) Nr. 129/1997 vom Dezember 1997.
Gesetz über die berufliche Rehabilitation und Tätigkeiten von Fonds zur beruflichen Rehabilitation (Lög um atvinnutengda starfsendurhæfingu og starfsemi starfsendurhæfingarsjóða) Nr. 60/2012 vom Juni 2012.
Verzeichnis der Rechtsakte – siehe hier.</t>
  </si>
  <si>
    <t>Volksrente (lífeyrir almannatrygginga):
Alle Einwohner im Alter von 18 bis unter 66 Jahren.
Arbeitsrente (lögbundnir lífeyrissjóðir):
Alle versicherten Arbeitnehmer und Selbstständige im Alter von 16 bis 70 Jahren.</t>
  </si>
  <si>
    <t>Volksrente (lífeyrir almannatrygginga):
Nicht anwendbar: universelles System.
Arbeitsrente (lögbundnir lífeyrissjóðir):
Keine Ausnahmen.</t>
  </si>
  <si>
    <t>Volksrente (lífeyrir almannatrygginga):
Der Anspruch auf Leistungen bei Invalidität wird festgestellt, wenn die Invalidität aufgrund einer medizinisch anerkannten Krankheit oder Invalidität bei 50 % oder mehr liegt.
Arbeitsrente (lögbundnir lífeyrissjóðir):
Der Anspruch auf Leistungen bei Invalidität wird festgestellt, wenn die Erwerbsunfähigkeit auf 50 % oder mehr geschätzt wird und das Einkommen aufgrund von Invalidität geringer ausfällt.</t>
  </si>
  <si>
    <t>Volksrente (lífeyrir almannatrygginga):
Höchstalter: 66 Jahre.
Ab dem ersten Tag des Monats, der der Entscheidung folgt.
Zur Frührente siehe Tabelle VI zu Alter – Vorzeitige Altersrente.
Arbeitsrente (lögbundnir lífeyrissjóðir):
Höchstalter: 70 Jahre. Die Leistung beginnt frühestens 3 Monate nach dem Auftreten der Behinderung oder ab dem ersten Tag des Monats nach der Entscheidung und wird, solange die Bedingungen erfüllt sind.
Zur Frührente siehe Tabelle VI zu Alter – „Vorzeitige Altersrente“.</t>
  </si>
  <si>
    <t>Staatliche Rente (lífeyrir almannatrygginga):
Ein Antrag auf Invaliditätsleistungen ist an die zuständige Behörde, die Sozialversicherungsanstalt (Tryggingastofnun) zu sichten, die alleinig für die Beurteilung sämtlicher Anträge zuständig ist. Der Arzt des Antragstellers füllt ein Formular zur Beurteilung der Invalidität aus und sendet es an die Behörde. Außerdem muss der Antragsteller einen Fragebogen mit Fragen zu seinem Zustand und seinen Fähigkeiten in verschiedenen Bereichen beantworten. Der Antragsteller kann zu einem Gespräch hinzugezogen werden. Die Sozialversicherungsanstalt (Tryggingastofnun) prüft den Antrag und die Unterlagen und untersucht Rehabilitationsmöglichkeiten. Im Falle einer Streitigkeit über die Grundlage, die Bedingungen oder die Höhe der Leistungen kann eine Beschwerde an den Berufungsausschuss für Sozialhilfe gerichtet werden. Die Verfahren sind landesweit identisch.
Betriebsrente (lögbundnir lífeyrissjóðir):
Ein Antrag auf Leistungen bei Invalidität ist an die zuständige Rentenkasse zu richten, an die der Antragsteller Beiträge gezahlt hat.</t>
  </si>
  <si>
    <t>Staatliche Rente (lífeyrir almannatrygginga): Die zuständige Behörde, die Sozialversicherungsanstalt (Tryggingastofnun), kann die Bedingungen der Leistungsberechtigung jederzeit überprüfen und die Leistung aufgrund eventueller Änderungen der Umstände anpassen.</t>
  </si>
  <si>
    <t>Volksrente (lífeyrir almannatrygginga):
Kein Referenzeinkommen.
Arbeitsrente (lögbundnir lífeyrissjóðir):
Bruttoeinkommen ohne Bemessungsgrenze.</t>
  </si>
  <si>
    <t>Volksrente (lífeyrir almannatrygginga):
Keine gesetzliche Mindestrente. Für den zahlbaren Höchstbetrag siehe Leistungen, 1. Berechnungsmethode bzw. Rentenformel, Betrag und Zahlungshäufigkeit
Arbeitsrente (lögbundnir lífeyrissjóðir):
Keine gesetzliche Mindestrente.</t>
  </si>
  <si>
    <t>Volksrente (lífeyrir almannatrygginga):
Nicht anwendbar, da der Leistungsanspruch auf dem rechtmäßigen Wohnsitz basiert.
Arbeitsrente (lögbundnir lífeyrissjóðir):
Nicht anwendbar, da der Leistungsanspruch auf Beiträgen basiert, siehe z. B. Tabelle IV Mutterschaft – „Auf Leistungen anfallende Sozialabgaben“</t>
  </si>
  <si>
    <t>Ehepartner:
Keine Zulage.
Kinder:
Volksrente (lífeyrir almannatrygginga):
Kinderrente (barnalífeyrir) von ISK 48.131 (€334) pro Kind und Monat wird an unterhaltsberechtigte Kinder unter 18 Jahren gezahlt (seit 1. Juli 2023).
Arbeitsrente (lögbundnir lífeyrissjóðir):
Kinderrente für unterhaltsberechtigte Kinder ist je nach Rentenfonds unterschiedlich.</t>
  </si>
  <si>
    <t>Öffentliche Behörden müssen Personen mit Behinderung bei höherer oder gleicher Qualifikation Vorrang vor anderen Bewerbern geben.
Geschützte Beschäftigung ist verfügbar.</t>
  </si>
  <si>
    <t>Volksrente (lífeyrir almannatrygginga):
Die Leistungen werden jährlich nach der Haushaltslage angepasst. Die Anpassung soll die Lohnentwicklung berücksichtigen, die Leistung soll aber auf keinen Fall niedriger als der Anstieg des Lebenshaltungskostenindex sein.
Arbeitsrente (lögbundnir lífeyrissjóðir):
Die Leistungen werden aufgrund von Entscheidungen der betreffenden Rentenfonds unter Berücksichtigung versicherungsmathematischer Aspekte angepasst.</t>
  </si>
  <si>
    <t>Volksrente (lífeyrir almannatrygginga):
Der Bezug von Invaliditätsleistungen kann mit Erwerbseinkommen kombiniert werden.
Wenn das jährliche Einkommen einen bestimmten Grenzwert überschreitet, wird der feste pauschale Invaliditätsrentenbetrag gekürzt oder ausgesetzt, aber ein jährliches Erwerbseinkommen von ISK 2.400.00 (€16.678) wird bei der Berechnung der Rentenzulage nicht berücksichtigt; siehe oben "Leistungen, 1. Berechnungsmethode bzw. Rentenformel,Beträge und Zahlungshäufigkeit”.
Arbeitsrente (lögbundnir lífeyrissjóðir):
Kürzung, falls das Bruttogesamteinkommen einschließlich Leistungen das durchschnittliche Bruttoeinkommen vor der Arbeitsunfähigkeit übersteigt.</t>
  </si>
  <si>
    <t>Volksrente (lífeyrir almannatrygginga):
Als Hauptregel gilt, dass gemäß dem Sozialversicherungsgesetz, dem Sozialhilfegesetz oder dem Gesetz über die Berufsunfallsversicherung in Bezug auf dasselbe Ereignis oder für den gleichen Zeitraum nur eine Leistungsart bezogen werden kann.
Bei einem Anspruch auf mehr als eine Leistungsart kann in Bezug auf nicht kumulierbare Leistungen die höchste Leistung gewählt werden.
Im Falle einer Unterbringung für mindestens 6 Monate in einer Einrichtung, die aus dem Staatshaushalt finanziert wird, werden die Rentenzahlungen eingestellt. Der Rentner erhält stattdessen eine monatliche persönliche Beihilfe von ISK 104.321 (€725).
Arbeitsrente (lögbundnir lífeyrissjóðir):
Leistungskürzung, falls das Gesamteinkommen das durchschnittliche Einkommen vor der Arbeitsunfähigkeit übersteigt.</t>
  </si>
  <si>
    <t>Volksrente (lífeyrir almannatrygginga):
Renten unterliegen mit Ausnahme der Kinderrente (barnalífeyrir) der Besteuerung.
Arbeitsrente (lögbundnir lífeyrissjóðir):
Renten unterliegen der Besteuerung.</t>
  </si>
  <si>
    <t>Besteuerung nach allgemeinem Recht. Keine Einkommensgrenzen für die Besteuerung von Leistungen.</t>
  </si>
  <si>
    <t>Die Selbständigen werden von den beiden Systemen erfasst, d.h. das universale wohnsitzabhängige staatliche Rentensystem (lífeyrir almannatrygginga) und das beitragsabhängige Arbeitsrentensystem (lögbundnir lífeyrissjóðir) Rentensystem, also wie für Arbeitnehmer.</t>
  </si>
  <si>
    <t>Die allgemeine Invalidenrente ist universal/wohnsitzabhängig. Die gesetzliche Rentenversicherung basiert auf Beiträgen.
Beide Versicherungen sind gesetzlich vorgeschrieben.</t>
  </si>
  <si>
    <t>Die Invalidenrente (Invalidity Pension) wird wöchentlich an Versicherte ausgezahlt, die mindestens 12 Monate arbeitsunfähig waren und für mindestens weitere 12 Monate wahrscheinlich arbeitsunfähig sein werden. Sofern die Arbeitsunfähigkeit eine dauerhafte Arbeitsunfähigkeit der Person zur Folge hat, muss die Vorgabe von 12 Monaten nicht erfüllt werden.</t>
  </si>
  <si>
    <t>Grundsätzlich alle Erwerbstätigen (Arbeitnehmer und Selbstständige) und Auszubildenden ab dem Alter von 16 Jahren, einschließlich der nach dem 6. April 1995 eingestellten Beamten.
Der Anspruch hängt nicht vom Wohnsitz oder von der Staatsangehörigkeit ab.</t>
  </si>
  <si>
    <t>Arbeitnehmer mit einem wöchentlichen Einkommen unter €38 und vor April 1995 eingestellte Beamte.</t>
  </si>
  <si>
    <t xml:space="preserve">
   * Mindestens 260 effektiv entrichtete Wochenbeiträge;
   * Mindestens 48 effektiv entrichtete oder angerechnete Wochenbeiträge im Laufe des Beitragsjahres, das dem Antrag vorausgeht, oder das zweite volle Beitragsjahr, das dem Antrag vorausgeht.</t>
  </si>
  <si>
    <t>Die Invalidenrente (Invalidity Pension) ist eine Leistung für Versicherte, die aufgrund einer Erkrankung oder Invalidität dauerhaft erwerbsunfähig sind. Anspruch haben Personen, die mindestens 12 Monate erwerbsunfähig waren und höchstwahrscheinlich mindestens weitere 12 Monate erwerbsunfähig oder dauerhaft erwerbsunfähig sind.
Personen, die Krankengeld (Illness Benefit) (mindestens 6 Monate lang) oder eine Invalidenrente (Invalidity Pension) bezogen haben und wieder an ihren Arbeitsplatz zurückkehren wollen, kann Teilkrankengeld (Partial Capacity Benefit) gewährt werden, wenn ihre Erwerbsfähigkeit durch eine Erkrankung beeinträchtigt ist. Die Einschränkung der Erwerbsfähigkeit ist als mäßig, schwer oder schwerstens zu bewerten.
Es existiert kein festgelegter Mindesgrad der Erwerbsfähigkeit/Erwerbsunfähigkeit.</t>
  </si>
  <si>
    <t>Invalidenrente (Invalidity Pension):
Sie wird vom Beginn der Feststellung der dauernden Invalidität an (normalerweise, aber nicht unbedingt frühestens nach einer 12-monatigen Krankengeldperiode) gezahlt.
Sie ist bis zur Vollendung des 65. Lebensjahres zahlbar (ab dem Anspruch auf staatliche Altersrente (State Pension Contributory) besteht). Personen, die unmittelbar vor Erreichen des Rentenalters eine Invalidenrente (Invalidity Pension) beziehen, haben automatisch Anspruch auf den wöchentlichen Höchstsatz des staatlichen Rentenbeitrags (Pauschalzahlung).
Die Dauer des Anspruchs auf Invalidenrente richtet sich nicht nach der Art der Invalidität.
Teilkrankengeld (Partial Capacity Benefit):
Die Leistung ist zahlbar für bis zu 156 Wochen. Der Antragsteller muss Anspruch auf Krankengeld (Illness Benefit) (für mindestens 6 Monate) oder Invalidenrente haben, um die Leistung beanspruchen zu können.
Kein Vorruhestand bei eingeschränkter Arbeitsfähigkeit.</t>
  </si>
  <si>
    <t>Für den Antrag auf Invalidenrente (Invalidity Pension)gibt es drei Formulare. Der Erstantrag enthält die persönlichen Angaben des Antragstellers sowie Informationen über seine berufliche Laufbahn, um festzustellen, ob die Beitragsanforderungen für die Leistung erfüllt sind. Bei den anderen beiden handelt es sich um medizinische Antragsformulare, wobei eines vom eigenen Arzt ausgefüllt wird und das andere eine Selbsteinschätzung durch den Antragsteller darstellt.
Die medizinischen Formulare werden von den medizinischen Begutachtern des Ministeriums für Sozialschutz geprüft, die ein ärztliches Gutachten darüber abgeben, ob der Antragsteller eine dauerhafte Erwerbsunfähigkeit oder eine Erwerbsunfähigkeit von mindestens 12 Monaten aufweist.
Die zuständige amtliche Stelle berücksichtigt die Einschätzung der medizinischen Gutachter, wenn sie über die Gewährleistung der Leistung entscheidet. Wird der Anspruch abgewiesen, kann gegen diese Entscheidung bei der unabhängigen Berufungsstelle für Sozialhilfe Berufung eingelegt werden.
Anträge auf Invalidenrente (Invalidity Pension) und Teilkrankengeld (Partial Capacity Benefit) werden auf zentraler Ebene entsprechend gleichen Verfahren und Kriterien bearbeitet.</t>
  </si>
  <si>
    <t>Es gibt keine gesetzlichen Bestimmungen zur regelmäßigen Neubewertung des Anspruchs auf Invalidenrente. In einigen Fällen wird in der ersten Entscheidungsphase auf der Grundlage der vorgelegten medizinischen Gutachten entschieden, dass der Fall in Zukunft nicht mehr neu bewertet wird. Stichprobenhaft werden Fälle jährlich neu bewertet, wenn der medizinische Gutachter des Ministeriums angibt, dass es angebracht sein könnte, den Fall in 1 oder 2 Jahren zu überprüfen. Alle Entscheidungen bezüglich der Anspruchsberechtigung, einschließlich der Neubewertung der Anspruchsberechtigung, werden von den Entscheidungsträgern im Ministerium getroffen. Das nationale Recht sieht vor, dass ein Entscheidungsträger bei der Entscheidung über die medizinische Eignung die Meinung eines medizinischen Gutachters einholen kann.
Das Teilkrankengeld (Partial Capacity Benefit) kann neu bewertet werden, wenn der Anspruch auf die Leistung medizinisch überprüft wird. Wenn Empfänger eine neue Beschäftigung finden, kann der Anspruch neu bewertet werden, sofern alle Kriterien erfüllt sind.</t>
  </si>
  <si>
    <t>Nicht anwendbar. Kein Referenzeinkommen.</t>
  </si>
  <si>
    <t>Keine Mindesthöhe oder Obergrenze.</t>
  </si>
  <si>
    <t>Für Zeiten von Arbeitslosigkeit, Krankheit und Mutterschaft werden Beiträge angerechnet und können hinsichtlich der Beitragsvoraussetzungen für das Beitragsjahr vor der Antragstellung berücksichtigt werden.</t>
  </si>
  <si>
    <t xml:space="preserve">
   * Ehepartner: €178,30 pro Woche;
   * Jedes unterhaltsberechtigte Kind unter 12 Jahren: €50 pro Woche;
   * Jedes unterhaltsberechtigte Kind ab 12 Jahren: €62 pro Woche.
Zulagen unterliegen der Bedürftigkeitsprüfung: Zulagen für Erwachsene basieren auf der Bedürftigkeit des Ehegatten/Lebenspartners/Partners in eheähnlicher Gemeinschaft und die Zulagen für das unterhaltsberechtigte Kind auf der Bedürftigkeit des Antragstellers.</t>
  </si>
  <si>
    <t xml:space="preserve">
   * Zulage für Alleinlebende (Living Alone Allowance): wird an alleinlebende Rentner und Menschen mit Behinderung gezahlt: €22 pro Woche;
   * Unentgeltliche Nutzung von Verkehrsmitteln;
   * Empfänger können auch Anspruch haben auf Brennstoffbeihilfe (Fuel Allowance), unentgeltliche Elektrizität oder Gas (Electricity or Gas Allowance), Befreiung von Fernsehgebühren (Television Licence) und Telefonkostenbeihilfe (Telephone Support Allowance).</t>
  </si>
  <si>
    <t>Rehabilitationsdienste und Berufsausbildung sind für behinderte Personen nach den Gesundheitsgesetzen (Health Acts) kostenlos verfügbar.
Die Inanspruchnahme einer Berufsausbildung oder von Rehabilitätsdiensten ist freiwillig und wirkt sich nicht auf die Gewährung von Invalidenleistungen aus.</t>
  </si>
  <si>
    <t>Keine automatische Anpassung.
Leistungen können auf Regierungsbeschluss im Rahmen des jährlichen Haushaltsverfahrens angepasst werden.</t>
  </si>
  <si>
    <t>Keine Kumulierung von Arbeitseinkommen und Invaliditätsrente (Invalidity pension) möglich, da dies eine vollständige und dauernde Arbeitsunfähigkeit voraussetzt.
Teilkrankengeld (Partial Capacity Benefit):
Es gibt keine Beschränkungen hinsichtlich Arbeitsentgelts oder Anzahl der Arbeitsstunden, die die Person verrichten kann.</t>
  </si>
  <si>
    <t>Kumulierung mit Kindergeld (Child Benefit), Häuslichem Pflegegeld (Domiciliary Care Allowance) und Behindertengeld (Disablement Benefit) möglich.</t>
  </si>
  <si>
    <t>Renten (einschließlich der Zulagen für unterhaltsberechtigte Erwachsene und Kinder) unterliegen der Besteuerung.</t>
  </si>
  <si>
    <t>Besteuerung nach allgemeinem Regeln. Keine besonderen Erleichterungen für Invalidenleistungen.</t>
  </si>
  <si>
    <t>Selbstständige sind durch das Sozialversicherungssystem bei Invalidität abgedeckt.</t>
  </si>
  <si>
    <t>Selbstständige müssen mindestens €5.000 pro Jahr durch ihre selbstständige Tätigkeit verdienen, um zur Zahlung von Sozialbeiträgen für Selbstständige verpflichtet zu sein.</t>
  </si>
  <si>
    <t>Wie für Arbeitnehmer. Invaliditätsrente ist steuerpflichtig.</t>
  </si>
  <si>
    <t>Gesetz Nr. 1846/51 vom 14. Juni 1951.
Gesetz Nr. 1902/90 vom 17. Oktober 1990.
Gesetz Nr. 1976/91 vom 4. Dezember 1991.
Gesetz Nr. 2084/92 vom 7. Oktober 1992.
Gesetz Nr. 3029/02 vom 11. Juli 2002.
Gesetz Nr. 3232/04 vom 12. Februar 2004.
Gesetz Nr. 3518/06 vom 21. Dezember 2006.
Gesetz Nr. 3863/10 vom 15. Juli 2010.
Gesetz Nr. 4051/2012 vom 29. Februar 2012.
Gesetz Nr. 4093/2012 vom 12. November 2012.
Gesetzliche Verordnung vom 31. Dezember 2012.
Gesetz Nr. 4147/13 vom 26. April 2013.
Gesetz Nr. 4237/2014 vom 12. Dezember 2014.
Gesetz Nr. 4387/2016 vom 12. Mai 2016.
Gesetz Nr. 4393/2016 vom 6. Juni 2016.
Gesetz Nr. 4472/2017 vom 19. Mai 2017.
Gesetz Nr. 4475/2017 vom 12. Juni 2017.
Gesetz Nr. 4554/2018 vom 18. Juni 2018.
Gesetz Nr. 4611/2019 vom 17. Mai 2019.
Gesetz Nr. 4623/2019 vom 09. August 2019.
Gesetz Nr. 4670/2020 vom 28. Februar 2020.
Gesetz Nr. 4690/2020 vom 30. Mai 2020.
Gesetz Nr. 4714/2020 vom 31. Juli 2020.
Gesetz Nr. 4756/2020 vom 26. November 2020.
Gesetz Nr. 4778/2021 vom 19. Februar 2021.
Gesetz Nr. 4784/2021 vom 16. März 2021.
Gesetz Nr. 4798/2021 vom 24. April 2021.
Gesetz Nr. 4892/2022 vom 22. Februar 2022.
Gesetz Nr. 4961/2022 vom 27. Juli 2022.
Gesetz Nr. 4997/2022 vom 25. November 2022.
Gesetz Nr. 5036/2023 vom 28. März 2023.
Gesetz Nr. 5043/2023 vom 13. April 2023.
Gesetz Nr. 5078/2023 vom 20. Dezember 2023.
Gesetz Nr. 5157/2024 vom 15. November 2024.
Gesetz Nr. 5167/2024 vom 20. Dezember 2024.
Gemeinsame Ministerialentscheidung Δ12α/Φ.29/Γ.Π.7032/142/13-06-2019 (Regierungsamtsblatt Nr. 2553/B/2019).
Gesetz 4512/2018 Art 215 und Ministerialentscheidung Δ12/Γ.Π.οικ/2738/36/17.01.2018 (Regierungsamtsblatt Nr. 57/B/2018).
Gemeinsame Ministerialentscheidung Δ12γ/ΓΠοικ.21836/644/2020 (Regierungsamtsblatt Nr. 2363 B/16-06-2020).
Verzeichnis der Rechtsakte: https://search.et.gr/el/</t>
  </si>
  <si>
    <t>Beitragsfinanziertes obligatorisches Sozialversicherungssystem für Zusatzrente (ΑΝΤΑΠΟΔΟΤΙΚΗ ΣΥΝΤΑΞΗ) und staatliche Rente finanziert durch den Staat (ΕΘΝΙΚΗ ΣΥΝΤΑΞΗ) mit entgeltbezogenen Invalidenrenten, die von dem Grad der Invalidität und der Versicherungsdauer abhängen.
Invalidenrenten sind Teil der nationalen Rentenversicherung.
Es gibt keine spezifische Sozialhilfe für Invalidität.</t>
  </si>
  <si>
    <t>Gemäß der nationalen Gesetzgebung ist der Begriff der Invalidität komplex (unter Berücksichtigung der anatomischen physiologischen Schäden und der Arbeitsunfähigkeit), und die Kategorie der Invalidität ist an die Erwerbsfähigkeit gebunden.
Die Invalidität kann schwer, normal oder teilweise sein.</t>
  </si>
  <si>
    <t>Alle Beschäftigten.
Der Anspruch auf Invalidenrente ist nicht abhängig vom Wohnsitz und/oder der Staatsbürgerschaft.</t>
  </si>
  <si>
    <t>4.500 versicherte Arbeitstage während des gesamten beruflichen Lebens.
Bis zum Alter von 21 Jahren: 300 Arbeits-tage (oder ein Versicherungsjahr). Dieser Zeitraum erhöht sich schrittweise um 120 beitragspflichtige Arbeitstage pro Jahr, bis 1.500 Tage oder ein Alter von 31 Jahren erreicht sind.
Sind diese Bedingungen nicht erfüllt, so sind mindestens 1.500 Arbeitstage erforderlich, davon 600 während der 5 Jahre vor der Invalidität.
Bei Arbeitsunfall oder Berufskrankheit: voller Anspruch ab dem ersten Versicherungstag.
Hat sich der Unfall außerhalb des Arbeitsortes ereignet, gelten folgende Bedingungen: 2.250 oder 750 Arbeitstage (davon 300 in den letzten 5 Jahren vor der Invalidität).</t>
  </si>
  <si>
    <t>Der Anspruch auf Invalidenrente beginnt nach Ablauf des Anspruchs auf Krankengeld (d. h. nach 182, 360 oder 720 Kalendertagen), oder wenn die Invalidität durch die Entscheidung der Zentren zur Bestätigung der Erwerbsunfähigkeit (KEPA) (ΚΕΝΤΡΑ ΠΙΣΤΟΠΟΙΗΣΗΣ ΑΝΑΠΗΡΙΑΣ – ΚΕΠΑ) anerkannt wird.
Die Rente kann je nach Wahl des Leistungsempfängers ab Beginn des Anspruchs auf Krankengeld gezahlt werden, jedoch höchstens für sechs Monate.
Für Krankheiten, die als irreversibel gelten, wird der Anspruch dauerhaft gewährt. Andernfalls wird die Anspruchsdauer von der KEPA bestimt.
Sind die Bedingungen (4.500 beitragspflichtige Arbeitstage und Alter von 67 Jahren) erfüllt, so ist der Empfänger berechtigt, die Invaliditätsrente in eine Altersrente umzuwandeln.
Völlig Blinde und an spezifischen Krankheiten leidende Versicherte, die 4.050 beitragspflichtige Arbeitstage vorweisen können, können früher in den Ruhestand gehen.
Anspruchsberechtigung auf eine Invaliditätsrente ist dauerhaft für Beamte, die aufgrund von Invalidität aus dem Dienst ausgeschieden sind.</t>
  </si>
  <si>
    <t>Der Anspruch wird von dem Zentrum zur Bestätigung der Erwerbsunfähigkeit (KEPA) (ΚΕΝΤΡΑ ΠΙΣΤΟΠΟΙΗΣΗΣ ΑΝΑΠΗΡΙΑΣ – ΚΕΠΑ) beurteilt.
Die Bewertungsverfahren und -kriterien sind im ganzen Land gleich.
Möglichkeit der Berufung gegen die Entscheidung/Zertifizierung von KEPA bei Ausschüssen zweiten Grades von KEPA.</t>
  </si>
  <si>
    <t>Möglichkeit der Revision des Grads der Erwerbsminderung nach Ablaufen des von dem Zentrum zur Bestätigung der Erwerbsunfähigkeit (KEPA) (ΚΕΝΤΡΑ ΠΙΣΤΟΠΟΙΗΣΗΣ ΑΝΑΠΗΡΙΑΣ– ΚΕΠΑ) gewährten Zeitraums von Invalidität und bei bedeutenden Veränderungen im Gesundheitszustand. Wurde die oben genannte Nachuntersuchung dreimalig durchgeführt, ist es möglich, eine lebenslange Rente gewährt zu bekommen, sofern besondere Bedingungen erfüllt sind.
Die Neubewertung hängt von dem von der KEPA gewährten Zeitraum ab und nicht vom Grad der Invalidität oder Beeinträchtigung oder dem Ausmaß der Arbeitsfähigkeit/ Arbeitsunfähigkeit.
KEPA ist für die Durchführung der Neubewertung zuständig.</t>
  </si>
  <si>
    <t>Die beitragspflichtige Rente (ΑΝΤΑΠΟΔΟΤΙΚΗ ΣΥΝΤΑΞΗ) hängt von den durchschnittlichen rentenberechtigten Einkommen des Versicherten ab dem Jahr 2002 bis zum Tag der Beantragung der Rente ab. Der Durchschnitt wird als der Quotient der Division der gesamten monatlichen Vergütung des Versicherten durch die Gesamtversicherungszeit berechnet. Die Summe der vom Versicherten erhaltenen Einkommen ist die Summe der monatlichen Vergütung, die während der ganzen Versicherungszeit der Beitragspflicht unterliegen. Die Berechnung der rentenberechtigten Einkünfte berücksichtigt die Bruttoeinkommen des Versicherten in jedem Steuerjahr, erhöht durch die jährlichen Gehaltsänderungen.
Obergrenze für rentenfähiges Einkommen: €7.572,62 pro Monat, wofür Beiträge gezahlt wurden.</t>
  </si>
  <si>
    <t>Mindestbetrag: Gesetzliche Mindestrente gibt es nur im Fall von Invaliditätsrente aufgrund eines Arbeitsunfalles oder Berufskrankheit.
In diesem Fall darf die Gesamthöhe (staatliche Rente und Zusatzrente) nicht weniger als das Doppelte der Höhe der entsprechenden staatlichen Rente für 20 Versicherungsjahre betragen (d.h. 2 x €436,40 pro Monat).
Höchstbetrag: €5.236,80 (entsprechend zwölf Mal die volle staatliche Rente, 12*€436,40 pro Monat).</t>
  </si>
  <si>
    <t>Es werden keine Zeiträume, in denen keine Beiträge geleistet wurden, gutgeschrieben.</t>
  </si>
  <si>
    <t>Personen, die ab dem 12.05.2016 in Rente gingen:
Kinder: Keine Zulagen. Invaliditätsrentner können Kindergeld (ΕΠΙΔΟΜΑ ΠΑΙΔΙΟΥ) entsprechend Tabelle IX „Familienleistungen“ beantragen.
Ehepartner und andere Unterhaltsberechtigte: Keine Zulagen.</t>
  </si>
  <si>
    <t>Die Arbeitsverwaltung (DYPA) implementiert ein Beschäftigungsförderprogramm für 3.000 arbeitslose Personen aus gefährdeten sozialen Gruppen (einschließlich Arbeitslose mit Behinderung) und 7.000 Arbeitslosen, die mit Hürden beim (Wieder-)Einstieg in den Arbeitsmarkt konfrontiert sind.
Die Teilnahme an einer beruflichen Fortbildung oder persönlichen Rehabilitation ist nicht zwingend erforderlich, um eine Invalidenrente zu erhalten.</t>
  </si>
  <si>
    <t xml:space="preserve">
   * Zuschüsse zur Förderung der Beschäftigung von 3.000 Arbeitslosen aus gefährdeten sozialen Gruppen (einschließlich Menschen mit Behinderungen) in Voll- und Teilzeitstellen.
   * Bevorzugte Beschäftigung im öffentlichen Sektor (Gesetz 2643/1998).</t>
  </si>
  <si>
    <t>Jährliche Anpassung durch gemeinsame Entscheidung des Ministers für Wirtschaft und Finanzen, Arbeit und soziale Sicherheit, basierend auf einem Koeffizienten, der festgelegt wird durch die Summe der Änderungen des BIP und der Änderungen des Verbraucherpreisindex des vorangegangenen Jahres geteilt durch 2. Die jährliche durchschnittliche Veränderung des Verbraucherpreisindexes darf dabei nicht überschritten werden (Art. 25 Par. 4a von Gesetz 4670/2020).
Für das Jahr 2025 ist der Anpassungskoeffizient von Renten 2,4% (Ministerialentscheidung Nr. 53457 vom 12. Dezember 2024/B‘6865 vom 16.12.2024)).</t>
  </si>
  <si>
    <t>Kumulierung mit Einkünften aus Erwerbsarbeit ist ohne Minderung der Beträge von Haupt- und Zusatzrenten möglich.
Für Empfänger der Invalidenrente, welche eine Tätigkeit ausüben (als Arbeitnehmer oder Selbstständiger), die der Pflichtversicherung der e-EFKA unterliegt, wird während des Zeitraums der Beschäftigung der volle Betrag der Haupt- und Zusatzrenten ausgezahlt (Gesetz 5078/2023, Art. 114).</t>
  </si>
  <si>
    <t>Wenn der Empfänger Anspruch auf Invalidenrenten oder andere Renten hat, wird nur eine staatliche Rente gezahlt.
Wenn der Empfänger Anspruch auf eine volle und eine gekürzte Rente hat, wird die volle staatliche Rente gewährt.
Wenn der Empänger Anspruch auf zwei gekürzte Renten hat, ist der gewährte Betrag der Prozentsatz der staatlichen Rente, die jeder obigen gekürzten Rente entspricht, wenn ihr Betrag geringer oder gleich des vollen Betrags der staatlichen Rente ist.
Kumulation der Leistungen für nicht-stationäre Pflege (ΕΞΩΙΔΡΥΜΑΤΙΚΟ ΕΠΙΔΟΜΑ) mit der durch das Sozialwesen gewährten Leistung für Personen mit Tetraplegie/Querschnittslähmung, ist nicht möglich.
Kumulation der Leistung bei Vollinvalidität (ΕΠΙΔΟΜΑ ΑΠΟΛΥΤΟΥ ΑΝΑΠΗΡΙΑΣ) mit Altersrente nach Gesetz Nr. 612/77 (ΣΥΝΤΑΞΗ ΓΗΡΑΤΟΣ ΤΟΥ ΝΟΜΟΥ 612/77) (d.h. Renten für Personen mit bestimmten Behinderungen, die nach 15 Versicherungsjahren zur Ersatzquote entsprechend 35 Versicherungsjahren gezahlt werden) ist nicht möglich.
Kumulation der Leistung bei Vollinvalidität (ΕΠΙΔΟΜΑ ΑΠΟΛΥΤΟΥ ΑΝΑΠΗΡΙΑΣ) mit der Leistung für Blinde in Beschäftigung, die vom Sozialwesen gewährt wird (€391 pro Monat), ist möglich.</t>
  </si>
  <si>
    <t>Selbstständige sind durch das allgemeine System abgedeckt. Landwirte werden schrittweise in die Elektronische gesetzliche Sozialversicherungskasse (e-EFKA) aufgenommen.
Es wurde ein Sonderausschuss gegründet, um bestehende Bestimmungen zu prüfen, neue einheitliche Regelungen für alle Invaliditätsrenten der Sozialversicherungskasse (e-EFKA) festzulegen.</t>
  </si>
  <si>
    <t>Staatliche Rente (auf Erwerbstätigkeit beruhendes Versicherungspflichtsystem).
Beitragsabhängige Rente: Auf Erwerbstätigkeit beruhendes Versicherungspflichtsystem.</t>
  </si>
  <si>
    <t>Als Arbeitnehmer zahlt die Person in jedem Fall die Versicherungsbeiträge, die im Arbeitnehmergesetz vorgesehen sind.
Als Selbstständiger muss die Person den Betrag der 2. Versicherungskategorie zahlen, welcher die Mindestanforderung ist. Sind die als Arbeitnehmer gezahlten Beiträge aber gleich hoch oder höher als der Betrag der 2. Versicherungskategorie, muss die Person (für die selbstständige Tätigkeit) keinen Zusatzbeitrag leisten. Andernfalls zahlt die Person die Differenz zum Betrag der 2. Versicherungskategorie.
Für Menschen, die als Selbstständige weniger als 5 Jahre versichert waren (Sonderversicherungskategorie), ist der oben genannte Betrag der der 1. Versicherungskategorie.
Hat sich die Person (als Selbstständiger) für eine höhere Versicherungskategorie entschieden als die 2., müssen die Beiträge, die als Arbeitnehmer gezahlt werden, gleich hoch oder höher sein als der Betrag der gewählten Kategorie.
Andernfalls zahlt die Person die Differenz zum Betrag der gewählten Versicherungskategorie.</t>
  </si>
  <si>
    <t>Sozialgesetzbuch (Code de la sécurité sociale). Artikel L 341-1 ff.
Verzeichnis der Rechtsakte: https://www.legifrance.gouv.fr/codes/texte_lc/LEGITEXT000006073189/</t>
  </si>
  <si>
    <t>Beitragsfinanziertes obligatorisches Sozialversicherungssystem mit entgelt- oder einkommensbezogenen Renten.
Die Invaliditätsleistungen sind Bestandteil des Krankenversicherungssystems.
Zusätzlich zum beitragsfinanzierten System gibt es ein zusätzliches Invalidengeld (allocation supplémentaire d'invalidité, ASI), um ein Mindesteinkommen zu gewährleisten (siehe Tabelle XI).</t>
  </si>
  <si>
    <t>Als invalide gilt, wer infolge eines Unfalls oder einer Krankheit, die nicht durch die Berufsausübung verursacht wurde, nur ein Drittel der normalen Einkünfte erzielen kann.</t>
  </si>
  <si>
    <t>Alle erwerbstätigen Personen. Keine Bedingungen in Bezug auf Wohnsitz oder Staatsbürgerschaft.
In bestimmten Fällen freiwillige Versicherung (ehemalige Pflichtversicherte, Eltern zu Hause, Personen, die ehrenamtlich die Funktion als Dritte für ein Familienmitglied übernehmen).</t>
  </si>
  <si>
    <t xml:space="preserve">
   * Mindestens 12 Monate versichert sein vor dem 1.Tag des Monats der Arbeitsunterbrechung entweder aufgrund von Invalidität oder nach ärztlicher Bescheinigung der Invalidität.
   * Mindestens 600 Stunden gearbeitet haben oder Beiträge auf einer Bruttoeinkommensbasis von mindestens dem 2.030-fachen des stündlichen Mindestlohns (salaire minimum interprofessionnel de croissance, SMIC, beläuft sich am 1. Januar 2025 auf €11,88 brutto) während der letzten 12 Monate, die an die Arbeitsunterbrechung oder die Feststellung der Invalidität vorangehen, entrichtet haben.
Keine altersabhängigen Abweichungen.</t>
  </si>
  <si>
    <t>Rentenbeginn mit Feststellung der Invalidität oder nach Beendigung des maximalen Krankengeldbezugs (indemnités journalières de maladie) (höchstens 3 Jahre) oder bei medizinischer Feststellung der Invalidität aufgrund vorzeitiger Verschleißerscheinungen. Die Rente wird immer befristet gewährt.
Die Rente wird ab dem Rentenalter durch eine Altersrente (pension de vieillesse) ersetzt, außer wenn die betroffene Person arbeitet (in diesem Fall kann die Invaliditätsrente bis zu dem Alter bezogen werden, ab dem automatisch die Rente zum vollen Satz gewährt wird, d. h. bis zum 67. Lebensjahr). Die Invaliditätsrente wird im Falle eines stufenweisen Eintritts in den Ruhestand ebenfalls ausgesetzt.
Mit der Invalidenrente können Sie zwischen 55 und 59 Jahren ausscheiden, sofern Sie über eine dauerhafte Invalidenquote von mindestens 50% verfügen oder eine gleichwertige Behinderung aufweisen und eine bestimmte Anzahl von Quartalen nachweisen können, für die Sie in dieser Zeit der Arbeitsunfähigkeit Beiträge geleistet haben.</t>
  </si>
  <si>
    <t>Der Invaliditätsgrad wird von den medizinischen Beratern der Krankenkassen beurteilt.
Nationale Verfahren.
Es ist möglich, Widerspruch gegen die Entscheidung der Krankenkasse (Ablehnung der Zuweisung oder der Einstufung in eine bestimmte Kategorie) einzulegen. Dazu wendet man sich an die medizinische Berufungskommission (Commission médicale de recours amiable, CMRA).Wenn dieser Antrag abgelehnt wird, ist es möglich, ein gerichtliches Verfahren (Abteilung für Soziales) anzustrengen sowie beim Berufungsgericht und/oder beim Kassationsgericht Berufung einzulegen.</t>
  </si>
  <si>
    <t>Bei einer Änderung der Invalidität oder bei Aufnahme einer beruflichen Tätigkeit besteht die Möglichkeit zur Revision der Rente.
Keine feste Regelmäßigkeit in Bezug auf die medizinische Überprüfung. Die Ressourcen werden jedoch jedes Jahr überprüft (regelmäßiger bei Erwerbstätigen).
Die Neubewertung erfolgt durch den ärztlichen Kontrolldienst der Krankenkassen.</t>
  </si>
  <si>
    <t xml:space="preserve">
   * Invalide der 1.Kategorie (gesundheitlich in der Lage, eine Tätigkeit auszuüben): 30% des mittleren Jahresbruttoeinkommens der 10 besten Versicherungsjahre vor Eintritt des Versicherungsfalls.
   * 2. Kategorie (gesundheitlich nicht in der Lage, eine Tätigkeit auszuüben): 50% des mittleren Jahresbruttoeinkommens der 10 besten Versicherungsjahre vor Eintritt des Versicherungsfalls.
   * Invaliden der 3. Kategorie (gesundheitlich nicht in der Lage, eine Tätigkeit auszuüben, und im Alltag auf Hilfe Dritter angewiesen): Rente der 2. Kategorie zuzüglich Zulage für Dritte.
Der Leistungsempfänger einer Invalidenrente muss regelmäßig eine Erklärung ausfüllen und die Rente wird zwölfmal im Jahr gezahlt. Sein Berufseinkommen sowie die erhaltenen Sozialleistungen beeinflussen aller Wahrscheinlichkeit nach die Höhe der Rente.
Die Rente wird jeden Monat nachträglich ausbezahlt.</t>
  </si>
  <si>
    <t>Durchschnittliches Bruttoeinkommen der 10 besten Beschäftigungsjahre (sozialversicherungspflichtiges Arbeitsentgelt der jährlichen Bemessungsgrenze der sozialen Sicherung). Das berücksichtigte Gehalt wird erhöht.</t>
  </si>
  <si>
    <t>Zeiten, in denen Geldleistungen bei Krankheit, Mutterschaft oder Berufsunfällen oder eine Rente bei dauernder Erwerbsunfähigkeit (rente pour incapacité permanente) von mindestens 66,66%, die Zulage für die elterliche Präsenz (allocation journalière de présence parentale, AJPP), bezogen wurden; Tage der beruflichen Rehabilitation nach einem Arbeitsunfall.</t>
  </si>
  <si>
    <t>Das zusätzliche Invalidengeld (allocation supplémentaire d'invalidité, ASI) ergänzt eine Invalidenrente oder eine Rente für den Witwer/die Witwe des Invaliden. Sie kann ausgezahlt werden, wenn die Ressourcen eine bestimmte Obergrenze unterschreiten (siehe Tabelle XI „Mindestsicherung“).</t>
  </si>
  <si>
    <t>Berufliche Umschulung im Betrieb unter Kostenbeteiligung der Kassen der Sozialen Sicherheit.
Darüber hinaus wird die Wiederaufnahme einer Tätigkeit mit der Möglichkeit der Inanspruchnahme einer stufenweisen Wiederaufnahme in Teilzeit (temps partiel thérapeutique) gefördert, bei der das erhaltene Gehalt teilweise mit einem Taggeld der französischen Krankenkasse kumuliert wird.
Die Zahlung einer Invaliditätsrente ist nicht an die Teilnahme an (Um-)Schulungs-/Wiedereingliederungsmaßnahmen gebunden.</t>
  </si>
  <si>
    <t>Pflicht zur Beschäftigung von Arbeitnehmern mit Behinderung in Unternehmen mit mindestens 20 Arbeitnehmern zu einem Anteil von 6% des gesamten Personalbestands.
Alternativ kann der Arbeitgeber eine bestimmte Ausgleichzahlung für jeden nicht besetzten Arbeitsplatz entrichten, Programme für Arbeitnehmer mit Behinderungen, Maßnahmen zur Rückkehr zur Arbeit und Dienste von darauf abgestimmten Unternehmen.</t>
  </si>
  <si>
    <t>Die für die Berechnung der Renten herangezogenen Löhne/Gehälter und die bereits liquidierten Renten werden jedes Jahr am 1. April entsprechend der Entwicklung der durchschnittlichen jährlichen Verbraucherpreise – ohne Tabak – neu bewertet.</t>
  </si>
  <si>
    <t>Integrale Kumulierung im Rahmen des vor der Invalidität bezogenen Einkommens, wobei das 1,5-Fache der monatlichen Bemessungsgrenze der Sozialversicherung nicht überschritten werden darf (d.h. €5.887,50 im Jahr 2025). Darüber hinaus, Kürzung der Rente um 50% der Überschreitung.</t>
  </si>
  <si>
    <t>Die Invaliditätsrente (pension d‘invalidité) unterliegt der Besteuerung.
Die Zulage für Pflege durch Dritte (majoration pour l'assistance d'une tierce personne) und der Zusätzlichen Invaliditätsbeihilfe (allocation supplémentaire d’invalidité, ASI) unterliegen nicht der Besteuerung.</t>
  </si>
  <si>
    <t>Invaliditätsrente (pension d'invalidité): Abzug von 10% des Gesamtbetrags der Renten (sofern nicht unter €450 pro Rentner und nicht höher als €4.399 pro steuerpflichtigem Haushalt).
Befreiung möglich entsprechend der Höhe der Rente und den Eigenmitteln des Rentners.</t>
  </si>
  <si>
    <t>Invaliditätsrente:
Allgemeiner Sozialbeitrag (contribution sociale généralisée, CSG) nach Besteuerung: 8,3%, 6,6% oder 3,8%; Beitrag zur Tilgung der Sozialschuld (contribution pour le remboursement de la dette sociale, CRDS): 0,5%; zusätzlicher Solidaritätsbeitrag für eigenständige Lebensführung (contribution additionnelle de solidarité pour l’autonomie, Casa): 0,3%.
Befreiung möglich entsprechend dem Referenzsteuereinkommen.
Zusätzliche Invaliditätsbeihilfe (allocation supplémentaire d’invalidité, ASI), und Zulage für dritte Personen: keine Beiträge.</t>
  </si>
  <si>
    <t>Sozialversicherungspflichtsystem: MSA für Landwirte, das allgemeine Versicherungssystem für Handwerker und Kaufleute, die 10 Berufskategorien der Staatlichen Kasse für die Altersversicherung (caisse nationale d'assurance vieillesse des professions libérales, CNAVPL) für freie Berufe (von Ausnahmen abgesehen).</t>
  </si>
  <si>
    <t>Koordinierung zwischen den Systemen für die Invaliditätsversicherung zur Berechnung der Versicherungszeit und der Höhe der Renten. Die Invaliditätsrente wird generell von dem System gezahlt, das die Pflegeleistungen übernimmt. Diese Koordinierung betrifft jedoch nicht alle Systeme (die Koordinierung gilt nicht für das System der Invaliditäts- und Todesfallversicherung für Selbständige, die nicht in der Landwirtschaft tätig sind).</t>
  </si>
  <si>
    <t>Landwirte, Handwerker, Kaufleute und Gewerbetreibende
Die Bedingungen entsprechen den für Arbeitnehmer geltenden Bedingungen in Bezug auf Mitgliedschaft (1 Jahr Beitragszahlungen), Alter (Arbeitnehmer und Selbstständige dürfen das gesetzliche Rentenalter noch nicht erreicht haben) und den Grad der Behinderung (Invalidität, die die Erwerbsfähigkeit um mindestens zwei Drittel einschränkt).
Wenn sie zum Zeitpunkt des Rentenantrags kein Krankentagegeld beziehen, müssen Selbstständige, die dem allgemeinen Versicherungssystem angehören, in den letzten drei Jahren ein Einkommen in Höhe von mindestens 10% der durchschnittlichen jährlichen Sozialversicherungsobergrenze erzielt haben.
Freie Berufe
Von Ausnahmen abgesehen wird die Invaliditätsversicherung über eine der Berufskategorien der Staatlichen Kasse für die Altersversicherung (caisse nationale d'assurance vieillesse des professions libérales, CNAVPL) verwaltet. Es gelten unterschiedliche Zuweisungsbedingungen je nach Versicherungsträger.</t>
  </si>
  <si>
    <t>Landwirte
Für eine Teilinvalidität beläuft sich der Rentenbetrag auf 30% des mittleren Gehalts (zwischen €368,82 und €588,75 pro Monat). Für eine vollständige Invalidität beläuft sich der Rentenbetrag auf 50% des mittleren Gehalts (zwischen €639,74 und €981,25 pro Monat).
Invaliditätsrente wird als Pauschalbetrag gezahlt: (jährliche Anpassung im April). Eine Zulage von 40% wird gewährt, wenn der Versicherte aufgrund seines Gesundheitszustandes die Hilfe von Dritten für wesentliche Tätigkeiten des täglichen Lebens in Anspruch nehmen muss.
Die Beträge sind niedriger als die für die Mehrheit der Arbeitnehmer geltenden Beträge (gleiche Prozentsätze für die Berechnung, aber obwohl die Mindestrente für Arbeitnehmer niedriger ist, ist die maximale Rente für Arbeitnehmer höher als für Landwirte).
Handwerker, Kaufleute und Gewerbetreibende
Die Höhe der Rente entspricht einem prozentualen Anteil des Mittelwerts des vorhergehenden Jahreseinkommens (50% oder 30% gemäß dem Invaliditätsgrad).Rente wegen Teilinvalidität: zwischen €517,21 und €1.177,50 pro Monat.Rente für vollständige und endgültige Invalidität: zwischen €728,69 und €1.962,50 pro Monat.Gleiche Sätze und Obergrenzen wie für Arbeitnehmer, aber höhere Mindestbeträge.
Eine Zulage kann für Dritte in Höhe von monatlich €1.266,60 gewährt werden, wenn der Versicherte aufgrund seines Gesundheitszustands die Hilfe von Dritten für Tätigkeiten des täglichen Lebens in Anspruch nehmen muss (wie für Arbeitnehmer).
Freie Berufe
Je nach Versicherungsträger werden unterschiedliche Leistungen gewährt.</t>
  </si>
  <si>
    <t>Gesetz über die Volksrenten Nr. 568/2007 (Kansaneläkelaki, KEL).
Gesetz über die garantierten Renten Nr. 703/2010 (Laki takuueläkkeestä).
Gesetz über Renten für Seeleute Nr. 1290/2006 (Merimieseläkelaki, MEL).
Gesetz über Renten für Arbeitnehmer 395/2006 (Työntekijän eläkelaki, TyEL)
Gesetz über Renten des öffentlichen Sektors 81/2016 (Julkisten alojen eläkelaki, JuEL).
Gesetz über Renten der Selbstständigen Nr. 1272/2006 (Yrittäjän eläkelaki, YEL).
Rentengesetz für Landwirte Nr. 1280/2006 (Maatalousyrittäjän eläkelaki, MYEL).
Verzeichnis der Rechtsakte: https://www.finlex.fi/en/</t>
  </si>
  <si>
    <t>Duales System:
Invaliditätsrente (Työkyvyttömyyseläke) ist zahlbar als Teil der
(1) Beitragsfinanzierten Versicherung (Gesetzliche einkommensbezogene Rente, Työeläke) für alle Arbeitnehmer, Selbstständigen, Landwirte. Bei Teilzeitbeschäftigung ist es möglich, Teilinvaliditätsrente (Osatyökyvyttömyyseläke) zu beantragen.
(2) Aus Steuern finanziertes universelles System (Volksrente, Kansaneläke und garantierte Rente, Takuueläke), das eine Mindestrente garantiert.
Die Rentensysteme sind miteinander verknüpft. Überschreitet die Gesetzliche einkommensbezogene Rente eine bestimmte Höchstgrenze, so wird keine Volksrente oder garantierte Rente gewährt.
Garantierte Rente (Takuueläke):
Personen mit ihrem Wohnsitz in Finnland, die eine volle Invaliditätsrente beziehen, haben Anspruch auf eine garantierte Rente, wenn ihr gesamtes Rentenbruttoeinkommen weniger als €978,34 pro Monat im Jahr 2025 beträgt.
Zweck der garantierten Rente ist es, die Einwohner Finnlands mit einer Mindestrente zu versorgen.
Die Bezirke für Gesundheitsleistungen können zudem in Situationen, in denen einer Person besondere Kosten aufgrund von Behinderung oder einer Langzeiterkrankung entstehen, zusätzliche Sozialhilfe gewähren.</t>
  </si>
  <si>
    <t>Volksrente (Kansaneläke):
Invalidität wird definiert als die verbliebene Fähigkeit zu arbeiten/verdienen als Resultat einer Krankheit, Behinderung oder Schädigung während eines ununterbrochenen Zeitraums.
Gesetzliche einkommensbezogene Rente (Työeläke): Personen mit Wohnsitz in Finnland, die ihre Arbeitsfähigkeit durch Krankheit oder wegen dauerhafter Behinderung oder Schädigung verloren haben.</t>
  </si>
  <si>
    <t>Volksrente (Kansaneläke) und garantierte Rente (Takuueläke):
Versicherungspflicht für alle Einwohner im Alter von 16 bis 64 Jahren. Für Einwohner, die im Jahr 2008 oder früher geboren wurden, liegt das Mindestalter bei 16 Jahren.
Immigranten, die nicht anspruchsberechtigt für jegliche anderen Renten sind, haben Anspruch auf die Garantierte Rente, vorausgesetzt, sie sind mindestens 18 Jahre alt und haben eine Behinderung im Sinne des Gesetzes über die Volksrenten (Kansaneläkelaki, KEL).
Gesetzliche einkommensbezogene Rente (Työeläke):
Alle versicherten Arbeitnehmer, Landwirte und Selbstständigen im Alter von 17 bis 68 Jahren, wenn sie 1957 oder früher geboren wurden, im Alter von 69 Jahren, wenn sie zwischen 1958 und 1961 geboren wurden, und im Alter von 70 Jahren, wenn sie 1962 oder später geboren wurden.</t>
  </si>
  <si>
    <t>Gesetzliche einkommensbezogene Rente (Työeläke):
Arbeitnehmer: sind von den Pflichtbeiträgen ausgenommen, wenn ihr monatliches Bruttoeinkommen unter €70,08 liegt (TyEL).
Selbstständige und Landwirte sind in den ersten 4 Monaten der Selbstständigkeit von den Pflichtbeiträgen ausgenommen und wenn das versicherungspflichtige Einkommen pro Jahr weniger als €9.208,43 für Selbstständige und weniger als €4.605 für Landwirte beträgt.</t>
  </si>
  <si>
    <t>Volksrente (Kansaneläke) und garantierte Rente (Takuueläke):
Ab Vollendung des 16. Lebensjahrs mindestens 3 Jahre Wohnsitz in Finnland (kein bestimmter Zeitraum des Wohnsitzes erforderlich, wenn die Person vor der Vollendung des 19. Lebensjahres invalide wurde, während sie in Finnland wohnhaft war oder, wenn bei Personen ab dem Alter von 16 Jahren Anspruch auf Invaliditätsbeihilfe (16 vuotta täyttäneen vammaistuki) besteht.
Gesetzliche einkommensbezogene Rente (Työeläke):
   * Angestellte: Keine Mindestversicherungszeit;
   * Selbstständige und Landwirte: 4 Versicherungsmonate.</t>
  </si>
  <si>
    <t>Volksrente (Kansaneläke):
Invaliditätsrente kann gewährt werden, wenn eine Person durch Krankheit, Schädigung oder ein Gebrechen daran gehindert wird, ein angemessenes Einkommen zu erwirtschaften. Alter, Ausbildung, berufliche Fähigkeiten sowie vorherige Beschäftigungen werden bei der Beurteilung der Funktionsfähigkeit berücksichtigt. Ab dem Alter von 60 Jahren gelten weniger strenge Kriterien bei der Invaliditätsrente. Personen unter 20 Jahren können keine Rente beziehen, bevor ihre Aussichten auf Rehabilitation beurteilt wurden. Wenn die Arbeitsfähigkeit als wiederherstellbar eingestuft wird, hat die betroffene Person Anspruch auf befristete Invaliditätsrente (Kuntoutustuki), d.h. zeitlich befristete Invaliditätsrente.
Gesetzliche einkommensbezogene Rente (Työeläke):
Die Bewertungskriterien, die zur Beurteilung der Anspruchsberechtigung genutzt werden, stehen im Zusammenhang mit dem Grad der Fähigkeit, jegliche Arten von Arbeit auszuüben, worin sich die Fähigkeit der betroffenen Person widerspiegelt, ein Einkommen zu erwirtschaften. Die Kriterien berücksichtigen die formale Ausbildung des Arbeitnehmers, bisherige Tätigkeiten, Alter, Wohnsitz und andere vergleichbare Aspekte.
Schwankt die Erwerbsfähigkeit, wird das Bruttojahreseinkommen des Arbeitnehmers berücksichtigt. Auch wird die berufliche Art der Invalidität bei Personen über 60 Jahren berücksichtigt.
Entsprechend der verbleibenden Erwerbsfähigkeit sind die folgenden Leistungen erhältlich:
   * Invaliditätsrente (Työkyvyttömyyseläke): nur noch zu höchstens 2/5 arbeitsfähig;
   * Teilinvaliditätsrente (osatyökyvyttömyyseläke): nur noch zu höchstens 3/5 arbeitsfähig.
Wenn die Arbeitsfähigkeit als wiederherstellbar eingestuft wird, hat die betroffene Person Anspruch auf befristete Invaliditätsrente (Kuntoutustuki), d.h. zeitlich befristete Invaliditätsrente.</t>
  </si>
  <si>
    <t>Volksrente (Kansaneläke):
   * Invaliditätsrente (Työkyvyttömyyseläke): Ab dem Ende der Höchstzahlungsdauer des Krankengeldes (sairauspäiväraha) (300 Arbeitstage (Samstage eingeschlossen)), so lange die Bedingungen erfüllt werden (Grundregel) bis zur Altersrente;
   * Rehabilitationsgeld (Kuntoutustuki): Ab dem Ende der Höchstzahlungsdauer des Krankengeldes (sairauspäiväraha) (300 Arbeitstage (Samstage eingeschlossen)) für einen begrenzten Zeitraum, beruhend auf dem Begutachtungsverfahren.
Gesetzliche einkommensbezogene Rente (Työeläke):
   * Invaliditätsrente (Työkyvyttömyyseläke) und Teilinvaliditätsrente (Osatyökyvyttömyyseläke): ab der Einstellung der Zahlungen vom Krankengeld (sairauspäiväraha) (nach max. 300 Arbeitstagen (Samstage eingeschlossen)) bis zum Rentenalter, falls die Voraussetzungen erfüllt bleiben (Ruhestandsalter für einkommensbezogene Rente, ist schrittweise im Zuge der Rentenform angestiegen, siehe Tabelle VI „Alter“);
   * Rehabilitationsgeld (Kuntoutustuki): ab der Einstellung der Zahlungen des Krankengeldes (300 Arbeitstage (Samstage eingeschlossen)) für einen vorübergehenden Zeitraum aufgrund dem Bewertungsverfahren.
Vorgezogener Ruhestand ist im Fall von verminderter Erwerbsfähigkeit möglich für die Dienstaltersrente (Työuraeläke) (siehe Tabelle VI zu Alter, „Gesetzliches Rentenalter, Beschwerliche Arbeiten“).</t>
  </si>
  <si>
    <t>Das gesetzliche einkommensabhängige Rentensystem (Työeläke) für im privaten Sektor Beschäftigte wird von privaten Versicherungsgesellschaften, branchenweiten Pensionsfonds und betrieblichen Pensionsfonds verwaltet.
Der Rentenantrag kann bei jedem Rentenversicherungsträger, beim Finnischen Rentenzentrum oder bei einem der authorisierten Vertreter (z.B bei der Sozialversicherung von Finnland) gestellt werden. Mit dem gleichen Antragsformular kann auch die Volksrente (Kansaneläke) beantragt werden.
Beglaubigte Ärzte sollen bei der Vorbereitung von Fällen involviert sein, die Invaliditäts- und Rehabilitationsaspekte sowie andere medizinische Aspekte beinhalten, und ihre fundierte Bewertung in der Dokumentierung festhalten.
Es gelten die gleichen Bewertungsverfahren und –kriterien im ganzen Land.
Der Antragsteller hat die Möglichkeit, beim Rentenberufungsgericht oder dem Berufungsausschuss des Sozialversicherungsamts (kansaneläke) Widerspruch einzulegen; im Weiteren kann das Versicherungsgericht angerufen werden.</t>
  </si>
  <si>
    <t>Volksrente (Kansaneläke):
Es wird eine Überprüfung vorgenommen, wenn die Erwerbsfähigkeit einer Person, die Invaliditätsrente bezieht, wiederhergestellt ist.
Die Neubewertung wird von der Sozialversicherungsanstalt (Kansaneläkelaitos) durchgeführt. Es gibt keine festen Zeiträume, in denen diese Neubewertungen vorgenommen werden müssen.
Für das Rehabilitationsgeld (Kuntoutustuki), nachdem die Leistung erschöpft wurde, muss eine neue ärztliche Bescheinigung vorgelegt werden.
Gesetzliche einkommensbezogene Rente (Työeläke):
Eine Überprüfung erfolgt, wenn ein Bezieher einer Invaliditätsrente wieder eine Erwerbstätigkeit aufnimmt.
Die Neubewertung wird vom Rentenversicherungsträger vorgenommen, der die Rente zahlt. Es gibt keine festgelegten Zeiträume, wann dies stattfinden muss. Wenn der Rentenversicherungsträger Grund zur Annahme hat, dass die Arbeitsfähigkeit wiederhergestellt ist, ist der Rentenempfänger verpflichtet, auf Veranlassung des Rentenversicherungsträgers eine Untersuchung durch einen beglaubigten, vom Rentenversicherungsträger bestimmten Arzt, eine Rehabilitations- oder eine Forschungseinrichtung durchführen zu lassen, um festzustellen, ob die Invalidität andauert. Der Rentenversicherungsträger ist verpflichtet, angemessene Kosten und Reisekosten zu übernehmen, die durch die Untersuchung verursacht wurden.
Für das Rehabilitationsgeld (Kuntoutustuki), nachdem die Leistung erschöpft wurde, muss ein neuer Antrag gestellt bzw. eine ärztliche Bescheinigung vorgelegt werden.</t>
  </si>
  <si>
    <t>Volksrente (Kansaneläke):
Invaliditätsrente (Työkyvyttömyyseläke): Gesamtbetrag im Jahr 2025: €699,42 und €783,41 pro Monat je nach Familienstand. Gesamtbetrag für Personen, die nach Erreichen des 16. Lebensjahres und vor Beginn der Rente zu mindestens 80% der Zeit wohnhaft in Finnland waren. Andernfalls wird der Betrag an die Dauer des Aufenthaltes angepasst.
Der Betrag wird um 50% der Gesetzlichen einkommensbezogenen Rente (Työeläke) sowie anderer Renten, die in Finnland und im Ausland bezogen werden, gekürzt, falls der jährliche Gesamtbetrag im Jahr 2025 €795 überschreitet. Der Anspruch auf Volksrente geht verloren, wenn das Einkommen aus der einkommensbezogenen Rente folgende Beträge überschreitet:
   * für Alleinstehende: €1.617,13 pro Monat im Jahr 2025;
   * für Verheiratete oder zusammenlebende Partner: €1.449,13 pro Monat im Jahr 2025.
Keine Teilinvaliditätsrente.
Garantierte Rente (Takuueläke):
Der volle Betrag beläuft sich auf €986,30 pro Monat im Jahr 2025. Anderes Renteneinkommen wird von dem vollen Betrag der garantierten Rente abgezogen.
Gesetzliche einkommensbezogene Rente (Työeläke):
   * Invaliditätsrente (Työkyvyttömyyseläke): Erworbener Rentenanspruch unter Berücksichtigung des Zuwachses für zugerechnete Jahre bis zum Ruhestandsalter (unter der Bedingung, dass sich in den zehn Jahren vor Eintritt der Invalidität das jährliche Bruttoeinkommen auf mindestens €21.024,09 belief). Die Jahresrate in Relation zum Einkommen ist altersabhängig: 1,5% ab 17 Jahren bis zum Ruhestandsalter des Erwerbseinkommens (zwischen 68 und 70 Jahren gemäß dem Geburtsjahr, siehe Tabelle VI „Alter“). Bei Eintritt der Invalidität während der Beschäftigungszeit beläuft sich die Rate für zugerechnete Zeiten bis zum Ruhestandsalter auf: 1,5%. Für noch erwerbstätige Rentner beläuft sich die Steigerungsrate auf 1,5% des Einkommens. Eine Zuwachsrate von 1,5% gilt auch für unbezahlte Zeiten. Die Höhe der Invaliditätsrente wird entsprechend des Anstiegs der Lebenserwartung um einen Lebenserwartungs-Koeffizienten angepasst;
   * Teilinvaliditätsrente (osatyökyvyttömyyseläke): 50% der vollen Invaliditätsrente.
Die Anspruchsberechtigung unterliegt keiner Bedürftigkeitsprüfung, ausgenommen bei der Garantierten Rente (Takuueläke).
Die Renten werden monatlich gezahlt. Ihr Betrag kann vermindert werden, wenn die Person andere Leistungen wie die der Arbeitsunfallversicherung (tapaturmaetuus) bezieht.
Es gibt keine zusätzlichen Zahlungen zu bestimmten Zeiten des Jahres.</t>
  </si>
  <si>
    <t>Volksrente (Kansaneläke) und garantierte Rente (Takuueläke):
Nicht anwendbar.
Gesetzliche einkommensbezogene Rente (Työeläke):
Die Rentenhöhe ergibt sich aus den jährlichen Erwerbseinkommen. Es gibt keine Bemessungsgrenze für Einkommen. Für zugerechnete Jahre (d.h. die Jahre zwischen dem Auftreten der Invalidität und dem Rentenalter) gelten die Einkünfte der fünf Jahre vor Eintritt des Versicherungsfalls als Berechnungsgrundlage.
Für ungezahlte angerechnete Zeiten basiert die Wachstumsrate auf den Einkommen, auf denen die Leistungen beruhen. Für Mindestleistungen gilt ebenso wie für Zeiten des Studiums und häuslicher Kinderbetreuung ein fester monatlicher Betrag (2025: €876) als Referenzbasis.
Bei der erstmaligen Rentenbewilligung werden die Einkünfte aus abhängiger und selbstständiger Erwerbstätigkeit des gesamten Arbeitslebens mit einem Koeffizienten an das Niveau des Jahres des Rentenbeginns angepasst. Dieser Koeffizient wird zu 20% mit der Preisentwicklung und zu 80% mit der Lohnentwicklung gewichtet.</t>
  </si>
  <si>
    <t>Die Garantierte Rente (Takuueläke) garantiert Personen mit Wohnsitz in Finnland mit einer geringen Rente oder keiner anderen Rente eine Mindestrente. Der volle Betrag liegt im Jahr 2025 bei €986,30 pro Monat. Anderes Renteneinkommen wird vom vollen Betrag der Garantierten Rente abgezogen.
Gesetzliche einkommensbezogene Rente (Työeläke): Kein Mindestbetrag, keine Obergrenze.</t>
  </si>
  <si>
    <t>Gesetzliche einkommensbezogene Rente (Työeläke):
Zeiten des Bezugs von Erziehungsgeld (bei Kindern unter 3 Jahren) und Zeiten eines abgeschlossenen Studiums bis zu 5 Jahren. Zeiten, die ebenfalls angerechnet werden, sind solche des Bezugs von einkommensbezogenem Mutterschafts-, Vaterschafts- und Elternschaftsgeld, Tage mit einkommensbezogenem Arbeitslosengeld, Bildungsurlaub, Tage mit Krankengeld, Erwachsenenfortbildungszuschüsse, Rehabilitationsgelder und Lohnersatzleistungen der Arbeitsunfall-, Militärunfall- und Kraftfahrzeughaftpflichtversicherung.</t>
  </si>
  <si>
    <t>Ehepartner:
Volksrente (Kansaneläke), garantierte Rente (Takuueläke) und Gesetzliche einkommensbezogene Rente (Työeläke): Keine Zulagen.
Kinder:
Volksrente (Kansaneläke): Kinderzulage (lapsikorotus) in Höhe von €26,28 je Kind unter 16 Jahren pro Monat im Jahr 2025. Diese erhalten auch solche Rentner, die keine Volksrente beziehen.</t>
  </si>
  <si>
    <t xml:space="preserve">
   * Pflegebeihilfe für Rentner (Eläkettä saavan hoitotuki): 3 Kategorien von Beträgen, welche sich belaufen auf: €84,17, €183,36 und €387,73 pro Monat im Jahr 2025, zahlbar entsprechend der Bedürftigkeit, dem Beratungs- und Beaufsichtigungsbedarf oder zusätzlichen Ausgaben für die Kosten der häuslichen Pflege oder Sonderausgaben aufgrund von Krankheit oder Unfall;
   * Wohngeld für Rentner (eläkkeensaajan asumistuki): Wird u.U. Rentenempfängern mit Wohnsitz in Finnland gewährt. Die Höhe des Wohngeldes richtet sich nach dem Einkommen des Rentenempfängers und Ehepartners, des Einkommens aus Vermögen und den Wohnkosten;
   * Invaliditätsbeihilfe für Personen ab 16 Jahre (16 vuotta täyttäneen vammaistuki) für Nicht-Rentner: Personen über 16 Jahren, die keine Rente beziehen, deren Arbeitsfähigkeit jedoch aufgrund einer Krankheit oder eines Unfalls für einen Zeitraum von mindestens einem Jahr eingeschränkt ist, erhalten eine besondere Invaliditätsbeihilfe zum Ausgleich für Härten, notwendige Dienste etc. Die Leistungshöhe, die vom Grad der Behinderung, der Bedürftigkeit, dem Beratungs- und Beaufsichtigungsbedarf und der Höhe zusätzlicher Ausgaben abhängt, beläuft sich auf €109,97, €256,62 oder €497,60 pro Monat im Jahr 2025. Kinderzulage für Kinder unter 16 Jahren (lapsikorotus).
</t>
  </si>
  <si>
    <t>Rehabilitationsmaßnahmen werden von den Rentenanstalten angeboten. Vor der Genehmigung der Invaliditätsrente (Työkyvyttömyyseläke) muss durch die Rentenversicherungsträger sichergestellt werden, dass die Chancen des Antragstellers auf eine Wiedereingliederung überprüft wurden.
Kela stellt medizinische und berufliche Rehabilitation bereit.
Die Höhe der Rehabilitationsbeihilfe (Kuntoutusraha), die von der Kela bezahlt wird, entspricht dem Betrag des Krankengeldes, auf welches der Empfänger der Rehabilitation Anspruch gehabt hätte, wenn er oder sie zum Beginn der Rehabilitation eine Beeinträchtigung erlitten hätte und welches direkt gezahlt wird oder nach einer Karenzfrist von entweder 1, 10 oder 30 Arbeitstagen (Samstage eingeschlossen). Die Länge der Karenzfrist hängt von der Art der Rehabilitationsmaßnahme ab. Die Karenzfrist von 30 Tagen gilt, wenn eine Person zu Beginn der Rehabilitation die volle Rente erhält. Der Mindestbetrag liegt bei €31,99 pro Arbeitstag im Jahr 2025.
Eine teilweise Rehabilitätsbeihilfe kann von Kela gezahlt werden, wenn die tägliche Arbeitszeit der Person um 40% gekürzt wird.
Nach einer Karenzzeit von 30 Tagen wird an Rentner eine Rehabilitationsbeihilfe von 10% zusätzlich zur Rente gezahlt. Kosten der Rehabilitationsmaßnahme werden voll übernommen.
Rehabilitationsbeihilfe (Kuntoutusraha), die von anderen Rententrägern erbracht wird, beläuft sich auf die volle Höhe der Invaliditätsrente (Työkyvyttömyyseläke) zzgl. einer Erhöhung von 33% für Zeiten aktiver, vom Rentenversicherungsträger eingeleiteter Rehabilitation. Teilweise Rehabilitationsbeihilfe kann von anderen Rententrägern erbracht werden, wenn der Arbeitnehmer während der beruflichen Rehabilitation mehr als die Hälfte der stabilisierten Erträge verdient.</t>
  </si>
  <si>
    <t>Entgeltzuschuss kann gewährt werden, wenn die Behinderung oder Krankheit eines Arbeitssuchenden seine Arbeitsleistung in einer Beschäftigung erheblich und dauerhaft beeinträchtigt. Der Zuschuss kann bis zu 50% der Personalkosten decken. Die Zeitraum für den Zuschuss darf nicht länger als 24 Monate am Stück dauern.</t>
  </si>
  <si>
    <t>Volksrente (Kansaneläke) und garantierte Rente (Takuueläke):
Jährliche Anpassung an die Entwicklung des Preisindex für die Lebenshaltung.
Gesetzliche einkommensbezogene Rente (Työeläke):
Laufende Renten werden jährlich im Januar nach dem Index für einkommensbezogene Renten angepasst. Dieser gewichtete Index berücksichtigt die Preisentwicklung zu 80% und die Einkommensentwicklung zu 20%.</t>
  </si>
  <si>
    <t>In Grenzen ist Erwerbstätigkeit mit Rentenbezug vereinbar.
Volksrente (Kansaneläke) und garantierte Rente (Takuueläke):
Wenn die Bruttoeinkünfte im Jahr 2025 €986,30 pro Monat übersteigen, so kann die Rente für 3-24 Monate suspendiert werden.
Gesetzliche einkommensbezogene Rente (Työeläke):
Wenn die Einkünfte 60% des der Rente zugrunde liegenden Einkommens übersteigen, so kann die Invaliditätsrente (Työkyvyttömyyseläke) für 3 bis zu 24 Monate suspendiert werden.</t>
  </si>
  <si>
    <t> Es wird nur eine Rente des staatlichen Volksrentensystems (Kansaneläke) bezahlt. Jedes andere Renteneinkommen wird von dem vollen Betrag der garantierten Rente (Takuueläke) abgezogen.
Bei Kumulierung beispielsweise mit einer Gesetzlichen einkommensbezogenen Rente (Työeläke) oder einer Rente wegen Arbeitsunfall oder Berufskrankheit wird die Volksrente (Kansaneläke) gekürzt.
Die Gesetzliche einkommensbezogene Rente (Työeläke) ist gegenüber einer Leistung der Arbeitsunfallversicherung nachrangig, so dass nur der Teil zu zahlen ist, der über der Arbeitsunfallentschädigung liegt. Dies gilt auch für Leistungen der Kraftfahrzeughaftpflichtversicherung.</t>
  </si>
  <si>
    <t>Renten unterliegen der Besteuerung. Bei unterschiedlichen Einkommensarten (Rente, Lohn, Tagegeld) besteht jedoch Anspruch auf unterschiedliche Steuerfreibeträge. Bezieher einer Rente haben Anspruch auf spezielle Steuerfreibeträge. Gibt es neben der Volksrente (Kansaneläke) kein weiteres Einkommen, bleibt die Rente einkommensteuerfrei. Siehe Tabelle V „Besteuerung und Sozialbeiträge - Einkommensgrenze für Besteuerung von Geldleistungen“.
Invaliditätsbeihilfe für Personen im Alter von 16 Jahren oder älter (16 vuotta täyttäneen vammaistuki), Pflegebeihilfe für Rentner (Eläkettä saavan hoitotuki) und Wohngeld für Rentner (Eläkkeensaajan asumistuki) unterliegen nicht der Besteuerung.</t>
  </si>
  <si>
    <t>Renteneinkommen unterliegt bei der Besteuerung einem Renteneinkommensabzug wie folgt:
   * voller Abzug bei einem jährlichen Renteneinkommen unter €11.030;
   * Steuern werden fällig, wenn das jährliche Renteneinkommen über €13.756 liegt;
   * Kein Abzug bei einem jährlichen Renteneinkommen über €48.931.
5,85% Zusatzsteuer auf den Teil des jährlichen Renteneinkommens, der €47.000 überschreitet.</t>
  </si>
  <si>
    <t>Krankenversicherung (Sairausvakuutus/ Sairaanhoitovakuutus):
Der Versichertenbeitrag beträgt 1,45% von Renten und anderen Sozialleistungen.</t>
  </si>
  <si>
    <t>Gesetzliche einkommensabhängige Rente, Staatliche Rente, Invaliditätsbeihilfen (Invaliditätsbeihilfe für Personen unter 16 Jahren, Invaliditätsbeihilfe für Personen von 16 Jahren und darüber, Betreuungsbeihilfe für Senioren): Selbstständige und Landwirte sind durch die gleichen Systeme abgedeckt wie Arbeitnehmer.</t>
  </si>
  <si>
    <t>Gesetzliche einkommensbezogene Rente: Obligatorisches versicherungsgebundenes System (YEL und MYEL).
Staatliche Rente und Invaliditätsbeihilfen: Obligatorisches wohnsitzgebundenes System.</t>
  </si>
  <si>
    <t>Gesetzliche einkommensbezogene Rente: 4 Versicherungsmonate erforderlich für Selbstständige und Landwirte. Keine Mindestversicherungszeit für Arbeitnehmer.
Im Jahr 2025 beträgt das versicherbare Mindesteinkommen von Selbstständigen €9.208,43 pro Jahr; für Landwirte €4.605 pro Jahr. Für Arbeitnehmer beträgt es €70,08 pro Monat.
Staatliche Rente und Invaliditätsbeihilfen: Keine bestimmten Voraussetzungen für Selbstständige und Landwirte.</t>
  </si>
  <si>
    <t>Gesetz über die staatliche Rentenversicherung (Riikliku pensionikindlustuse seadus) 2001.
Gesetz zur Arbeitsfähigkeitsbeihilfe (Töövõimetoetuse seadus) 2014.
Verzeichnis der Rechtsakte – siehe hier.</t>
  </si>
  <si>
    <t>Arbeitsfähigkeitsbeihilfe (töövõimetoetus):
Allgemeines System mit Pauschalleistung, das aus dem Staatshaushalt finanziert wird. Das System gilt für alle Einwohner im Alter zwischen 16 Jahren und dem rentenfähigen Alter. Diese Beihilfe wird die Invaliditätsrente schrittweise ersetzen.
Die Arbeitsfähigkeitsbeihilfe ist nicht Teil des nationalen Rentensystems, sondern ein gesondertes System.
Kein besonderes Sozialhilfesystem bei Invalidität.</t>
  </si>
  <si>
    <t>Alle Einwohner zwischen 16 Jahren und Renteneintrittsalter, einschließlich estnische Staatsbürger und Ausländer mit Aufenthaltsrecht oder internationalem Schutzstatus sind anspruchsberechtigt.</t>
  </si>
  <si>
    <t>Keine Anwartschaftszeit erforderlich.</t>
  </si>
  <si>
    <t>Die Arbeitsfähigkeitsbeihilfe wird ab dem Datum des Antrags für den Zeitraum der festgestellten teilweisen oder vollständigen Arbeitsfähigkeit gewährt (normalerweise für bis zu fünf Jahren). Wenn der Gesundheitszustand jegliche Arbeitsfähigkeit ausschließt oder unverändert oder fortschreitend ist, kann die Beihilfe längerfristig bis zum Rentenalter gewährt werden.
Keine vorgezogene Rente im Fall reduzierter Arbeitsfähigkeit.</t>
  </si>
  <si>
    <t>Fachärzte bestimmen die Dauer der eingeschränkten Arbeitsfähigkeit einer Person, die zwischen 6 Monaten und 5 Jahren liegen kann.
Einige im Gesetz aufgeführte schwere Leiden wie beispielsweise Demenz, Dialysebehandlung, Krebs im Endstadium, dauerhafte Bettlägerigkeit, kontrollierte Atmung, leichte, schwere oder tiefgreifende geistige Behinderung unterliegen einer vereinfachten Bewertung, die zur Arbeitsunfähigkeit bis zum Rentenalter führt. </t>
  </si>
  <si>
    <t>Nicht anwendbar. Leistungen sind nicht einkommensbezogen.</t>
  </si>
  <si>
    <t>Pauschalleistung.</t>
  </si>
  <si>
    <t>Medizinische Rehabilitation wird im Rahmen der Gesundheitsfürsorge als Sachleistung angeboten.
Die Arbeitslosenversicherungskasse (Eesti Töötukassa) bietet Arbeitsrehabilitation an für Personen, die teilweise arbeitsfähig oder arbeitsunfähig sind, eine Behinderung haben oder dauerhaft erwerbsunfähig sind und Personen, die erwerbstätig, als arbeitssuchend gemeldet oder Studierende sind.
Eine erwerbsunfähige Person, die dennoch erwerbstätig ist, hat auch Anspruch auf Arbeitsrehabilitation.
Das Landesversicherungsamt ist zuständig für die soziale Wiedereingliederung (z.B. Ergotherapie, Sprachtherapie, Physiotherapie) von Personen, die arbeitsunfähig oder nur teilweise arbeitsfähig sind, mit einer Behinderung oder einem Verlust der Arbeitsfähigkeit oder mit einer Behinderungsstufe, die nicht aktiv erwerbstätig sind, d.h. keiner Beschäftigung nachgehen, nicht studieren oder als arbeitslos bei der Estnischen Arbeitslosenversicherungskasse gemeldet sind.
Lokale Behörden sind dafür zuständig, den Bedarf an Unterstützung einer Person zu ermitteln und die angemessene Unterstützung zu bestimmen. Die angebotenen Dienstleistungen umfassen z.B. spezielle Beförderungsmöglichkeiten, Anpassung der Wohnung, persönliche Hilfe, Hilfsperson.
Teilnahme an beruflicher Ausbildung oder Rehabilitation ist für den Bezug der Leistung nicht verpflichtend.
Siehe auch unten, Invalidität – Bevorzugte oder vorbehaltene Be-schäftigung von/für Menschen mit Behinderungen, Bevorzugte Beschäftigung von Menschen mit Behinderungen.</t>
  </si>
  <si>
    <t>Arbeitsfähigkeitsbeihilfe wird jährlich zum 1. April angepasst. Der Anpassungsindex ist abhängig vom Anstieg der Verbraucherpreise und der Einnahmen aus der Sozialsteuer (sotsiaalmaks) (im Verhältnis von 20:80).</t>
  </si>
  <si>
    <t>Kumulierung mit Arbeitseinkommen ist möglich. Allerdings wird die Beihilfe gekürzt, wenn das Einkommen einer Person einen Höchstbetrag des 90-fachen des täglichen Beihilfesatzes übersteigt.
Die Kürzung entspricht der Hälfte der Differenz zwischen dem Einkommen und dem 90-fachen des Tagessatzes.
Siehe auch Tabelle V zu Invalidität, „Berechnung, Methode, Rentenformel oder Beträge“.</t>
  </si>
  <si>
    <t>Kumulierung mit Sozialversicherungsleistungen ist nicht möglich.</t>
  </si>
  <si>
    <t>Leistungen unterliegen nicht der Besteuerung.</t>
  </si>
  <si>
    <t>Nicht anwendbar: Leistungen werden nicht besteuert.</t>
  </si>
  <si>
    <t>Allgemeine, wohnsitzgebundene, steuerfinanzierte Systeme: Arbeitsfähigkeitsbeihilfe und Sozialleistungen für Menschen mit Behinderung.</t>
  </si>
  <si>
    <t>Gleiche Bedingungen wie für Arbeitnehmer (nicht anwendbar).</t>
  </si>
  <si>
    <t>https://view.officeapps.live.com/op/view.aspx?src=https%3A%2F%2Fwww.destatis.de%2FDE%2FThemen%2FGesellschaft-Umwelt%2FBevoelkerung%2FSterbefaelle-Lebenserwartung%2FPublikationen%2FDownloads-Sterbefaelle%2Fkohortensterbetafeln-5126101209005.xlsx%3F__blob%3DpublicationFile&amp;wdOrigin=BROWSELINK</t>
  </si>
  <si>
    <t>Erweiterte Suche - Statistisches Bundesamt (destatis.de)</t>
  </si>
  <si>
    <t>1970, 3%,0%,60,(48)</t>
  </si>
  <si>
    <t>Invalidenrente</t>
  </si>
  <si>
    <t>Alters und Invaliditätsrente</t>
  </si>
  <si>
    <t>Witwenrente 100%</t>
  </si>
  <si>
    <t xml:space="preserve">Witwenrente </t>
  </si>
  <si>
    <t>Anwartschafts-barwert
Altersrente</t>
  </si>
  <si>
    <r>
      <rPr>
        <sz val="12"/>
        <color indexed="8"/>
        <rFont val="Calibri"/>
        <family val="2"/>
      </rPr>
      <t xml:space="preserve">Zuschläge zum Barwert für </t>
    </r>
    <r>
      <rPr>
        <b/>
        <sz val="12"/>
        <color indexed="8"/>
        <rFont val="Calibri"/>
        <family val="2"/>
      </rPr>
      <t xml:space="preserve">
Invaliditäts- und Hinterbliebenenversorgung </t>
    </r>
    <r>
      <rPr>
        <sz val="11"/>
        <color rgb="FF000000"/>
        <rFont val="Calibri"/>
        <family val="2"/>
      </rPr>
      <t xml:space="preserve">
- Männer -</t>
    </r>
  </si>
  <si>
    <r>
      <t xml:space="preserve">Zuschläge zum Barwert für 
</t>
    </r>
    <r>
      <rPr>
        <b/>
        <sz val="12"/>
        <color indexed="8"/>
        <rFont val="Calibri"/>
        <family val="2"/>
      </rPr>
      <t xml:space="preserve">Invaliditäts- und Hinterbliebenenversorgung </t>
    </r>
    <r>
      <rPr>
        <sz val="11"/>
        <color rgb="FF000000"/>
        <rFont val="Calibri"/>
        <family val="2"/>
      </rPr>
      <t xml:space="preserve">
- Frauen -</t>
    </r>
  </si>
  <si>
    <r>
      <t>(12)a</t>
    </r>
    <r>
      <rPr>
        <vertAlign val="subscript"/>
        <sz val="8"/>
        <color indexed="8"/>
        <rFont val="Calibri"/>
        <family val="2"/>
      </rPr>
      <t>x</t>
    </r>
    <r>
      <rPr>
        <sz val="8"/>
        <color indexed="8"/>
        <rFont val="Arial"/>
        <family val="2"/>
      </rPr>
      <t>aiz</t>
    </r>
  </si>
  <si>
    <r>
      <t>(12)a</t>
    </r>
    <r>
      <rPr>
        <vertAlign val="subscript"/>
        <sz val="8"/>
        <color indexed="8"/>
        <rFont val="Calibri"/>
        <family val="2"/>
      </rPr>
      <t>x</t>
    </r>
    <r>
      <rPr>
        <sz val="8"/>
        <color indexed="8"/>
        <rFont val="Arial"/>
        <family val="2"/>
      </rPr>
      <t>aia</t>
    </r>
  </si>
  <si>
    <r>
      <t>a</t>
    </r>
    <r>
      <rPr>
        <vertAlign val="subscript"/>
        <sz val="8"/>
        <color indexed="8"/>
        <rFont val="Calibri"/>
        <family val="2"/>
      </rPr>
      <t>x</t>
    </r>
    <r>
      <rPr>
        <sz val="8"/>
        <color indexed="8"/>
        <rFont val="Arial"/>
        <family val="2"/>
      </rPr>
      <t>aw</t>
    </r>
  </si>
  <si>
    <t>Anteil IR</t>
  </si>
  <si>
    <t>Anteil HR</t>
  </si>
  <si>
    <t>Gesamt IR + HR</t>
  </si>
  <si>
    <r>
      <t>(12)a</t>
    </r>
    <r>
      <rPr>
        <vertAlign val="subscript"/>
        <sz val="8"/>
        <color indexed="8"/>
        <rFont val="Calibri"/>
        <family val="2"/>
      </rPr>
      <t>y</t>
    </r>
    <r>
      <rPr>
        <sz val="8"/>
        <color indexed="8"/>
        <rFont val="Arial"/>
        <family val="2"/>
      </rPr>
      <t>aiz</t>
    </r>
  </si>
  <si>
    <r>
      <t>(12)a</t>
    </r>
    <r>
      <rPr>
        <vertAlign val="subscript"/>
        <sz val="8"/>
        <color indexed="8"/>
        <rFont val="Calibri"/>
        <family val="2"/>
      </rPr>
      <t>y</t>
    </r>
    <r>
      <rPr>
        <sz val="8"/>
        <color indexed="8"/>
        <rFont val="Arial"/>
        <family val="2"/>
      </rPr>
      <t>aia</t>
    </r>
  </si>
  <si>
    <t>ayaw</t>
  </si>
  <si>
    <t>1974, 3%,0%,61,(48)</t>
  </si>
  <si>
    <r>
      <t>(12)a</t>
    </r>
    <r>
      <rPr>
        <vertAlign val="subscript"/>
        <sz val="9"/>
        <color indexed="8"/>
        <rFont val="Calibri"/>
        <family val="2"/>
      </rPr>
      <t>x</t>
    </r>
    <r>
      <rPr>
        <sz val="9"/>
        <color indexed="8"/>
        <rFont val="Arial"/>
        <family val="2"/>
      </rPr>
      <t>aiz</t>
    </r>
  </si>
  <si>
    <r>
      <t>(12)a</t>
    </r>
    <r>
      <rPr>
        <vertAlign val="subscript"/>
        <sz val="9"/>
        <color indexed="8"/>
        <rFont val="Calibri"/>
        <family val="2"/>
      </rPr>
      <t>x</t>
    </r>
    <r>
      <rPr>
        <sz val="9"/>
        <color indexed="8"/>
        <rFont val="Arial"/>
        <family val="2"/>
      </rPr>
      <t>aia</t>
    </r>
  </si>
  <si>
    <r>
      <t>a</t>
    </r>
    <r>
      <rPr>
        <vertAlign val="subscript"/>
        <sz val="9"/>
        <color indexed="8"/>
        <rFont val="Calibri"/>
        <family val="2"/>
      </rPr>
      <t>x</t>
    </r>
    <r>
      <rPr>
        <sz val="9"/>
        <color indexed="8"/>
        <rFont val="Arial"/>
        <family val="2"/>
      </rPr>
      <t>aw</t>
    </r>
  </si>
  <si>
    <r>
      <t>0,6 a</t>
    </r>
    <r>
      <rPr>
        <vertAlign val="subscript"/>
        <sz val="9"/>
        <color indexed="8"/>
        <rFont val="Calibri"/>
        <family val="2"/>
      </rPr>
      <t>x</t>
    </r>
    <r>
      <rPr>
        <sz val="9"/>
        <color indexed="8"/>
        <rFont val="Arial"/>
        <family val="2"/>
      </rPr>
      <t>aw</t>
    </r>
  </si>
  <si>
    <r>
      <t>(12)a</t>
    </r>
    <r>
      <rPr>
        <vertAlign val="subscript"/>
        <sz val="9"/>
        <color indexed="8"/>
        <rFont val="Calibri"/>
        <family val="2"/>
      </rPr>
      <t>y</t>
    </r>
    <r>
      <rPr>
        <sz val="9"/>
        <color indexed="8"/>
        <rFont val="Arial"/>
        <family val="2"/>
      </rPr>
      <t>aiz</t>
    </r>
  </si>
  <si>
    <r>
      <t>(12)a</t>
    </r>
    <r>
      <rPr>
        <vertAlign val="subscript"/>
        <sz val="9"/>
        <color indexed="8"/>
        <rFont val="Calibri"/>
        <family val="2"/>
      </rPr>
      <t>y</t>
    </r>
    <r>
      <rPr>
        <sz val="9"/>
        <color indexed="8"/>
        <rFont val="Arial"/>
        <family val="2"/>
      </rPr>
      <t>aia</t>
    </r>
  </si>
  <si>
    <t>0,6 ayaw</t>
  </si>
  <si>
    <t>1974, 3%,0%,62,(48)</t>
  </si>
  <si>
    <t>1974,3%,0%,63,(48)</t>
  </si>
  <si>
    <r>
      <t xml:space="preserve">Zuschläge zum Barwert für 
</t>
    </r>
    <r>
      <rPr>
        <b/>
        <sz val="12"/>
        <color indexed="8"/>
        <rFont val="Calibri"/>
        <family val="2"/>
      </rPr>
      <t xml:space="preserve">Invaliditäts- und Hinterbliebenenversorgung </t>
    </r>
    <r>
      <rPr>
        <sz val="11"/>
        <color rgb="FF000000"/>
        <rFont val="Calibri"/>
        <family val="2"/>
      </rPr>
      <t xml:space="preserve">
- Divers -</t>
    </r>
  </si>
  <si>
    <t>1970,3%,0,64,(48)</t>
  </si>
  <si>
    <r>
      <rPr>
        <sz val="10"/>
        <color indexed="8"/>
        <rFont val="Calibri"/>
        <family val="2"/>
      </rPr>
      <t xml:space="preserve">Zuschläge zum Barwert für </t>
    </r>
    <r>
      <rPr>
        <b/>
        <sz val="10"/>
        <color indexed="8"/>
        <rFont val="Calibri"/>
        <family val="2"/>
      </rPr>
      <t xml:space="preserve">
Invaliditäts- und Hinterbliebenenversorgung </t>
    </r>
    <r>
      <rPr>
        <sz val="10"/>
        <color indexed="8"/>
        <rFont val="Arial"/>
        <family val="2"/>
      </rPr>
      <t xml:space="preserve">
- Männer -</t>
    </r>
  </si>
  <si>
    <r>
      <t xml:space="preserve">Zuschläge zum Barwert für 
</t>
    </r>
    <r>
      <rPr>
        <b/>
        <sz val="10"/>
        <color indexed="8"/>
        <rFont val="Calibri"/>
        <family val="2"/>
      </rPr>
      <t xml:space="preserve">Invaliditäts- und Hinterbliebenenversorgung </t>
    </r>
    <r>
      <rPr>
        <sz val="10"/>
        <color indexed="8"/>
        <rFont val="Arial"/>
        <family val="2"/>
      </rPr>
      <t xml:space="preserve">
- Frauen -</t>
    </r>
  </si>
  <si>
    <r>
      <t xml:space="preserve">Zuschläge zum Barwert für 
</t>
    </r>
    <r>
      <rPr>
        <b/>
        <sz val="10"/>
        <color indexed="8"/>
        <rFont val="Calibri"/>
        <family val="2"/>
      </rPr>
      <t xml:space="preserve">Invaliditäts- und Hinterbliebenenversorgung </t>
    </r>
    <r>
      <rPr>
        <sz val="10"/>
        <color indexed="8"/>
        <rFont val="Arial"/>
        <family val="2"/>
      </rPr>
      <t xml:space="preserve">
- unisex -</t>
    </r>
  </si>
  <si>
    <t>1970,3%,0%,65</t>
  </si>
  <si>
    <r>
      <t xml:space="preserve">Zuschläge zum Barwert für 
</t>
    </r>
    <r>
      <rPr>
        <b/>
        <sz val="10"/>
        <color indexed="8"/>
        <rFont val="Calibri"/>
        <family val="2"/>
      </rPr>
      <t xml:space="preserve">Invaliditäts- und Hinterbliebenenversorgung </t>
    </r>
    <r>
      <rPr>
        <sz val="10"/>
        <color indexed="8"/>
        <rFont val="Arial"/>
        <family val="2"/>
      </rPr>
      <t xml:space="preserve">
- Divers -</t>
    </r>
  </si>
  <si>
    <r>
      <t>(12)a</t>
    </r>
    <r>
      <rPr>
        <vertAlign val="subscript"/>
        <sz val="9"/>
        <color indexed="8"/>
        <rFont val="Calibri"/>
        <family val="2"/>
      </rPr>
      <t>x</t>
    </r>
    <r>
      <rPr>
        <sz val="9"/>
        <color indexed="8"/>
        <rFont val="Arial"/>
        <family val="2"/>
      </rPr>
      <t>auiz</t>
    </r>
  </si>
  <si>
    <r>
      <t>(12)a</t>
    </r>
    <r>
      <rPr>
        <vertAlign val="subscript"/>
        <sz val="9"/>
        <color indexed="8"/>
        <rFont val="Calibri"/>
        <family val="2"/>
      </rPr>
      <t>y</t>
    </r>
    <r>
      <rPr>
        <sz val="9"/>
        <color indexed="8"/>
        <rFont val="Arial"/>
        <family val="2"/>
      </rPr>
      <t>auiz</t>
    </r>
  </si>
  <si>
    <r>
      <t>(12)an</t>
    </r>
    <r>
      <rPr>
        <sz val="9"/>
        <color indexed="8"/>
        <rFont val="Arial"/>
        <family val="2"/>
      </rPr>
      <t>aiz</t>
    </r>
  </si>
  <si>
    <r>
      <t>(12)an</t>
    </r>
    <r>
      <rPr>
        <sz val="9"/>
        <color indexed="8"/>
        <rFont val="Arial"/>
        <family val="2"/>
      </rPr>
      <t>aia</t>
    </r>
  </si>
  <si>
    <t>anaw</t>
  </si>
  <si>
    <t>0,6 anaw</t>
  </si>
  <si>
    <t>Männer</t>
  </si>
  <si>
    <t>Frauen</t>
  </si>
  <si>
    <t>Unisex</t>
  </si>
  <si>
    <t>1970(48),3%,0%,66</t>
  </si>
  <si>
    <t>ReZi 6%/0%</t>
  </si>
  <si>
    <t>Witwenrente 0,6</t>
  </si>
  <si>
    <r>
      <t xml:space="preserve">Zuschläge zum Barwert AR für 
</t>
    </r>
    <r>
      <rPr>
        <b/>
        <sz val="12"/>
        <color indexed="8"/>
        <rFont val="Calibri"/>
        <family val="2"/>
      </rPr>
      <t xml:space="preserve">Invaliditäts- und Hinterbliebenenversorgung </t>
    </r>
    <r>
      <rPr>
        <sz val="11"/>
        <color rgb="FF000000"/>
        <rFont val="Calibri"/>
        <family val="2"/>
      </rPr>
      <t xml:space="preserve">
- Frauen -</t>
    </r>
  </si>
  <si>
    <t>Anwartschafts-barwert</t>
  </si>
  <si>
    <t>x</t>
  </si>
  <si>
    <t>(12)axaiZ</t>
  </si>
  <si>
    <t>(12)axaiA</t>
  </si>
  <si>
    <r>
      <t>a</t>
    </r>
    <r>
      <rPr>
        <vertAlign val="subscript"/>
        <sz val="9"/>
        <color indexed="8"/>
        <rFont val="Arial"/>
        <family val="2"/>
      </rPr>
      <t>x</t>
    </r>
    <r>
      <rPr>
        <sz val="9"/>
        <color indexed="8"/>
        <rFont val="Arial"/>
        <family val="2"/>
      </rPr>
      <t>aw</t>
    </r>
  </si>
  <si>
    <t>0,6 axaaw</t>
  </si>
  <si>
    <r>
      <t>a</t>
    </r>
    <r>
      <rPr>
        <vertAlign val="subscript"/>
        <sz val="9"/>
        <color indexed="8"/>
        <rFont val="Arial"/>
        <family val="2"/>
      </rPr>
      <t>y</t>
    </r>
    <r>
      <rPr>
        <sz val="9"/>
        <color indexed="8"/>
        <rFont val="Arial"/>
        <family val="2"/>
      </rPr>
      <t>aw</t>
    </r>
  </si>
  <si>
    <t>n</t>
  </si>
  <si>
    <t>(12)anaiZ</t>
  </si>
  <si>
    <t>(12)anaiA</t>
  </si>
  <si>
    <r>
      <t>an</t>
    </r>
    <r>
      <rPr>
        <sz val="9"/>
        <color indexed="8"/>
        <rFont val="Arial"/>
        <family val="2"/>
      </rPr>
      <t>aw</t>
    </r>
  </si>
  <si>
    <t>1975, 3%,0,67</t>
  </si>
  <si>
    <t>Witwenrente x x%</t>
  </si>
  <si>
    <t>Anwartschafts-barwert d. Altersrente</t>
  </si>
  <si>
    <t>Witwenrente</t>
  </si>
  <si>
    <r>
      <t>a</t>
    </r>
    <r>
      <rPr>
        <vertAlign val="subscript"/>
        <sz val="11"/>
        <color indexed="8"/>
        <rFont val="Arial"/>
        <family val="2"/>
      </rPr>
      <t>x</t>
    </r>
    <r>
      <rPr>
        <sz val="11"/>
        <color rgb="FF000000"/>
        <rFont val="Calibri"/>
        <family val="2"/>
      </rPr>
      <t>aw</t>
    </r>
  </si>
  <si>
    <t xml:space="preserve"> axaw</t>
  </si>
  <si>
    <r>
      <t>a</t>
    </r>
    <r>
      <rPr>
        <vertAlign val="subscript"/>
        <sz val="11"/>
        <color indexed="8"/>
        <rFont val="Arial"/>
        <family val="2"/>
      </rPr>
      <t>y</t>
    </r>
    <r>
      <rPr>
        <sz val="11"/>
        <color rgb="FF000000"/>
        <rFont val="Calibri"/>
        <family val="2"/>
      </rPr>
      <t>aw</t>
    </r>
  </si>
  <si>
    <t>ISO</t>
  </si>
  <si>
    <t>2025-Status</t>
  </si>
  <si>
    <t>Max. Jahresanp.</t>
  </si>
  <si>
    <t>Min. Jahresanp.</t>
  </si>
  <si>
    <t>Volatilität</t>
  </si>
  <si>
    <t>Hinweis</t>
  </si>
  <si>
    <t>Quelle</t>
  </si>
  <si>
    <t>BE</t>
  </si>
  <si>
    <t>2025: Schwellenindex-System bleibt maßgeblich; konkrete jährliche Wirkung hängt von Zahl/Zeitpunkt der Schwellenüberschreitungen ab.</t>
  </si>
  <si>
    <t>Multiplikatoren der Quelle wurden in Prozentwerte umgerechnet; siehe Methodik.</t>
  </si>
  <si>
    <t>Boguslawski 2026 Supplementary Material</t>
  </si>
  <si>
    <t>BG</t>
  </si>
  <si>
    <t>2025: weiterhin stark politisch/ad-hoc geprägt; für exakte Sätze nationale Sozialversicherungsquelle heranziehen.</t>
  </si>
  <si>
    <t>DK</t>
  </si>
  <si>
    <t>DE</t>
  </si>
  <si>
    <t>2025: Rentenanpassung weiterhin lohnorientiert; aktuelle 2025-Gesetzgebung stabilisiert Rentenniveau politisch.</t>
  </si>
  <si>
    <t>EE</t>
  </si>
  <si>
    <t>2025: Indexformel gilt; konkreter Satz national prüfen.</t>
  </si>
  <si>
    <t>FI</t>
  </si>
  <si>
    <t>2025: Indexregel fortgeführt; genaue Sätze je Systemkomponente unterscheiden sich.</t>
  </si>
  <si>
    <t>FR</t>
  </si>
  <si>
    <t>2025: Grundsystem weiterhin CPI-orientiert; konkrete Haushalts-/Revalorisierungsentscheidungen beachten.</t>
  </si>
  <si>
    <t>EL</t>
  </si>
  <si>
    <t>2025: Formelregime fortgeführt; konkreter Satz national prüfen.</t>
  </si>
  <si>
    <t>IT</t>
  </si>
  <si>
    <t>2025: automatische Inflation; MISSOC nennt 0,80 % offiziellen Indexationssatz mit Staffelung nach Pensionshöhe.</t>
  </si>
  <si>
    <t>HR</t>
  </si>
  <si>
    <t>2025: Formel-/Halbjahresanpassung; kein einheitlicher EU-Panelwert verfügbar.</t>
  </si>
  <si>
    <t>LU</t>
  </si>
  <si>
    <t>2025: Index-/Lohnmechanik fortgeführt; konkrete Jahreswirkung hängt von Indextranchen und politischer Entscheidung ab.</t>
  </si>
  <si>
    <t>AT</t>
  </si>
  <si>
    <t>2025: 4,6 % bis zu einer hohen Pensionsgrenze; darüber fixer Betrag; Quelle: MISSOC/Boguslawski-Anhang.</t>
  </si>
  <si>
    <t>PL</t>
  </si>
  <si>
    <t>2025: gesetzliche Indexformel; konkrete Zusatzleistungen separat betrachten.</t>
  </si>
  <si>
    <t>PT</t>
  </si>
  <si>
    <t>2025: Formel nach CPI/BIP/Schwellenwerten; exakte Staffel je Pensionshöhe national prüfen.</t>
  </si>
  <si>
    <t>RO</t>
  </si>
  <si>
    <t>2025: nach neuerem Rentenrecht und Haushaltslage national prüfen; Panelwert nicht verfügbar.</t>
  </si>
  <si>
    <t>SE</t>
  </si>
  <si>
    <t>2025: einkommensindexbasierte Anpassung; konkrete Sätze unterscheiden sich nach Rentenbestandteil.</t>
  </si>
  <si>
    <t>SK</t>
  </si>
  <si>
    <t>2025: Rentnerinflationslogik/Valorisierung; konkrete Sätze national prüfen.</t>
  </si>
  <si>
    <t>SI</t>
  </si>
  <si>
    <t>2025: Mischformel/außerordentliche Anpassungen nach nationaler Entscheidung; Panelwert nicht verfügbar.</t>
  </si>
  <si>
    <t>ES</t>
  </si>
  <si>
    <t>2025: CPI-basierte Anpassung über Staatshaushalt; Mindestrenten teils stärker.</t>
  </si>
  <si>
    <t>CZ</t>
  </si>
  <si>
    <t>Tschechien</t>
  </si>
  <si>
    <t>2025: neue restriktivere Hochinflations-/Indexierungslogik nach Reformen 2023/2024; konkrete Sätze national prüfen.</t>
  </si>
  <si>
    <t>HU</t>
  </si>
  <si>
    <t>2025: CPI-/Budgetmechanismus; konkrete Nachzahlungen abhängig von tatsächlicher Inflation.</t>
  </si>
  <si>
    <t>ZY</t>
  </si>
  <si>
    <t>Missoc Comparative Tables
Updated at: 01 July 2025</t>
  </si>
  <si>
    <t>Für Versicherte vor 1996 gilt eine Mindestversicherungszeit von 20 geleisteten und/oder fiktiven Beitragsjahren ungeachtet des Rentenberechnungssystems.
Für Personen, die erstmals nach dem 1. Januar 1996 versichert waren, kann eine Mindestversicherungszeit von 5 geleisteten Beitragsjahren gelten (fiktive Beiträge werden nicht berücksichtigt), das Renteneintrittsalter ist jedoch höher (71 Jahre + 3 Monate).
Der Anspruch auf eine volle Rente, die sogenannte Vorgezogene Rente (pensione anticipata) beruht auf den folgenden Voraussetzungen (gültig bis Dezember 2026):
   * 42 Jahre und 10 Monate an Beiträgen ungeachtet des Alters;
   * 41 Jahre und 10 Monate an Beiträgen für weibliche Arbeitnehmer ungeachtet des Alters.
Der Rentenbetrag unterliegt keiner dauerhaften Reduzierung mehr, auch wenn er bereits vor dem Alter von 62 Jahren bezogen wird. Denoch gilt ein Aufschub-System bezüglich des Datums, an dem die erste Rentenzahlung fällig wird.
Vorteilhaftere Anspruchsvoraussetzungen werden weiterhin für frühzeitige Arbeitnehmer gelten (sogenannte „lavoratori precoci“) (d.h. jene, die vor dem Erreichen des 19. Lebensjahres bereits 12 Monate lang Beiträge geleistet haben):
   * 41 Beitragsjahre, unabhängig vom Alter, für Männer und Frauen gleichermaßen sowie eine der folgenden Voraussetzungen erfüllt sein:
   * Langzeitarbeitslosigkeit mit geringen Chancen für die Wiedereingliederung in den Arbeitsmarkt 3 Monate nach Ende des Arbeitslosengelds (siehe auch Tabelle X – „Arbeitslosigkeit“);
   * Einstufung als Person mit Behinderungen und einem Grad der Invalidität von mindestens 74% (siehe auch Tabelle XI – „Mindestsicherung“);
   * Unterstützung einer Person mit Behinderungen über einen Zeitraum von mindestens 6 Monaten, die im Haushalt wohnt und ein Verwandter 1. Grades (z.B.: Ehegatte, Eltern, Kind) ist (siehe auch Tabelle IX – „Familienleistungen“);
   * beschwerliche Arbeiten wie in Tabelle E des „Haushaltsgesetzes“ für 2018 aufgeführt haben;
   * anstrengende Arbeiten ausgeführt haben.
Für die erste anstehende Rentenzahlung gibt es ein System der 3-monatigen Stundung.
Diese Maßnahme wird versuchsweise weiterhin bis zum Jahr 2026 in Kraft bleiben.</t>
  </si>
  <si>
    <t>Allgemeines Gesetz über die soziale Sicherheit (Ley General de Seguridad Social) aufgrund des Gesetzgebenden Königlichen Dekret Nr. 8/2015 vom Freitag, 30. Oktober 2015, einschließlich Änderungen.
Ministerialerlass vom 15.4.1969 zur Festlegung von Regeln zur Anwendung und Entwicklung von Invaliditätsleistungen im Rahmen des Allgemeinen Systems der Sozialen Sicherheit.
Königliches Dekret Nr. 1300/95 vom 21.7.1995, einschließlich Änderungen.
Königliches Dekret Nr. 1647/97 vom Freitag, 31. Oktober 1997, einschließlich Änderungen.
Verzeichnis der Rechtsakte: https://www.boe.es/buscar/legislacion.php</t>
  </si>
  <si>
    <t>Beitragsfinanziertes obligatorisches Sozialversicherungssystem für Arbeitnehmer und Gleichgestellte mit einkommensbezogenen Geldleistungen bei dauernder Minderung der Erwerbsfähigkeit (incapacidad permanente). Teil des nationalen Rentensystems.
Sondersystem für Selbstständige (siehe den Abschnitt der MISSOC-Datenbank zum Sozialschutz von Selbstständigen).
Freiwillige Versicherung möglich (Convenio especial).
Spezifische Sozialhilfe für Personen mit Behinderungen wird von den Regionen bereitgestellt: für nähere Informationen siehe Beitragsun-abhängige Invaliditätsleistung (Pensión de invalidez no contributiva) in Tabelle XI „Mindestsicherung”.</t>
  </si>
  <si>
    <t>Das System beruht auf der Arbeitsfähigkeit der betroffenen Person.
Invalidität entspricht dem Zustand eines Arbeitnehmers, der nach einer verordneten Behandlung ernsthafte körperliche oder funktionelle Störungen aufweist, die voraussichtlich dauerhaft sind und seine Arbeitsfähigkeit teilweise oder völlig einschränken.</t>
  </si>
  <si>
    <t>Arbeitnehmer und Gleichgestellte (z.B. Empfänger von beitragsabhängigem Arbeitslosengeld, Arbeitnehmer während des Zeitraums des unbezahlten jährlichen Urlaubs, der nicht vor dem Vertragsende genommen wurde, Nehmer einer freiwilligen Versicherung).
Sondersystem für Selbstständige.
Anspruchsberechtigung ist unabhängig vom Wohnsitz und/oder der Staatsangehörigkeit.</t>
  </si>
  <si>
    <t>Der Antrag wird innerhalb der Provinzämter des Nationalen Instituts für Soziale Sicherheit (Instituto Nacional de la Seguridad Social) vom Bewertungsteam für Behinderungen (Equipo de Valoración de Incapacidades) (bestehend aus 1 Präsidenten, 1 ärztlichen Inspektor, 1 Arzt, 1 Inspektor für Arbeit und soziale Sicherheit und 1 Beamten) bearbeitet.
Das Bewertungsteam für Behinderungen formuliert eine erste Entscheidung unter Berücksichtigung des zusammenfassenden medizinischen Berichts, der durch das medizinische Personal der Landesdirektion des Nationalen Instituts für Soziale Sicherheit erstellt wurde sowie dem Bericht über den beruflichen Werdegang.
Auf dieser Basis formulieren die Provinzdirektoren des INSS eine ausdrückliche Entscheidung über den Grad der Invalidität, den Betrag der Leistung und das Datum, ab dem eine Überprüfung der Arbeitsunfähigkeit durchgeführt werden kann.
Das Bewertungsverfahren ist landesweit das gleiche mit der Besonderheit, dass in Katalonien die Pflichten des Bewertungsteams für Behinderungen vom Katalonischen Institut zur Bewertung von Behinderungen (Instituto Catalán de Evaluación de Incapacidades) und dem Gutachterausschuss für Behinderungen (Comisión de Evaluación de Incapacidades) übernommen werden.
Bei Unzufriedenheit mit der Entscheidung des Nationalen Instituts für Soziale Sicherheit kann ein „Vorrecht” (reclamación previa) beim Provinzbüro geltend gemacht werden. Im Fall einer Ablehung kann Widerspruch bei der Sozialgerichtsbarkeit eingelegt werden.</t>
  </si>
  <si>
    <t>Dauernde teilweise Minderung der Berufsfähigkeit (incapacidad permanente parcial para la profesión habitual): Pauschalleistung in Höhe von 24 Monatsbeträgen der Berechnungsgrundlage für Geldleistungen im Krankheitsfall (siehe Tabelle III).
Dauernde vollständige Berufsunfähigkeit (incapacidad permanente total para la profesión habitual): monatlicher Betrag entsprechend 55% der Berechnungsgrundlage. Zuzüglich 20%, wenn über 55 und arbeitslos (Leistung von 75%). Leistung kann auf Antrag des Leistungsempfängers in Form einer Einmalzahlung in Höhe des 84-fachen der monatlichen Leistung (abzüglich 12 Monate für jedes Jahr, welches der Antragsteller älter ist als 54, mindestens jedoch 12 Monate) eingelöst werden.
Dauernde vollständige Erwerbsunfähigkeit (incapacidad permanente absoluta): monatlicher Betrag entsprechend 100% der Berechnungsgrundlage.
Schwerstbehinderung (gran incapacidad): Die Rente entspricht dem monatlichen Betrag der Leistung bei dauernder vollständiger und totaler Erwerbsunfähigkeit zuzüglich einer Zulage (45% der Mindestbeitragsbasis des Jahres und 30% der Arbeitnehmerbeitragsbasis).
Der Leistungsbetrag wird aufgrund der bisherigen Bruttoerwerbseinkünfte berechnet.
Der Bezug anderer Sozialleistungen, die mit der Invaliditäsleistung kompatibel sind, hat keinen Einfluss auf den Betrag der bezogenen Invaliditätsleistung, so lange der Höchstbetrag (d.h. €3.267,60) nicht überschritten wird.
Besteht die Invalidität aufgrund einer weitverbreiteten Krankheit oder eines Unfalls außerhalb des Arbeitslebens, wird die Leistung in 14 Monatsraten gezahlt (einschließlich zwei Sonderzahlungen im Juni und im November). Wenn die Invalidität aufgrund eines Arbeitsunfalls oder einer Berufskrankheit besteht, wird die Leistung in 12 Monatsraten gezahlt, da die Extrazahlungen anteilsmäßig auf die 12 Monate aufgeteilt werden.</t>
  </si>
  <si>
    <t>Berechnungsgrundlage: Summe der Beitragsgrundlagen der 96 Monate vor dem Monat, in dem das Ereignis eingetreten ist, dividiert durch 112. Die 24 Monate unmittelbar vor dem Ruhestand werden mit ihrem jeweiligen tatsächlichen Wert berücksichtigt, die Werte der übrigen Zeiten werden nach dem Verbraucherpreisindex angepasst. Der Altersprozentsatz wird angewendet.
Handelt es sich um keinen Arbeitsunfall, so ist die Berechnungsgrundlage 1/28 des durchschnittlichen beitragspflichtigen Entgelts, das der Versicherte in einem selbst gewählten Zeitraum von 24 aufeinander folgenden Monaten in den letzten 7 Jahren vor Eintritt des Versicherungsfalls bezogen hat.</t>
  </si>
  <si>
    <t>Manche Zeiten der Abwesenheit vom Arbeitsplatz werden angerechnet, darunter Krankenstand, Arbeitslosigkeit, die ersten drei Jahre des Erziehungsurlaubs (excedencia por cuidado de hijo) zur Erziehung eines Kindes und bis maximal die ersten drei Jahre der Beurlaubung um Verwandte zu pflegen (Excedencia para el cuidado de familiares), die aufgrund von Alter, Krankheit oder Arbeitsunfähigkeit dauerhafte Unterstützung benötigen, um die meisten grundlegenden Aktivitäten des täglichen Lebens auszuführen.</t>
  </si>
  <si>
    <t>Keine Zulagen, jedoch höherer Mindestbetrag (pensión mínima) für Rentner mit unterhaltsberechtigtem Ehepartner oder wenn der Leistungsempfänger in einem Einpersonenhaushalt lebt.</t>
  </si>
  <si>
    <t>Zulage zur Verringerung des Lohngefälles zwischen den Geschlechtern (complemento para la reducción de la brecha de género) von €35,90/monatlich pro Kind im Jahr 2025 (mit einer Obergrenze von 4 Kindern).
Rentenempfänger zahlen nur 10% des Arzneimittelpreises wenn ihr Jahreseinkommen unter €100.000 liegt.
Für bestimmte besondere Arzneimittel (langandauernde Behandlungen) gibt es bestimmte Höchstbeträge.</t>
  </si>
  <si>
    <t>Berufliche Bildung und Rehabilitation sind für den Bezug von Invaliditätsleistungen nicht erforderlich.
Aber Personen mit Behinderungen können Anspruch haben auf geförderte Arbeitsplätze (servicios de empleo con apoyo), die die Inklusion in Unternehmen des regulären Arbeitsmarktes erleichtern.</t>
  </si>
  <si>
    <t>Anpassung jeweils zum Jahresbeginn bei Inkrafttreten des jährlichen allgemeinen Staatshaushaltsgesetzes entsprechend der jährlichen Schwankung des Verbraucherpreisindexes.</t>
  </si>
  <si>
    <t>Invaliditätsleistungen (pensiones de incapacidad) können nicht mit anderen Leistungen des allgemeinen Systems kombiniert werden, ausgenommen das Witwengeld (bis zum Höchstbetrag).
Keine Kumulation möglich mit Pauschalleistungen für Verletzungen, Verstümmelungen und Entstellungen, sofern diese nicht vollkommen unabhängig von der Ursache der Invalidität sind.
Kumulation mit Arbeitslosengeld möglich nach Verlust einer passenden Arbeitsstelle, d.h. einer Arbeit, zu der der Arbeitnehmer befähigt war im Fall von dauernder vollständiger Berufsunfähigkeit (incapacidad permanente total para la profesión habitual).
Die Höhe der Leistung wird nicht gekürzt.</t>
  </si>
  <si>
    <t>Dauernde teilweise (incapacidad permanente parcial) oder vollständige Berufsunfähigkeit (incapacidad permanente total para la profesión habitual): Die Leistungen unterliegen der Besteuerung.
Dauernde vollständige Erwerbsunfähigkeit (incapacidad permanente absoluta) oder Schwerstbehinderung (gran incapacidad): Die Leistungen unterliegen keiner Besteuerung.</t>
  </si>
  <si>
    <t>Besteuerung nach allgemeinem Regeln. Keine Sonderbestimmungen für Invaliditätsleistungen.</t>
  </si>
  <si>
    <t>Dieselben wie für Arbeitnehmeraber Selbstständige erhalten Leistungen für permanente Teilinvalidität nur in Fällen von Arbeitsunfällen oder Berufskrankheiten. Die Leistung bei vollständiger Erwerbsunfähigkeit kann auf Antrag des Berechtigten als Pauschalzahlung in Höhe von 40-mal der Berechnungsgrundlage ausgezahlt werden.</t>
  </si>
  <si>
    <t>Tchechische Republik</t>
  </si>
  <si>
    <t>Nr.</t>
  </si>
  <si>
    <t>Land / Einrichtung</t>
  </si>
  <si>
    <t>Versorgungssystem</t>
  </si>
  <si>
    <t>Auskünfte zum Ehezeitanteil</t>
  </si>
  <si>
    <t>Bemerkungen</t>
  </si>
  <si>
    <t>Albanien</t>
  </si>
  <si>
    <t>staatliche Rentenversicherung</t>
  </si>
  <si>
    <t>Nein</t>
  </si>
  <si>
    <t>Keine Auskunftserteilung zu Rentenanwartschaften.</t>
  </si>
  <si>
    <t>Australien</t>
  </si>
  <si>
    <t>Centrelink (Grundrente) / Superannuation Funds</t>
  </si>
  <si>
    <t>Eingeschränkt</t>
  </si>
  <si>
    <t>Grundrente meist nicht VA-relevant; Auskünfte zu Superannuation nur ausnahmsweise, insb. bei Gerichtsbeschluss.</t>
  </si>
  <si>
    <t>Belgien – ONP / SFP</t>
  </si>
  <si>
    <t>ONP / SFP (öffentl. Sektor)</t>
  </si>
  <si>
    <t>Ja</t>
  </si>
  <si>
    <t>Rentenauskünfte auf Antrag, i. d. R. über die Deutsche Rentenversicherung (DRV).</t>
  </si>
  <si>
    <t>Bosnien-Herzegowina</t>
  </si>
  <si>
    <t>Keine Auskunftserteilung.</t>
  </si>
  <si>
    <t>Brasilien</t>
  </si>
  <si>
    <t xml:space="preserve">Erläuterungsdokument: keine Auskunft zu Rentenanwartschaften. </t>
  </si>
  <si>
    <t xml:space="preserve">nicht kooperativ geführt. </t>
  </si>
  <si>
    <t>Chile</t>
  </si>
  <si>
    <t>Dänemark – ATP / Udbetaling Danmark</t>
  </si>
  <si>
    <t>ATP / Udbetaling Danmark; Volks-/Grundrente</t>
  </si>
  <si>
    <t>Volks-/Grundrente i. d. R. nicht VA-relevant; ATP-Auskunft über zentrale Stellen/Online-Portal möglich.</t>
  </si>
  <si>
    <t>Volksrente + Beschäftigungsrenten</t>
  </si>
  <si>
    <t>Volksrente meist nicht VA-relevant; Beschäftigungsrenten auf Antrag direkt bei finnischer Stelle (Angabe zahlreicher Personendaten).</t>
  </si>
  <si>
    <t>Frankreich – CNAV / AGIRC-ARRCO</t>
  </si>
  <si>
    <t>CNAV + AGIRC-ARRCO</t>
  </si>
  <si>
    <t>DRV erteilt keine Auskunft; Familiengericht kann im Bewertungsverfahren direkt CNAV/AGIRC-ARRCO anschreiben.</t>
  </si>
  <si>
    <t>Indien</t>
  </si>
  <si>
    <t>staatliche Renten-/Altersversorgung</t>
  </si>
  <si>
    <t>zurzeit nicht bekannt</t>
  </si>
  <si>
    <t xml:space="preserve">Verfahren in der Übersicht als „zurzeit nicht bekannt“ bezeichnet. </t>
  </si>
  <si>
    <t>Keine belastbare Information; Verfahren „zurzeit nicht bekannt“ und ohne Status.</t>
  </si>
  <si>
    <t>Volks- und Beschäftigungsrente</t>
  </si>
  <si>
    <t xml:space="preserve">Auskunft zu Beschäftigungsrenten über isländische Rentenversicherung; Volksrente häufig nicht VA-relevant. </t>
  </si>
  <si>
    <t>Israel</t>
  </si>
  <si>
    <t xml:space="preserve">Keine Auskunft zu Rentenanwartschaften. </t>
  </si>
  <si>
    <t>gesetzliche Rentenversicherung (INPS u. a.)</t>
  </si>
  <si>
    <t>Auskunft über DRV möglich; Versicherte können zusätzlich allgemeine italienische Rentenauskunft anfordern.</t>
  </si>
  <si>
    <t>Japan</t>
  </si>
  <si>
    <t>National Pension / Employees’ Pension Insurance</t>
  </si>
  <si>
    <t xml:space="preserve">Keine spezifische VA-Auskunft; Probeberechnung der Altersrente auf Antrag möglich. </t>
  </si>
  <si>
    <t>Kanada – CPP / QPP</t>
  </si>
  <si>
    <t>CPP / QPP; Volksrente</t>
  </si>
  <si>
    <t>Allgemeine Rentenauskunft möglich; teils Vollmacht/gerichtliches Ersuchen erforderlich; Volksrente meist nicht VA-relevant.</t>
  </si>
  <si>
    <t>Korea</t>
  </si>
  <si>
    <t>Kosovo</t>
  </si>
  <si>
    <t>Keine Auskunft zu kroatischen Anwartschaften.</t>
  </si>
  <si>
    <t>staatliche Altersversicherung + betriebliche Kassen</t>
  </si>
  <si>
    <t>Regelmäßige Auskunft, typischerweise über DRV.</t>
  </si>
  <si>
    <t xml:space="preserve">Auskunft über DRV; zusätzlich allgemeine Rentenprognose möglich. </t>
  </si>
  <si>
    <t>Luxemburg – CNAP</t>
  </si>
  <si>
    <t>CNAP (Caisse Nationale d’Assurance Pension)</t>
  </si>
  <si>
    <t>Kooperation im Rahmen der EU-Koordinierung; Auskünfte können über DRV laufen.</t>
  </si>
  <si>
    <t>Verfahren nicht konkret beschrieben („zurzeit nicht bekannt“); Tabellenfeld ohne Status.</t>
  </si>
  <si>
    <t>Marokko</t>
  </si>
  <si>
    <t>Auskunft möglich</t>
  </si>
  <si>
    <t>Mexiko</t>
  </si>
  <si>
    <t>staatliche Rentenversicherung(en)</t>
  </si>
  <si>
    <t xml:space="preserve">Familiengericht kann Auskunft direkt bei zuständiger mexikanischer Stelle einholen. </t>
  </si>
  <si>
    <t>Moldau</t>
  </si>
  <si>
    <t>Verfahren faktisch offen.</t>
  </si>
  <si>
    <t>Montenegro</t>
  </si>
  <si>
    <t>Tabelle: keine Auskunft; Erläuterungsdokument nennt teils Anfragen über DRV (uneinheitliche Aussagen).</t>
  </si>
  <si>
    <t>Niederlande – SVB / Pensionsfonds</t>
  </si>
  <si>
    <t>SVB (AOW) / Pensionsfonds (z. B. ABP)</t>
  </si>
  <si>
    <t>AOW meist nicht VA-relevant; Auskünfte zu Pensionsfonds über Verbindungsstellen, Verfahren teils langwierig.</t>
  </si>
  <si>
    <t>Nordmazedonien</t>
  </si>
  <si>
    <t xml:space="preserve">Erläuterungsdokument: Auskunft über DRV vorgesehen. </t>
  </si>
  <si>
    <t>Norwegen – NAV</t>
  </si>
  <si>
    <t>NAV (Volks- und einkommensabhängige Rente)</t>
  </si>
  <si>
    <t>Auskunft im Rahmen von Sozialversicherungsabkommen; Volksrente ggf. nicht VA-relevant.</t>
  </si>
  <si>
    <t>Österreich – PVA</t>
  </si>
  <si>
    <t>Pensionsversicherungsanstalt (PVA)</t>
  </si>
  <si>
    <t>Regelmäßige Kooperation; Einholung über DRV mit Einverständnis des Versicherten.</t>
  </si>
  <si>
    <t>Philippinen</t>
  </si>
  <si>
    <t>SSS/GSIS (staatliche Rentensysteme)</t>
  </si>
  <si>
    <t>nicht auskunftsbereit aufgeführt.</t>
  </si>
  <si>
    <t>Polen – allgemeines System</t>
  </si>
  <si>
    <t>allgemeines staatliches Rentensystem</t>
  </si>
  <si>
    <t>Tabelle: „Nein“; Erläuterungsdokument beschreibt Sonderregelung, praktisch jedoch kaum belastbare Auskunftsbeschaffung.</t>
  </si>
  <si>
    <t>Polen – landwirtschaftliches System</t>
  </si>
  <si>
    <t>landwirtschaftliches Versicherungssystem</t>
  </si>
  <si>
    <t>Für landwirtschaftliche Anrechte Auskunft möglich; zahlreiche Nachweise erforderlich.</t>
  </si>
  <si>
    <t>Tabelle: „Ja“; frühere Darstellung eher zurückhaltend – Praxis scheint kooperativ.</t>
  </si>
  <si>
    <t>Tabelle: keine Auskunft; Erläuterungsdokument sieht zwar Anfragen über DRV vor, Kooperation jedoch unsicher.</t>
  </si>
  <si>
    <t>Russland</t>
  </si>
  <si>
    <t xml:space="preserve">Spezialverfahren; Auskunft nur bei sehr detaillierten Angaben des Gerichts, praktische Umsetzung schwierig. </t>
  </si>
  <si>
    <t>Schweden – Pensionsmyndigheten</t>
  </si>
  <si>
    <t>Pensionsmyndigheten</t>
  </si>
  <si>
    <t>EU-Koordinierung; laut Tabelle regelmäßige Auskunft durch Pensionsmyndigheten.</t>
  </si>
  <si>
    <t>Schweiz – AHV / BVG</t>
  </si>
  <si>
    <t>AHV / Pensionskasse (BVG)</t>
  </si>
  <si>
    <t>Auskunft zu AHV/BVG, teils über Zentrale Ausgleichsstelle (ZAS) in Genf.</t>
  </si>
  <si>
    <t>Serbien</t>
  </si>
  <si>
    <t>Auskunftserteilung über DRV auf Grundlage EU-Recht.</t>
  </si>
  <si>
    <t>Keine Auskunft; VA-Bewertung regelmäßig nicht möglich.</t>
  </si>
  <si>
    <t>Keine Auskunft zu spanischen Anwartschaften.</t>
  </si>
  <si>
    <t>Tabelle: „Nein“; frühere sinngemäße Annahme einer Kooperation bestätigt sich nicht.</t>
  </si>
  <si>
    <t>Tunesien</t>
  </si>
  <si>
    <t>Türkei</t>
  </si>
  <si>
    <t>Keine Auskunft zu türkischen Anwartschaften.</t>
  </si>
  <si>
    <t>Ukraine</t>
  </si>
  <si>
    <t>Tabellenfeld leer; Verfahren derzeit nicht dokumentiert.</t>
  </si>
  <si>
    <t>Tabelle: „Nein“; Erläuterungsdokument: Verfahren „zurzeit nicht bekannt“.</t>
  </si>
  <si>
    <t>UK (Vereinigtes Königreich) – DWP / private pensions</t>
  </si>
  <si>
    <t>DWP (State Pension) / private pensions</t>
  </si>
  <si>
    <t>Kooperation möglich, aber ohne rechtliche Verpflichtung; keine Auskünfte über DRV, ggf. direkte Anfragen/Initiative der Versicherten.</t>
  </si>
  <si>
    <t>Uruguay</t>
  </si>
  <si>
    <t xml:space="preserve">Erläuterungsdokument: Verfahren „zurzeit nicht bekannt“; keine verlässliche Kooperation. </t>
  </si>
  <si>
    <t>USA – SSA</t>
  </si>
  <si>
    <t>Social Security Administration (SSA) – Social Security</t>
  </si>
  <si>
    <t>Keine Auskunftspflicht; Kooperation teils problematisch, gerichtliche Ersuchen und SSA-Eigenauskünfte/Online-Rechner maßgeblich.</t>
  </si>
  <si>
    <t>USA – Militärversorgung (DFAS)</t>
  </si>
  <si>
    <t>Defense Finance and Accounting Service (DFAS) – Militärpensionen</t>
  </si>
  <si>
    <t>Kooperation bei Scheidungsverfahren, insbesondere auf Grundlage eines Gerichtsbeschlusses.</t>
  </si>
  <si>
    <t>Erläuterungsdokument: Verfahren „zurzeit nicht bekannt“; keine näheren Hinweise.</t>
  </si>
  <si>
    <t>Auskunft erteilende Staaten</t>
  </si>
  <si>
    <t>1. Säule – Staatliche Rente (Art/Finanzierung)</t>
  </si>
  <si>
    <t>2. Säule – Betriebliche Vorsorge</t>
  </si>
  <si>
    <t>3. Säule – Private Vorsorge</t>
  </si>
  <si>
    <t>Umlagefinanzierte gesetzliche Rente</t>
  </si>
  <si>
    <t>Freiwillig, tarif-/arbeitgeberbasiert; verbreitet in größeren Firmen</t>
  </si>
  <si>
    <t>Steuerlich geförderte private Renten/Versicherungen</t>
  </si>
  <si>
    <t>Umlage + obligatorische kapitalgedeckte Konten für Jüngere</t>
  </si>
  <si>
    <t>Obligatorische/optionale Fonds für bestimmte Gruppen</t>
  </si>
  <si>
    <t>Steuerbegünstigte private Fonds/Versicherungen</t>
  </si>
  <si>
    <t>Steuerfinanzierte Grundrente (Folkepension) + ATP (kapitalgedeckt, quasi-Pflicht)</t>
  </si>
  <si>
    <t>Tarifbasierte, de-facto obligatorische Betriebsrenten; sehr hohe Abdeckung</t>
  </si>
  <si>
    <t>Individuelle, steuerlich geförderte Sparformen</t>
  </si>
  <si>
    <t>Umlagefinanzierte GRV + Grundsicherung im Alter</t>
  </si>
  <si>
    <t>Freiwillig (Direktzusagen, Pensionskassen/-fonds), staatlich gefördert</t>
  </si>
  <si>
    <t>Riester/Rürup und sonstige private Produkte, steuerlich gefördert</t>
  </si>
  <si>
    <t>Umlagefinanzierte Basis + reformiertes kapitalgedecktes Pflicht-/Opt-out-System</t>
  </si>
  <si>
    <t>Betriebliche Modelle vorhanden, nicht obligatorisch</t>
  </si>
  <si>
    <t>Freiwillige kapitalgedeckte Produkte</t>
  </si>
  <si>
    <t>Gesetzliche Erwerbsrenten (beitragsbezogen, teils fondsunterlegt) + Garantierente</t>
  </si>
  <si>
    <t>Verbreitet, meist freiwillig</t>
  </si>
  <si>
    <t>Steuerlich geförderte private Vorsorge</t>
  </si>
  <si>
    <t>Umlage: Grundrente + obligatorische Zusatzkassen (Agirc-Arrco)</t>
  </si>
  <si>
    <t>Zusätzliche Betriebsrenten möglich (obligatorische Kassen decken vieles ab)</t>
  </si>
  <si>
    <t>PER (Plan d’Épargne Retraite) u. a., steuerbegünstigt</t>
  </si>
  <si>
    <t>Umlagefinanzierte gesetzliche Rente (mit Reformen)</t>
  </si>
  <si>
    <t>Freiwillige betriebliche Pläne begrenzt verbreitet</t>
  </si>
  <si>
    <t>Steuerbegünstigte private Vorsorge</t>
  </si>
  <si>
    <t>Steuerfinanzierte State Pension (contributory/non-contributory)</t>
  </si>
  <si>
    <t>Auto-Enrolment im Aufbau; bisher freiwillig</t>
  </si>
  <si>
    <t>Weit verbreitete private Pensions (PRSA, Personal Pensions)</t>
  </si>
  <si>
    <t>Umlage (NDC-ähnlich) + Mindestsicherung</t>
  </si>
  <si>
    <t>TFR (Abfertigung) lenkbar in Fonds; freiwillig</t>
  </si>
  <si>
    <t>Private Pensionsfonds/Lebensversicherungen, steuerlich begünstigt</t>
  </si>
  <si>
    <t>Umlage (I. Säule) + obligatorische kapitalgedeckte II. Säule</t>
  </si>
  <si>
    <t>Betriebliche Pläne vorhanden, nicht Pflicht</t>
  </si>
  <si>
    <t>Freiwillige III.-Säule-Fonds</t>
  </si>
  <si>
    <t>Umlage (NDC) + obligatorische kapitalgedeckte II. Säule</t>
  </si>
  <si>
    <t>Betriebliche Pläne möglich, geringe Abdeckung</t>
  </si>
  <si>
    <t>Freiwillige private Fonds</t>
  </si>
  <si>
    <t>Umlage + opt-in/opt-out kapitalgedeckte Säule</t>
  </si>
  <si>
    <t>Betriebliche Pläne im Aufbau, nicht Pflicht</t>
  </si>
  <si>
    <t>Freiwillige private Sparformen</t>
  </si>
  <si>
    <t>Freiwillige betriebliche Pläne (teils verbreitet)</t>
  </si>
  <si>
    <t>Steuerlich geförderte private Produkte</t>
  </si>
  <si>
    <t>Betriebliche Pläne möglich; begrenzte Abdeckung</t>
  </si>
  <si>
    <t>Private Renten/Versicherungen, steuerlich gefördert</t>
  </si>
  <si>
    <t>Steuerfinanzierte Grundrente (AOW)</t>
  </si>
  <si>
    <t>Weitgehend obligatorische/tarifgebundene Betriebsrenten; sehr hohe Abdeckung</t>
  </si>
  <si>
    <t>Ergänzende private Vorsorge</t>
  </si>
  <si>
    <t>Umlagefinanzierte gesetzliche Pension</t>
  </si>
  <si>
    <t>Kollektivverträge/Pensionskassen, freiwillig</t>
  </si>
  <si>
    <t>Private Zusatzpensionen/Versicherungen, steuerbegünstigt</t>
  </si>
  <si>
    <t>Umlage (ZUS) + Kapitalbestandteile (Reformen/PPK)</t>
  </si>
  <si>
    <t>PPK (Auto-Enrolment) für Arbeitnehmer</t>
  </si>
  <si>
    <t>IKZE/IGE/IO u. a. private Produkte</t>
  </si>
  <si>
    <t>Freiwillige Betriebsrenten/Fonds, selektive Abdeckung</t>
  </si>
  <si>
    <t>Private PPR-Produkte, steuerlich gefördert</t>
  </si>
  <si>
    <t>Umlage (I) + obligatorische kapitalgedeckte II. Säule</t>
  </si>
  <si>
    <t>Betriebliche Pläne möglich, begrenzte Verbreitung</t>
  </si>
  <si>
    <t>Garantierente (steuerfinanziert) + einkommensbezogene NDC + obligatorische Prämienrente (fondsgebunden)</t>
  </si>
  <si>
    <t>Tarifliche Betriebsrenten; sehr hohe Abdeckung (quasi Pflicht)</t>
  </si>
  <si>
    <t>Private, steuerbegünstigte Produkte</t>
  </si>
  <si>
    <t>Umlage (I) + kapitalgedeckte II. Säule (Opt-in/-out Wellen)</t>
  </si>
  <si>
    <t>Freiwillige betriebliche Zusatzrenten (steuerlich gefördert)</t>
  </si>
  <si>
    <t>Private Zusatzvorsorge</t>
  </si>
  <si>
    <t>Betriebliche Pläne im Ausbau (inkl. kollektiver Fonds); traditionell geringe Abdeckung</t>
  </si>
  <si>
    <t>Private Pensionspläne, steuerlich gefördert</t>
  </si>
  <si>
    <t>Betriebliche Pläne begrenzt</t>
  </si>
  <si>
    <t>Staatlich geförderte private Pensionsprodukte</t>
  </si>
  <si>
    <t>Umlage (Rückführung früherer II. Säule), Mindestsicherung</t>
  </si>
  <si>
    <t>Betriebliche Pläne möglich, begrenzt</t>
  </si>
  <si>
    <t>Umlagefinanzierte gesetzliche Rente + Sozialrente</t>
  </si>
  <si>
    <t>Betriebliche/berufsständische Pläne verbreitet, meist freiwillig</t>
  </si>
  <si>
    <t>Private Vorsorge, steuerlich gefördert</t>
  </si>
  <si>
    <t>EU-Broschüren zu Sozialsystemen der EU-Staaten</t>
  </si>
  <si>
    <t>5-Jahresdurchschnitt</t>
  </si>
  <si>
    <t xml:space="preserve">Nr. </t>
  </si>
  <si>
    <t>Sonstiges</t>
  </si>
  <si>
    <t>Witwen- bzw. Witwerrente (Vdovský/vdovecký důchod):
Die Rente wird für ein Jahr ab dem Zeitpunkt des Todes des Ehepartners gewährt. Danach wird diese Leistung nur an Hinterbliebene gewährt, die das gesetzliche Rentenalter erreicht haben oder 4 Jahre vom gesetzlichen Rentenalter entfernt sind, sowie an Hinterbliebene mit Invalidität dritten Grades oder Hinterbliebene, die für:
   * ein unterhaltsberechtigtes Kind ;
   * ein überwiegend oder vollständig pflegebedürftiges Kind;
   * den im selben Haushalt lebenden, überwiegend oder vollständig unterhaltsberechtigten Elternteil oder Schwiegerelternteil des Kindes sorgen.
Der Anspruch auf eine Witwen- oder Witwerrente kann innerhalb von fünf Jahren nach Ablauf des vorherigen Anspruchs wiederhergestellt werden, wenn eine der gesetzlichen Voraussetzungen erfüllt ist.
Die Hinterbliebenenrente kann ohne Einschränkung mit Erwerbseinkommen kombiniert werden.</t>
  </si>
  <si>
    <t>Grundbetrag (Základní složka): Pauschale (10% des nationalen monatlichen Bruttodurchschnittslohns) von CZK 4.660 (€188) monatlich.
Prozentualer Betrag (Procentní část): 50% des prozentualen Betrags der Alters- oder Invalidenrente, auf den der Verstorbene Anspruch hatte oder gehabt hätte.
Die Leistung ist nicht bedürftigkeitsabhängig.
Die Rente wird für einen Zeitraum von einem Jahr ab dem Todesdatum des Ehepartners gewährt. Danach wird sie nur Hinterbliebenen bewilligt, die das gesetzliche Renteneintrittsalter erreicht haben oder denen höchstens 4 Jahre bis zum gesetzlichen Renteneintrittsalter für Männer fehlen, Hinterbliebenen, die an einer Erwerbsunfähigkeit 3. Grades leiden oder Hinterbliebenen, die folgende Personen versorgen:
   * ein unterhaltsberechtigtes Kind ;
   * ein überwiegend oder vollständig pflegebedürftiges Kind;
   * dessen überwiegend oder vollständig pflegebedürftiges Elternteil, das im selben Haushalt lebt.
Anspruch auf Hinterbliebenenrente erwächst erneut, wenn sämtliche oben dargelegten Bedingungen innerhalb von 5 Jahren nach Auslaufen des vorherigen Anspruchs auf diese Rente erfüllt werden.
Zahlungen erfolgen monatlich.
Keine zusätzlichen Zahlungen.</t>
  </si>
  <si>
    <t>Grundsätzlich keine Ausnahmen.
Bestimmte Arten von Ergänzungsvereinbarungen zu Arbeitsverträgen sind von der obligatorischen Sozialversicherungsdeckung ausgenommen:
   * Beschäftigung mit Bruttoeinkünften unterhalb CZK 4.500 (€182) monatlich.
   * “Übereinkünfte über das Beenden eines Auftrags” (Dohoda o provedení práce), d.h. Arbeitsverträge für die Beendigung eines bestimmten Auftrags mit höchstens 300 Arbeitsstunden in einem Kalenderjahr sind von der obligatorischen Sozialversicherungsdeckung ausgenommen, wenn die monatlichen Bruttoeinkünfte geringer sind als CZK 11.500 (€465).</t>
  </si>
  <si>
    <t>Männer: 64 Jahre und 4 Monate.
Frauen: abhängig von der Anzahl der großgezogenen Kinder:
   * keine Kinder: 64 Jahre und 4 Monate;
   * 1 Kind: 64 Jahre und 2 Monate ;
   * 2 Kinder: 63 Jahre und 2 Monate ;
   * 3 oder 4 Kinder: 62 Jahre und 2 Monate;
   * 5 oder mehr Kinder: 61 Jahre und 2 Monate.
Das gesetzliche Renteneintrittsalter für Männer wird schrittweise jedes Jahr um 2 Monate bis auf 65 Jahre erhöht und danach um 1 Monat pro Jahr, bis 67 Jahre erreicht sind.
Das gesetzliche Renteneintrittsalter für Frauen wird jedes Jahr um 6 Monate erhöht, bis das Renteneintrittsalter der Männer erreicht wurde. Danach beträgt die Erhöhung ebenfalls 2 Monate pro Jahr, bis 65 Jahre erreicht sind und danach um 1 Monat pro Jahr, bis 67 Jahre erreicht sind.
Siehe weiter unten „2. Mindestversicherungszeit und andere Bedingungen für den Bezug einer Altersrente“ für sonstige Bedingungen für den Anspruch auf Altersrente.</t>
  </si>
  <si>
    <r>
      <rPr>
        <sz val="11"/>
        <color rgb="FF000000"/>
        <rFont val="Arial"/>
        <family val="2"/>
      </rPr>
      <t>Ø</t>
    </r>
    <r>
      <rPr>
        <sz val="11"/>
        <color rgb="FF000000"/>
        <rFont val="Calibri"/>
        <family val="2"/>
      </rPr>
      <t xml:space="preserve"> 10 Jahre:</t>
    </r>
  </si>
  <si>
    <r>
      <rPr>
        <sz val="11"/>
        <color rgb="FF000000"/>
        <rFont val="Arial"/>
        <family val="2"/>
      </rPr>
      <t>Ø</t>
    </r>
    <r>
      <rPr>
        <sz val="11"/>
        <color rgb="FF000000"/>
        <rFont val="Calibri"/>
        <family val="2"/>
      </rPr>
      <t xml:space="preserve"> 5 Jahre:</t>
    </r>
  </si>
  <si>
    <t>Hier ist die Tabelle der jährlichen Verbraucherpreis-Inflationsraten der 27 EU-Staaten für 2015–2024. Werte in %, auf eine Nachkommastelle gerundet. Datengrundlage ist World Bank / World Development Indicators via FRED: jährliche Inflationsrate der Verbraucherpreise, Einheit „Percent“, vollständige Länderreihen bis 2024. Die FRED-Definition beschreibt die Kennzahl als jährliche prozentuale Veränderung der Kosten eines Waren- und Dienstleistungskorbs für Verbraucher. (FRED)</t>
  </si>
  <si>
    <t>Staat</t>
  </si>
  <si>
    <t>Die Einzelwerte stammen aus den jeweiligen FRED-Ländertabellen, u. a. für Österreich, Belgien, Bulgarien, Kroatien, Zypern, Tschechien, Deutschland, Estland, Ungarn, Irland, Italien, Lettland, Litauen, Luxemburg, Malta, Niederlande, Polen, Portugal, Rumänien, Schweden, Slowakei, Slowenien und Spanien. (FRED)</t>
  </si>
  <si>
    <t>CAGR</t>
  </si>
  <si>
    <r>
      <t xml:space="preserve">Die Rente besteht aus zwei Elementen:
   * Grundbetrag (Základní složka): Pauschale (10% des nationalen monatlichen Bruttodurchschnittslohns) von CZK 4.660 (€188) monatlich.
   * Prozentualer Betrag (Procentní část): Einkommensabhängiges Element berechnet auf der Basis der Persönlichen Bemessungsgrundlage (Osobní vyměřovací základ) (siehe unten „Referenzentgelte und Berechnungsgrundlage“) und der Anzahl der Versicherungsjahre.
</t>
    </r>
    <r>
      <rPr>
        <b/>
        <sz val="11"/>
        <color rgb="FF000000"/>
        <rFont val="Calibri"/>
        <family val="2"/>
      </rPr>
      <t xml:space="preserve">Die Formel für den prozentualen Betrag variiert abhängig von der Art der Rente:
</t>
    </r>
    <r>
      <rPr>
        <sz val="11"/>
        <color rgb="FF000000"/>
        <rFont val="Calibri"/>
        <family val="2"/>
      </rPr>
      <t xml:space="preserve">   * Invaliditätsrente dritten Grades (Invalidní důchod třetího stupně): 1,5% der reduzierten Persönlichen Bemessungsgrundlage pro Versicherungsjahr, keine Höchstgrenze;
   * Invaliditätsrente zweiten Grades (Invalidní důchod druhého stupně): die Hälfte des prozentualen Betrags für Invaliditätsrente dritten Grades;
   * Invaliditätsrente ersten Grades (Invalidní důchod prvního stupně): ein Drittel des prozentualen Betrags für Invaliditätsrente dritten Grades;
   * Leistung für von Jugend an arbeitsunfähige Personen: 45% der jährlichen allgemeinen Bemessungsgrundlage (die auf dem nationalen monatlichen Durchschnittsverdienst analog zur Berechnung der Persönlichen Bemessungsgrundlage für das dem Anspruch auf Rente vorangegangene Jahr beruht (siehe unten „Referenzentgelte und Berechnungsgrundlage);
   * Diese Formel wird auch für Personen angewandt, die für mindestens 15 Jahre (ohne angerechnete Versicherungsjahre) versichert waren und (in einigen Fällen) für Personen unter 28 Jahren, deren Rente andernfalls geringer wäre.
Die Rente wird monatlich ausgezahlt.</t>
    </r>
  </si>
  <si>
    <t>Die Abfindung ausländischer Anrechte nach §§ 23, 24 VersAusglG</t>
  </si>
  <si>
    <t>Wenn Sie Fehler finden oder Verbesserungsvorschläge haben: Hauss@Anwaelte-DU.de</t>
  </si>
  <si>
    <t>Inflation in der EU</t>
  </si>
  <si>
    <t>Berechnungsdatum (nach § 24 VersAusglG ist der Zeitwert d. AusglWerts)</t>
  </si>
  <si>
    <t>Grundlagen</t>
  </si>
  <si>
    <t xml:space="preserve">Als invalide gilt ein Arbeitnehmer, der infolge von Krankheit oder Behinderung nicht mehr als ein Drittel des normalen Einkommens eines Arbeitnehmers gleicher Kategorie und gleicher Ausbildung erzielen kann.
Es gibt folglich drei Bedingungen, um als arbeitsunfähig anerkannt zu werden:
   * die vollständige Einstellung der Tätigkeit aus gesundheitlichen Gründen;
   * die Einstellung muss die Folge des Auftretens von Verletzungen oder Funktionsstörungen oder der Verschlimmerung von Verletzungen oder Funktionsstörungen sein;
   * zu mehr als 66 % in Bezug auf den zuletzt ausgeübten Beruf und alle zuvor ausgeübten Berufe, oder die mit einer Ausbildung hätten ausgeübt werden können, als arbeitsunfähig anerkannt sein. 
</t>
  </si>
  <si>
    <t>Nach dem 1. Jahr der Arbeitsunfähigkeit
   * der Vertrauensarzt des Versicherungsträgers kann dem medizinischen Invalidenausschuss vorschlagen, die Arbeitsunfähigkeit zu verlängern oder zu beenden; 
   * der Invalidenausschuss kann die Arbeitsunfähigkeit auf Vorschlag des Vertrauensarztes verlängern oder beenden. 
Bewertung auf der Grundlage von Artikel 100 des koordinierten Gesetzes von 1994.
Gleiche Verfahren und Kriterien für das gesamte Land.
Möglichkeit der Einlegung einer Beschwerde gegen die Entscheidung über die Beendigung der Arbeitsunfähigkeit beim Arbeitsgericht des Wohnsitzes innerhalb der folgenden 3 Monate nach Mitteilung der Beendigung der Arbeitsunfähigkeit.</t>
  </si>
  <si>
    <t>Normaler Betrag:
   * Für Berechtigte mit Unterhaltsverpflichtungen: 65% des entgangenen Einkommens (mit Höchstgrenze), 
   * Für Alleinstehende (oder als alleinstehend geltende Personen), 55%; 
   * Haushaltsmitglied ohne Unterhaltsverpflichtungen: 40%. 
Die Zahlung erfolgt monatlich.
Für Arbeitnehmer: entgangenes tägliches Arbeitseinkommen: Bruttogehalt des letzten Tages des 2. Kalenderquartals, das dem des Risikos oder des letzten Bruttogehalts vorausgeht.
Für Arbeitslose: entgangenes Einkommen: begrenztes tägliches Bruttogehalt, auf dessen Grundlage das Arbeitslosengeld berechnet wird.
Grundsätzlich keine Kumulierung mit anderen Sozialversicherungsleistungen (siehe Kumulierung mit anderen Leistungen der sozialen Sicherheit) und dem Erwerbseinkommen möglich.
Es erfolgen keine zusätzlichen Zahlungen.
Eine Art „Urlaubsgeld“ (Ausgleichsprämie) wird im Mai an bestimmte erwerbsunfähige Personen gezahlt. Bei der Prämie handelt es sich um einen Pauschalbetrag.</t>
  </si>
  <si>
    <t xml:space="preserve">   * Versichertes Mitglied 
   * 180 Arbeitstage oder diesen gleichgestellte Tage und Wartezeit von zwölf Monaten. 
   * Entrichtung von Beiträgen für den Zweig Entschädigungsversicherung. </t>
  </si>
  <si>
    <t xml:space="preserve">   * Die Ehe muss seit mindestens einem Jahr bestehen, oder Dauer der gesetzlichen Ehe oder Lebensgemeinschaft ein Jahr (außer wenn aus der Ehe ein Kind hervorgegangen ist oder ein Kind unterhalten wird oder wenn der Tod Folge eines Unfalls oder einer nach der Eheschließung eingetretenen Berufskrankheit ist).
   * Das Alter von 50 Jahren muss erreicht sein, und das Sterbedatum muss im Jahr 2025 liegen (für die Hinterbliebenenrente); ist diese Bedingung nicht erfüllt, hat der überlebende Ehepartner Anspruch auf Übergangsgeld;
   * (für die Hinterbliebenenrente) darf der Ehepartner außer genehmigter Arbeit keiner Erwerbstätigkeit nachgehen.
   * Der Ehepartner darf bei der Beantragung der Hinterbliebenenrente nicht wieder verheiratet sein. </t>
  </si>
  <si>
    <t xml:space="preserve">   * Hinterbliebener Ehepartner (einschl. Getrenntlebender). 
   * Keine andere Gruppe. </t>
  </si>
  <si>
    <t>Berechnung der Leistung: Hinterbliebener Ehepartner (Hinterbliebenenrente und Übergangsgeld): 80% der tatsächlichen Ruhestandsrente (pension de retraite/rustpensioen) oder der hypothetischen Rente des Versicherten, wenn dieser eine Rente erhält, die zum Haushaltssatz berechnet wurde.
Erhielt der verstorbene Ehepartner eine nach dem isolierten Satz berechnete Altersrente, entspricht die Höhe der Hinterbliebenenrente der Rente des verstorbenen Ehepartners.
Warder verstorbene Ehepartner kein Rentner, so wird die Hinterbliebenenrente unter Anwendung besonderer Regeln für die berufliche Entwicklung und die Begrenzung der Hinterbliebenenrente als Altersrente berechnet.
Bei der Berechnung des Übergangsgelds kommen dieselben Regeln wie bei der Berechnung der Hinterbliebenenrente zur Anwendung, wenn der verstorbene Ehepartner noch kein Rentner war.
Die Dauer der Leistung des Übergangsgelds richtet sich nach der familiären Situation bei Versterben des Ehepartners.
Das Übergangsgeld wird über folgende Dauer ausgezahlt: 18 Monate (ohne unterhaltsberechtigtes Kind);   36 Monate (alle unterhaltsberechtigten Kinder waren mindestens 13 Jahre alt);  Monate, wenn mindestens ein Kind im Alter von unter 13 Jahren unterhaltsberechtigt war oder48  wenn mindestens ein unterhaltsberechtigtes Kind Behinderungen aufwies oder wenn ein Kind in den 300 Tagen nach dem Todesfall geboren wurde. 
Die Leistungen werden monatlich ausgezahlt und unterliegen keinerlei Einkommensbedingungen.
Ledigich im Rahmen der Hinterbliebenenrente wird ein Urlaubsgeld einmal jährlich ausgezahlt.</t>
  </si>
  <si>
    <t>gesch.Hinterbliebene</t>
  </si>
  <si>
    <t>Dynamisierung</t>
  </si>
  <si>
    <t>Text1</t>
  </si>
  <si>
    <t>Text2</t>
  </si>
  <si>
    <t>Text3</t>
  </si>
  <si>
    <t>Text4</t>
  </si>
  <si>
    <t>Volksrente (Perhe-eläke): wird hinterbliebenen Ehepartnern, Partnern und zusammenlebenden Partnern unter 65 Jahren jeden Monat gezahlt.
In den ersten 6 Monaten erhielt der hinterbliebene Partner im Jahr 2025 €387,11 monatlich (volle Sätze; Anpassung an die Dauer des Wohnsitzes des Verstorbenen in Finnland).
Nach Ablauf der 6 Monate wird die Rente mit einem Grundbetrag von €121,25 und einer Zulage zwischen €544,51 und €629,33 im Monat gezahlt, falls der hinterbliebene Ehegatte ein Kind unter 18 Jahren unterhält (volle Beträge; angepasst an die Dauer des Wohnsitzes des Verstorbenen in Finnland). Die Höhe der Zulage ist abhängig von anderen Einkommen und dem Personenstand. Ist kein Kind vorhanden, wird nur die Zulage gezahlt, deren Höhe von anderem Einkommen abhängt.
Die Dauer der Zahlung ist:
   * Für Witwen und Witwer und hinterbliebene Partner einer eingetragenen Lebenspartnerschaft, die im Jahr 1975 oder später geboren wurden: 10 Jahre, sofern ein Kind vorhanden ist, bis zu dessen Erreichen des 18. Lebensjahres.
   * Für zusammenlebende Lebenspartner: bis das Kind 18 Jahre alt ist.
Monatliche Zahlungen, 12 Mal im Jahr. Keine zusätzlichen Zahlungen.
Mehrere Faktoren beeinflussen das Anrecht und den Betrag der Volksrente, wie etwa:
   * die Dauer des Wohnsitzes des Verstorbenen in Finnland;
   * die Rente und alle sonstigen Einkünfte des hinterbliebenen Ehegatten. Die Volksrente wird nicht gezahlt, wenn der Betrag der sonstigen Einkünfte im Jahr 2025 €1.139,38—€1.324,88 pro Monat überstieg, je nachdem, ob der Ehepartner allein lebt oder Kinder unter 18 Jahren hat;
   * und die familiären Umstände (ob der hinterbliebene Ehegatte ein Kind unter 18 Jahren versorgt und einen neuen Partner hat oder wieder geheiratet hat).
Gesetzliche einkommensbezogene Rente (Työeläke):
Die Rente beträgt in Abhängigkeit von der Anzahl der anspruchsberechtigten Kinder zwischen 17% und 50% der Rente der verstorbenen Person. Wenn die Witwe bzw. der Witwer und zwei Kinder anspruchsberechtigt sind, ist die Höhe der Rente gleich der Rente, die der/die Verstorbene bezogen hat.
Die Waisenrente wird gezahlt bis zum Alter von 20 Jahren. Erreicht eines der Kinder die Altersgrenze für die Waisenrente, werden die Anteile unter den verbleibenden Begünstigten aufgeteilt.
Wenn der/die Verstorbene zum Zeitpunkt des Todes nicht im Ruhestand war, wird zur Berechnung der Hinterbliebenenrente die Invaliditätsrente herangezogen, auf die der/die Verstorbene zum Zeitpunkt des Todes Anspruch gehabt hätte. Bei Witwen bzw. Witwern wird die Hinterbliebenenrente mit der eigenen Alters- oder vorgezogenen Rente zusammengefasst. Bei Überschreiten eines bestimmten Betrags (€836,50) wird die Hinterbliebenenrente gekürzt. Diese errechnet sich aus folgender Formel: 50% der Rente der verstorbenen Person – 50% der eigenen Rente der hinterbliebenen Person – Grundbetrag. Die Leistung unterliegt keinem Bedürftigkeitsnachweis und wird monatlich gezahlt.
Ein hinterbliebener Ehepartner, der mit der verstorbenen Person verheiratet war, erhält die Hinterbliebenenrente für den Rest seines/ihres Lebens, sofern der verstorbene Ehepartner vor 1975 geboren wurde oder wenn der Ehepartner vor dem 1. Januar 2022 verstorben ist. Generell erhalten hinterbliebene Ehepartner, die im Jahr 1975 oder später geboren wurden, Hinterbliebenenrente für einen Zeitraum von 10 Jahren. Die Hinterbliebenenrente wird jedoch in jedem Fall gezahlt, bis das jüngste Kind, das Waisenrente erhält, 18 Jahre alt wird.
Geschiedener Ehegatte: Die Witwenrente wird geteilt. Der Teil, der an den früheren Ehepartner geht, hängt von der Höhe der bisherigen Unterhaltszahlung ab.</t>
  </si>
  <si>
    <t>=jährlich:</t>
  </si>
  <si>
    <r>
      <t>L</t>
    </r>
    <r>
      <rPr>
        <vertAlign val="subscript"/>
        <sz val="11"/>
        <color rgb="FF000000"/>
        <rFont val="Calibri"/>
        <family val="2"/>
      </rPr>
      <t>Pfl</t>
    </r>
    <r>
      <rPr>
        <sz val="11"/>
        <color rgb="FF000000"/>
        <rFont val="Calibri"/>
        <family val="2"/>
      </rPr>
      <t>/L</t>
    </r>
    <r>
      <rPr>
        <vertAlign val="subscript"/>
        <sz val="11"/>
        <color rgb="FF000000"/>
        <rFont val="Calibri"/>
        <family val="2"/>
      </rPr>
      <t>Ber</t>
    </r>
  </si>
  <si>
    <t>Ehezeitende</t>
  </si>
  <si>
    <r>
      <t>Versorgung enthält</t>
    </r>
    <r>
      <rPr>
        <b/>
        <sz val="11"/>
        <color rgb="FF000000"/>
        <rFont val="Calibri"/>
        <family val="2"/>
      </rPr>
      <t xml:space="preserve"> Invaliditätsabsicherung</t>
    </r>
    <r>
      <rPr>
        <sz val="11"/>
        <color rgb="FF000000"/>
        <rFont val="Calibri"/>
        <family val="2"/>
      </rPr>
      <t xml:space="preserve"> (Nr. 5ff.)</t>
    </r>
  </si>
  <si>
    <r>
      <t xml:space="preserve">Versorgung enthält </t>
    </r>
    <r>
      <rPr>
        <b/>
        <sz val="11"/>
        <color rgb="FF000000"/>
        <rFont val="Calibri"/>
        <family val="2"/>
      </rPr>
      <t>Hinterbliebenenabsicherung</t>
    </r>
    <r>
      <rPr>
        <sz val="11"/>
        <color rgb="FF000000"/>
        <rFont val="Calibri"/>
        <family val="2"/>
      </rPr>
      <t xml:space="preserve"> (Nr. 75ff.)</t>
    </r>
  </si>
  <si>
    <r>
      <rPr>
        <b/>
        <sz val="11"/>
        <color rgb="FF000000"/>
        <rFont val="Calibri"/>
        <family val="2"/>
      </rPr>
      <t>Dynamisierung der Versorgungsleistungen</t>
    </r>
    <r>
      <rPr>
        <sz val="11"/>
        <color rgb="FF000000"/>
        <rFont val="Calibri"/>
        <family val="2"/>
      </rPr>
      <t xml:space="preserve"> (Nr. 21, 57, 91)</t>
    </r>
  </si>
  <si>
    <r>
      <rPr>
        <b/>
        <sz val="11"/>
        <color rgb="FF000000"/>
        <rFont val="Calibri"/>
        <family val="2"/>
      </rPr>
      <t xml:space="preserve">Steuerabgaben </t>
    </r>
    <r>
      <rPr>
        <sz val="11"/>
        <color rgb="FF000000"/>
        <rFont val="Calibri"/>
        <family val="2"/>
      </rPr>
      <t>auf Renten (Nr. 60)</t>
    </r>
  </si>
  <si>
    <r>
      <rPr>
        <b/>
        <sz val="11"/>
        <color rgb="FF000000"/>
        <rFont val="Calibri"/>
        <family val="2"/>
      </rPr>
      <t>Sozialabgaben</t>
    </r>
    <r>
      <rPr>
        <sz val="11"/>
        <color rgb="FF000000"/>
        <rFont val="Calibri"/>
        <family val="2"/>
      </rPr>
      <t xml:space="preserve"> auf Renten (Nr. 62)</t>
    </r>
  </si>
  <si>
    <r>
      <rPr>
        <b/>
        <sz val="11"/>
        <color rgb="FF000000"/>
        <rFont val="Calibri"/>
        <family val="2"/>
      </rPr>
      <t>durchschnittliche Dynamisierung</t>
    </r>
    <r>
      <rPr>
        <sz val="11"/>
        <color rgb="FF000000"/>
        <rFont val="Calibri"/>
        <family val="2"/>
      </rPr>
      <t xml:space="preserve"> in den letzten 10 / 5 Jahren</t>
    </r>
  </si>
  <si>
    <t xml:space="preserve">       ./. Sozialabgaben in %</t>
  </si>
  <si>
    <t xml:space="preserve">       ./. Steuern in %</t>
  </si>
  <si>
    <t>Abfindungsbetrag Methode 3</t>
  </si>
  <si>
    <t xml:space="preserve">pauschaler Sozialversicherungsabschlag in % </t>
  </si>
  <si>
    <t>Grundinformationen zu der auszugleichenden Altersversorgung</t>
  </si>
  <si>
    <r>
      <rPr>
        <sz val="12"/>
        <color theme="0"/>
        <rFont val="Calibri"/>
        <family val="2"/>
      </rPr>
      <t>Versorgungsausgleich in Europa</t>
    </r>
    <r>
      <rPr>
        <sz val="11"/>
        <color theme="0"/>
        <rFont val="Calibri"/>
        <family val="2"/>
      </rPr>
      <t xml:space="preserve">
</t>
    </r>
    <r>
      <rPr>
        <b/>
        <sz val="18"/>
        <color theme="0"/>
        <rFont val="Calibri"/>
        <family val="2"/>
      </rPr>
      <t>Der Abfindungsrechner</t>
    </r>
  </si>
  <si>
    <t>Liste der Doppelbesteuerungsabkommen hier klicken</t>
  </si>
  <si>
    <t>Nach der BMF-Übersicht zum Stand 1. Januar 2026 bestehen mit folgenden europäischen Staaten DBA auf dem Gebiet der Steuern vom Einkommen und vom Vermögen. Grundlage ist Abschnitt I.1 „Geltende Abkommen“ der BMF-Tabelle; Belarus und Russland sind mit Sonderhinweisen zu lesen. (Bundesministerium der Finanzen)</t>
  </si>
  <si>
    <t>Europäisches Land</t>
  </si>
  <si>
    <t>DBA gelistet</t>
  </si>
  <si>
    <t>Armenien</t>
  </si>
  <si>
    <t>Aserbaidschan</t>
  </si>
  <si>
    <t>Belarus</t>
  </si>
  <si>
    <r>
      <t xml:space="preserve">DBA gelistet, aber </t>
    </r>
    <r>
      <rPr>
        <b/>
        <sz val="11"/>
        <color rgb="FF000000"/>
        <rFont val="Calibri"/>
        <family val="2"/>
      </rPr>
      <t>seit 01.01.2025 vollständig ausgesetzt</t>
    </r>
  </si>
  <si>
    <t>Bosnien und Herzegowina</t>
  </si>
  <si>
    <t>Fortgeltung DBA SFR Jugoslawien</t>
  </si>
  <si>
    <t>DBA gelistet; zusätzlich BEPS-MLI-Anwendung</t>
  </si>
  <si>
    <t>Georgien</t>
  </si>
  <si>
    <t>Fortgeltung DBA UdSSR</t>
  </si>
  <si>
    <t>Russische Föderation</t>
  </si>
  <si>
    <t>DBA besteht fort; wegen russischer Suspendierung/StAbwG Sonderlage</t>
  </si>
  <si>
    <t>Fortgeltung DBA Tschechoslowakei; zusätzlich BEPS-MLI-Anwendung</t>
  </si>
  <si>
    <t>Vereinigtes Königreich</t>
  </si>
  <si>
    <t>Die Länder sind in der BMF-Tabelle in den maßgeblichen Abschnitten aufgeführt: Albanien bis Lettland finden sich auf den ersten Tabellen-Seiten, Liechtenstein bis Türkei im Folgeabschnitt, Ukraine bis Zypern am Ende von Abschnitt I.1; die BEPS-MLI-Länder sind separat in Abschnitt I.2 aufgeführt. (Bundesministerium der Finanzen)</t>
  </si>
  <si>
    <t>Fundstelle: BMF, Stand der Doppelbesteuerungsabkommen und anderer Abkommen im Steuerbereich sowie der Abkommensverhandlungen am 1. Januar 2026, Schreiben vom 7. Januar 2026. (Bundesministerium der Finanzen)</t>
  </si>
  <si>
    <r>
      <t xml:space="preserve">Nicht aufgenommen habe ich reine Informationsaustausch-/Amtshilfeabkommen und Sonderabkommen, z. B. mit Andorra, Monaco oder San Marino. </t>
    </r>
    <r>
      <rPr>
        <b/>
        <sz val="11"/>
        <color rgb="FF000000"/>
        <rFont val="Calibri"/>
        <family val="2"/>
      </rPr>
      <t>Jersey</t>
    </r>
    <r>
      <rPr>
        <sz val="11"/>
        <color rgb="FF000000"/>
        <rFont val="Calibri"/>
        <family val="2"/>
      </rPr>
      <t xml:space="preserve"> ist in der BMF-Übersicht zwar mit einem DBA gelistet, ist aber kein souveräner europäischer Staat; bei Bedarf sollte es als „europäische Jurisdiktion“ gesondert ergänzt werden.</t>
    </r>
  </si>
  <si>
    <r>
      <rPr>
        <b/>
        <sz val="11"/>
        <color rgb="FF000000"/>
        <rFont val="Calibri"/>
        <family val="2"/>
      </rPr>
      <t>Ausgleichsberechtigte Person</t>
    </r>
    <r>
      <rPr>
        <sz val="11"/>
        <color rgb="FF000000"/>
        <rFont val="Calibri"/>
        <family val="2"/>
      </rPr>
      <t>, Geburtstag:</t>
    </r>
  </si>
  <si>
    <t>1. Regelrenteneintrittsalter für männliche Person, Jahrgang 1976</t>
  </si>
  <si>
    <t>2. Grundsatz des Versorgungserwerbs</t>
  </si>
  <si>
    <t>5. Steuerpflicht der Leistungen</t>
  </si>
  <si>
    <t>6. Sozialabgaben auf Versorgungsleistungen</t>
  </si>
  <si>
    <t>67 Jahre. Für Geburtsjahrgänge ab 1964 liegt die Regelaltersgrenze bei 67 Jahren. Für Jahrgang 1976 also: Rentenalter 2043. (Deutsche Rentenversicherung)</t>
  </si>
  <si>
    <t>Noch nicht endgültig bezifferbar. Das allgemeine Rentenalter liegt 2026 bei 65 Jahren und wird ab 2027 an die Lebenserwartung gekoppelt; Änderungen werden jeweils zwei Jahre vorher festgelegt und dürfen höchstens drei Monate pro Jahr betragen. Für Jahrgang 1976, der 2041 65 wird, ist daher das konkrete Regelalter heute nicht abschließend festgelegt. (Sotsiaalkindlustusamet)</t>
  </si>
  <si>
    <t>Noch nicht endgültig bezifferbar. Für ab 1965 Geborene wird das Rentenalter an die Lebenserwartung gekoppelt; die Anpassung erfolgt nach finnischem Recht für künftige Jahrgänge. Für Jahrgang 1976 ist daher das exakte Regelalter noch nicht verbindlich festgelegt. (Eläketurvakeskus)</t>
  </si>
  <si>
    <t>64 Jahre als gesetzliches Mindestalter, aber für eine volle Rente regelmäßig nur bei ausreichender Versicherungsdauer. Für ab 1969 Geborene gelten 64 Jahre und 172 Quartale; bei fehlenden Quartalen gibt es den automatischen vollen Satz erst mit 67 Jahren. Jahrgang 1976 fällt in diese Gruppe. (service-public.gouv.fr)</t>
  </si>
  <si>
    <t>Beitrags-/versicherungsbezogen. Die gesetzliche Rente beruht auf Versicherungszeiten, Beitragszeiten und Entgeltpunkten. Für die Regelaltersrente sind mindestens fünf Jahre Wartezeit erforderlich. (Deutsche Rentenversicherung)</t>
  </si>
  <si>
    <t>Überwiegend versicherungs-/beitragsbezogen, aber mit Grundkomponenten. Die Altersrente setzt grundsätzlich das Rentenalter und mindestens 15 Jahre estnische Versicherungs-/Anrechnungszeit voraus. Seit 1999 hängt ein wesentlicher Teil der Anwartschaft davon ab, in welchem Umfang Sozialsteuer auf das Arbeitsentgelt gezahlt wurde. (Sotsiaalkindlustusamet)</t>
  </si>
  <si>
    <t>Mischsystem. Die earnings-related pension ist beitrags- und einkommensbezogen. Daneben bestehen national pension und guarantee pension als steuerfinanzierte Mindestsicherungselemente, die wesentlich an Wohnsitzzeiten anknüpfen. (Eläketurvakeskus)</t>
  </si>
  <si>
    <t>Beitrags-/versicherungsbezogen. Die Basisrente beruht auf Beitragszeiten, beitragspflichtigem Einkommen, Quartalen und dem Durchschnitt der besten 25 Jahre; daneben besteht für Arbeitnehmer die obligatorische Zusatzrente Agirc-Arrco als Punktesystem. (cleiss.fr)</t>
  </si>
  <si>
    <t>Ja. In der allgemeinen Rentenversicherung beträgt der Beitragssatz 2026 18,6 %, regelmäßig hälftig getragen von Arbeitgeber und Arbeitnehmer, also jeweils 9,3 %. (Deutsche Rentenversicherung)</t>
  </si>
  <si>
    <t>Ja, für den einkommensbezogenen Teil. Die Anwartschaft seit 1999 wird wesentlich durch die auf das Arbeitsentgelt gezahlte Sozialsteuer geprägt; daraus ergibt sich der individuelle Versicherungsfaktor. (pensionikeskus.ee)</t>
  </si>
  <si>
    <t>Ja, für die earnings-related pension. Diese wird hauptsächlich durch Beiträge von Arbeitgebern, Arbeitnehmern und Selbständigen finanziert. (Eläketurvakeskus)</t>
  </si>
  <si>
    <t>Ja. Arbeitnehmer und Arbeitgeber zahlen Beiträge zur Altersversicherung; 2026 z. B. 6,90 % Arbeitnehmer- und 8,55 % Arbeitgeberanteil bis zur Beitragsbemessungsgrenze sowie zusätzliche unlimitierte Altersversicherungsbeiträge. (cleiss.fr)</t>
  </si>
  <si>
    <t>Teilweise. Die reguläre Altersrente ist nicht reine Aufenthaltsrente. Es gibt aber eine nationale Mindest-/Volksrente für Personen im Rentenalter ohne ausreichenden Altersrentenanspruch, wenn bestimmte Aufenthaltsvoraussetzungen erfüllt sind. (riigiteataja.ee)</t>
  </si>
  <si>
    <t>Ja, teilweise. Die national pension setzt grundsätzlich Wohnsitz in Finnland bzw. mindestens drei Jahre Aufenthalt nach Vollendung des 16. Lebensjahres voraus; die earnings-related pension bleibt dagegen beitrags-/einkommensbezogen. (Kela)</t>
  </si>
  <si>
    <t>Anwartschaften werden über Entgeltpunkte aufgebaut: eigenes beitragspflichtiges Entgelt im Verhältnis zum Durchschnittsentgelt. Der Geldwert der Entgeltpunkte wird über den aktuellen Rentenwert bestimmt. (Deutsche Rentenversicherung)</t>
  </si>
  <si>
    <t>Anwartschaften bestehen aus Grundbetrag, Dienstzeitkomponente für Zeiten bis 1998 und Versicherungs-/Beitragskomponente ab 1999. Die jährliche Versicherungsbewertung richtet sich nach dem Verhältnis der für die Person gezahlten Sozialsteuer zum nationalen Durchschnitt. (pensionikeskus.ee)</t>
  </si>
  <si>
    <t>In der earnings-related pension werden während des Erwerbslebens Rentenansprüche aus Erwerbseinkommen aufgebaut. Bei Rentenbeginn werden frühere Einkommen mit einem wage coefficient aufgewertet. (Eläketurvakeskus)</t>
  </si>
  <si>
    <t>Die Basisrente richtet sich u. a. nach dem durchschnittlichen Jahreseinkommen der besten 25 Jahre, dem Rentensatz und der Versicherungsdauer. Frühere Einkommen fließen in die Berechnungsformel ein; in der obligatorischen Zusatzrente entstehen Punkte. (cleiss.fr)</t>
  </si>
  <si>
    <t>Laufende Renten werden grundsätzlich jährlich zum 1. Juli angepasst; maßgeblich ist insbesondere die Bruttolohnentwicklung. (Deutsche Rentenversicherung)</t>
  </si>
  <si>
    <t>Laufende Renten werden jährlich zum 1. April indexiert. Der Index berücksichtigt zu 20 % Verbraucherpreisentwicklung und zu 80 % die Entwicklung der rentenversicherungsbezogenen Sozialsteuereinnahmen; bei negativem Index werden Renten nicht gekürzt. (Sotsiaalkindlustusamet)</t>
  </si>
  <si>
    <t>Laufende earnings-related pensions werden jährlich zu Jahresbeginn mit dem earnings-related pension index angepasst. (Työeläke.fi)</t>
  </si>
  <si>
    <t>Basisrenten werden grundsätzlich jährlich anhand der Preisentwicklung ohne Tabak angepasst; zum 1. Januar 2026 betrug die Anpassung 0,9 %. (service-public.gouv.fr)</t>
  </si>
  <si>
    <t>Ja. Es gibt Rente wegen voller oder teilweiser Erwerbsminderung. Keine einfache Quote zur Altersrente; die volle Erwerbsminderungsrente hat in der Rentenformel den Rentenartfaktor 1,0, die teilweise Erwerbsminderungsrente 0,5. (Deutsche Rentenversicherung)</t>
  </si>
  <si>
    <t>Ja, aber systematisch heute vor allem als Arbeitsfähigkeitsleistung. Klassische neue Erwerbsunfähigkeitsrenten wurden durch die Work Ability Allowance für teilweise oder fehlende Arbeitsfähigkeit ersetzt. Keine Quote zur Altersrente. (riigiteataja.ee)</t>
  </si>
  <si>
    <t>Ja. Die disability pension ist keine pauschale Quote der Altersrente. Volle Leistung bei mindestens 60 % Minderung der Arbeitsfähigkeit; Teilinvaliditätsrente bei mindestens 40 %. Die Teilinvaliditätsrente beträgt die Hälfte der vollen Invaliditätsrente. (Työeläke.fi)</t>
  </si>
  <si>
    <t>Ja. Keine Quote der Altersrente, sondern Invaliditätsrente nach Kategorie. Im allgemeinen Schema liegt die Leistung typischerweise bei 30 % des durchschnittlichen Einkommens der besten zehn Jahre in Kategorie 1 und bei 50 % in Kategorie 2 bzw. 3; Kategorie 3 kann eine Zulage für Drittpflege enthalten. (service-public.gouv.fr)</t>
  </si>
  <si>
    <t>Ja. Große Witwen-/Witwerrente grundsätzlich 55 % der Rente des Verstorbenen; nach altem Recht teilweise 60 %. Kleine Witwen-/Witwerrente ist niedriger und zeitlich begrenzt. (Deutsche Rentenversicherung)</t>
  </si>
  <si>
    <t>Ja. Hinterbliebenenrente für bestimmte Familienangehörige. Quote bezogen auf die berechnete Rente des Verstorbenen: 50 % bei einem Hinterbliebenen, 80 % bei zwei, 100 % bei drei oder mehr Berechtigten. (riigiteataja.ee)</t>
  </si>
  <si>
    <t>Ja. Die Hinterbliebenenrente basiert auf der Rente des verstorbenen Ehegatten bzw. Elternteils. Die Ehegattenrente kann höchstens die Hälfte der Rente des Verstorbenen betragen und wird durch eigene Renteneinkünfte sowie Kinderanteile beeinflusst. (Työeläke.fi)</t>
  </si>
  <si>
    <t>Ja. Die réversion beträgt grundsätzlich 54 % der Altersrente, die der verstorbene Ehegatte bezog oder hätte beanspruchen können; sie ist einkommensabhängig. (L'Assurance retraite)</t>
  </si>
  <si>
    <t>Nur in Sonderkonstellationen. Für vor dem 1. Juli 1977 geschiedene Ehen kann eine Geschiedenenwitwen-/witwerrente in Betracht kommen. Sonst können bei Tod des früheren Ehegatten insbesondere Erziehungsrente oder Versorgungsausgleichsmechanismen relevant sein. (Deutsche Rentenversicherung)</t>
  </si>
  <si>
    <t>Ja, unter engen Voraussetzungen. Ein geschiedener Ehegatte kann anspruchsberechtigt sein, wenn er vor oder innerhalb von drei Jahren nach der Scheidung das Rentenalter erreicht hat oder teilweise/gar nicht arbeitsfähig ist und die Ehe mindestens 25 Jahre bestand. (riigiteataja.ee)</t>
  </si>
  <si>
    <t>Ja, unter Voraussetzung einer Unterhaltsverpflichtung. Ein früherer Ehegatte kann Anspruch haben, wenn der Verstorbene aufgrund gerichtlicher Entscheidung oder wirksamer Vereinbarung Unterhalt zahlen musste. (Eläketurvakeskus)</t>
  </si>
  <si>
    <t>Ja. Auch frühere Ehegatten können Anspruch auf réversion haben; bei mehreren Ehegatten bzw. Ex-Ehegatten wird die Leistung grundsätzlich nach Ehedauer aufgeteilt. (L'Assurance retraite)</t>
  </si>
  <si>
    <t>Gesetzliche Renten sind steuerpflichtig mit Besteuerungsanteil nach Rentenbeginn. Für Neurentner 2026 beträgt der steuerpflichtige Anteil 84 %; er steigt jährlich um 0,5 Prozentpunkte bis zur Vollbesteuerung. Für Jahrgang 1976 mit Rentenbeginn 2043 ergäbe sich nach heutiger Übergangslogik rechnerisch ein steuerpflichtiger Anteil von 92,5 %. (Deutsche Rentenversicherung)</t>
  </si>
  <si>
    <t>Gesetzliche Renten sind grundsätzlich einkommensteuerlich relevant, werden aber durch einen besonderen Grundfreibetrag für Personen im Rentenalter entlastet. 2025/2026 beträgt dieser 776 € monatlich bzw. 9.312 € jährlich. (MTA)</t>
  </si>
  <si>
    <t>Renten sind grundsätzlich steuerpflichtiges Einkommen; die konkrete Belastung hängt von Rentenhöhe, Abzügen und kommunaler Besteuerung ab. Für Pensionseinkommen bestehen besondere Renteneinkommensabzüge. (Eläketurvakeskus)</t>
  </si>
  <si>
    <t>Renten sind grundsätzlich einkommensteuerpflichtig und unterliegen regelmäßig dem Quellensteuer-/Withholding-System. (impots.gouv.fr)</t>
  </si>
  <si>
    <t>Auf gesetzliche Renten fallen regelmäßig Beiträge zur Kranken- und Pflegeversicherung an. In der gesetzlichen Krankenversicherung wird der allgemeine Beitrag von 14,6 % hälftig getragen; Pflegeversicherungsbeiträge trägt der Rentner grundsätzlich selbst. (Deutsche Rentenversicherung)</t>
  </si>
  <si>
    <t>Auf Rentenzahlungen fallen typischerweise keine arbeitnehmerähnlichen Sozialversicherungsbeiträge an. Die Sozialsteuer ist primär eine Abgabe auf Erwerbseinkommen bzw. Arbeitgeberseite; steuerlich relevant bleibt die Einkommensteuer oberhalb der Freibeträge. (pensionikeskus.ee)</t>
  </si>
  <si>
    <t>Auf Pensionseinkommen fällt insbesondere der Krankenversicherungsbeitrag für medizinische Versorgung an; 2026 beträgt der medical care contribution auf Pensions- und Sozialleistungseinkommen 1,49 %. (vero.fi)</t>
  </si>
  <si>
    <t>Auf Renten können CSG, CRDS und CASA anfallen, abhängig vom Referenzsteuereinkommen. 2026 reichen die Belastungen von vollständiger Befreiung bis zu CSG 8,3 %, CRDS 0,5 % und CASA 0,3 %; auf Zusatzrenten kann zusätzlich ein Krankenversicherungsbeitrag von 1 % anfallen. (cleiss.fr)</t>
  </si>
  <si>
    <r>
      <t>Nein</t>
    </r>
    <r>
      <rPr>
        <sz val="11"/>
        <rFont val="Calibri"/>
        <family val="2"/>
      </rPr>
      <t>, nicht für die gesetzliche Altersrente. Bloßer Aufenthalt begründet keine Rentenanwartschaft; Sozialhilfe-/Grundsicherungsleistungen sind davon zu trennen.</t>
    </r>
  </si>
  <si>
    <r>
      <t>Nein</t>
    </r>
    <r>
      <rPr>
        <sz val="11"/>
        <rFont val="Calibri"/>
        <family val="2"/>
      </rPr>
      <t>, nicht für die Altersrente aus dem Arbeitnehmer-Regelsystem. Bloßer legaler Aufenthalt begründet keine beitragsbezogene Altersrente; bedürftigkeitsabhängige Sozialleistungen sind gesondert zu betrachten.</t>
    </r>
  </si>
  <si>
    <t>67 Jahre bei mindestens 15 Versicherungsjahren; alternativ volle Rente ab 62 bei 40 Versicherungsjahren. Für Jg. 1976: regulär 2043. (ypergasias.gov.gr)</t>
  </si>
  <si>
    <t>66 Jahre, mit Wahlrecht zum späteren Abruf bis 70 für nach 1958 Geborene. Für Jg. 1976: 2042; späterer Abruf erhöht den Satz. (gov.ie)</t>
  </si>
  <si>
    <t>67 Jahre für die öffentliche Wohnsitzrente; Pensionsfonds beginnen regelmäßig ebenfalls bei 67, teilweise schon ab 65. Für Jg. 1976: 2043. (norden.org)</t>
  </si>
  <si>
    <t>Mindestens 67 Jahre, aber ab 2027 an Lebenserwartung anzupassen. Für Jg. 1976 ist das genaue spätere Regelalter daher nicht endgültig bezifferbar; heutiger Ausgangswert: 67. (inps.it)</t>
  </si>
  <si>
    <t>Prüfbedürftig wegen divergierender amtlicher Darstellungen. Das Migrationsportal nennt ab 2030 einheitlich 65 Jahre; eine Ministeriumsseite nennt dagegen eine Erhöhung bis 67 ab 2038. OECD 2026 beschreibt den aktuellen Stand mit 65 und Angleichung der Frauen bis 2030. (migracije.hr)</t>
  </si>
  <si>
    <t>65 Jahre; mindestens 20 Versicherungsjahre. Für Jg. 1976: 2041. (vsaa.gov.lv)</t>
  </si>
  <si>
    <t>Mischsystem mit starkem Beitragsbezug. Die Altersrente besteht aus nationaler Rente und beitragsbezogener/kompensatorischer Rente; die nationale Rente ist steuerfinanziert, setzt aber einen Rentenanspruch voraus. (ypergasias.gov.gr)</t>
  </si>
  <si>
    <t>Überwiegend beitragsbezogen für die State Pension Contributory; daneben State Pension Non-Contributory als bedürftigkeitsabhängige, wohnsitzbezogene Leistung. (gov.ie)</t>
  </si>
  <si>
    <t>Mischsystem. Öffentliche Sozialversicherungsrente ist steuerfinanziert und wohnsitzbezogen; obligatorische Pensionsfonds beruhen auf Beiträgen während Erwerbstätigkeit. (norden.org)</t>
  </si>
  <si>
    <t>Beitrags-/versicherungsbezogen. Allgemeine Altersrente setzt grundsätzlich Beitragszeiten voraus; soziale Altersleistung ist gesonderte Sozialhilfe-/Mindestsicherungsleistung. (inps.it)</t>
  </si>
  <si>
    <t>Beitrags-/versicherungsbezogen. Pflichtversicherung beruht auf Erwerbstätigkeit und Beitragszahlung; Berechnung nach Versicherungszeit, Entgelt-/Wertpunkten und Rentenwert. (mirovinsko.hr)</t>
  </si>
  <si>
    <t>Beitrags-/kapitalbezogen. Lettland nutzt ein Mehrsäulensystem mit staatlicher NDC-Komponente und obligatorischer kapitalgedeckter 2. Säule; höhere Beiträge führen zu höherer Rente. (lm.gov.lv)</t>
  </si>
  <si>
    <t>Ja. Für die Primärrente beträgt der Beitrag 20 %, davon 6,67 % Arbeitnehmer und 13,33 % Arbeitgeber. (ypergasias.gov.gr)</t>
  </si>
  <si>
    <t>Ja. Die State Pension Contributory beruht auf PRSI-Beiträgen; für die volle Leistung unter dem Total Contributions Approach sind 2.080 Beiträge, also ca. 40 Jahre, maßgeblich. (citizensinformation.ie)</t>
  </si>
  <si>
    <t>Ja, für Pensionsfonds. Arbeitnehmer und Arbeitgeber müssen grundsätzlich Beiträge leisten; Mindestbeitrag 15,5 %, davon 4 % Arbeitnehmer und 11,5 % Arbeitgeber. (taxsummaries.pwc.com)</t>
  </si>
  <si>
    <t>Ja. Altersrente setzt regelmäßig 20 Beitragsjahre voraus; Beiträge werden im Erwerbsleben an INPS bzw. die zuständigen Systeme entrichtet. (inps.it)</t>
  </si>
  <si>
    <t>Ja. Pensionsbeiträge werden aus dem Arbeitnehmerentgelt entrichtet; Gesundheitsbeiträge grundsätzlich arbeitgeberseitig. (migracije.hr)</t>
  </si>
  <si>
    <t>Ja. Die Gesamtbeiträge zur Altersversorgung betragen 20 % des Einkommens und werden zwischen 1. und 2. Säule aufgeteilt. (lm.gov.lv)</t>
  </si>
  <si>
    <t>Nicht allein. Die nationale Rente ist zwar nicht beitragsfinanziert und verlangt für den vollen Betrag 40 Jahre Aufenthalt, wird aber nur bei bestehendem Rentenanspruch gewährt. (ypergasias.gov.gr)</t>
  </si>
  <si>
    <t>Ja, aber nur für die Non-Contributory Pension. Diese setzt u. a. rechtmäßigen und gewöhnlichen Aufenthalt sowie Bedürftigkeitsprüfung voraus; die beitragsbezogene Rente bleibt PRSI-basiert. (services.mywelfare.ie)</t>
  </si>
  <si>
    <t>Ja, für die öffentliche Rente. Anspruch im allgemeinen Sozialversicherungssystem ist an Wohnsitz in Island geknüpft; volle Zahlung beruht typischerweise auf langer Wohnsitzdauer. (norden.org)</t>
  </si>
  <si>
    <t>Nicht für die beitragsbezogene Altersrente. Es gibt aber einen einkommensabhängigen Sozialzuschuss/assegno sociale bei langjährigem Aufenthalt. (Social Security)</t>
  </si>
  <si>
    <t>Nicht für die reguläre Altersrente. Es existiert daneben eine nationale Altersleistung/Mindestleistung für Ältere unter Bedürftigkeits- und Aufenthaltsvoraussetzungen. (mirovinsko.hr)</t>
  </si>
  <si>
    <t>Nicht für die reguläre Altersrente. Bei fehlender Rentenanwartschaft kann nach Erreichen des Rentenalters eine staatliche Sozialleistung in Betracht kommen. (lm.gov.lv)</t>
  </si>
  <si>
    <t>Die beitragsbezogene Komponente hängt von beitragspflichtigem Einkommen seit 2002, Versicherungszeit und Ersatz-/Akkumulationssätzen ab; die nationale Komponente ist pauschal und wohnsitzabhängig. (ypergasias.gov.gr)</t>
  </si>
  <si>
    <t>Anwartschaft über PRSI-Beiträge. Nach dem Total Contributions Approach führt die Zahl der Beiträge direkt zur Quote der Vollrente; 1.040 Beiträge ergeben z. B. 50 % der Vollrente. (citizensinformation.ie)</t>
  </si>
  <si>
    <t>Öffentliche Rente: Aufbau nach Wohnsitzjahren. Pensionsfonds: Aufbau nach kumulierten Beiträgen und Fondsregeln. (norden.org)</t>
  </si>
  <si>
    <t>Im NDC-System werden fiktive Beitragskonten jährlich anhand des durchschnittlichen BIP-Wachstums aufgewertet; Alt-/Mischsysteme enthalten lohn-/preisbezogene Rechenbestandteile. (Social Security)</t>
  </si>
  <si>
    <t>Entgeltbezogene Wertpunkte: Arbeitsentgelt bzw. Beitragsgrundlage wird ins Verhältnis zum Durchschnittsentgelt gesetzt; daraus entstehen persönliche Punkte. (mirovinsko.hr)</t>
  </si>
  <si>
    <t>Aufbau über individuelles Rentenkapital: Beiträge werden in der 1. Säule fiktiv und in der 2. Säule kapitalgedeckt angesammelt. (lm.gov.lv)</t>
  </si>
  <si>
    <t>Gesetzlich vorgesehene jährliche Anpassung nach BIP-Wachstum und Verbraucherpreisindex. (issa.int)</t>
  </si>
  <si>
    <t>Keine starre lohn-/preisgebundene Rentenformel wie in Deutschland; Beträge werden politisch/budgetär angepasst, z. B. durch jährliche Sozialhaushalte. (gov.ie)</t>
  </si>
  <si>
    <t>Öffentliche Leistungen werden über gesetzlich festgelegte Beträge und Einkommensprüfungen angepasst; Pensionsfonds folgen ihren jeweiligen Fondsregeln. (norden.org)</t>
  </si>
  <si>
    <t>Laufende Renten werden jährlich nach der durchschnittlichen Entwicklung der Lebenshaltungskosten angepasst. (Social Security)</t>
  </si>
  <si>
    <t>Laufende Renten werden grundsätzlich zweimal jährlich unter Berücksichtigung von Preisindex und Durchschnittslohn angepasst. (Portal.hr)</t>
  </si>
  <si>
    <t>Jährliche Indexierung zum 1. Oktober: Verbraucherpreisindex plus Anteil am realen Wachstum der sozialversicherungspflichtigen Beitragslöhne; Anteil steigt mit Versicherungsdauer. (lm.gov.lv)</t>
  </si>
  <si>
    <t>Ja. Keine einfache Quote zur Altersrente. e-EFKA gewährt Invaliditätsrenten bei gesetzlichen Voraussetzungen; bei Arbeitsunfall/Berufskrankheit gelten besondere Mindestregeln. (ypergasias.gov.gr)</t>
  </si>
  <si>
    <t>Ja. Invalidity Pension ist eine PRSI-basierte Wochenleistung bei langfristiger Arbeitsunfähigkeit; keine Quote zur Altersrente. Mit 66 automatischer Übergang zur State Pension Contributory zum vollen Satz. (gov.ie)</t>
  </si>
  <si>
    <t>Ja. Öffentliche Invaliditätsleistung bei mindestens 50 % Erwerbsfähigkeitsverlust und Wohnsitzvoraussetzungen; Pensionsfonds ebenfalls bei mindestens 50 % Erwerbsfähigkeitsverlust und Beiträgen. Keine feste Quote zur Altersrente. (norden.org)</t>
  </si>
  <si>
    <t>Ja. Ordinary invalidity allowance bei Reduktion der Arbeitsfähigkeit auf unter ein Drittel; inabilità pension bei vollständiger Unfähigkeit zu jeder Erwerbstätigkeit. Keine pauschale Quote zur Altersrente. (ambpanama.esteri.it)</t>
  </si>
  <si>
    <t>Ja. Bei teilweisem oder vollständigem Verlust der Arbeitsfähigkeit und ausreichender Versicherungszeit; keine einfache Quote zur Altersrente, Berechnung nach allgemeinen Rentenfaktoren. (mss.gov.hr)</t>
  </si>
  <si>
    <t>Ja. Mindestens drei Versicherungsjahre und anerkannte Invalidität vor Rentenalter. Gruppen I/II werden nach Entgelt, Versicherungszeit und möglicher Versicherungszeit berechnet; Gruppe III ist pauschaler. Keine feste Quote zur Altersrente. (lm.gov.lv)</t>
  </si>
  <si>
    <t>Ja. Überlebender Ehegatte/Lebenspartner erhält 70 % der Rente des Verstorbenen für die ersten drei Jahre; danach Fortzahlung, wenn keine Arbeit/eigene Rente, sonst Reduktion auf 50 % der Todesrente. Kinder grundsätzlich 25 %. (ypergasias.gov.gr)</t>
  </si>
  <si>
    <t>Ja, aber nicht als Quote zur Altersrente. Bereaved Partner’s Contributory Pension ist eine eigene PRSI-basierte Leistung; Berechnung nach Sozialversicherungsrecord, nicht prozentual aus der Altersrente. (gov.ie)</t>
  </si>
  <si>
    <t>Begrenzt im öffentlichen System. Residence-based survivor benefit grundsätzlich für Kinder, nicht für Ehegatten; obligatorische Pensionsfonds können Ehegatten-/Partner- und Kinderleistungen gewähren. (secure.ssa.gov)</t>
  </si>
  <si>
    <t>Ja. Ehegatte ohne Kinder: 60 % der Rente des Verstorbenen; mit einem Kind 80 %, mit zwei oder mehr Kindern 100 %, jeweils unter Einkommens-/Kombinationsgrenzen. (Social Security)</t>
  </si>
  <si>
    <t>Ja. Hinterbliebenenrente für Ehegatten, Lebenspartner, geschiedene Unterhaltsberechtigte, Kinder und ggf. Eltern. Quote: 77 % bei einem, 88 % bei zwei, 100 % bei drei, 110 % bei vier oder mehr Berechtigten. (Employment, Social Affairs and Inclusion)</t>
  </si>
  <si>
    <t>Ja, aber primär für Kinder/dependente Angehörige, nicht als allgemeine Ehegattenrente. Quote aus der möglichen Altersrente des Verstorbenen: 50 % für ein Kind, 75 % für zwei, 90 % für drei oder mehr Kinder. (lm.gov.lv)</t>
  </si>
  <si>
    <t>Ja. Geschiedene Ehegatten können unter kumulativen gesetzlichen Voraussetzungen einen Anteil der Rente des Verstorbenen erhalten. (ypergasias.gov.gr)</t>
  </si>
  <si>
    <t>Nur eingeschränkt/statusabhängig. Keine klare allgemeine Ex-Ehegattenrente; bei Auflösung einer civil partnership vor Todesfällen bis 21.07.2025 kann Anspruch bestehen, während längere Trennung bei späteren Todesfällen ausschließt. (gov.ie)</t>
  </si>
  <si>
    <t>Im öffentlichen System grundsätzlich nein für geschiedene Ehegatten, da keine allgemeine Ehegatten-Hinterbliebenenrente besteht; Pensionsfonds können eigene Regeln haben. (secure.ssa.gov)</t>
  </si>
  <si>
    <t>Ja. Auch rechtlich getrennte oder geschiedene Ehegatten können unter Bedingungen Hinterbliebenenleistungen erhalten. (consedimburgo.esteri.it)</t>
  </si>
  <si>
    <t>Ja. Geschiedene Ehegatten sind anspruchsberechtigt, wenn ihnen Unterhalt zugesprochen wurde. (mss.gov.hr)</t>
  </si>
  <si>
    <t>Grundsätzlich nein. Die gesetzliche Hinterbliebenenrente ist auf Kinder bzw. unterhaltsabhängige Geschwister/Enkel ausgerichtet; geschiedene Ehegatten werden nicht als Berechtigte genannt. (vsaa.gov.lv)</t>
  </si>
  <si>
    <t>Renten sind grundsätzlich steuerpflichtiges Einkommen; griechische Steuerresidenten werden mit ihrem Welteinkommen besteuert. Für ausländische Pensionäre kann unter Sonderregime eine 7 %-Flat-Tax auf ausländische Einkünfte in Betracht kommen. (gov.gr)</t>
  </si>
  <si>
    <t>State Pension Contributory ist steuerpflichtig, auch wenn bei alleiniger Staatspension häufig keine Steuer anfällt. (gov.ie)</t>
  </si>
  <si>
    <t>Renten- und Pensionszahlungen unterliegen normaler Einkommensteuer; der Steuerabzug erfolgt regelmäßig monatlich. (LSR)</t>
  </si>
  <si>
    <t>Renten sind grundsätzlich einkommensteuerpflichtig; italienische Renten werden in der Regel nach den allgemeinen italienischen Steuerregeln erfasst. (agenziaentrate.gov.it)</t>
  </si>
  <si>
    <t>Renten können der Einkommensteuer unterliegen; der Rentenzahler berechnet, behält ein und führt die Steuer ab. (porezna-uprava.gov.hr)</t>
  </si>
  <si>
    <t>Renten unterliegen der Einkommensteuer. Seit 2025 beträgt der persönliche Einkommensteuersatz 25,5 %; der Rentnerfreibetrag beträgt 1.000 € monatlich. (vsaa.gov.lv)</t>
  </si>
  <si>
    <t>Auf Renten können Krankenversicherungsbeiträge und Solidaritätsabgaben anfallen; Beiträge zur Krankenversicherung für Rentner werden als Pflichtabgaben beschrieben. (mpisoc.mpg.de)</t>
  </si>
  <si>
    <t>Sozialversicherungsrenten sind einkommensteuerpflichtig, aber nicht USC- oder PRSI-pflichtig; PRSI endet bei Bezug der State Pension Contributory bzw. spätestens mit 70. (citizensinformation.ie)</t>
  </si>
  <si>
    <t>Arbeitnehmer-/Arbeitgeber-Pensionsbeiträge betreffen Erwerbseinkommen; Rentenzahlungen werden primär einkommensteuerlich behandelt. Zusätzlich besteht ein Altersfondsbeitrag für steuerpflichtige Personen bis 69. (LSR)</t>
  </si>
  <si>
    <t>Auf Rentenleistungen fallen regelmäßig keine arbeitnehmerähnlichen Sozialversicherungsbeiträge wie auf Erwerbseinkommen an; Sozialbeiträge betreffen grundsätzlich Arbeitsvergütung. (taxsummaries.pwc.com)</t>
  </si>
  <si>
    <t>Auf Rentenzahlungen selbst stehen vor allem Einkommensteuerfragen im Vordergrund; Pensionsbeiträge werden aus Arbeitsentgelt erhoben. Bei Erwerbstätigkeit neben der Rente können Beiträge auf Erwerbseinkommen anfallen. (migracije.hr)</t>
  </si>
  <si>
    <t>Keine gesonderten arbeitnehmerähnlichen Sozialversicherungsbeiträge auf die Rentenzahlung ersichtlich; maßgeblich ist die Einkommensteuerbelastung oberhalb des Rentnerfreibetrags. (vsaa.gov.lv)</t>
  </si>
  <si>
    <t>65 Jahre. Für Männer und Frauen ab Jahrgang 1958 gilt das ordentliche AHV-Rentenalter 65. (AHV Liechtenstein)</t>
  </si>
  <si>
    <t>65 Jahre. Das Rentenalter wird bis 2026 auf 65 Jahre für Männer und Frauen angehoben; für Jg. 1976 damit 2041. (OECD)</t>
  </si>
  <si>
    <t>65 Jahre, bei grundsätzlich mindestens 120 Versicherungsmonaten. (BGL BNP Paribas)</t>
  </si>
  <si>
    <t>65 Jahre. Für Personen ab Geburtsjahrgang 1962 gilt Rentenalter 65; für Jg. 1976 also 2041. (Servizz)</t>
  </si>
  <si>
    <t>Voraussichtlich 68 Jahre und 3 Monate. Für Geborene von Januar 1976 bis September 1978 weist die SVB ein erwartetes AOW-Alter von 68 Jahren und 3 Monaten aus; endgültige Festlegung erfolgt wegen Lebenserwartungskopplung später. (SVB)</t>
  </si>
  <si>
    <t>Derzeit grundsätzlich 67 Jahre, mit flexiblem Bezug ab 62 bei ausreichender Anwartschaft; für jüngere Jahrgänge wird das Rentenalter schrittweise an die Lebenserwartung angepasst. Für Jg. 1976 ist daher eine künftige Anhebung gegenüber 67 einzukalkulieren. (nav.no)</t>
  </si>
  <si>
    <t>Mischsystem mit Beitragskern. AHV/IV beruhen auf Beitragsjahren und durchschnittlichem Jahreseinkommen; volle Rente setzt lückenlose Beitragszeit voraus. Die zweite Säule beruht auf angespartem Altersguthaben. (AHV Liechtenstein)</t>
  </si>
  <si>
    <t>Beitrags-/versicherungsbezogen mit Grundkomponente. Die Sozialversicherungsrente besteht aus allgemeinem und individuellem Teil; Rentenpunkte und Versicherungszeiten sind maßgeblich. (socmin.lrv.lt)</t>
  </si>
  <si>
    <t>Beitrags-/versicherungsbezogen. Anspruch und Höhe hängen von Versicherungszeiten und Beiträgen ab; die Altersrente setzt grundsätzlich Beitragszeiten voraus. (guichet.public.lu)</t>
  </si>
  <si>
    <t>Beitragsbezogen. Die Retirement Pension ist eine contributory pension; Mindestbeiträge und Beitragshistorie sind entscheidend. (MFSA)</t>
  </si>
  <si>
    <t>Wohnsitz-/Arbeitsortbezogene Grundrente. AOW-Anwartschaften entstehen grundsätzlich durch Wohnen oder Arbeiten in den Niederlanden; pro fehlendem Versicherungsjahr Kürzung um 2 %. (business.gov.nl)</t>
  </si>
  <si>
    <t>Mischsystem. Die National Insurance old-age pension beruht auf Wohn-/Arbeitszeiten und einkommensbezogenen Anwartschaften; volle Grundabsicherung setzt typischerweise 40 Jahre National-Insurance-Zeit voraus. (nav.no)</t>
  </si>
  <si>
    <t>Ja. AHV/IV werden durch Beiträge finanziert; in der zweiten Säule werden Beiträge dem individuellen Vorsorgekonto gutgeschrieben. (Social Security)</t>
  </si>
  <si>
    <t>Ja. Arbeitnehmerbeiträge zur staatlichen Sozialversicherung betragen 2026 insgesamt 19,5 %, davon 8,72 % für Rentenversicherung; Arbeitgeberbeiträge kommen hinzu. (socmin.lrv.lt)</t>
  </si>
  <si>
    <t>Ja. Das System wird über Beiträge von Arbeitnehmer, Arbeitgeber und Staat finanziert; die Altersrente knüpft an Versicherungszeiten und Beiträge an. (Chambre des salariés - CSL)</t>
  </si>
  <si>
    <t>Ja. Contributory pensions sind mit Beschäftigungseinkommen und Beiträgen von Arbeitgeber und Arbeitnehmer verknüpft. (MTCA)</t>
  </si>
  <si>
    <t>Teilweise. AOW ist eine Volksversicherung: Wer wohnt oder arbeitet, ist grundsätzlich versichert; Beiträge werden über Lohn-/Einkommensteuermechanik erhoben. (business.gov.nl)</t>
  </si>
  <si>
    <t>Ja, für den einkommensbezogenen Teil. Jährlich werden 18,1 % des rentenbegründenden Einkommens bis 7,1 G dem individuellen Rentenkonto gutgeschrieben. (mpisoc.mpg.de)</t>
  </si>
  <si>
    <t>Nein, nicht allein. Erforderlich sind AHV-Beitragszeiten; bloßer Aufenthalt ohne Beitragsstatus genügt nicht. (AHV Liechtenstein)</t>
  </si>
  <si>
    <t>Nicht für die reguläre Sozialversicherungsrente. Diese setzt Versicherungszeiten und Beitrags-/Punktesystem voraus; beitragsfreie Sozialhilfeleistungen sind davon zu trennen. (socmin.lrv.lt)</t>
  </si>
  <si>
    <t>Nein. Die reguläre gesetzliche Altersrente setzt Versicherungszeiten/Beiträge voraus. (BGL BNP Paribas)</t>
  </si>
  <si>
    <t>Nein, nicht für die contributory retirement pension. Es gibt eine nicht beitragsbezogene Age Pension als bedürftigkeitsabhängige Sicherheitsleistung, aber die reguläre Altersrente ist beitragsbezogen. (MFSA)</t>
  </si>
  <si>
    <t>Ja, im Grundsatz. Die AOW wird für Versicherungsjahre aufgebaut, die regelmäßig an Wohnen oder Arbeiten in den Niederlanden anknüpfen. (business.gov.nl)</t>
  </si>
  <si>
    <t>Teilweise. Wohnsitzzeiten sind für die Garantie-/Grundabsicherung wesentlich; die einkommensbezogene Komponente wird durch Erwerbseinkommen aufgebaut. (nav.no)</t>
  </si>
  <si>
    <t>AHV-Anwartschaften richten sich nach Beitragsjahren und durchschnittlichem Jahreseinkommen; Beitragslücken kürzen die Rente. In der zweiten Säule wächst das Altersguthaben durch Beiträge und Verzinsung. (AHV Liechtenstein)</t>
  </si>
  <si>
    <t>Aufbau über allgemeine Komponente, Versicherungszeiten und individuelle Rentenpunkte; der Wert der Rentenpunkte wird gesetzlich fortgeschrieben. (socmin.lrv.lt)</t>
  </si>
  <si>
    <t>Frühere Einkommen werden über Revalorisierung/Anpassungsfaktoren in die Rentenberechnung überführt; die Rente setzt sich aus fixen und proportionalen Bestandteilen zusammen. (Chambre des salariés - CSL)</t>
  </si>
  <si>
    <t>Für nach 1962 Geborene wirkt die Reformlogik stärker lohnbezogen; die Renten-/Bemessungsentwicklung nutzt u. a. eine 70-%-Lohn-/30-%-Inflationskomponente. (Gemma - Know, Plan, Act.)</t>
  </si>
  <si>
    <t>Pro Versicherungsjahr werden 2 % der vollen AOW aufgebaut; volle AOW setzt 50 Versicherungsjahre voraus. (government.nl)</t>
  </si>
  <si>
    <t>Rentenansprüche werden jährlich auf dem individuellen Konto aufgebaut und in der Anwartschaftsphase grundsätzlich mit der Lohnentwicklung angepasst. (mpisoc.mpg.de)</t>
  </si>
  <si>
    <t>AHV/IV-Leistungen werden regelmäßig an Lohn- und Preisentwicklung angepasst; EU-Rechteübersicht nennt eine Anpassung alle zwei Jahre. (European Commission)</t>
  </si>
  <si>
    <t>Renten werden jährlich indexiert; maßgeblich ist insbesondere das Wachstum der beitragspflichtigen Lohnsumme. (OECD)</t>
  </si>
  <si>
    <t>Renten werden an Lebenshaltungskosten indexiert und an die Lohnentwicklung angepasst bzw. readjustiert. (guichet.public.lu)</t>
  </si>
  <si>
    <t>Staatliche Renten werden über COLA-/gesetzliche Erhöhungsmechanismen angepasst; für jüngere Kohorten besteht eine lohn- und inflationsbezogene Indexierungslogik. (Servizz)</t>
  </si>
  <si>
    <t>AOW-Beträge werden zweimal jährlich aktualisiert; die Leistung ist an den Mindestlohnmechanismus gekoppelt. (SVB)</t>
  </si>
  <si>
    <t>Laufende Renten werden mit Lohnwachstum abzüglich 0,75 Prozentpunkten indexiert. (mpisoc.mpg.de)</t>
  </si>
  <si>
    <t>Ja. IV-Rente als ganze, halbe oder Viertelsrente je nach Invaliditätsgrad; ganze IV-Rente entspricht systematisch der vollen Invalidenrente nach AHV/IV-Skala, keine pauschale Quote zur individuell späteren Altersrente. (AHV Liechtenstein)</t>
  </si>
  <si>
    <t>Ja. Sozialversicherungs-Invaliditätsrente; keine feste Quote zur Altersrente. Berechnung über allgemeinen und individuellen Teil mit Multiplikatoren nach Teilhabeverlust. (socmin.lrv.lt)</t>
  </si>
  <si>
    <t>Ja. Invaliditätspension bei gesetzlichen Voraussetzungen; keine einfache Quote zur Altersrente, sondern Berechnung nach eigener Rentenformel mit Versicherungsbiografie. (cnap.public.lu)</t>
  </si>
  <si>
    <t>Ja. Invalidity Pension; keine feste Quote zur Altersrente. Invaliditätsrentner erhalten zudem Sozialversicherungscredits für die spätere Altersrentenberechnung. (Social Security)</t>
  </si>
  <si>
    <t>Ja, aber nicht als Altersrentenquote. WIA-Leistungen greifen nach zwei Jahren Krankheit bei mindestens 35 % Erwerbsunfähigkeit; sie sind einkommens-/arbeitsfähigkeitsbezogen, nicht AOW-prozentual. (business.gov.nl)</t>
  </si>
  <si>
    <t>Ja. Disability benefit beträgt grundsätzlich 66 % des Durchschnitts der besten 3 der letzten 5 Jahre vor Eintritt der Invalidität, begrenzt durch Systemregeln; keine Quote zur Altersrente. (Regjeringen.no)</t>
  </si>
  <si>
    <t>Ja. Witwen-/Witwerrente; im AHV-System beträgt die Witwen-/Witwerrente grundsätzlich 80 % der Altersrente, Waisenrente 40 %. (AHV Liechtenstein)</t>
  </si>
  <si>
    <t>Ja. Witwen-/Witwer- und Waisenrenten; Waisenrenten betragen typischerweise 50 % der Rente des Verstorbenen, Vollwaisen 100 %. Witwen-/Witwerrente ist eher pauschal/grundbetragsbezogen. (socmin.lrv.lt)</t>
  </si>
  <si>
    <t>Ja. Ehegatten-/Partner-Hinterbliebenenrente: 100 % der fixen Rentenbestandteile und 75 % der proportionalen Bestandteile; keine einfache Gesamtquote zur Altersrente. (guichet.public.lu)</t>
  </si>
  <si>
    <t>Ja. Contributory Widow(er)’s Pension; auch Ex-Partner können erfasst sein. Historisch/gesetzlich ist die Leistung an die Rente des Verstorbenen gekoppelt; 2026 soll der Satz 0,64814 des maßgeblichen Rentenbetrags erreichen. (Social Security)</t>
  </si>
  <si>
    <t>Ja, aber nicht als AOW-Quote. Anw-survivor benefit ist eine eigenständige Hinterbliebenenleistung für Partner/Ex-Partner unter Bedingungen, insbesondere unter AOW-Alter und mit Kind unter 18 oder mindestens 45 % Erwerbsunfähigkeit. (government.nl)</t>
  </si>
  <si>
    <t>Eingeschränkt. Neue klassische survivor’s pension wird weitgehend durch zeitlich begrenzte adjustment allowance/Übergangsleistungen ersetzt; für nach 1963 Geborene bestehen keine survivor’s rights in der retirement pension. (nav.no)</t>
  </si>
  <si>
    <t>Ja, unter Voraussetzungen. Geschiedene Personen werden Witwen/Witwern gleichgestellt, wenn der verstorbene Ex-Ehegatte zu laufendem Unterhalt verpflichtet war und weitere Bedingungen erfüllt sind. (AHV Liechtenstein)</t>
  </si>
  <si>
    <t>Grundsätzlich nicht als allgemeine Ex-Ehegattenversorgung ersichtlich. Die amtliche Beschreibung nennt Ehegatten und Kinder; geschiedene Ehegatten werden dort nicht als allgemeine Anspruchsgruppe genannt. (socmin.lrv.lt)</t>
  </si>
  <si>
    <t>Ja. Bei Scheidung oder Auflösung einer Partnerschaft wird die Hinterbliebenenrente grundsätzlich anteilig nach Dauer der Ehe/Partnerschaft aufgeteilt. (cnap.public.lu)</t>
  </si>
  <si>
    <t>Ja. Die Contributory Widow(er)’s Pension kann auch für frühere Ehegatten/Partner relevant sein; bei Scheidung erfolgt anteilige Behandlung nach Dauer der Ehe. (Social Security)</t>
  </si>
  <si>
    <t>Ja, unter Bedingungen. Anw kann auch bei Tod eines Ex-Partners beansprucht werden; SVB prüft die Situation am Todestag, u. a. Ex-Partnerstatus und weitere Anspruchsvoraussetzungen. (SVB)</t>
  </si>
  <si>
    <t>Sehr eingeschränkt/regelmäßig nein für Jg. 1976. Bei nach 1963 Geborenen bestehen keine survivor’s rights in der retirement pension; Übergangsleistungen sind gesondert zu prüfen. (nav.no)</t>
  </si>
  <si>
    <t>Rentenleistungen sind als Einkommen steuerlich zu prüfen; Liechtenstein erhebt Einkommensteuer auf steuerpflichtiges Einkommen, Sonderdetails hängen von Wohnsitz und Leistungsart ab. (regierung.li)</t>
  </si>
  <si>
    <t>Gesetzliche Sozialversicherungsrenten werden nach EU-Länderfiche nicht mit Einkommensteuer belastet; bei anderen Renten-/Kapitalleistungen sind Sonderregeln zu prüfen. (Economy and Finance)</t>
  </si>
  <si>
    <t>Renten sind steuerlich relevant; CNAP weist steuerliche Abzüge/Steuerbescheinigungen aus. (cnap.public.lu)</t>
  </si>
  <si>
    <t>Renteneinkommen ist grundsätzlich steuerlich relevant; ab basis year 2026 gilt eine weitgehende Steuerbefreiung für Pension Income bis zu 37.104 €. (MTCA)</t>
  </si>
  <si>
    <t>AOW unterliegt Lohnsteuer-/Payroll-tax-Abzug; bei Auslandsbezug hängt die Besteuerung zusätzlich von Doppelbesteuerungsabkommen ab. (SVB)</t>
  </si>
  <si>
    <t>Renteneinkommen ist steuerpflichtig; pensioners zahlen allerdings reduzierte Sozialversicherungsbeiträge und profitieren ggf. von Rentner-Steuerermäßigungen. (mpisoc.mpg.de)</t>
  </si>
  <si>
    <t>Keine arbeitnehmerähnlichen AHV-Beiträge auf die Altersrente selbst ersichtlich; AHV/IV-Beitragspflicht endet grundsätzlich mit Erreichen des ordentlichen Rentenalters. Krankenversicherung ist separat zu prüfen. (AHV Liechtenstein)</t>
  </si>
  <si>
    <t>Auf Rentenzahlungen selbst sind keine arbeitnehmerähnlichen Sozialversicherungsbeiträge ersichtlich; die Sozialversicherungsbeiträge knüpfen vor allem an Erwerbs-/selbständige Einkünfte an. (socmin.lrv.lt)</t>
  </si>
  <si>
    <t>Auf Luxemburger Renten werden gesetzliche Abzüge erhoben, insbesondere 2,80 % Krankenversicherungsbeitrag; daneben können Pflegeversicherung und Steuerabzug relevant sein. (cnap.public.lu)</t>
  </si>
  <si>
    <t>Sozialversicherungsbeiträge sind primär Beitragsabgaben aus Erwerbseinkommen; auf Renteneinkommen steht vor allem die steuerliche Behandlung im Vordergrund. (MTCA)</t>
  </si>
  <si>
    <t>Von AOW werden Lohnsteuer/National Insurance und der einkommensabhängige Krankenversicherungsbeitrag Zvw einbehalten; AOW-Empfänger zahlen keine AOW-Beiträge mehr, aber Anw/Wlz-Beiträge können enthalten sein. (SVB)</t>
  </si>
  <si>
    <t>Auf Renteneinkommen fällt ein reduzierter National-Insurance-Beitrag an: 2026 5,1 % auf pension income, soweit die Schwellen überschritten sind. (skatteetaten.no)</t>
  </si>
  <si>
    <t>65 Jahre. Für Männer gilt das Regelpensionsalter 65; der Jahrgang 1976 erreicht dies 2041. (oesterreich.gv.at)</t>
  </si>
  <si>
    <t>65 Jahre. Das gesetzliche Rentenalter beträgt für Männer 65 Jahre; Jahrgang 1976 erreicht dies 2041. (ZUS)</t>
  </si>
  <si>
    <t>Nicht endgültig statisch bezifferbar. 2026 liegt das normale Rentenalter bei 66 Jahren und 9 Monaten; das portugiesische Alter wird jedoch fortlaufend nach Lebenserwartungsmechanismen angepasst, sodass das konkrete Alter für Jg. 1976 erst später feststeht. (www2.gov.pt)</t>
  </si>
  <si>
    <t>65 Jahre. Für Männer gilt ein Rentenalter von 65 Jahren; Mindestbeitragszeit 15 Jahre, volle Beitragszeit 35 Jahre. (European Commission)</t>
  </si>
  <si>
    <t>Prognostisch 68 Jahre als empfohlenes Rentenalter. Für Jahrgänge 1970–1981 weist die schwedische Pensionsbehörde derzeit ein empfohlenes Rentenalter von 68 aus; einkommensbezogene öffentliche Rente ist früher abrufbar, Grundsicherungskomponenten erst ab dem maßgeblichen Referenzalter. (pensionsmyndigheten.se)</t>
  </si>
  <si>
    <t>Beitrags-/versicherungsbezogen. Für ab 1955 Geborene erfolgt der Erwerb über das Pensionskonto; jährlich werden grundsätzlich 1,78 % der Beitragsgrundlage gutgeschrieben. (oesterreich.gv.at)</t>
  </si>
  <si>
    <t>Beitrags-/versicherungsbezogen. Anspruch genügt grundsätzlich mit Erreichen des Alters und mindestens einem auf dem ZUS-Konto verbuchten Beitrag; die Höhe hängt wesentlich von den angesammelten Beiträgen ab. (ZUS)</t>
  </si>
  <si>
    <t>Beitrags-/versicherungsbezogen. Die reguläre Altersrente setzt Versicherung im Sozialversicherungssystem und grundsätzlich mindestens 15 Kalenderjahre mit Entgelt-/Beitragsaufzeichnungen voraus. (www2.gov.pt)</t>
  </si>
  <si>
    <t>Beitrags-/versicherungsbezogen. Anspruch setzt Erreichen des Rentenalters und Mindestbeitragszeit voraus; die Höhe beruht auf Beitragszeiten, beitragspflichtigen Einkünften und Rentenpunkten. (European Commission)</t>
  </si>
  <si>
    <t>Mischsystem. Die einkommensbezogene öffentliche Rente wird aus steuer-/beitragspflichtigem Einkommen erworben; die Garantierente ist eine Grundsicherungskomponente, die wesentlich an Wohnsitzzeiten in Schweden anknüpft. (pensionsmyndigheten.se)</t>
  </si>
  <si>
    <t>Ja. Der Versorgungserwerb im Pensionskonto knüpft an beitragspflichtige Erwerbseinkommen an. (oesterreich.gv.at)</t>
  </si>
  <si>
    <t>Ja. Das System ist konten-/beitragsbezogen; Beiträge werden dem individuellen ZUS-Konto gutgeschrieben. (zus.pl)</t>
  </si>
  <si>
    <t>Ja. Die reguläre Altersrente setzt versicherte Beschäftigung bzw. Beitragszeiten voraus. (www2.gov.pt)</t>
  </si>
  <si>
    <t>Ja. Die staatliche Rente beruht auf Beitragspflicht; seit der Reform trägt im Regelfall der Arbeitnehmer den gesetzlichen Rentenversicherungsbeitrag, mit Sonderbeiträgen des Arbeitgebers bei besonderen Arbeitsbedingungen. (mpisoc.mpg.de)</t>
  </si>
  <si>
    <t>Ja, für die einkommensbezogene Rente. Jährlich werden 16 % des rentenbegründenden Einkommens der Einkommensrente und 2,5 % der Prämienrente zugeordnet. (pensionsmyndigheten.se)</t>
  </si>
  <si>
    <t>Nein, nicht für die reguläre Alterspension. Bloßer Aufenthalt begründet keine Pensionsanwartschaft; maßgeblich sind Versicherungs- und Beitragszeiten. (oesterreich.gv.at)</t>
  </si>
  <si>
    <t>Nein. Die reguläre Altersrente ist kein reines Wohnsitzsystem, sondern setzt zumindest Beitragsverbuchung voraus. (ZUS)</t>
  </si>
  <si>
    <t>Nein, nicht für die reguläre Altersrente. Aufenthaltsbezogene Sozial-/Mindestleistungen sind von der beitragsbezogenen Altersrente zu trennen. (www2.gov.pt)</t>
  </si>
  <si>
    <t>Nein, nicht für die reguläre Altersrente. Diese setzt Beitragszeiten voraus; Mindestsicherungsleistungen sind gesondert zu prüfen. (European Commission)</t>
  </si>
  <si>
    <t>Teilweise ja. Die Garantierente knüpft an Wohnen/Leben in Schweden an; die Einkommens- und Prämienrente bleiben einkommensbezogen. (pensionsmyndigheten.se)</t>
  </si>
  <si>
    <t>Anwartschaften werden im Pensionskonto jährlich aufgebaut; frühere Gutschriften werden mit einem Anpassungsfaktor fortgeschrieben. (oesterreich.gv.at)</t>
  </si>
  <si>
    <t>Beiträge auf dem individuellen Rentenkonto werden jährlich valorisiert; auch Subkonten werden gesetzlich aufgewertet. (zus.pl)</t>
  </si>
  <si>
    <t>Frühere Erwerbseinkommen werden für die Rentenberechnung aufgewertet; die Rentenformel arbeitet u. a. mit Referenzeinkommen, Versicherungsjahren und Steigerungssätzen. (dgaep.gov.pt)</t>
  </si>
  <si>
    <t>Die Rentenhöhe wird über jährliche und durchschnittliche Punktwerte aus beitragspflichtigem Einkommen und Beitragszeit ermittelt. (mpisoc.mpg.de)</t>
  </si>
  <si>
    <t>Die Einkommensrente ist ein Notional-Defined-Contribution-System; Anwartschaften werden nach Einkommens-/Balanceindex fortgeschrieben. Die Prämienrente folgt der Kapitalanlageentwicklung. (pensionsmyndigheten.se)</t>
  </si>
  <si>
    <t>Laufende Pensionen werden grundsätzlich jährlich angepasst; für 2026 lag der Richtwert bei 1,027, mit konkreter Staffelung nach Pensionshöhe. (BMAS)</t>
  </si>
  <si>
    <t>Laufende Renten werden jährlich valorisiert; 2026 betrug der Index 105,3 %, berechnet aus Verbraucherpreisentwicklung und einem Anteil am realen Lohnwachstum. (zus.pl)</t>
  </si>
  <si>
    <t>Laufende Renten werden gesetzlich angepasst; die allgemeine Rentenentwicklung ist u. a. an Preis-/Wirtschaftsgrößen gekoppelt. (mpisoc.mpg.de)</t>
  </si>
  <si>
    <t>Renten werden jährlich angepasst; die rumänische Formel knüpft an den Referenzpunkt und gesetzliche Anpassungsmechanismen an. (mpisoc.mpg.de)</t>
  </si>
  <si>
    <t>Einkommensrenten werden jährlich mit dem Einkommens-/Balanceindex abzüglich des bereits eingerechneten Vorschusszinses angepasst; Garantierenten folgen eigenen Grundsicherungsregeln. (pensionsmyndigheten.se)</t>
  </si>
  <si>
    <t>Ja. Invaliditäts-/Berufsunfähigkeitspension bei dauerhafter Erwerbsunfähigkeit bzw. fehlender Rehabilitationsmöglichkeit. Keine einfache Quote zur Altersrente; die Höhe folgt der eigenen Pensionsberechnung. (oesterreich.gv.at)</t>
  </si>
  <si>
    <t>Ja. Rente wegen Erwerbsunfähigkeit. Keine Quote zur Altersrente; bei teilweiser Erwerbsunfähigkeit beträgt die Leistung 75 % der Rente bei vollständiger Erwerbsunfähigkeit. (ZUS)</t>
  </si>
  <si>
    <t>Ja. Invaliditätsrente bei relativer oder absoluter Invalidität. Keine feste Quote zur Altersrente; die Leistung wird nach eigener Invaliditäts-/Rentenformel berechnet. (Segurança Social)</t>
  </si>
  <si>
    <t>Ja. Invaliditätsrente bei geminderter Arbeitsfähigkeit in den gesetzlichen Invaliditätsgraden. Keine Quote zur Altersrente; Berechnung nach Beitragszeit, Einkommen, Invaliditätskategorie und ggf. gutgeschriebener potenzieller Beitragszeit. (European Commission)</t>
  </si>
  <si>
    <t>Ja. Sickness/activity compensation bei dauerhaft eingeschränkter Arbeitsfähigkeit, grundsätzlich bis 64. Keine Quote zur Altersrente; es handelt sich um eine eigenständige Sozialversicherungsleistung. (forsakringskassan.se)</t>
  </si>
  <si>
    <t>Ja. Witwen-/Witwerpension zwischen 0 % und 60 % der Pension des Verstorbenen, abhängig von den Einkommensverhältnissen der Ehegatten. Waisenpension grundsätzlich 40 % bzw. 60 % der Witwen-/Witwerpension. (oesterreich.gv.at)</t>
  </si>
  <si>
    <t>Ja. Eine gemeinsame Hinterbliebenenrente wird gewährt und auf Berechtigte verteilt: 85 % bei einer berechtigten Person, 90 % bei zwei, 95 % bei drei oder mehr Berechtigten. (ZUS)</t>
  </si>
  <si>
    <t>Ja. Hinterbliebenenrente für Ehegatten, frühere Ehegatten, Lebenspartner und bestimmte Nachkommen. Ehegatte/früherer Ehegatte/Lebenspartner erhält grundsätzlich 60 % der Rente des Verstorbenen bei einem Berechtigten, 70 % bei mehreren, aufgeteilt. (www2.gov.pt)</t>
  </si>
  <si>
    <t>Ja. Hinterbliebenenrente für Kinder und Ehegatten; Quote aus der Rente des Verstorbenen: 50 % bei einem Berechtigten, 75 % bei zwei, 100 % bei drei oder mehr. (European Commission)</t>
  </si>
  <si>
    <t>Ja, aber nicht als klassische Quote zur Altersrente. Es gibt u. a. adjustment pension, child pension und ältere Witwenpensionen; die Leistung knüpft an Einkommen/Ansprüche des Verstorbenen und die jeweilige Anspruchsgruppe an. (pensionsmyndigheten.se)</t>
  </si>
  <si>
    <t>Ja, unter Voraussetzungen. Geschiedene Ehegatten können anspruchsberechtigt sein, insbesondere bei gesetzlicher oder tatsächlicher Unterhaltsverpflichtung des Verstorbenen; die Leistung ist regelmäßig durch den Unterhaltsanspruch begrenzt. (BMAS)</t>
  </si>
  <si>
    <t>Ja, unter Voraussetzungen. Eine geschiedene oder getrennt lebende Ehefrau kann Anspruch haben, wenn sie die Witwenbedingungen erfüllt und am Todestag einen Unterhaltsanspruch gegen den Verstorbenen hatte. (zus.pl)</t>
  </si>
  <si>
    <t>Ja. Frühere Ehegatten können anspruchsberechtigt sein, wenn ihnen Unterhalt zustand; der Anspruch ist auf den Unterhaltsbetrag begrenzt. (www2.gov.pt)</t>
  </si>
  <si>
    <t>Ja, eingeschränkt. Die rumänischen Regeln erfassen den überlebenden Ehegatten; bei geschiedenen Personen ist regelmäßig kein allgemeiner eigener Ex-Ehegattenanspruch ersichtlich, sondern allenfalls über besondere Unterhalts-/Statuskonstellationen zu prüfen. (European Commission)</t>
  </si>
  <si>
    <t>Grundsätzlich keine allgemeine geschiedenenbezogene Hinterbliebenenrente im heutigen öffentlichen System. Die aktuellen Anspruchsgruppen betreffen vor allem Ehe-/Lebenspartner, bestimmte zusammenlebende Partner und Kinder; Altbestände der Witwenpension sind gesondert zu prüfen. (pensionsmyndigheten.se)</t>
  </si>
  <si>
    <t>Gesetzliche Pensionen sind grundsätzlich steuerpflichtige Einkünfte; der Pensionsversicherungsträger behält Lohnsteuer ein. (oesterreich.gv.at)</t>
  </si>
  <si>
    <t>Alters- und Invaliditätsrenten sind grundsätzlich einkommensteuerpflichtig nach der polnischen Steuerskala. (podatki-arch.mf.gov.pl)</t>
  </si>
  <si>
    <t>Rentenleistungen sind grundsätzlich einkommensteuerpflichtig, typischerweise als Kategorie-H-Einkünfte; konkrete Belastung hängt von Ansässigkeit, Freibeträgen und Gesamteinkommen ab. (mpisoc.mpg.de)</t>
  </si>
  <si>
    <t>Renten sind oberhalb des gesetzlichen Freibetrags steuerpflichtig; die EU-Rechteübersicht nennt eine Besteuerung von Rentenanteilen oberhalb von RON 3.000. (European Commission)</t>
  </si>
  <si>
    <t>Öffentliche Alters-, Invaliditäts- und Hinterbliebenenrenten sind grundsätzlich einkommensteuerpflichtig, aber nicht lohnnebenkosten-/payroll-tax-pflichtig.</t>
  </si>
  <si>
    <t>Auf österreichische Pensionen fällt regelmäßig Krankenversicherungsbeitrag an; der Beitragssatz wird mit 6 % der Bruttopension angegeben. (bvaeb.at)</t>
  </si>
  <si>
    <t>Auf Renten wird Krankenversicherungsbeitrag erhoben; ZUS weist für die Krankenversicherung grundsätzlich 9 % der Bemessungsgrundlage aus, auch bei Alters-/Invaliditätsrenten. (zus.pl)</t>
  </si>
  <si>
    <t>Rentenleistungen sind nach der herangezogenen Länderübersicht nicht sozialversicherungspflichtig; die Belastung erfolgt primär über Einkommensteuer. (mpisoc.mpg.de)</t>
  </si>
  <si>
    <t>Rentenleistungen unterliegen nach der herangezogenen Systemdarstellung nicht den regulären Sozialversicherungsbeiträgen; relevant ist vor allem die Einkommensteuer oberhalb des Freibetrags. (mpisoc.mpg.de)</t>
  </si>
  <si>
    <t>Öffentliche Renten unterliegen Einkommensteuer, aber grundsätzlich keinen payroll taxes/Sozialabgaben wie Erwerbseinkommen.</t>
  </si>
  <si>
    <t>65 Jahre. Für Männer gilt in der AHV das Referenzalter 65; Jahrgang 1976 erreicht dies 2041. (ahv-iv.ch)</t>
  </si>
  <si>
    <t>Heute nicht abschließend bezifferbar. Für nach 1966 Geborene wird das Rentenalter erst fünf Jahre vor Erreichen des Rentenalters amtlich festgelegt; Jahrgang 1976 ist daher noch nicht verbindlich bezifferbar. (socpoist.sk)</t>
  </si>
  <si>
    <t>67 Jahre nach aktueller Reformlogik. Slowenien hat die Anhebung des gesetzlichen Rentenalters von 65 auf 67 beschlossen; 67 soll 2035 erreicht sein, also vor Renteneintritt des Jahrgangs 1976. (OECD)</t>
  </si>
  <si>
    <t>67 Jahre, oder 65 Jahre bei mindestens 38 Jahren und 6 Monaten Beitragszeit. Für Jahrgang 1976 bedeutet dies regulär 2043, bei langer Beitragsbiografie 2041. (Social Security)</t>
  </si>
  <si>
    <t>Voraussichtlich über 65 Jahre; grob ca. 65 Jahre und 11 Monate nach Reformpfad. Die Reform hebt das Rentenalter schrittweise von 65 auf 67 an; 67 soll für spätere Kohorten erreicht werden. Für gutachterliche Verwendung sollte der ČSSZ-Rechner bzw. die dann geltende Kohortentabelle geprüft werden. (OECD)</t>
  </si>
  <si>
    <t>65 Jahre. Das Regelrentenalter liegt seit 2022 einheitlich bei 65; volle Altersrente setzt regelmäßig 20 Dienstjahre voraus, Teilrente 15 Jahre. (OECD)</t>
  </si>
  <si>
    <t>65 Jahre. Die gesetzliche Altersrente wird grundsätzlich mit 65 gezahlt; unter besonderen Voraussetzungen kann ein Bezug ab 63 möglich sein. (mlsi.gov.cy)</t>
  </si>
  <si>
    <t>Beitrags-/versicherungsbezogen mit universalem Einschlag. AHV/IV knüpfen an Versicherung und Beiträge an; Höhe nach Beitragsjahren und durchschnittlichem Jahreseinkommen. (ch.ch)</t>
  </si>
  <si>
    <t>Beitrags-/versicherungsbezogen. Anspruch auf Altersrente setzt Rentenalter und mindestens 15 Jahre Rentenversicherung voraus. (socpoist.sk)</t>
  </si>
  <si>
    <t>Beitrags-/versicherungsbezogen. Die staatliche Pension beruht auf Pflichtversicherung, Beitragszeiten, Pensionbasis und Versicherungsdauer. (zpiz.si)</t>
  </si>
  <si>
    <t>Beitrags-/versicherungsbezogen. Die contributory pension ist Teil der Sozialversicherung; Rentenalter und Beitragsdauer sind maßgeblich. (Social Security)</t>
  </si>
  <si>
    <t>Beitrags-/versicherungsbezogen. Die gesetzliche Rentenversicherung erfasst Alter, Invalidität und Tod des Ernährers und ist als Pflichtversicherung organisiert. (cssz.cz)</t>
  </si>
  <si>
    <t>Beitrags-/versicherungsbezogen. Das System ist ein umlagefinanziertes earnings-related public pension scheme. (mpisoc.mpg.de)</t>
  </si>
  <si>
    <t>Beitrags-/versicherungsbezogen. Das General Social Insurance Scheme deckt Alter, Invalidität und Hinterbliebene ab; Ansprüche hängen von Versicherungs-/Beitragsbedingungen ab. (issa.int)</t>
  </si>
  <si>
    <t>Ja. Arbeitnehmer und Arbeitgeber zahlen AHV/IV/EO-Beiträge; auch Nichterwerbstätige können beitragspflichtig sein. (Relocation Genevoise)</t>
  </si>
  <si>
    <t>Ja. Für die erste Säule werden Beiträge erhoben; als Richtgröße werden 4 % Arbeitnehmer- und 14 % Arbeitgeberanteil für die Altersversicherung genannt. (cms.law)</t>
  </si>
  <si>
    <t>Ja. Der Beitragssatz für die öffentliche Pensionsversicherung beträgt 24,35 % des Bruttolohns, davon 15,5 % Arbeitnehmer und 8,85 % Arbeitgeber. (SPOT | Slovenska poslovna točka)</t>
  </si>
  <si>
    <t>Ja. Beiträge werden aus Erwerbseinkommen entrichtet; die allgemeinen Sozialversicherungsbeiträge sind auf Löhne/Gehälter bezogen. (taxsummaries.pwc.com)</t>
  </si>
  <si>
    <t>Ja. Arbeitnehmer tragen 6,5 % des Bruttolohns zur Rentenversicherung, Arbeitgeber 21,5 %. (European Commission)</t>
  </si>
  <si>
    <t>Ja. Erfasst sind insbesondere Arbeitnehmer, Selbständige und sonstige sozialversicherungspflichtige Gruppen. (mpisoc.mpg.de)</t>
  </si>
  <si>
    <t>Ja. Arbeitnehmer und Arbeitgeber zahlen seit 2024 jeweils 8,8 % der versicherbaren Vergütung; es gilt eine jährliche Beitragsbemessungsgrenze. (taxsummaries.pwc.com)</t>
  </si>
  <si>
    <t>Nicht beitragsfrei allein durch Aufenthalt. Wohnsitz oder Erwerbstätigkeit begründen zwar grundsätzlich Versicherung/Beitragspflicht; Rentenansprüche setzen aber Beitragszeiten voraus. (ch.ch)</t>
  </si>
  <si>
    <t>Nein. Maßgeblich ist Rentenversicherung; das System knüpft nicht allein an legalen Aufenthalt an. (researchinslovakia.saia.sk)</t>
  </si>
  <si>
    <t>Nein, nicht für die reguläre Altersrente. Diese ist Pflichtversicherungs-/Beitragssystem; Sozialhilfe- oder Mindestsicherungsleistungen sind davon zu trennen. (zpiz.si)</t>
  </si>
  <si>
    <t>Nein, nicht für die beitragsbezogene Altersrente. Es gibt zwar nicht beitragsbezogene Leistungen für Bedürftige, diese sind aber nicht die reguläre beitragsbezogene Altersrente. (EURAXESS)</t>
  </si>
  <si>
    <t>Nein. Erwerb und Höhe hängen von Versicherungszeiten und beitragspflichtigen Einkünften ab; bloßer Aufenthalt genügt nicht. (cssz.cz)</t>
  </si>
  <si>
    <t>Nein. Anspruchserwerb beruht auf Dienst-/Versicherungszeiten; 15 bzw. 20 Jahre sind zentrale Schwellen. (findyourpension.eu)</t>
  </si>
  <si>
    <t>Nicht für die beitragsbezogene Altersrente. Daneben gibt es eine Social Pension für Personen mit langfristigem Aufenthalt, aber die gesetzliche Altersrente aus dem Social Insurance Scheme ist beitragsbezogen. (mlsi.gov.cy)</t>
  </si>
  <si>
    <t>Einkommen früherer Jahre werden aufgewertet; maßgeblich sind Beitragsjahre, durchschnittliches Jahreseinkommen, Erziehungs-/Betreuungsgutschriften und Splitting-Regeln. (ahv-iv.ch)</t>
  </si>
  <si>
    <t>Aufbau über Versicherungszeiten, Bemessungsgrundlagen und persönliche Lohnpunkte; die elektronische Versichertenübersicht stellt genau diese Parameter dar. (socpoist.sk)</t>
  </si>
  <si>
    <t>Frühere Einkommen werden bei der Berechnung aufgewertet; derzeit maßgeblich ist die günstigste mehrjährige Bemessungsgrundlage, wobei Reformen den Referenzzeitraum ausweiten. (zpiz.si)</t>
  </si>
  <si>
    <t>Anwartschaften hängen von Beitragsjahren und Beitragsbasen ab; für die volle Rente ist die erreichte Beitragsdauer entscheidend. (Social Security)</t>
  </si>
  <si>
    <t>Die Rente hat einen Grundbetrag und einen prozentualen Teil; der prozentuale Teil wird aus Berechnungsgrundlage und Versicherungsjahren ermittelt, wobei der Steigerungssatz ab 2026 schrittweise sinkt. (cssz.cz)</t>
  </si>
  <si>
    <t>Erwerb über Dienstzeiten und beitragspflichtige Einkommen; die Altersrente ist einkommensbezogen und leistungsdefiniert. (mpisoc.mpg.de)</t>
  </si>
  <si>
    <t>Anwartschaften entstehen über Versicherungs-/Beitragspunkte; versicherbare Einkommen werden jährlich angepasst. (EURAXESS)</t>
  </si>
  <si>
    <t>AHV/IV-Renten werden nach dem Mischindex aus Lohn- und Preisentwicklung angepasst. (Loyco)</t>
  </si>
  <si>
    <t>Laufende Renten werden jährlich angepasst, insbesondere nach der Entwicklung der Rentner-Verbraucherpreise. (Social Security)</t>
  </si>
  <si>
    <t>Laufende Renten werden indexiert; aktuell ist ein Übergang von 60 % Lohn-/40 % Preisentwicklung zu 20 % Lohn-/80 % Preisentwicklung bis 2045 vorgesehen. (OECD)</t>
  </si>
  <si>
    <t>Laufende beitragsbezogene Renten werden zur Kaufkrafterhaltung anhand des Verbraucherpreisindex angepasst; 2026 betrug die allgemeine Erhöhung 2,7 %. (La Moncloa)</t>
  </si>
  <si>
    <t>Laufende Renten werden gesetzlich valorisiert; zugleich enthält die Reform ab 2026 Änderungen bei Berechnung und Steigerungssatz. (cssz.cz)</t>
  </si>
  <si>
    <t>Laufende Renten werden jährlich angepasst; ISSA beschreibt eine Anpassung nach Verbraucherpreisen und Nettolohnentwicklung. (issa.int)</t>
  </si>
  <si>
    <t>Leistungen werden gesetzlich angepasst; ISSA beschreibt jährliche Anpassungen im Januar und ggf. Juli nach Lohn- und Preisentwicklung. (issa.int)</t>
  </si>
  <si>
    <t>Ja. Invalidität setzt eine langfristige Gesundheitsbeeinträchtigung mit mehr als 40 % Minderung der Erwerbsfähigkeit voraus; keine feste Quote zur Altersrente. (socpoist.sk)</t>
  </si>
  <si>
    <t>Ja. Invaliditätsversicherung ist Teil des Systems; keine einfache Quote zur Altersrente, sondern eigenständige Berechnung nach Versicherungsbiografie. (findyourpension.eu)</t>
  </si>
  <si>
    <t>Ja. Teilweise Invalidität als Einmalbetrag; totale dauerhafte Erwerbsunfähigkeit regelmäßig 55 % der Berechnungsgrundlage, ab 55 unter Bedingungen 75 %; absolute Invalidität 100 %. (administracion.gob.es)</t>
  </si>
  <si>
    <t>Ja. Invaliditätsrente bei langfristiger Erwerbsminderung; keine Quote zur Altersrente, sondern drei Invaliditätsgrade und eigene Berechnung. (portal.gov.cz)</t>
  </si>
  <si>
    <t>Ja. Leistungen bei veränderter Arbeitsfähigkeit sind im System als Gesundheits-/Rehabilitations- bzw. Disability Benefit ausgestaltet; keine feste Quote zur Altersrente. (European Commission)</t>
  </si>
  <si>
    <t>Ja. Invalidity Pension bei voller Erwerbsunfähigkeit und erfüllten Beitragsbedingungen; keine pauschale Quote zur Altersrente, aber Berechnung im selben Sozialversicherungssystem. (issa.int)</t>
  </si>
  <si>
    <t>Ja. Witwen-/Witwerrente bis maximal 80 % der Altersrente; Waisenrente 40 %. (ahv-iv.ch)</t>
  </si>
  <si>
    <t>Ja. Witwen-/Witwerrente grundsätzlich 60 % der Rente des Verstorbenen; Waisenrente 40 %. (socpoist.sk)</t>
  </si>
  <si>
    <t>Ja. Hinterbliebenenrente: 70 % bei einem Berechtigten, 80 % bei zwei, 90 % bei drei und 100 % bei vier oder mehr Berechtigten bzw. Vollwaisen. (Social Security)</t>
  </si>
  <si>
    <t>Ja. Witwen-/Witwerrente grundsätzlich 52 % der regulatorischen Basis, unter bestimmten Bedingungen bis 70 %. (Sécurité Sociale)</t>
  </si>
  <si>
    <t>Ja. Witwen-/Witwerrente besteht aus Grundbetrag und prozentualem Teil; der prozentuale Teil beträgt 50 % des maßgeblichen prozentualen Rententeils des Verstorbenen. (portal.gov.cz)</t>
  </si>
  <si>
    <t>Ja. Witwen-/Witwerrente typischerweise 60 % der Rente, auf die der Verstorbene Anspruch gehabt hätte; bei eigener Rente des Hinterbliebenen können andere Sätze gelten. (allamkincstar.gov.hu)</t>
  </si>
  <si>
    <t>Ja. Hinterbliebenenleistungen für Ehegatten und Waisen; ISSA beschreibt u. a. Ehegatten- und Waisenrenten im General Social Insurance Scheme. (issa.int)</t>
  </si>
  <si>
    <t>Ja, unter Voraussetzungen. Geschiedene Personen können in AHV/BVG-Konstellationen Hinterbliebenenleistungen erhalten, insbesondere bei langer Ehe bzw. Unterhalts-/Scheidungsregelungen. (ahv-iv.ch)</t>
  </si>
  <si>
    <t>Grundsätzlich nein. Die Sozialversicherung weist ausdrücklich darauf hin, dass nach Scheidung kein Anspruch auf Witwen-/Witwerrente nach dem früheren Ehegatten besteht. (socpoist.sk)</t>
  </si>
  <si>
    <t>Ja. Wenn ein späterer Ehegatte und ein geschiedener Ehegatte beide berechtigt sind, wird die Witwen-/Witwerrente mit 70 % der Bemessungsgrundlage festgesetzt und geteilt. (zpiz.si)</t>
  </si>
  <si>
    <t>Ja, unter Bedingungen. Getrennte oder geschiedene Personen können Witwen-/Witwerrente erhalten, wenn die gesetzlichen Voraussetzungen erfüllt sind. (Sécurité Sociale)</t>
  </si>
  <si>
    <t>Nein. Geschiedene Ehegatten haben nach dem früheren Ehegatten keinen Anspruch auf Witwen-/Witwerrente; auch bloße Lebensgefährten sind nicht anspruchsberechtigt. (cssz.cz)</t>
  </si>
  <si>
    <t>Ja, unter Voraussetzungen. Anspruchsgruppen können auch geschiedene Ehegatten bzw. frühere Partner umfassen; bei mehreren Berechtigten kann die Leistung aufgeteilt werden. (issa.int)</t>
  </si>
  <si>
    <t>Eher eingeschränkt. Das System kennt Ehegatten-/Waisenleistungen; ein allgemeiner geschiedenenbezogener Hinterbliebenenanspruch ist in den zugänglichen Regelübersichten nicht als Standardanspruch ausgewiesen. (issa.int)</t>
  </si>
  <si>
    <t>AHV-/Pensionsleistungen sind grundsätzlich steuerbares Einkommen; konkrete Belastung hängt von Bund, Kanton, Gemeinde und Gesamtveranlagung ab. (Fiduciary Genevoise)</t>
  </si>
  <si>
    <t>Rentenleistungen sind nicht einkommensteuerpflichtig. (mpisoc.mpg.de)</t>
  </si>
  <si>
    <t>Renten sind einkommensteuerlich relevant; slowenische Steuerresidenten versteuern grundsätzlich ihr Welteinkommen, ausländische Pensionen sind gesondert zu erklären. (fu.gov.si)</t>
  </si>
  <si>
    <t>Renten sind grundsätzlich einkommensteuerpflichtig; spanische Sozialversicherungsrenten an Nichtresidenten unterliegen ebenfalls der spanischen Nichtresidentenbesteuerung, während bestimmte Invaliditätsleistungen steuerbefreit sein können. (sede.agenciatributaria.gob.es)</t>
  </si>
  <si>
    <t>Renten sind grundsätzlich steuerlich relevant; nach gängigen Darstellungen sind staatliche Pflichtleistungen nur oberhalb gesetzlicher Schwellen steuerpflichtig. (cms.law)</t>
  </si>
  <si>
    <t>Rentenleistungen sind nicht steuerpflichtig. (mpisoc.mpg.de)</t>
  </si>
  <si>
    <t>Renten können einkommensteuerlich relevant sein; die Steuererklärung unterscheidet u. a. Pensionen der Social Insurance Services und spezielle Behandlung von Witwenrenten. (mof.gov.cy)</t>
  </si>
  <si>
    <t>Keine arbeitnehmerähnlichen AHV-Beiträge auf die Altersrente selbst; Krankenversicherung ist separat und prämienbasiert, nicht lohnprozentual wie Sozialabgaben auf Erwerbseinkommen. (ahv-iv.ch)</t>
  </si>
  <si>
    <t>Rentenleistungen unterliegen keinen Sozialversicherungsbeiträgen. (mpisoc.mpg.de)</t>
  </si>
  <si>
    <t>Reguläre Arbeitnehmer-/Arbeitgeberpensionsbeiträge knüpfen an Erwerbseinkommen an; Renten werden vor allem einkommensteuerlich behandelt, neue Pflege-/Langzeitpflegebeiträge sind gesondert zu prüfen. (fu.gov.si)</t>
  </si>
  <si>
    <t>Sozialversicherungsbeiträge werden im Grundsatz auf Löhne/Gehälter erhoben, nicht als reguläre Arbeitnehmerbeiträge auf Rentenzahlungen. (taxsummaries.pwc.com)</t>
  </si>
  <si>
    <t>Keine regulären Rentenversicherungsbeiträge auf Rentenzahlungen; Sozialversicherung betrifft vor allem Erwerbstätigkeit, Gesundheitsversicherung ist gesondert geregelt. (taxsummaries.pwc.com)</t>
  </si>
  <si>
    <t>Beiträge zur Social Insurance werden auf Erwerbs-/versicherbare Einkommen erhoben; für Rentenleistungen selbst ergibt sich aus den herangezogenen Quellen keine reguläre arbeitnehmerähnliche Sozialversicherungsbelastung. (taxsummaries.pwc.com)</t>
  </si>
  <si>
    <r>
      <t>Ja.</t>
    </r>
    <r>
      <rPr>
        <sz val="11"/>
        <rFont val="Calibri"/>
        <family val="2"/>
      </rPr>
      <t xml:space="preserve"> IV-Rente nach Invaliditätsgrad; seit der linearen Logik keine einfache Quote zur Altersrente, sondern Abstufung nach Invaliditätsgrad.</t>
    </r>
  </si>
  <si>
    <r>
      <t xml:space="preserve">Auf gesetzliche Rentenzahlungen fallen grundsätzlich </t>
    </r>
    <r>
      <rPr>
        <b/>
        <sz val="11"/>
        <rFont val="Calibri"/>
        <family val="2"/>
      </rPr>
      <t>keine arbeitnehmerähnlichen Sozialversicherungsbeiträge</t>
    </r>
    <r>
      <rPr>
        <sz val="11"/>
        <rFont val="Calibri"/>
        <family val="2"/>
      </rPr>
      <t xml:space="preserve"> an.</t>
    </r>
  </si>
  <si>
    <r>
      <t xml:space="preserve">Auf staatliche Renten fallen grundsätzlich </t>
    </r>
    <r>
      <rPr>
        <b/>
        <sz val="11"/>
        <rFont val="Calibri"/>
        <family val="2"/>
      </rPr>
      <t>keine Sozialversicherungsbeiträge</t>
    </r>
    <r>
      <rPr>
        <sz val="11"/>
        <rFont val="Calibri"/>
        <family val="2"/>
      </rPr>
      <t xml:space="preserve"> an; die soziale Sicherung ist stark steuerfinanziert.</t>
    </r>
  </si>
  <si>
    <t>Kurzübersicht</t>
  </si>
  <si>
    <t>Gericht, Datum und Aktenzeichen</t>
  </si>
  <si>
    <t>Versorgungsbezeichnung</t>
  </si>
  <si>
    <t>AG Schöneberg, 13.07.2015 – 21 F 62/14</t>
  </si>
  <si>
    <t>Anrecht der Ehefrau bei der österreichischen Sozialversicherung</t>
  </si>
  <si>
    <t>Österreichische Versorgungsanrechte des Ehemanns (nicht näher bezeichnet)</t>
  </si>
  <si>
    <t>KG Berlin, 16.02.2016 – 3 UF 140/15</t>
  </si>
  <si>
    <t>Fiktive österreichische Pension der früheren Ehefrau bei der österreichischen Pensionsversicherungsanstalt</t>
  </si>
  <si>
    <t>Österreichische Anwartschaften des früheren Ehemanns (Höhe nicht ermittelt)</t>
  </si>
  <si>
    <t>OLG Stuttgart, 26.06.2025 – 11 UF 241/24</t>
  </si>
  <si>
    <t>Österreichische Pensionsanwartschaft / Alterspension</t>
  </si>
  <si>
    <t>OLG Koblenz, 11.04.2011 – 13 UF 205/11</t>
  </si>
  <si>
    <t>Anrechte bei einem schweizerischen Versorgungsträger</t>
  </si>
  <si>
    <t>OLG Stuttgart, 15.12.2011 – 16 WF 240/11</t>
  </si>
  <si>
    <t>Anrechte nach dem Drei-Säulen-System der Schweiz</t>
  </si>
  <si>
    <t>Alters- und Hinterlassenenversicherung (AHV)</t>
  </si>
  <si>
    <t>Versorgungsstiftung A.</t>
  </si>
  <si>
    <t>OLG Karlsruhe, 19.01.2015 – 5 UF 167/14</t>
  </si>
  <si>
    <t>A. Pensionskasse Schweiz</t>
  </si>
  <si>
    <t>Schweizerische AHV/IV-Anwartschaft</t>
  </si>
  <si>
    <t>OLG Sachsen-Anhalt, 30.09.2016 – 3 UF 132/16</t>
  </si>
  <si>
    <t>Schweizer Freizügigkeitsguthaben / Schweizer Versorgungsanwartschaften</t>
  </si>
  <si>
    <t>BGH, 11.07.2018 – XII ZB 336/16</t>
  </si>
  <si>
    <t>Schweizerisches Vorsorgeanrecht auf einem Freizügigkeitskonto bei der C.S. Freizügigkeitsstiftung</t>
  </si>
  <si>
    <t>Alters- und Hinterlassenenversicherung der Schweiz (AHV) bei der AHV-Ausgleichskasse des Kantons …</t>
  </si>
  <si>
    <t>Schweizerische Pensionskasse</t>
  </si>
  <si>
    <t>OLG Zweibrücken, 19.08.2020 – 2 UF 66/20</t>
  </si>
  <si>
    <t>Schweizerische Alters- und Hinterlassenenversicherung / schweizerische Rentenkasse</t>
  </si>
  <si>
    <t>OLG Karlsruhe, 16.01.2023 – 5 UF 58/22</t>
  </si>
  <si>
    <t>Alters- und Hinterlassenenversicherung / Invalidenversicherung (AHV/IV)</t>
  </si>
  <si>
    <t>Schweizerische betriebliche Vorsorge bei der M.-Pensionskasse</t>
  </si>
  <si>
    <t>OLG Karlsruhe, 28.06.2023 – 18 UF 12/23</t>
  </si>
  <si>
    <t>Alters- und Hinterlassenenversicherung (AHV) Schweiz</t>
  </si>
  <si>
    <t>Schweizer Pensionskasse</t>
  </si>
  <si>
    <t>OLG Karlsruhe, 14.11.2023 – 5 WF 124/23</t>
  </si>
  <si>
    <t>Schweizerische betriebliche Altersvorsorge / A. Pensionskasse bzw. T.-Pensionskasse</t>
  </si>
  <si>
    <t>—</t>
  </si>
  <si>
    <t>KG Berlin, 20.10.2021 – 19 UF 47/21</t>
  </si>
  <si>
    <t>Keine konkret bezeichnete ausländische Versorgung; Entscheidung betrifft fehlende Mitwirkung im Versorgungsausgleich</t>
  </si>
  <si>
    <t>ATP</t>
  </si>
  <si>
    <t>Pension Danmark</t>
  </si>
  <si>
    <t>Udbetaling Danmark</t>
  </si>
  <si>
    <t>OLG Zweibrücken, 22.05.2015 – 2 UF 19/15</t>
  </si>
  <si>
    <t>Anrechte bei staatlichen Versorgungsträgern in Frankreich</t>
  </si>
  <si>
    <t>Versicherungssystem für Selbständige</t>
  </si>
  <si>
    <t>Betriebliche Altersvorsorge bei Versorgungsträger (Y), Unternehmen mit Hauptsitz in Irland</t>
  </si>
  <si>
    <t>OLG Frankfurt, 21.07.2014 – 5 UF 149/14</t>
  </si>
  <si>
    <t>In Italien bestehende Versorgungsanrechte beider Ehegatten</t>
  </si>
  <si>
    <t>OLG Düsseldorf, 07.09.2018 – II-8 UF 36/17</t>
  </si>
  <si>
    <t>Italienische Rentenversicherung / italienische Versorgungsanrechte beider Ehegatten</t>
  </si>
  <si>
    <t>Luxemburgische Renten-/Versicherungsanrechte des Ehemanns (Versicherungszeiten in Luxemburg 2007–2010)</t>
  </si>
  <si>
    <t>Luxemburgische Pensionsversicherung</t>
  </si>
  <si>
    <t>nicht konkret bezeichnet</t>
  </si>
  <si>
    <t>Zwei Anrechte auf private Rentenversicherung bei der P… AG / ausländischem Versorgungsträger</t>
  </si>
  <si>
    <t>Drei ausländische Versorgungsanrechte des Antragstellers (nicht näher bezeichnet)</t>
  </si>
  <si>
    <t>Ausländische Versorgungsanwartschaften der beteiligten Ehegatten (nicht näher bezeichnet)</t>
  </si>
  <si>
    <t>OLG Köln, 17.05.2011 – II-27 UF 54/11</t>
  </si>
  <si>
    <t>Einwohnerversicherung (AOW) / AOW-Anwartschaft bei T. in den Niederlanden</t>
  </si>
  <si>
    <t>OLG Düsseldorf, 09.02.2015 – 8 UF 72/14</t>
  </si>
  <si>
    <t>AOW-Altersleistung / AOW-Anwartschaft bei der Sociale Verzekeringsbank (SVB)</t>
  </si>
  <si>
    <t>OLG Koblenz, 07.11.2016 – 11 UF 180/16</t>
  </si>
  <si>
    <t>Polnische Altersrente / polnischer Rentenversicherungsträger</t>
  </si>
  <si>
    <t>OLG Frankfurt, 10.08.2017 – 3 UF 401/11</t>
  </si>
  <si>
    <t>In Portugal erworbene Versorgungsanrechte / Rentenanwartschaften</t>
  </si>
  <si>
    <t>OLG Zweibrücken, 23.11.2012 – 6 UF 60/12</t>
  </si>
  <si>
    <t>Rumänische Pensionskasse / rumänische Rentenanwartschaften</t>
  </si>
  <si>
    <t>OLG Düsseldorf, 17.08.2021 – II-7 UF 77/21</t>
  </si>
  <si>
    <t>Rumänische Rentenversicherung / rumänischer Versorgungsträger</t>
  </si>
  <si>
    <t>OLG Celle, 30.01.2020 – 19 UF 32/17</t>
  </si>
  <si>
    <t>Anrechte bei Versorgungsträger G.</t>
  </si>
  <si>
    <t>Freiwilliger Rentenfonds bei Versorgungsträger D.</t>
  </si>
  <si>
    <t>Serbische gesetzliche Rentenversicherung</t>
  </si>
  <si>
    <t>OLG Düsseldorf, 26.01.2011 – II-5 UF 129/10</t>
  </si>
  <si>
    <t>In Spanien erworbene Anrechte auf Altersversorgung bei einem spanischen Versorgungsträger (Höhe unbekannt)</t>
  </si>
  <si>
    <t>BGH, 19.05.2021 – XII ZB 190/18</t>
  </si>
  <si>
    <t>Etwaige nicht ehezeitlich erworbene ausländische Anrechte der Ehefrau in Tschechien (konkret nicht festgestellt)</t>
  </si>
  <si>
    <t>USA</t>
  </si>
  <si>
    <t>US-amerikanische Anrechte / Social-Security-Anrechte bei der Social Security Administration</t>
  </si>
  <si>
    <t>US-amerikanischer Rentenplan bei der F… Bank aus Arbeitgeberleistungen</t>
  </si>
  <si>
    <t>OLG Zweibrücken, 23.12.2015 – 2 UF 163/15</t>
  </si>
  <si>
    <t>In den USA bestehende Versorgungsanrechte des Antragstellers (nicht näher bezeichnet)</t>
  </si>
  <si>
    <t>OLG Frankfurt, 22.03.2018 – 4 UF 31/17</t>
  </si>
  <si>
    <t>Federal Employees Retirement System (FERS)</t>
  </si>
  <si>
    <t>Social Security</t>
  </si>
  <si>
    <t>Thrift Savings Plan (TSP)</t>
  </si>
  <si>
    <t>OLG Frankfurt, 18.08.2020 – 3 UF 30/18</t>
  </si>
  <si>
    <t>„Retirement Benefits“ / Altersbezüge aus Partnerschaftsvertrag einer US-amerikanischen Anwaltssozietät</t>
  </si>
  <si>
    <t>BGH, 05.05.2021 – XII ZB 381/20</t>
  </si>
  <si>
    <t>„Retirement Benefits“ / Altersbezüge aus Partnerschaftsvertrag der US-amerikanischen Sozietät M. LLP</t>
  </si>
  <si>
    <t>OLG Celle, 04.05.2011 – 10 UF 147/10</t>
  </si>
  <si>
    <t>Staatliche Sozialversicherung Großbritanniens / britische Rentenanwartschaft</t>
  </si>
  <si>
    <t>AG Traunstein, 04.10.2011 – 2 F 680/08</t>
  </si>
  <si>
    <t>Anrecht bei HM Revenue &amp; Customs; monatliche Rente 78,21 EUR (69,77 GBP)</t>
  </si>
  <si>
    <t>OLG Schleswig, 26.07.2024 – 15 UF 85/24</t>
  </si>
  <si>
    <t>OLG OLG Schleswig, 26.07.2024 – 15 UF 85/24</t>
  </si>
  <si>
    <t>OLG Brandenburg, 17.08.2021 – 13 UF 25/20</t>
  </si>
  <si>
    <t>OLG Brandenburg, 14.06.2011 – 10 UF 249/10</t>
  </si>
  <si>
    <t>OLG Brandenburg, 08.07.2020 – 15 UF 66/20</t>
  </si>
  <si>
    <t>OLG Brandenburg, 30.05.2013 – 10 UF 45/11</t>
  </si>
  <si>
    <t>OLG Saarbrücken, 21.01.2013 – 6 UF 440/12</t>
  </si>
  <si>
    <t>OLG Saarbrücken, 24.04.2012 – 6 WF 33/12</t>
  </si>
  <si>
    <t>OLG Saarbrücken, 17.05.2011 – 6 UF 60/11</t>
  </si>
  <si>
    <t>Kennzeichen</t>
  </si>
  <si>
    <t>CH</t>
  </si>
  <si>
    <r>
      <t xml:space="preserve">Land
</t>
    </r>
    <r>
      <rPr>
        <b/>
        <sz val="9"/>
        <color theme="1"/>
        <rFont val="Calibri"/>
        <family val="2"/>
        <scheme val="minor"/>
      </rPr>
      <t>Download Infos</t>
    </r>
  </si>
  <si>
    <t>Steuern</t>
  </si>
  <si>
    <t>Sozialabgaben</t>
  </si>
  <si>
    <t>Zuschläge zum Abfindungsbetrag a.G. des Leistungsspektrums der auszugl. Versorgung</t>
  </si>
  <si>
    <t>3.a. Dynamisierung in der Anwartschaftsphase</t>
  </si>
  <si>
    <t>3.b. Dynamisierung in der Leistungsphase</t>
  </si>
  <si>
    <t>Infos zu dieser Datenbank</t>
  </si>
  <si>
    <t>Kurzinformationen zur Anwendung dieses Datenblattes</t>
  </si>
  <si>
    <t>Gesetzliche Alterssicherung als erwerbs- und beitragsbezogene Pflichtsysteme für Arbeitnehmer, Selbständige und Beamte. Die Arbeitnehmer-/Selbständigenrente knüpft an die berufliche Laufbahn und versicherte Einkommen an. (settlinginbelgium.be)</t>
  </si>
  <si>
    <t>67 Jahre. Belgien hebt das gesetzliche Rentenalter auf 67 Jahre für Personen an, die ab dem 01.01.1964 geboren sind. (sfpd.fgov.be)</t>
  </si>
  <si>
    <t>Nach der aktuellen Reformlogik: 65 Jahre, sofern die erforderliche Versicherungszeit erfüllt ist. Für Männer steigt das Alter bis 2029 auf 65 Jahre; der Jahrgang 1976 erreicht 65 erst 2041. Zu beachten ist, dass nach 2037 eine Kopplung an die Lebenserwartung vorgesehen ist, deren Mechanismus nach OECD-Angaben noch nicht abschließend definiert ist. Bei fehlender voller Versicherungszeit besteht derzeit eine Auffangregel mit 67 Jahren und mindestens 15 Versicherungsjahren. (OECD)</t>
  </si>
  <si>
    <t>70 Jahre. Die offizielle dänische Tabelle weist für Geburtsjahrgänge 1971 oder später ein Rentenalter von 70 Jahren aus. (Life in Denmark)</t>
  </si>
  <si>
    <t>Ja. Die Altersrente wird im Kern aus Berufslaufbahn und beitragspflichtigem Einkommen hergeleitet. Bei Arbeitnehmern werden Sozialversicherungsbeiträge von Arbeitnehmern und Arbeitgebern erhoben; OECD nennt u.a. 13,07 % Arbeitnehmeranteil und 25 % Arbeitgeberanteil als allgemeine Sozialversicherungsbeiträge. Selbständige zahlen eigene Beiträge.</t>
  </si>
  <si>
    <t>Ja. Die erste Säule ist beitrags-/versicherungszeitenbezogen; die Rentenhöhe richtet sich nach Versicherungsdauer und dem Einkommen, auf das Beiträge gezahlt wurden. OECD beschreibt eine Gesamtbeitragslast zur Alterssicherung von 19,8 % des Bruttoeinkommens, davon 56 % Arbeitgeber- und 44 % Arbeitnehmeranteil; für nach 1959 Geborene gehen grundsätzlich 5 Prozentpunkte in die zweite Säule. (OECD)</t>
  </si>
  <si>
    <t>Für Folkepension: nein, nicht beitragsbezogen. Für ATP: ja, gesetzliche Beiträge; die Leistung richtet sich nach Dauer der Versicherung und gezahlten Beiträgen. (Life in Denmark)</t>
  </si>
  <si>
    <t>Für die reguläre Altersrente: nein. Sie knüpft an Beschäftigung/Selbständigkeit und Versicherungszeiten an; auch gleichgestellte Zeiten können berücksichtigt werden. Eine bedürftigkeitsgeprüfte Mindestsicherung im Alter ist davon zu trennen. (settlinginbelgium.be)</t>
  </si>
  <si>
    <t>Für die reguläre Altersrente: nein. Es bedarf Versicherungszeiten und beitragsbezogener Erwerbsbiografie. Es gibt allerdings eine soziale Altersleistung bei Bedürftigkeit, etwa für ältere Personen ohne ausreichende Versicherungsrente; diese ist nicht mit der beitragsbezogenen Altersrente gleichzusetzen. (European Commission)</t>
  </si>
  <si>
    <t>Ja, bei der Folkepension grundsätzlich wohnsitz-/aufenthaltsbezogen. Voraussetzungen sind u.a. Staatsangehörigkeits-/Aufenthaltsregeln. Für EU-/EWR-/Schweizer-/UK-Staatsangehörige nennt die offizielle Seite u.a. insgesamt mindestens drei Jahre erworbene Ansprüche, davon mindestens ein Jahr in Dänemark; alternativ kommen längere Wohnsitzzeiten in Dänemark in Betracht. (Life in Denmark)</t>
  </si>
  <si>
    <t>Frühere Erwerbseinkommen werden bei der Rentenberechnung preisindexiert bzw. revalorisiert; außerdem werden bestimmte Zeiten ohne tatsächliche Erwerbstätigkeit als gleichgestellte Zeiten berücksichtigt.</t>
  </si>
  <si>
    <t>Die Anwartschaft entsteht über Versicherungszeiten, individuelles beitragspflichtiges Einkommen, individuellen Koeffizienten und nationale Durchschnittsgrößen. In der zweiten Säule wächst das individuelle Konto durch Beiträge und Kapitalerträge. (OECD)</t>
  </si>
  <si>
    <t>Bei der Folkepension entsteht der Anspruch nicht durch Entgeltpunkte, sondern über Wohnsitz-/Aufenthaltszeiten. Bei ATP entstehen Anwartschaften über Beiträge; die spätere ATP-Leistung hängt von Versicherungsdauer und Beitragszahlungen ab. (Life in Denmark)</t>
  </si>
  <si>
    <t>Laufende Pensionen werden automatisch anhand des belgischen Verbraucherpreis-/Gesundheitsindex angepasst; zusätzlich gibt es periodische „well-being“-Anpassungen nach politischer Entscheidung.</t>
  </si>
  <si>
    <t>Gesetzliche Renten werden jährlich zum 1. Juli nach der sogenannten Schweizer Regel angepasst: 50 % Entwicklung der versicherten Einkommen und 50 % Verbraucherpreisentwicklung/HICP. (OECD)</t>
  </si>
  <si>
    <t>Öffentliche Altersrenten werden jährlich im Zusammenhang mit der Lohnentwicklung angepasst; ATP-Leistungen werden nach System-/Finanzierungslage angepasst. (OECD)</t>
  </si>
  <si>
    <t>Ja, aber keine feste Quote zur Altersrente. Belgien kennt Invaliditätsleistungen nach längerer Arbeitsunfähigkeit; die Leistung wird typischerweise nach Familienstand als Prozentsatz des Referenzeinkommens bemessen, etwa 65 %, 55 % oder 40 %, nicht als Prozentsatz der Altersrente. (Social Security)</t>
  </si>
  <si>
    <t>Ja. Voraussetzung ist insbesondere eine dauerhaft/langfristig geminderte Erwerbsfähigkeit von mindestens 50 %. Die Mindestbeträge sind nach Grad der Erwerbsminderung gestaffelt; genannt werden 85 %, 105 % oder 115 % der Mindestaltersrente je nach Invaliditätsgrad. (European Commission)</t>
  </si>
  <si>
    <t>Ja, Førtidspension bei dauerhaft geminderter Erwerbsfähigkeit. Keine feste Quote zur Altersrente; es handelt sich um eine eigene Sozialrente mit festen, einkommensabhängig reduzierbaren Beträgen. Für 2026 nennt die offizielle Seite monatlich vor Steuer DKK 22.053 für Alleinstehende und DKK 18.745 für Verheiratete/Zusammenlebende. (Life in Denmark)</t>
  </si>
  <si>
    <t>Ja. Die Hinterbliebenenpension für Arbeitnehmer wird in Übersichten mit 80 % der Altersrente zum Familienbetrag beschrieben; das entspricht rechnerisch etwa 60 % der maßgeblichen Bemessungsgrundlage. Anspruch und Höhe hängen von persönlichen Voraussetzungen ab. (Plan.be)</t>
  </si>
  <si>
    <t>Ja. Hinterbliebenenrenten betragen 50 % der Rente des Verstorbenen bei einem Berechtigten, 75 % bei zwei und 100 % bei drei oder mehr Berechtigten; die Summe wird unter den Berechtigten verteilt. (European Commission)</t>
  </si>
  <si>
    <t>Keine klassische lebenslange Witwen-/Witwerrente aus der Folkepension. Es gibt eine befristete/pauschale Hinterbliebenenhilfe unter engen Bedingungen; für 2026 wird ein Maximalbetrag von DKK 17.431 genannt. ATP sieht für Ehegatten, Lebensgefährten und Kinder unter Voraussetzungen pauschale Todesfallleistungen vor, typischerweise bis DKK 75.000 vor Steuer; darauf werden 40 % Steuer einbehalten. (Life in Denmark)</t>
  </si>
  <si>
    <t>Belgien kennt eine Pension als geschiedener Ehegatte bzw. Rentenrechte aus der Laufbahn des früheren Ehegatten während der Ehe unter Voraussetzungen. Das ist eher eine eigene Altersrentenregelung für Geschiedene, nicht schlicht eine fortbestehende Witwen-/Witwerrente nach Scheidung. (settlinginbelgium.be)</t>
  </si>
  <si>
    <t>In den herangezogenen gesetzlichen Sozialversicherungsquellen werden Hinterbliebenenrechte für Ehegatten, Kinder und Eltern beschrieben; eine allgemeine gesetzliche Geschiedenenhinterbliebenenversorgung ist dort nicht ausgewiesen. (European Commission)</t>
  </si>
  <si>
    <t>Nein, im Regelfall nicht. Die dänische Hinterbliebenenhilfe knüpft an Ehegatten oder Zusammenleben unmittelbar vor dem Tod an; ATP-Todesfallleistungen betreffen Ehegatten, registrierte/zusammenlebende Partner und Kinder, nicht geschiedene frühere Ehegatten als solche. (Life in Denmark)</t>
  </si>
  <si>
    <t>Gesetzliche Pensionen sind grundsätzlich einkommensteuerpflichtig; nach OECD werden sie nach Abzug bestimmter Sozialbeiträge wie Erwerbseinkommen besteuert, jedoch mit rentenspezifischen Steuerermäßigungen.</t>
  </si>
  <si>
    <t>Bulgarische Renten aus verpflichtender und freiwilliger Versicherung werden in den herangezogenen Steuerhinweisen als nicht steuerpflichtig beschrieben; bei grenzüberschreitenden Bezügen sind Doppelbesteuerungsabkommen gesondert zu prüfen. (pfg.bg)</t>
  </si>
  <si>
    <t>Rentenzahlungen sind grundsätzlich in Dänemark steuerpflichtig. Die offizielle dänische Steuerinformation führt aus, dass Pensionszahlungen im Regelfall steuerbar sind; ATP-Todesfallkapitalleistungen werden mit 40 % besteuert. (Life in Denmark)</t>
  </si>
  <si>
    <r>
      <t xml:space="preserve">Ja. Auf belgische Pensionen können insbesondere ein Beitrag zur Kranken-/Invaliditätsversicherung von </t>
    </r>
    <r>
      <rPr>
        <b/>
        <sz val="11"/>
        <color rgb="FF000000"/>
        <rFont val="Calibri"/>
        <family val="2"/>
      </rPr>
      <t>3,55 %</t>
    </r>
    <r>
      <rPr>
        <sz val="11"/>
        <color rgb="FF000000"/>
        <rFont val="Calibri"/>
        <family val="2"/>
      </rPr>
      <t xml:space="preserve"> oberhalb bestimmter Schwellen sowie ein Solidaritätsbeitrag von </t>
    </r>
    <r>
      <rPr>
        <b/>
        <sz val="11"/>
        <color rgb="FF000000"/>
        <rFont val="Calibri"/>
        <family val="2"/>
      </rPr>
      <t>0,5 % bis 2 %</t>
    </r>
    <r>
      <rPr>
        <sz val="11"/>
        <color rgb="FF000000"/>
        <rFont val="Calibri"/>
        <family val="2"/>
      </rPr>
      <t xml:space="preserve"> erhoben werden.</t>
    </r>
  </si>
  <si>
    <t>Auf die Rentenleistung selbst ergibt sich aus den herangezogenen Quellen keine Arbeitnehmer-/Arbeitgeber-Sozialabgabe; die Sozialversicherungsbeiträge belasten primär Erwerbseinkommen während der aktiven Phase. (OECD)</t>
  </si>
  <si>
    <t>Auf die Rentenleistung selbst steht die Besteuerung im Vordergrund; eine klassische Arbeitnehmer-/Arbeitgeber-Sozialabgabe auf die laufende Folkepension/ATP-Leistung wird in den herangezogenen offiziellen Renteninformationen nicht ausgewiesen. (Life in Denmark)</t>
  </si>
  <si>
    <t>Abfindungsbetrag Methode 3:</t>
  </si>
  <si>
    <t>Link zur Rechtsdatensammlung der DRV</t>
  </si>
  <si>
    <t>*) Der Autor übernimmt keine Haftung für die aufgeführten Werte</t>
  </si>
  <si>
    <t>Rechenparameter für Versorgungsausgleich und Sozialversicherung*</t>
  </si>
  <si>
    <t>Monatliche Bezugsgröße nach § 18 SGB VI</t>
  </si>
  <si>
    <t>Bagatellgrenze § 18 VersAusglG in €</t>
  </si>
  <si>
    <t>aktueller Rentenwert in €</t>
  </si>
  <si>
    <t>Ø-Entgelt ges. Renten-versicherung § 69 II SGB VI</t>
  </si>
  <si>
    <t>Beitragsbem.Grenze gRV § 159 SGB VI</t>
  </si>
  <si>
    <t>Beitragssatz in gesetzlicher RV</t>
  </si>
  <si>
    <t>Umrechenfaktoren Entgeltpunkte in Beiträge</t>
  </si>
  <si>
    <t>Umrechenfaktor Beitrag in Entgeltpunkte</t>
  </si>
  <si>
    <t>Rentenererwerb aus 1.000 € Beitrag</t>
  </si>
  <si>
    <t>Beitragskosten für
1 Euro Rente</t>
  </si>
  <si>
    <t>VBL Altersfaktoren</t>
  </si>
  <si>
    <t>Beamtenversorgung</t>
  </si>
  <si>
    <t>Jahr</t>
  </si>
  <si>
    <t>West in Euro</t>
  </si>
  <si>
    <t>Ost in Euro</t>
  </si>
  <si>
    <t>ab</t>
  </si>
  <si>
    <t xml:space="preserve">Ost in Euro </t>
  </si>
  <si>
    <t>Beitrags-satz</t>
  </si>
  <si>
    <t>West</t>
  </si>
  <si>
    <t>Ost</t>
  </si>
  <si>
    <t>Anpassung</t>
  </si>
  <si>
    <t>Tabelle9a</t>
  </si>
  <si>
    <t>EP</t>
  </si>
  <si>
    <r>
      <rPr>
        <b/>
        <sz val="14"/>
        <color rgb="FF000000"/>
        <rFont val="Calibri"/>
        <family val="2"/>
      </rPr>
      <t>Das bedeutet konkret:</t>
    </r>
    <r>
      <rPr>
        <sz val="11"/>
        <color rgb="FF000000"/>
        <rFont val="Calibri"/>
        <family val="2"/>
      </rPr>
      <t xml:space="preserve">
</t>
    </r>
    <r>
      <rPr>
        <b/>
        <sz val="11"/>
        <color rgb="FF000000"/>
        <rFont val="Calibri"/>
        <family val="2"/>
      </rPr>
      <t>1.Das auszugleichende Leistungsspektrum der sVA-Rente</t>
    </r>
    <r>
      <rPr>
        <sz val="11"/>
        <color rgb="FF000000"/>
        <rFont val="Calibri"/>
        <family val="2"/>
      </rPr>
      <t xml:space="preserve"> ist </t>
    </r>
    <r>
      <rPr>
        <b/>
        <sz val="11"/>
        <color rgb="FF000000"/>
        <rFont val="Calibri"/>
        <family val="2"/>
      </rPr>
      <t>beschränkt auf Alters- und Invaliditätsversorgung</t>
    </r>
    <r>
      <rPr>
        <sz val="11"/>
        <color rgb="FF000000"/>
        <rFont val="Calibri"/>
        <family val="2"/>
      </rPr>
      <t xml:space="preserve">. Die Hinterbliebenenversorgung wird nicht von der ausglpfl. Person geschuldet und kommt ihr auch nicht zugute. Sie spielt deswegen bei dieser Berechnungsmethode keine Rolle.
2. Maßgeblich für die </t>
    </r>
    <r>
      <rPr>
        <b/>
        <sz val="11"/>
        <color rgb="FF000000"/>
        <rFont val="Calibri"/>
        <family val="2"/>
      </rPr>
      <t>Höhe des Abfindungsbetrages</t>
    </r>
    <r>
      <rPr>
        <sz val="11"/>
        <color rgb="FF000000"/>
        <rFont val="Calibri"/>
        <family val="2"/>
      </rPr>
      <t xml:space="preserve"> (Bar- oder Kapitalwerts) ist die</t>
    </r>
    <r>
      <rPr>
        <b/>
        <sz val="11"/>
        <color rgb="FF000000"/>
        <rFont val="Calibri"/>
        <family val="2"/>
      </rPr>
      <t xml:space="preserve"> voraussichtliche Bezugsdauer der Versorgung durch die ausgleichspflichtige Person</t>
    </r>
    <r>
      <rPr>
        <sz val="11"/>
        <color rgb="FF000000"/>
        <rFont val="Calibri"/>
        <family val="2"/>
      </rPr>
      <t xml:space="preserve">. Die Abfindungshöhe wird in Abhängigkeit von der </t>
    </r>
    <r>
      <rPr>
        <b/>
        <sz val="11"/>
        <color rgb="FF000000"/>
        <rFont val="Calibri"/>
        <family val="2"/>
      </rPr>
      <t xml:space="preserve">im Berechnungszeitpunkt maßgeblichen Höhe </t>
    </r>
    <r>
      <rPr>
        <sz val="11"/>
        <color rgb="FF000000"/>
        <rFont val="Calibri"/>
        <family val="2"/>
      </rPr>
      <t xml:space="preserve">des ehezeitlichen Versorgunsgerwerbs und die weiterhin </t>
    </r>
    <r>
      <rPr>
        <b/>
        <sz val="11"/>
        <color rgb="FF000000"/>
        <rFont val="Calibri"/>
        <family val="2"/>
      </rPr>
      <t xml:space="preserve">anzunehmende Dynamik der Versorgung </t>
    </r>
    <r>
      <rPr>
        <sz val="11"/>
        <color rgb="FF000000"/>
        <rFont val="Calibri"/>
        <family val="2"/>
      </rPr>
      <t xml:space="preserve">bestimmt.
3. Wenn die Berechnung der Höhe der Abfindung nicht auf das Ehezeitende erfolgt, ist die </t>
    </r>
    <r>
      <rPr>
        <b/>
        <sz val="11"/>
        <color rgb="FF000000"/>
        <rFont val="Calibri"/>
        <family val="2"/>
      </rPr>
      <t>Veränderung der biometrischen Daten durch Zeitablauf</t>
    </r>
    <r>
      <rPr>
        <sz val="11"/>
        <color rgb="FF000000"/>
        <rFont val="Calibri"/>
        <family val="2"/>
      </rPr>
      <t xml:space="preserve"> zwischen Ehezeitende und dem Berechnungszeitpunkt zu berücksichtigen (Verminderung des Vorversterbensrisikos) . Da sich durch Zeitablauf nach Ehezeitende ein in der Anwartschaftsphase bestehendes Versterbensrisiko der ausglpfl. Person vermindert, wirkt sich das tendenziell werterhöhend aus.
</t>
    </r>
  </si>
  <si>
    <r>
      <rPr>
        <b/>
        <sz val="11"/>
        <color rgb="FF000000"/>
        <rFont val="Calibri"/>
        <family val="2"/>
      </rPr>
      <t>Höhe der zu berücksichtigenden Hinterbliebenenabsicherung</t>
    </r>
    <r>
      <rPr>
        <sz val="10"/>
        <color rgb="FF000000"/>
        <rFont val="Calibri"/>
        <family val="2"/>
      </rPr>
      <t xml:space="preserve"> im Verhältnis zur Altersrente (Änderungen in Blatt &lt;Abfindungsberechnung&gt;</t>
    </r>
    <r>
      <rPr>
        <sz val="11"/>
        <color rgb="FF000000"/>
        <rFont val="Calibri"/>
        <family val="2"/>
      </rPr>
      <t>)</t>
    </r>
  </si>
  <si>
    <t>Alle Felder sind verlinkt, auch wenn nicht unterstrichen!</t>
  </si>
  <si>
    <t>AlterEzE_Plf</t>
  </si>
  <si>
    <t>LeistungsphaseBerztpkt_Pfl</t>
  </si>
  <si>
    <t>Anwartschaftsphase_Pfl</t>
  </si>
  <si>
    <t>AlterEzEBerZtpkt_Plf</t>
  </si>
  <si>
    <t>AnwPhaseEzEbisLBeginn_Pfl</t>
  </si>
  <si>
    <t>LPhaseReAlterbisBerDat_Pfl</t>
  </si>
  <si>
    <t>Renteneintrittsalter_Pfl</t>
  </si>
  <si>
    <r>
      <t>Rente</t>
    </r>
    <r>
      <rPr>
        <vertAlign val="subscript"/>
        <sz val="11"/>
        <color rgb="FF000000"/>
        <rFont val="Calibri"/>
        <family val="2"/>
      </rPr>
      <t>EZE</t>
    </r>
    <r>
      <rPr>
        <sz val="11"/>
        <color rgb="FF000000"/>
        <rFont val="Calibri"/>
        <family val="2"/>
      </rPr>
      <t xml:space="preserve"> x (1 + AnwDyn)^(Alter</t>
    </r>
    <r>
      <rPr>
        <vertAlign val="subscript"/>
        <sz val="11"/>
        <color rgb="FF000000"/>
        <rFont val="Calibri"/>
        <family val="2"/>
      </rPr>
      <t>Berzpkt</t>
    </r>
    <r>
      <rPr>
        <sz val="11"/>
        <color rgb="FF000000"/>
        <rFont val="Calibri"/>
        <family val="2"/>
      </rPr>
      <t xml:space="preserve"> - Alter</t>
    </r>
    <r>
      <rPr>
        <vertAlign val="subscript"/>
        <sz val="11"/>
        <color rgb="FF000000"/>
        <rFont val="Calibri"/>
        <family val="2"/>
      </rPr>
      <t>EzE</t>
    </r>
    <r>
      <rPr>
        <sz val="11"/>
        <color rgb="FF000000"/>
        <rFont val="Calibri"/>
        <family val="2"/>
      </rPr>
      <t>)</t>
    </r>
  </si>
  <si>
    <r>
      <t>*= Rentenhöhe EzE x (1 + Anwartschaftsdynamik)</t>
    </r>
    <r>
      <rPr>
        <vertAlign val="superscript"/>
        <sz val="11"/>
        <color rgb="FF000000"/>
        <rFont val="Calibri"/>
        <family val="2"/>
      </rPr>
      <t xml:space="preserve">Anwartschaftzeit EzE bis Renteneintritt </t>
    </r>
    <r>
      <rPr>
        <sz val="11"/>
        <color rgb="FF000000"/>
        <rFont val="Calibri"/>
        <family val="2"/>
      </rPr>
      <t>x (1 + Leistungsdynamik)</t>
    </r>
    <r>
      <rPr>
        <vertAlign val="superscript"/>
        <sz val="11"/>
        <color rgb="FF000000"/>
        <rFont val="Calibri"/>
        <family val="2"/>
      </rPr>
      <t>Leistungszeit EzE bis Berechnungszeitpunkt</t>
    </r>
  </si>
  <si>
    <t>Renteneintrittstabelle, § 235 SGB VI, § 51 BBG</t>
  </si>
  <si>
    <t>Für den Geburtsjahrgang</t>
  </si>
  <si>
    <t>erfolgt eine Anhebung um ... Monate</t>
  </si>
  <si>
    <t>auf Vollendung eines Lebensalters von</t>
  </si>
  <si>
    <t>65 Jahre</t>
  </si>
  <si>
    <t>65 Jahren und 1 Monat</t>
  </si>
  <si>
    <t>65 Jahren und 2 Monaten</t>
  </si>
  <si>
    <t>65 Jahren und 3 Monaten</t>
  </si>
  <si>
    <t>65 Jahren und 4 Monaten</t>
  </si>
  <si>
    <t>65 Jahren und 5 Monaten</t>
  </si>
  <si>
    <t>65 Jahren und 6 Monaten</t>
  </si>
  <si>
    <t>65 Jahren und 7 Monaten</t>
  </si>
  <si>
    <t>65 Jahren und 8 Monaten</t>
  </si>
  <si>
    <t>65 Jahren und 9 Monaten</t>
  </si>
  <si>
    <t>65 Jahren und 10 Monaten</t>
  </si>
  <si>
    <t>65 Jahren und 11 Monaten</t>
  </si>
  <si>
    <t>66 Jahren</t>
  </si>
  <si>
    <t>66 Jahren und 2 Monaten</t>
  </si>
  <si>
    <t>66 Jahren und 4 Monaten</t>
  </si>
  <si>
    <t>66 Jahren und 6 Monaten</t>
  </si>
  <si>
    <t>66 Jahren und 8 Monaten</t>
  </si>
  <si>
    <t>66 Jahren und 10 Monaten</t>
  </si>
  <si>
    <t>67 Jahren</t>
  </si>
  <si>
    <t>Renteneintritt</t>
  </si>
  <si>
    <t>Renteneintrittsalter</t>
  </si>
  <si>
    <t>Leistungszeit</t>
  </si>
  <si>
    <t>VVR</t>
  </si>
  <si>
    <t>Kohorte Renteneintritt</t>
  </si>
  <si>
    <t>Kohorte Alter im Berechnungszeitpunkt</t>
  </si>
  <si>
    <t>Anwartschaftszeit</t>
  </si>
  <si>
    <t>Rente bei Leistungsbeginn</t>
  </si>
  <si>
    <t>∑</t>
  </si>
  <si>
    <t>Dynamisierungsprinzip der gesetzlichen Altersrente (vereinfacht)</t>
  </si>
  <si>
    <r>
      <t>Preisindexierung</t>
    </r>
    <r>
      <rPr>
        <sz val="11"/>
        <color rgb="FF000000"/>
        <rFont val="Calibri"/>
        <family val="2"/>
      </rPr>
      <t xml:space="preserve"> (Gesundheitsindex, automatische Indexsprünge)</t>
    </r>
  </si>
  <si>
    <r>
      <t>Mischindex</t>
    </r>
    <r>
      <rPr>
        <sz val="11"/>
        <color rgb="FF000000"/>
        <rFont val="Calibri"/>
        <family val="2"/>
      </rPr>
      <t xml:space="preserve"> (Lohn‑ und Preisentwicklung, politisch modifiziert)</t>
    </r>
  </si>
  <si>
    <r>
      <t>Lohn- und Preisentwicklung</t>
    </r>
    <r>
      <rPr>
        <sz val="11"/>
        <color rgb="FF000000"/>
        <rFont val="Calibri"/>
        <family val="2"/>
      </rPr>
      <t>, plus politische Anpassungen</t>
    </r>
  </si>
  <si>
    <r>
      <t>Lohnindexierung</t>
    </r>
    <r>
      <rPr>
        <sz val="11"/>
        <color rgb="FF000000"/>
        <rFont val="Calibri"/>
        <family val="2"/>
      </rPr>
      <t xml:space="preserve"> (Rentenanpassungsformel, inkl. Nachhaltigkeits‑ und Beitragssatzfaktor)</t>
    </r>
  </si>
  <si>
    <r>
      <t>Mischindex</t>
    </r>
    <r>
      <rPr>
        <sz val="11"/>
        <color rgb="FF000000"/>
        <rFont val="Calibri"/>
        <family val="2"/>
      </rPr>
      <t xml:space="preserve"> (Löhne + Preise, gesetzliche Formel)</t>
    </r>
  </si>
  <si>
    <r>
      <t>Preisdominierte Mischindexierung</t>
    </r>
    <r>
      <rPr>
        <sz val="11"/>
        <color rgb="FF000000"/>
        <rFont val="Calibri"/>
        <family val="2"/>
      </rPr>
      <t xml:space="preserve"> (ca. 80 % Preise, 20 % Löhne)</t>
    </r>
  </si>
  <si>
    <r>
      <t xml:space="preserve">Überwiegend </t>
    </r>
    <r>
      <rPr>
        <b/>
        <sz val="11"/>
        <color rgb="FF000000"/>
        <rFont val="Calibri"/>
        <family val="2"/>
      </rPr>
      <t>Preisindexierung</t>
    </r>
    <r>
      <rPr>
        <sz val="11"/>
        <color rgb="FF000000"/>
        <rFont val="Calibri"/>
        <family val="2"/>
      </rPr>
      <t xml:space="preserve"> (Inflation, teils Reformen/Abweichungen)</t>
    </r>
  </si>
  <si>
    <r>
      <t xml:space="preserve">Nach der Krise lange </t>
    </r>
    <r>
      <rPr>
        <b/>
        <sz val="11"/>
        <color rgb="FF000000"/>
        <rFont val="Calibri"/>
        <family val="2"/>
      </rPr>
      <t>stark politisiert</t>
    </r>
    <r>
      <rPr>
        <sz val="11"/>
        <color rgb="FF000000"/>
        <rFont val="Calibri"/>
        <family val="2"/>
      </rPr>
      <t>, teils Nullrunden, teils Preis-/Lohnbezug</t>
    </r>
  </si>
  <si>
    <r>
      <t>Diskretionäre politische Anpassungen</t>
    </r>
    <r>
      <rPr>
        <sz val="11"/>
        <color rgb="FF000000"/>
        <rFont val="Calibri"/>
        <family val="2"/>
      </rPr>
      <t>, orientiert an Preisen/Löhnen, aber ohne starre Formel</t>
    </r>
  </si>
  <si>
    <r>
      <t xml:space="preserve">Kombination aus </t>
    </r>
    <r>
      <rPr>
        <b/>
        <sz val="11"/>
        <color rgb="FF000000"/>
        <rFont val="Calibri"/>
        <family val="2"/>
      </rPr>
      <t>Preis‑ und Lohnentwicklung</t>
    </r>
    <r>
      <rPr>
        <sz val="11"/>
        <color rgb="FF000000"/>
        <rFont val="Calibri"/>
        <family val="2"/>
      </rPr>
      <t>, stark durch Tarif‑ und Politikprozesse geprägt</t>
    </r>
  </si>
  <si>
    <r>
      <t xml:space="preserve">Überwiegend </t>
    </r>
    <r>
      <rPr>
        <b/>
        <sz val="11"/>
        <color rgb="FF000000"/>
        <rFont val="Calibri"/>
        <family val="2"/>
      </rPr>
      <t>Preisindexierung</t>
    </r>
    <r>
      <rPr>
        <sz val="11"/>
        <color rgb="FF000000"/>
        <rFont val="Calibri"/>
        <family val="2"/>
      </rPr>
      <t>, teils abgestuft nach Rentenhöhe</t>
    </r>
  </si>
  <si>
    <r>
      <t>Lohnindexierung</t>
    </r>
    <r>
      <rPr>
        <sz val="11"/>
        <color rgb="FF000000"/>
        <rFont val="Calibri"/>
        <family val="2"/>
      </rPr>
      <t xml:space="preserve"> mit Zuschlägen, abhängig von Beitragszeiten und Wirtschaftslage</t>
    </r>
  </si>
  <si>
    <r>
      <t xml:space="preserve">Anbindung an </t>
    </r>
    <r>
      <rPr>
        <b/>
        <sz val="11"/>
        <color rgb="FF000000"/>
        <rFont val="Calibri"/>
        <family val="2"/>
      </rPr>
      <t>Schweizer AHV‑Mechanismus</t>
    </r>
    <r>
      <rPr>
        <sz val="11"/>
        <color rgb="FF000000"/>
        <rFont val="Calibri"/>
        <family val="2"/>
      </rPr>
      <t xml:space="preserve"> (Lohn‑/Preis‑Mischindex)</t>
    </r>
  </si>
  <si>
    <r>
      <t>Mischindex</t>
    </r>
    <r>
      <rPr>
        <sz val="11"/>
        <color rgb="FF000000"/>
        <rFont val="Calibri"/>
        <family val="2"/>
      </rPr>
      <t xml:space="preserve"> (Löhne + Preise), Reformen in den 2010er Jahren</t>
    </r>
  </si>
  <si>
    <r>
      <t>Automatische Indexierung</t>
    </r>
    <r>
      <rPr>
        <sz val="11"/>
        <color rgb="FF000000"/>
        <rFont val="Calibri"/>
        <family val="2"/>
      </rPr>
      <t xml:space="preserve"> an Verbraucherpreise (Indextranche), plus politische Anpassungen</t>
    </r>
  </si>
  <si>
    <r>
      <t>Preisindexierung</t>
    </r>
    <r>
      <rPr>
        <sz val="11"/>
        <color rgb="FF000000"/>
        <rFont val="Calibri"/>
        <family val="2"/>
      </rPr>
      <t>, teils mit Mindestanpassungen</t>
    </r>
  </si>
  <si>
    <r>
      <t xml:space="preserve">Grundrente: politisch gesteuerte </t>
    </r>
    <r>
      <rPr>
        <b/>
        <sz val="11"/>
        <color rgb="FF000000"/>
        <rFont val="Calibri"/>
        <family val="2"/>
      </rPr>
      <t>Preis-/Lohnorientierung</t>
    </r>
    <r>
      <rPr>
        <sz val="11"/>
        <color rgb="FF000000"/>
        <rFont val="Calibri"/>
        <family val="2"/>
      </rPr>
      <t xml:space="preserve">, Betriebsrenten: </t>
    </r>
    <r>
      <rPr>
        <b/>
        <sz val="11"/>
        <color rgb="FF000000"/>
        <rFont val="Calibri"/>
        <family val="2"/>
      </rPr>
      <t>Deckungsgrad‑abhängige Indexierung</t>
    </r>
  </si>
  <si>
    <r>
      <t>Lohnentwicklung minus Abschlag</t>
    </r>
    <r>
      <rPr>
        <sz val="11"/>
        <color rgb="FF000000"/>
        <rFont val="Calibri"/>
        <family val="2"/>
      </rPr>
      <t xml:space="preserve"> (z. B. Löhne – 0,75 %), gesetzlich fixiert</t>
    </r>
  </si>
  <si>
    <r>
      <t>Preisindexierung</t>
    </r>
    <r>
      <rPr>
        <sz val="11"/>
        <color rgb="FF000000"/>
        <rFont val="Calibri"/>
        <family val="2"/>
      </rPr>
      <t xml:space="preserve"> (Inflation), teils abgestuft nach Rentenhöhe, politisch übersteuert</t>
    </r>
  </si>
  <si>
    <r>
      <t>Preisindexierung</t>
    </r>
    <r>
      <rPr>
        <sz val="11"/>
        <color rgb="FF000000"/>
        <rFont val="Calibri"/>
        <family val="2"/>
      </rPr>
      <t xml:space="preserve"> mit kleinem Lohnanteil, Mindestanpassung gesetzlich garantiert</t>
    </r>
  </si>
  <si>
    <r>
      <t>Mischindex</t>
    </r>
    <r>
      <rPr>
        <sz val="11"/>
        <color rgb="FF000000"/>
        <rFont val="Calibri"/>
        <family val="2"/>
      </rPr>
      <t xml:space="preserve"> (BIP, Preise, Löhne), mit Schutzklauseln für niedrige Renten</t>
    </r>
  </si>
  <si>
    <r>
      <t>Lohnorientierte Anpassung</t>
    </r>
    <r>
      <rPr>
        <sz val="11"/>
        <color rgb="FF000000"/>
        <rFont val="Calibri"/>
        <family val="2"/>
      </rPr>
      <t xml:space="preserve"> (Punktwert), stark politisch beeinflusst</t>
    </r>
  </si>
  <si>
    <r>
      <t>Notional Defined Contribution + Preis-/Lohnindex</t>
    </r>
    <r>
      <rPr>
        <sz val="11"/>
        <color rgb="FF000000"/>
        <rFont val="Calibri"/>
        <family val="2"/>
      </rPr>
      <t xml:space="preserve"> (Einkommensindex, Ausgleichsmechanismus)</t>
    </r>
  </si>
  <si>
    <r>
      <t>Mischindex</t>
    </r>
    <r>
      <rPr>
        <sz val="11"/>
        <color rgb="FF000000"/>
        <rFont val="Calibri"/>
        <family val="2"/>
      </rPr>
      <t xml:space="preserve"> (50 % Löhne, 50 % Preise; AHV/1. Säule)</t>
    </r>
  </si>
  <si>
    <r>
      <t>Preisindexierung</t>
    </r>
    <r>
      <rPr>
        <sz val="11"/>
        <color rgb="FF000000"/>
        <rFont val="Calibri"/>
        <family val="2"/>
      </rPr>
      <t>, jüngere Reformen mit Lohnbezug</t>
    </r>
  </si>
  <si>
    <r>
      <t>Mischindex</t>
    </r>
    <r>
      <rPr>
        <sz val="11"/>
        <color rgb="FF000000"/>
        <rFont val="Calibri"/>
        <family val="2"/>
      </rPr>
      <t xml:space="preserve"> (Löhne + Preise), politisch modifiziert</t>
    </r>
  </si>
  <si>
    <r>
      <t xml:space="preserve">Nach 2018 wieder </t>
    </r>
    <r>
      <rPr>
        <b/>
        <sz val="11"/>
        <color rgb="FF000000"/>
        <rFont val="Calibri"/>
        <family val="2"/>
      </rPr>
      <t>Preisindexierung</t>
    </r>
    <r>
      <rPr>
        <sz val="11"/>
        <color rgb="FF000000"/>
        <rFont val="Calibri"/>
        <family val="2"/>
      </rPr>
      <t xml:space="preserve"> (Inflation), zuvor Reform mit Minimalindexierung</t>
    </r>
  </si>
  <si>
    <r>
      <t>Preisindexierung + Lohnkomponente</t>
    </r>
    <r>
      <rPr>
        <sz val="11"/>
        <color rgb="FF000000"/>
        <rFont val="Calibri"/>
        <family val="2"/>
      </rPr>
      <t>, Mindestanpassung gesetzlich</t>
    </r>
  </si>
  <si>
    <r>
      <t xml:space="preserve">Überwiegend </t>
    </r>
    <r>
      <rPr>
        <b/>
        <sz val="11"/>
        <color rgb="FF000000"/>
        <rFont val="Calibri"/>
        <family val="2"/>
      </rPr>
      <t>Preisindexierung</t>
    </r>
    <r>
      <rPr>
        <sz val="11"/>
        <color rgb="FF000000"/>
        <rFont val="Calibri"/>
        <family val="2"/>
      </rPr>
      <t>, Anpassungen politisch festgelegt</t>
    </r>
  </si>
  <si>
    <r>
      <t>Preisindexierung</t>
    </r>
    <r>
      <rPr>
        <sz val="11"/>
        <color rgb="FF000000"/>
        <rFont val="Calibri"/>
        <family val="2"/>
      </rPr>
      <t>, teils mit Lohnbezug in der Vergangenheit</t>
    </r>
  </si>
  <si>
    <t>Quellenlink</t>
  </si>
  <si>
    <t>Verlinkung zur Dynamisierungsquelle</t>
  </si>
  <si>
    <t>Dyn</t>
  </si>
  <si>
    <t>https://journals.sagepub.com/action/downloadSupplement?doi=10.1177%2F09589287261430475&amp;file=sj-pdf-1-esp-10.1177_09589287261430475.pdf</t>
  </si>
  <si>
    <t>https://www.oecd.org/content/dam/oecd/en/topics/policy-sub-issues/incomes-support-redistribution-and-work-incentives/TaxBEN-Switzerland-latest.pdf</t>
  </si>
  <si>
    <t>https://www.parlament.gv.at/dokument/XXVII/EU/187913/imfname_11382449.pdf</t>
  </si>
  <si>
    <t>Entwicklung des AOW-Grundbetrags (Niederlande) 2015–2026</t>
  </si>
  <si>
    <t>Brutto-Monatsbetrag der vollen AOW-Pension (Alleinstehend)</t>
  </si>
  <si>
    <t>Stichtag</t>
  </si>
  <si>
    <t>Brutto AOW (€)</t>
  </si>
  <si>
    <t>Änderung (€)</t>
  </si>
  <si>
    <t>Änderung %</t>
  </si>
  <si>
    <t>-</t>
  </si>
  <si>
    <t>Gesamtanstieg 2015–2026:</t>
  </si>
  <si>
    <t>Ø Jährliche Anpassung:</t>
  </si>
  <si>
    <t>Hinweis: Die AOW folgt dem niederländischen Mindestlohn. Alleinstehende erhalten 70% des Netto-Mindestlohns. Quelle: SVB, hr-kiosk.nl</t>
  </si>
  <si>
    <r>
      <t xml:space="preserve">– G‑Beträge: offizielle Werte von NAV / Statistisk sentralbyrå – Reale Rentenanpassung: gesetzliche Formel → </t>
    </r>
    <r>
      <rPr>
        <i/>
        <sz val="11"/>
        <color rgb="FF000000"/>
        <rFont val="Calibri"/>
        <family val="2"/>
      </rPr>
      <t>Lohnwachstum – 0,75 %</t>
    </r>
    <r>
      <rPr>
        <sz val="11"/>
        <color rgb="FF000000"/>
        <rFont val="Calibri"/>
        <family val="2"/>
      </rPr>
      <t xml:space="preserve"> – Die Lohnwachstumswerte stammen aus den jährlichen norwegischen Lohnstatistiken (TBU‑Berichte)</t>
    </r>
  </si>
  <si>
    <t>G-Betrag (NOK)</t>
  </si>
  <si>
    <t>% Änderung G</t>
  </si>
  <si>
    <t>Berechnungsbasis Lohnwachstum</t>
  </si>
  <si>
    <t>Reale Rentenanpassung (%)</t>
  </si>
  <si>
    <r>
      <t xml:space="preserve">– G‑Beträge: offizielle Werte von NAV / Statistisk sentralbyrå – Reale Rentenanpassung: gesetzliche Formel → </t>
    </r>
    <r>
      <rPr>
        <i/>
        <sz val="11"/>
        <color rgb="FF000000"/>
        <rFont val="Calibri"/>
        <family val="2"/>
      </rPr>
      <t>Lohnwachstum – 0,75 %</t>
    </r>
    <r>
      <rPr>
        <sz val="11"/>
        <color rgb="FF000000"/>
        <rFont val="Calibri"/>
        <family val="2"/>
      </rPr>
      <t xml:space="preserve"> – Die Lohnwachstumswerte stammen aus den jährlichen norwegischen Lohnstatistiken (TBU‑Berichte)</t>
    </r>
  </si>
  <si>
    <r>
      <t xml:space="preserve">Natürlich, Joern — hier ist deine </t>
    </r>
    <r>
      <rPr>
        <b/>
        <sz val="11"/>
        <color rgb="FF000000"/>
        <rFont val="Calibri"/>
        <family val="2"/>
      </rPr>
      <t>Excel‑fertige Tabelle</t>
    </r>
    <r>
      <rPr>
        <sz val="11"/>
        <color rgb="FF000000"/>
        <rFont val="Calibri"/>
        <family val="2"/>
      </rPr>
      <t>, sauber formatiert und direkt einfügbar.</t>
    </r>
  </si>
  <si>
    <r>
      <t xml:space="preserve">Ich gebe </t>
    </r>
    <r>
      <rPr>
        <b/>
        <sz val="11"/>
        <color rgb="FF000000"/>
        <rFont val="Calibri"/>
        <family val="2"/>
      </rPr>
      <t>nur die Werte</t>
    </r>
    <r>
      <rPr>
        <sz val="11"/>
        <color rgb="FF000000"/>
        <rFont val="Calibri"/>
        <family val="2"/>
      </rPr>
      <t>, ohne zusätzliche Erklärtexte, damit du sie 1:1 in Excel übernehmen kannst.</t>
    </r>
  </si>
  <si>
    <t>📊 Dänemark – Rentendynamisierung der Folkepension (Grundbeløb) seit 2015</t>
  </si>
  <si>
    <t>(Excel‑kompatibles Format)</t>
  </si>
  <si>
    <t>Wenn du möchtest, kann ich dir die Tabelle auch:</t>
  </si>
  <si>
    <r>
      <t>mit Formeln</t>
    </r>
    <r>
      <rPr>
        <sz val="11"/>
        <color rgb="FF000000"/>
        <rFont val="Calibri"/>
        <family val="2"/>
      </rPr>
      <t xml:space="preserve"> (z. B. automatische Prozentberechnung),</t>
    </r>
  </si>
  <si>
    <r>
      <t>mit Diagramm</t>
    </r>
    <r>
      <rPr>
        <sz val="11"/>
        <color rgb="FF000000"/>
        <rFont val="Calibri"/>
        <family val="2"/>
      </rPr>
      <t>,</t>
    </r>
  </si>
  <si>
    <r>
      <t xml:space="preserve">oder </t>
    </r>
    <r>
      <rPr>
        <b/>
        <sz val="11"/>
        <color rgb="FF000000"/>
        <rFont val="Calibri"/>
        <family val="2"/>
      </rPr>
      <t>im Vergleich zu Norwegen/Schweden</t>
    </r>
    <r>
      <rPr>
        <sz val="11"/>
        <color rgb="FF000000"/>
        <rFont val="Calibri"/>
        <family val="2"/>
      </rPr>
      <t xml:space="preserve"> aufbereiten.</t>
    </r>
  </si>
  <si>
    <t>Sag einfach Bescheid.</t>
  </si>
  <si>
    <t>Grundbeløb pro Monat (DKK)  % Veränderung ggü. Vorjahr</t>
  </si>
  <si>
    <r>
      <t xml:space="preserve">Die offiziellen Seiten (TR, Ísland.is) liefern </t>
    </r>
    <r>
      <rPr>
        <b/>
        <sz val="11"/>
        <color rgb="FF000000"/>
        <rFont val="Calibri"/>
        <family val="2"/>
      </rPr>
      <t>aktuelle Rentenregeln</t>
    </r>
    <r>
      <rPr>
        <sz val="11"/>
        <color rgb="FF000000"/>
        <rFont val="Calibri"/>
        <family val="2"/>
      </rPr>
      <t xml:space="preserve">, aber </t>
    </r>
    <r>
      <rPr>
        <b/>
        <sz val="11"/>
        <color rgb="FF000000"/>
        <rFont val="Calibri"/>
        <family val="2"/>
      </rPr>
      <t>keine historische Prozentreihe</t>
    </r>
    <r>
      <rPr>
        <sz val="11"/>
        <color rgb="FF000000"/>
        <rFont val="Calibri"/>
        <family val="2"/>
      </rPr>
      <t>.</t>
    </r>
  </si>
  <si>
    <r>
      <t xml:space="preserve">Malta hat </t>
    </r>
    <r>
      <rPr>
        <b/>
        <sz val="10"/>
        <color rgb="FF000000"/>
        <rFont val="Aptos"/>
        <family val="2"/>
      </rPr>
      <t>keine feste Indexierungsformel</t>
    </r>
    <r>
      <rPr>
        <sz val="10"/>
        <color rgb="FF000000"/>
        <rFont val="Aptos"/>
        <family val="2"/>
      </rPr>
      <t xml:space="preserve"> wie Deutschland oder Norwegen. Die Renten werden jährlich im Rahmen des </t>
    </r>
    <r>
      <rPr>
        <b/>
        <sz val="10"/>
        <color rgb="FF000000"/>
        <rFont val="Aptos"/>
        <family val="2"/>
      </rPr>
      <t>Budget Acts</t>
    </r>
    <r>
      <rPr>
        <sz val="10"/>
        <color rgb="FF000000"/>
        <rFont val="Aptos"/>
        <family val="2"/>
      </rPr>
      <t xml:space="preserve"> angepasst, meist: </t>
    </r>
    <r>
      <rPr>
        <b/>
        <sz val="10"/>
        <color rgb="FF000000"/>
        <rFont val="Aptos"/>
        <family val="2"/>
      </rPr>
      <t>Inflationsorientiert</t>
    </r>
    <r>
      <rPr>
        <sz val="10"/>
        <color rgb="FF000000"/>
        <rFont val="Aptos"/>
        <family val="2"/>
      </rPr>
      <t xml:space="preserve">, mit </t>
    </r>
    <r>
      <rPr>
        <b/>
        <sz val="10"/>
        <color rgb="FF000000"/>
        <rFont val="Aptos"/>
        <family val="2"/>
      </rPr>
      <t>Mindestanpassungen</t>
    </r>
    <r>
      <rPr>
        <sz val="10"/>
        <color rgb="FF000000"/>
        <rFont val="Aptos"/>
        <family val="2"/>
      </rPr>
      <t xml:space="preserve"> und gelegentlichen </t>
    </r>
    <r>
      <rPr>
        <b/>
        <sz val="10"/>
        <color rgb="FF000000"/>
        <rFont val="Aptos"/>
        <family val="2"/>
      </rPr>
      <t>Sondererhöhungen</t>
    </r>
    <r>
      <rPr>
        <sz val="10"/>
        <color rgb="FF000000"/>
        <rFont val="Aptos"/>
        <family val="2"/>
      </rPr>
      <t>.</t>
    </r>
  </si>
  <si>
    <t>*) CAGR = Compound Annual Growth Rate = durchschnittliche jährliche Wachstumsrate</t>
  </si>
  <si>
    <t>Lebenserwartung ausglner.Person ab Rente</t>
  </si>
  <si>
    <t>Rntenalter:</t>
  </si>
  <si>
    <t>AlterBerDat</t>
  </si>
  <si>
    <t>Lebenserwartung ab Rente</t>
  </si>
  <si>
    <t>VVR Ber</t>
  </si>
  <si>
    <t>ReBeginn_Ber</t>
  </si>
  <si>
    <t>ReBeginn_Pfl</t>
  </si>
  <si>
    <t>Rentenhöhe</t>
  </si>
  <si>
    <t>L_Zeit</t>
  </si>
  <si>
    <t>ReBeginn_sVA</t>
  </si>
  <si>
    <t>Alter_Ber_ReStart</t>
  </si>
  <si>
    <t>Alter_Pfl_ReStart</t>
  </si>
  <si>
    <t>Alter_BerDat_Pfl</t>
  </si>
  <si>
    <t>Kohorte_BerDat_Ber</t>
  </si>
  <si>
    <t>Kohorte_BerDat_Pfl</t>
  </si>
  <si>
    <t>L_Pfl_sVABeginn</t>
  </si>
  <si>
    <t>Kohorte_Ldat_Pfl</t>
  </si>
  <si>
    <t>Alter_BerDat_ Ber</t>
  </si>
  <si>
    <t>VVR-Faktor</t>
  </si>
  <si>
    <t>L_Zeit (VVR)</t>
  </si>
  <si>
    <t>L_Zeit bis sVA_beginn</t>
  </si>
  <si>
    <t>L_Ber_sVABeginn</t>
  </si>
  <si>
    <t>AlterPflbeisVAStart</t>
  </si>
  <si>
    <t>AlterBerbeisVAStart</t>
  </si>
  <si>
    <t>Kohorte_sVAStart_Ber</t>
  </si>
  <si>
    <t>Berücksichtigungssatz</t>
  </si>
  <si>
    <t>Zeile</t>
  </si>
  <si>
    <t>Monatszuschlag</t>
  </si>
  <si>
    <t>LeistungszeitDRV_Ber:</t>
  </si>
  <si>
    <r>
      <rPr>
        <sz val="10"/>
        <color rgb="FF000000"/>
        <rFont val="Aptos Narrow"/>
        <family val="2"/>
      </rPr>
      <t>∑</t>
    </r>
    <r>
      <rPr>
        <sz val="10"/>
        <color rgb="FF000000"/>
        <rFont val="Calibri"/>
        <family val="2"/>
      </rPr>
      <t xml:space="preserve"> DRV-Rente</t>
    </r>
  </si>
  <si>
    <t>aktRW</t>
  </si>
  <si>
    <t>Versorgungserwerb aus Ausgleichswert</t>
  </si>
  <si>
    <t>Anwartschaftszeit:</t>
  </si>
  <si>
    <t>Anwartschafts-zeit bis sVA-Start</t>
  </si>
  <si>
    <t>AnwZeit bis DRV-Start</t>
  </si>
  <si>
    <t>DRV-Renteneintritt</t>
  </si>
  <si>
    <t>DRV-Rente bei Start:</t>
  </si>
  <si>
    <t>Geburtstag ausglBer</t>
  </si>
  <si>
    <t>Alter Berechnungsdatum:</t>
  </si>
  <si>
    <t>DRV-Renteneintritt Ber</t>
  </si>
  <si>
    <t>Alter bei DRV-Renteneintritt Ber</t>
  </si>
  <si>
    <t>Bezugszeit DRV-Rente durch ber. Person:</t>
  </si>
  <si>
    <t>Summe erwartbarer Rentenzahlungen</t>
  </si>
  <si>
    <t>Quote der Altersrente / Aufschlag:</t>
  </si>
  <si>
    <t>Rentenhöhe im Ehezeitende</t>
  </si>
  <si>
    <t>IR-Zuschlag:</t>
  </si>
  <si>
    <t>HR_Zuschlag:</t>
  </si>
  <si>
    <r>
      <t xml:space="preserve">Anzahl der jährl. Zahlungen </t>
    </r>
    <r>
      <rPr>
        <sz val="11"/>
        <color rgb="FF000000"/>
        <rFont val="Consolas"/>
        <family val="3"/>
      </rPr>
      <t>►</t>
    </r>
  </si>
  <si>
    <t>Dynamik der EU-Renten</t>
  </si>
  <si>
    <t>K_Text1</t>
  </si>
  <si>
    <t>K_Text2</t>
  </si>
  <si>
    <t>K_Text3</t>
  </si>
  <si>
    <t>K_Text4</t>
  </si>
  <si>
    <t>K_Text5</t>
  </si>
  <si>
    <t>K_Text6</t>
  </si>
  <si>
    <t>K_Text7</t>
  </si>
  <si>
    <t>K_Text8</t>
  </si>
  <si>
    <t>K_Text9</t>
  </si>
  <si>
    <t>K_Text10</t>
  </si>
  <si>
    <t>K_Text11</t>
  </si>
  <si>
    <t>O_Box_K_L</t>
  </si>
  <si>
    <t>Ausglpfl. kann vom VT  Info i.d.R. bekommen (Darlegungslast)</t>
  </si>
  <si>
    <t>1. Säule (Grundsystem):
   * Jede Person, die in der Schweiz Wohnsitz hat oder hier eine Erwerbstätigkeit ausübt.
   * Unter bestimmten Bedingungen, freiwillige Versicherung für Schweizer Bürger und Staatsangehörige der Mitgliedstaaten der EU oder der EFTA, die ausserhalb der Schweiz, der EU oder der EFTA leben.
2. Säule (obligatorische Mindestvorsorge):
   * Arbeitnehmer über 17 Jahren, die in der 1. Säule versichert sind und vom gleichen Arbeitgeber einen Lohn von mehr als CHF22.680 (€24.233) erhalten.
   * Bezüger von Taggeldern der Arbeitslosenversicherung.
   * Freiwillige Versicherung für gewisse nicht obligatorisch unterstellte Arbeitnehmer sowie Selbstständigerwerbende.</t>
  </si>
  <si>
    <t>1. Säule (Grundsystem):
Insbesondere:
   * Bei Doppelbelastung (gleichzeitige ausländische Versicherung).
   * Selbstständigerwerbende und Arbeitnehmer nicht beitragspflichtiger Arbeitgeber, welche die Voraussetzungen der obligatorischen Versicherung nur für eine verhältnismäßig kurze Zeit erfüllen.
2. Säule (obligatorische Mindestvorsorge):
Insbesondere:
   * Arbeitnehmer, deren Arbeitgeber der Beitragspflicht in der 1. Säule nicht unterliegt.
   * Arbeitnehmer mit einem befristeten Arbeitsvertrag von höchstens 3 Monaten.
   * Personen, die zu mindestens 70% invalid sind.
   * Gewisse Familienmitglieder des Leiters eines Landwirtschaftsbetriebes, die in diesem Betrieb arbeiten.
Bei Doppelbelastung (gleichzeitige ausländische Versicherung).</t>
  </si>
  <si>
    <t>1. Säule (Grundsystem)/2. Säule (obligatorische Mindestvorsorge):
Für die Bemessung der Invalidität wird das Erwerbseinkommen, das die versicherte Person erzielen könnte, wenn sie nicht invalid geworden wäre, in Beziehung gesetzt zum Erwerbseinkommen, das die versicherte Person nach Durchführung der medizinischen Behandlung und der Eingliederungsmassnahmen durch eine ihr zumutbare Tätigkeit erzielen könnte.
Bei nicht erwerbstätigen Versicherten, denen die Aufnahme einer Erwerbstätigkeit nicht zugemutet werden kann, wird für die Bemessung der Invalidität darauf abgestellt, in welchem Masse sie eingeschränkt sind, sich im bisherigen Aufgabenbereich zu betätigen.
Die Höhe des Rentenanspruchs wird in prozentualen Anteilen an einer ganzen Rente festgelegt.
   * Bei einem Invaliditätsgrad zwischen 40 und 49 Prozent liegt der prozentuale Anteil nach einer gesetzlich festgelegten Skala zwischen 25 und 47,5 Prozent;
   * Bei einem Invaliditätsgrad von 50‒69 Prozent entspricht der prozentuale Anteil dem Invaliditätsgrad;
   * Bei einem Invaliditätsgrad ab 70 Prozent besteht Anspruch auf eine ganze Rente.</t>
  </si>
  <si>
    <t>1. Säule (Grundsystem):
Das durchschnittliche Jahreseinkommen setzt sich zusammen aus:
+F18   * den aufgewerteten Erwerbseinkommen (die Beiträge der nichterwerbstätigen Personen werden als Erwerbseinkommen gewertet);
   * den Erziehungsgutschriften und den Betreuungsgutschriften (vgl. Tabelle V „Invalidität“, „Leistungen, 4. Angerechnete oder berücksichtigungsfähige Zeiten“).
Die Einkommen der Ehegatten während der Ehedauer werden zwischen den Ehegatten geteilt (Splitting),
   * wenn die beiden Gatten das Referenzalter (Rentenalter) erreicht haben und/oder Anspruch auf eine Invalidenrente haben;
   * wenn die Witwe oder der Witwer das Referenzalter (Rentenalter) erreicht haben oder Anspruch auf eine Invalidenrente haben;
   * oder im Falle einer Scheidung.
Die eingetragene Partnerschaft ist einer Ehe und die gerichtliche Auflösung der Partnerschaft einer Scheidung gleichgestellt.
2. Säule (obligatorische Mindestvorsorge):
Als versicherter Lohn (= koordinierter Lohn) gilt der Teil des Jahreslohnes zwischen CHF26.460 (€28.272) und CHF90.720 (€96.933). Minimaler koordinierter Lohn: CHF3.780 (€4.039).</t>
  </si>
  <si>
    <t>1. Säule (Grundsystem):
   * Hilflosenentschädigung.
   * Assistenzbeitrag.
   * Außerordentliche Rente.
   * Ergänzungsleistungen zur 1. Säule (vgl. Tabelle XI „Mindestsicherung“).
2. Säule (obligatorische Mindestvorsorge):
Die Vorsorgeeinrichtung kann eine Kapitalleistung ausrichten, wenn die Rente weniger als 10% der Mindestrente der Alters- und Hinterlassenenversicherung (1. Säule) beträgt.</t>
  </si>
  <si>
    <t>Die Bestimmungen über die Witwen:Witwerrente sind auch auf die Rente für hinterbliebene eingetragene Partner:innen sinngemäß anzuwenden.
Zwischen 0% und 60% der Invaliditäts- oder Altersrente, auf die der:die Verstorbene Anspruch hatte oder gehabt hätte. Der Prozentsatz hängt vom Verhältnis des bisherigen Einkommens des:der Verstorbenen zu jenem des:der hinterbliebenen Ehepartner:in/hinterbliebenen eingetragenen Partners:Partnerin ab (so gebühren z.B. bei gleich hoher Berechnungsgrundlage 40% - siehe Tabelle VII, Kumulation mit Erwerbseinkommen oder anderen Sozialleistungen). Der Prozentsatz wird nach folgender Formel berechnet:
70-(30*(Bruttoeinkommen der:des Witwe:Witwers/Bruttoeinkommen des:der Verstorbenen)).
Erreicht die Summe aus gekürzter Hinterbliebenenrente und eigenem Einkommen des:der Hinterbliebenen nicht monatlich €2.547,91 brutto (2025), so ist ein entsprechender Differenzbetrag bis zum Maximum von 60% der Rente des:der Verstorbenen zu gewähren, bis das Gesamteinkommen €2.547,91 brutto (2025) erreicht (60% dürfen aber dabei keinesfalls überschritten werden) wird („Schutzbetrag“).
Die Witwen:Witwerrente ist grundsätzlich zeitlich nicht befristet, aber gebührt nur für 30 Monate,
   * wenn der:die hinterbliebene Ehepartner:in zum Zeitpunkt des Todes des:der Verstorbenen jünger als 35 ist (Ausnahme: die Ehe dauerte bereits mindestens 10 Jahre) oder
   * wenn die Ehe erst nach dem Rentenbeginn bzw. der Erreichung der gesetzlichen Altersgrenze des:der Verstorbenen geschlossen wurde (Ausnahme: bestimmte Mindestehedauer).
   * Diese Limitierung gilt (u.a.) nicht, wenn aus der Ehe ein Kind geboren wurde, die:der Witwe:Witwer zum Zeitpunkt des Todes des:der Ehepartners:Ehepartnerin schwanger war, die beiden Partner:innen bereits früher miteinander verheiratet gewesen sind und bei Fortdauer dieser Ehe/eingetragenen Partnerschaft anspruchsberechtigt wären oder der:die hinterbliebene Ehepartner:in im Zeitpunkt des Fristablaufes invalid ist.
Die Rente an den:die geschiedenen Ehepartner:in ist mit der Unterhaltsleistung begrenzt (Ausnahmen bei Scheidung aufgrund Verschuldens des Verstorbenen, Ehedauer von mindestens 15 Jahren und wenn die:der Witwe:Witwer im zum Zeitpunkt der Scheidung bereits 40 Jahre alt war).
Die Auszahlung der Rente erfolgt im Nachhinein, jeweils am Ersten des folgenden Monats.
Die Rente wird 14-mal jährlich gezahlt (Sonderzahlungen im April und Oktober).</t>
  </si>
  <si>
    <t>1. Säule (Grundsystem):
Die Monatsrente setzt sich aus einem Teil des Mindestbetrages der Altersrente (Festbetrag) und einem Teil des maßgebenden durchschnittlichen Jahreseinkommens (variabler Betrag) zusammen.
Wenn das maßgebende durchschnittliche Jahreseinkommen niedriger oder gleich CHF45.360 (€48.467) ist, so entspricht der feste Teil der Rente CHF932 (€996) und der variable Teil dem mit 13/600 vervielfachten maßgebenden durchschnittlichen Jahreseinkommen.
Wenn das maßgebende durchschnittliche Jahreseinkommen höher ist als CHF45.360 (€48.467), so entspricht der feste Teil der Rente CHF1.310 (€1.400) und der variable Teil dem mit 8/600 vervielfachten maßgebenden durchschnittlichen Jahreseinkommen.
2. Säule (obligatorische Mindestvorsorge):
Jährliche Rente = (a + b) x t.
a = Guthaben des Versicherten bei Entstehung des Anspruchs auf Invalidenrente (Beiträge + Zinsen).
b = Gutschriften für die bis zum Referenzalter (Rentenalter) fehlenden Jahre (ohne Zinsen). Diese Gutschriften werden auf dem versicherten Lohn während des letzten Versicherungsjahres in der Vorsorgeeinrichtung berechnet.
t = Umwandlungssatz = 6,8%.
Nicht einkommensabhängige Leistungen.
Die Leistungen werden grundsätzlich monatlich gezahlt. Keine zusätzlichen Zahlungen.
Die Höhe der Leistung variiert insbesondere je nach früherem Erwerbseinkommen und, für die 2. Säule, nach dem Erhalt anderer Sozialleistungen.</t>
  </si>
  <si>
    <t>https://employment-social-affairs.ec.europa.eu/document/download/56aa99cf-f963-4065-8215-f262c195ea00_de</t>
  </si>
  <si>
    <t>https://employment-social-affairs.ec.europa.eu/document/download/f3436d8c-426b-472b-8012-9e830de438c3_de</t>
  </si>
  <si>
    <t>https://employment-social-affairs.ec.europa.eu/document/download/3ee120a1-88e4-40cd-a3d7-1a5e33008cfc_de?filename=missoc-ssg-DK-2024-de.pdf</t>
  </si>
  <si>
    <t>https://employment-social-affairs.ec.europa.eu/document/download/cd0ec727-04e8-4dcb-8d6e-bdaa0b04ff12_de</t>
  </si>
  <si>
    <t>https://employment-social-affairs.ec.europa.eu/document/download/4617b81d-4bc3-4fdc-9994-d9a8ae3e53ff_de</t>
  </si>
  <si>
    <t>https://employment-social-affairs.ec.europa.eu/document/download/48c6ea1f-8284-42db-804d-47fabf896a6d_de</t>
  </si>
  <si>
    <t>https://employment-social-affairs.ec.europa.eu/document/download/e0b8e868-4fae-4a4a-883b-75b02cf0bd1f_de</t>
  </si>
  <si>
    <t>https://employment-social-affairs.ec.europa.eu/document/download/f476ffdd-db90-48e3-8e1b-cd861a3f82e1_de</t>
  </si>
  <si>
    <t>https://employment-social-affairs.ec.europa.eu/document/download/d19d3105-4ff4-4e45-b8ef-c3a3fbe1abac_de</t>
  </si>
  <si>
    <t>https://employment-social-affairs.ec.europa.eu/document/download/1526299a-d95c-441b-8a5e-71acb2c981eb_de</t>
  </si>
  <si>
    <t>https://employment-social-affairs.ec.europa.eu/document/download/3f43aab0-d0c5-4c70-a7d2-f56fa6ee565c_de</t>
  </si>
  <si>
    <t>https://employment-social-affairs.ec.europa.eu/document/download/8ceb35da-6b70-41e8-acf9-381e8d7c6cf3_de</t>
  </si>
  <si>
    <t>https://employment-social-affairs.ec.europa.eu/document/download/07fba796-b245-416b-ac58-5b6dc4d06d4e_de</t>
  </si>
  <si>
    <t>https://employment-social-affairs.ec.europa.eu/document/download/4f16edeb-895f-4b75-ad39-dcd6f7bd4cb1_de</t>
  </si>
  <si>
    <t>https://employment-social-affairs.ec.europa.eu/document/download/b920adf8-38c1-4a1c-9579-7f8a62bc6ef6_de</t>
  </si>
  <si>
    <t>https://employment-social-affairs.ec.europa.eu/document/download/d18b3308-2094-4a67-9964-a59e1497a9af_de</t>
  </si>
  <si>
    <t>https://employment-social-affairs.ec.europa.eu/document/download/ad6d37a8-9b44-45c9-b366-f19633602983_de</t>
  </si>
  <si>
    <t>https://employment-social-affairs.ec.europa.eu/document/download/281c2e4d-bbb3-4a73-93b6-ff3368cb15c6_de</t>
  </si>
  <si>
    <t>https://employment-social-affairs.ec.europa.eu/document/download/7bb82c27-9a98-4ab5-948c-e875d1d18f02_de</t>
  </si>
  <si>
    <t>https://employment-social-affairs.ec.europa.eu/document/download/9b140205-9066-4a16-876f-eb7643365cc9_de</t>
  </si>
  <si>
    <t>https://employment-social-affairs.ec.europa.eu/document/download/1801fedc-6583-47f2-be14-8650bc6b71c8_de</t>
  </si>
  <si>
    <t>https://employment-social-affairs.ec.europa.eu/document/download/fa90d105-d7fc-417e-a79c-603796821761_en</t>
  </si>
  <si>
    <t>https://employment-social-affairs.ec.europa.eu/document/download/a8097a78-9595-456c-890f-0a6e44674343_de</t>
  </si>
  <si>
    <t>https://employment-social-affairs.ec.europa.eu/document/download/c4767d73-7286-41ad-bc5a-557aedfff7e1_de</t>
  </si>
  <si>
    <t>https://employment-social-affairs.ec.europa.eu/document/download/0b4342bd-0bd0-4b42-b09e-e43733ae8b8e_de</t>
  </si>
  <si>
    <t>https://employment-social-affairs.ec.europa.eu/document/download/cda27b4f-ad1c-419d-b4c4-28222a5d2c34_de</t>
  </si>
  <si>
    <t>https://employment-social-affairs.ec.europa.eu/document/download/788be1e1-a21f-42a7-a201-a90e5e913bea_de</t>
  </si>
  <si>
    <t>K2_Text1</t>
  </si>
  <si>
    <t>K2_Text2</t>
  </si>
  <si>
    <t>K2_Text3</t>
  </si>
  <si>
    <t>2.b. Erwerb allein aufgrund legalen Aufenthalts?</t>
  </si>
  <si>
    <t>4.a. Invaliditätsrente? Quote zur Altersrente?</t>
  </si>
  <si>
    <t>4.c. Geschiedenen-Hinterbliebenenversorgung?</t>
  </si>
  <si>
    <t>2.a. Erwerb aufgrund von Arbeitnehmer- und Arbeitgeberbeiträgen?</t>
  </si>
  <si>
    <t>4.b. Hinterbliebenenversorgung? Quote zur Altersrente?</t>
  </si>
  <si>
    <t>Infos aus:</t>
  </si>
  <si>
    <t xml:space="preserve">       ...Kurzübersicht</t>
  </si>
  <si>
    <r>
      <t xml:space="preserve">...EU-Datenbank </t>
    </r>
    <r>
      <rPr>
        <b/>
        <sz val="14"/>
        <color theme="0"/>
        <rFont val="Segoe UI Symbol"/>
        <family val="2"/>
      </rPr>
      <t xml:space="preserve">⏵  </t>
    </r>
    <r>
      <rPr>
        <b/>
        <sz val="14"/>
        <color theme="0"/>
        <rFont val="Calibri"/>
        <family val="2"/>
      </rPr>
      <t xml:space="preserve">  </t>
    </r>
  </si>
  <si>
    <t>Rsprechung</t>
  </si>
  <si>
    <t>Rspr</t>
  </si>
  <si>
    <t>Info-Box für Abfindungsberechnung</t>
  </si>
  <si>
    <t>Ktext</t>
  </si>
  <si>
    <t>KTextZus3</t>
  </si>
  <si>
    <t>*) das Vorversterbensrisiko der ausgleichspflichtigen Person zwischen Berechnungszeitpunkt und sVA-Bezugszeitpunkt ist bei der Leistungszeit für die  ausglber. Person  berücksichtigt</t>
  </si>
  <si>
    <t>Infobereich:</t>
  </si>
  <si>
    <t xml:space="preserve">       Höhe der Invaliditätsabsicherung in % der Altersrente (i.d.R. 100%) (Nr. 3ff)</t>
  </si>
  <si>
    <t xml:space="preserve">       Höhe der  Hinterbliebenenversorgung im Verhältnis zur Altersversorgung</t>
  </si>
  <si>
    <t>HI-Versorgung</t>
  </si>
  <si>
    <t>info_IRZuschlag</t>
  </si>
  <si>
    <t>B</t>
  </si>
  <si>
    <t>Bg</t>
  </si>
  <si>
    <t>D</t>
  </si>
  <si>
    <t>E</t>
  </si>
  <si>
    <t>EST</t>
  </si>
  <si>
    <t>F</t>
  </si>
  <si>
    <t>GR</t>
  </si>
  <si>
    <t>IS</t>
  </si>
  <si>
    <t>I</t>
  </si>
  <si>
    <t>IRL</t>
  </si>
  <si>
    <t>LV</t>
  </si>
  <si>
    <t>LI</t>
  </si>
  <si>
    <t>FL</t>
  </si>
  <si>
    <t>L</t>
  </si>
  <si>
    <t>M</t>
  </si>
  <si>
    <t>NL</t>
  </si>
  <si>
    <t>A</t>
  </si>
  <si>
    <t>PO</t>
  </si>
  <si>
    <t>S</t>
  </si>
  <si>
    <t>SLO</t>
  </si>
  <si>
    <t>H</t>
  </si>
  <si>
    <t>CY</t>
  </si>
  <si>
    <t>Sprungziel</t>
  </si>
  <si>
    <r>
      <t>I</t>
    </r>
    <r>
      <rPr>
        <b/>
        <i/>
        <sz val="10.5"/>
        <color rgb="FF000000"/>
        <rFont val="Calibri"/>
        <family val="2"/>
      </rPr>
      <t>ch benötige Informationen über das gesetzliche Rentensystem in &lt;Ländername einfügen&gt;.</t>
    </r>
    <r>
      <rPr>
        <i/>
        <sz val="10.5"/>
        <color rgb="FF000000"/>
        <rFont val="Calibri"/>
        <family val="2"/>
      </rPr>
      <t xml:space="preserve">
Dabei geht es insbesondere um folgende Fragen:
1. Renteneintrittsalter für eine &lt;…&gt; Jahre alte &lt;Geschlecht angeben&gt; Person des Geburtsjahrgangs &lt;....&gt;
2. Die Grundsätze des Versorgungserwerbs in diesem Versorgungssystem.
2.a. Findet der Erwerb aufgrund von Beiträger der Arbeitnehmer und/oder Arbeitgeber statt?
2.b. Erfolgt der Versorgungserwerb allein aufgrund eines legalen Aufenthalts in dem Land und gibt es dafür zusätzlich Bedingungen, wie z.B. eine bestimmte Aufenthaltsdauer?
3.a. Wie ist die Dynamisierung (Erhöhung) der Versorgung in der Anwartschaftsphase geregelt?
3.b. Wie ist die Dynamisierung (Erhöhung) der Versorgung in der Leistungsphase geregelt? 
4.a. Gewährt das Versorgungssystem eine Invaliditätsrente und falls ja, wie ist deren Quote zur Altersrente?
4.b. Gewährt das Versorgungssystem eine Hinterbliebenenversorgung und falls ja, wie ist deren Quote zur Altersrente?
4.c. Gewährt das Versorgungssystem eine Hinterbliebenenversorgung für geschiedene Ehegatten (Geschiedenenhinterbliebenenversorgung) und falls ja, was sind die Bedingungen für deren Bezug?
5. Unterliegen die Leistungen der Versorgung der Besteuerung und wenn ja, in welchem Umfang?
6. Sind aus diesen Versorgungen erfolgende Leistungen mit Sozialabgaben belastet und wenn ja, in welchem Umfang?
7. Existiert mit dem Land ein Doppelbesteuerungsabkommen?</t>
    </r>
    <r>
      <rPr>
        <sz val="10.5"/>
        <color rgb="FF000000"/>
        <rFont val="Calibri"/>
        <family val="2"/>
      </rPr>
      <t xml:space="preserve">
Verlinke die Ausführungen zu den angefragten Ländern mit den benutzten Quellen.</t>
    </r>
  </si>
  <si>
    <r>
      <t xml:space="preserve">In dieser Datenbank finden Sie - bezogen auf einen 50jährigen Mann - alle notwendigen Informationen, um eine Barwertberechnung vornehmen zu können.
Warum für einen 50jährigen Mann? Weil das das Hauptscheidungsalter ist. Und weil gleichzeiig alle Informationszellen mit den Quellen verlinkt sind, sodass Varianten der biometrischen Daten schnell korrigiert werden können.
</t>
    </r>
    <r>
      <rPr>
        <b/>
        <sz val="12"/>
        <color rgb="FF000000"/>
        <rFont val="Calibri"/>
        <family val="2"/>
      </rPr>
      <t>Die Verlinkung</t>
    </r>
    <r>
      <rPr>
        <sz val="12"/>
        <color rgb="FF000000"/>
        <rFont val="Calibri"/>
        <family val="2"/>
      </rPr>
      <t xml:space="preserve"> erkennen Sie daran, dass der Mauszeiger bei Ansteuern der Zelle mit den von Ihnen gewünschten Informationen sich zum Zeigefinger wandelt. Ein Mausklick bringt Sie dann zur entsprechenden Informationsquelle. Das klappt leider nicht immer aber meistens.
</t>
    </r>
    <r>
      <rPr>
        <b/>
        <sz val="12"/>
        <color rgb="FF000000"/>
        <rFont val="Calibri"/>
        <family val="2"/>
      </rPr>
      <t>Wenn es mal nicht klappt</t>
    </r>
    <r>
      <rPr>
        <sz val="12"/>
        <color rgb="FF000000"/>
        <rFont val="Calibri"/>
        <family val="2"/>
      </rPr>
      <t>, versuchen Sie es einfach mit dem nebenstehenden "Prompt" in einem der KI-Systeme. Dabei sind die spezifischen juristischen Systeme meist wenig hilfreich, weil diese nur auf die in ihnen vorhandenen Daten zugreifen können. ChatGPT oder MS-Pilot sind hilf- und erfolgreicher. Diese Systeme waren auch bei Erstellung dieser Datenbank hilfreich.</t>
    </r>
  </si>
  <si>
    <r>
      <t xml:space="preserve">Länderübersicht
</t>
    </r>
    <r>
      <rPr>
        <b/>
        <sz val="12"/>
        <color theme="0"/>
        <rFont val="Calibri"/>
        <family val="2"/>
      </rPr>
      <t>gelb markiertes Land anklicken</t>
    </r>
  </si>
  <si>
    <t>Musterprompt für KI-Systeme:</t>
  </si>
  <si>
    <t>KR</t>
  </si>
  <si>
    <t>N</t>
  </si>
  <si>
    <t>Alter im BerDat Pfl/Ber</t>
  </si>
  <si>
    <t>Leistungszeit bis Ber_Ztpkt</t>
  </si>
  <si>
    <t>Anwartschaftszeit bis Ber_Ztpkt</t>
  </si>
  <si>
    <t>LZeitbisBer_Ztpkt</t>
  </si>
  <si>
    <t>Fälligkeit der sVA-Rente</t>
  </si>
  <si>
    <t>pfl</t>
  </si>
  <si>
    <t>ber</t>
  </si>
  <si>
    <t>Datum</t>
  </si>
  <si>
    <t>Fälligkeit_sVA</t>
  </si>
  <si>
    <t>AnwZeit Pfl.</t>
  </si>
  <si>
    <t>Erlebenswahrscheinlichkeit Pfl</t>
  </si>
  <si>
    <t>Erlebenswahrscheinlichkeit Ber</t>
  </si>
  <si>
    <t>Alter sVA-Start</t>
  </si>
  <si>
    <r>
      <rPr>
        <b/>
        <sz val="11"/>
        <color rgb="FF000000"/>
        <rFont val="Calibri"/>
        <family val="2"/>
      </rPr>
      <t>Alter der ausgleichspflichtigen Person</t>
    </r>
    <r>
      <rPr>
        <sz val="11"/>
        <color rgb="FF000000"/>
        <rFont val="Calibri"/>
        <family val="2"/>
      </rPr>
      <t xml:space="preserve"> bei Renteneintritt der ausglber. Person</t>
    </r>
  </si>
  <si>
    <t>StartrenteDRV zum BerDat</t>
  </si>
  <si>
    <t>Startrente Renteneintritt:</t>
  </si>
  <si>
    <t>Rentensumme DRV Ber</t>
  </si>
  <si>
    <t>Regelaltersgrenze</t>
  </si>
  <si>
    <t>Sterbealter</t>
  </si>
  <si>
    <t>Leistungsdauer</t>
  </si>
  <si>
    <t>Renteneintrittsalter Pflichtiger:</t>
  </si>
  <si>
    <t>Alter d. Pflichtiger im Ehezeitende:</t>
  </si>
  <si>
    <t>K_Renteneintritt</t>
  </si>
  <si>
    <t>K_EzE</t>
  </si>
  <si>
    <t>ℹ Information: Abfindung zum Berechnungezeitpunkt Methode 1:</t>
  </si>
  <si>
    <t>ℹ Information: Abfindung zum Berechnungezeitpunkt Methode 2:</t>
  </si>
  <si>
    <t>ℹ: Abfindungsbetrag Methode 2: Abfindung des Anspruchs der ausgleichsberechtigten Person auf sVA-Rente</t>
  </si>
  <si>
    <r>
      <t>Alternativeingabe:</t>
    </r>
    <r>
      <rPr>
        <sz val="10"/>
        <color rgb="FF000000"/>
        <rFont val="Wingdings 3"/>
        <family val="1"/>
        <charset val="2"/>
      </rPr>
      <t>Ú</t>
    </r>
  </si>
  <si>
    <t>frühestmögliches Rentenalter der ausgleichsberechtigten Person                                                                         Pfleil anklicken zur Änderung</t>
  </si>
  <si>
    <t xml:space="preserve">     pauschaler Sozialabgabenabschlag in %</t>
  </si>
  <si>
    <t xml:space="preserve">     pauschaler Steuerabschlag in %</t>
  </si>
  <si>
    <t xml:space="preserve">pauschaler Steuerabschlag in % </t>
  </si>
  <si>
    <t>ℹ: Abfindung nach Methode 3:</t>
  </si>
  <si>
    <t>Info</t>
  </si>
  <si>
    <t>Info_Thema</t>
  </si>
  <si>
    <t>Grundinfo</t>
  </si>
  <si>
    <t>TextEUZus1</t>
  </si>
  <si>
    <r>
      <rPr>
        <b/>
        <sz val="10"/>
        <color rgb="FF000000"/>
        <rFont val="Calibri"/>
        <family val="2"/>
      </rPr>
      <t>Der Clou dieser Datenbank</t>
    </r>
    <r>
      <rPr>
        <sz val="10"/>
        <color rgb="FF000000"/>
        <rFont val="Calibri"/>
        <family val="2"/>
      </rPr>
      <t xml:space="preserve"> ist das </t>
    </r>
    <r>
      <rPr>
        <b/>
        <sz val="10"/>
        <color rgb="FF000000"/>
        <rFont val="Calibri"/>
        <family val="2"/>
      </rPr>
      <t>Blatt "Abfindungsberechnung</t>
    </r>
    <r>
      <rPr>
        <sz val="10"/>
        <color rgb="FF000000"/>
        <rFont val="Calibri"/>
        <family val="2"/>
      </rPr>
      <t xml:space="preserve">". Bei Auswahl des entsprechenden Landes erscheinen in der </t>
    </r>
    <r>
      <rPr>
        <b/>
        <sz val="10"/>
        <color rgb="FF000000"/>
        <rFont val="Calibri"/>
        <family val="2"/>
      </rPr>
      <t>Infobox</t>
    </r>
    <r>
      <rPr>
        <sz val="10"/>
        <color rgb="FF000000"/>
        <rFont val="Calibri"/>
        <family val="2"/>
      </rPr>
      <t xml:space="preserve"> einige wichtige Informationen zu den für die Berechnung einer Abfindung maßgeblichen Parametern. Sie müssen dazu die Info-Options-Boxen aktivieren.</t>
    </r>
    <r>
      <rPr>
        <b/>
        <sz val="10"/>
        <color rgb="FF000000"/>
        <rFont val="Calibri"/>
        <family val="2"/>
      </rPr>
      <t xml:space="preserve"> </t>
    </r>
    <r>
      <rPr>
        <sz val="10"/>
        <color rgb="FF000000"/>
        <rFont val="Calibri"/>
        <family val="2"/>
      </rPr>
      <t xml:space="preserve">Falls Ihnen diese Infos nicht ausreichen, klicken Sie einfach auf den grauen Pfeil oder stöbern Sie in der jeweiligen Länderdatenbank. </t>
    </r>
    <r>
      <rPr>
        <b/>
        <sz val="10"/>
        <color rgb="FF000000"/>
        <rFont val="Calibri"/>
        <family val="2"/>
      </rPr>
      <t xml:space="preserve">Die Abfindung ausländischer Versorgungen und die Einbringung des Abfindungsbetrages in ein inländisches Versorgungssystem ist sicher meist der Königsweg für den Ausgleich ausländischer Versorgungen.
</t>
    </r>
    <r>
      <rPr>
        <sz val="10"/>
        <color rgb="FF000000"/>
        <rFont val="Calibri"/>
        <family val="2"/>
      </rPr>
      <t xml:space="preserve">Da die Abfindungsberechnung nach § 24 VersAusglG streitig ist, biete ich </t>
    </r>
    <r>
      <rPr>
        <b/>
        <sz val="10"/>
        <color rgb="FF000000"/>
        <rFont val="Calibri"/>
        <family val="2"/>
      </rPr>
      <t xml:space="preserve">drei Lösungen </t>
    </r>
    <r>
      <rPr>
        <sz val="10"/>
        <color rgb="FF000000"/>
        <rFont val="Calibri"/>
        <family val="2"/>
      </rPr>
      <t xml:space="preserve">an. Die Bewertung nach der Höhe </t>
    </r>
    <r>
      <rPr>
        <b/>
        <sz val="10"/>
        <color rgb="FF000000"/>
        <rFont val="Calibri"/>
        <family val="2"/>
      </rPr>
      <t xml:space="preserve">1.  des "Anrechts" der ausglpfl. Person </t>
    </r>
    <r>
      <rPr>
        <sz val="10"/>
        <color rgb="FF000000"/>
        <rFont val="Calibri"/>
        <family val="2"/>
      </rPr>
      <t xml:space="preserve">und  </t>
    </r>
    <r>
      <rPr>
        <b/>
        <sz val="10"/>
        <color rgb="FF000000"/>
        <rFont val="Calibri"/>
        <family val="2"/>
      </rPr>
      <t xml:space="preserve">2. nach der Höhe des Anspruchs der ausglber. Person </t>
    </r>
    <r>
      <rPr>
        <sz val="10"/>
        <color rgb="FF000000"/>
        <rFont val="Calibri"/>
        <family val="2"/>
      </rPr>
      <t xml:space="preserve">auf schuldrechtliche Ausgleichsrente und </t>
    </r>
    <r>
      <rPr>
        <b/>
        <sz val="10"/>
        <color rgb="FF000000"/>
        <rFont val="Calibri"/>
        <family val="2"/>
      </rPr>
      <t xml:space="preserve">3. die auf den Berechnungsstichtag erfolgte Aufzinsung des </t>
    </r>
    <r>
      <rPr>
        <sz val="10"/>
        <color rgb="FF000000"/>
        <rFont val="Calibri"/>
        <family val="2"/>
      </rPr>
      <t xml:space="preserve">auf das EzE berechneten </t>
    </r>
    <r>
      <rPr>
        <b/>
        <sz val="10"/>
        <color rgb="FF000000"/>
        <rFont val="Calibri"/>
        <family val="2"/>
      </rPr>
      <t>Ausgleichswerts</t>
    </r>
    <r>
      <rPr>
        <sz val="10"/>
        <color rgb="FF000000"/>
        <rFont val="Calibri"/>
        <family val="2"/>
      </rPr>
      <t xml:space="preserve">. 
Ich halte nur die </t>
    </r>
    <r>
      <rPr>
        <b/>
        <sz val="10"/>
        <color rgb="FF000000"/>
        <rFont val="Calibri"/>
        <family val="2"/>
      </rPr>
      <t>Version 1 für gesetzeskonform</t>
    </r>
    <r>
      <rPr>
        <sz val="10"/>
        <color rgb="FF000000"/>
        <rFont val="Calibri"/>
        <family val="2"/>
      </rPr>
      <t xml:space="preserve">, die Version 2 wird meist von Gutachtern angewendet, ohne dass sich die Gerichte damit bislang erkennbar auseinandergesetzt haben. Die Ergebnisse der Methoden weichen insbesondere bei altersunterschiedlichen Parteien stark voneinander ab. </t>
    </r>
    <r>
      <rPr>
        <b/>
        <sz val="10"/>
        <color rgb="FF000000"/>
        <rFont val="Calibri"/>
        <family val="2"/>
      </rPr>
      <t>Anwaltstypisch</t>
    </r>
    <r>
      <rPr>
        <sz val="10"/>
        <color rgb="FF000000"/>
        <rFont val="Calibri"/>
        <family val="2"/>
      </rPr>
      <t xml:space="preserve"> wird man sich für die Methode entscheiden, die der eigenen Mandantschaft frommt. Dogmatik bleibt da oft auf der Strecke.
</t>
    </r>
  </si>
  <si>
    <t>OLG Koblenz, 29.05.2015 – 9 UF 386/14 (Juris)</t>
  </si>
  <si>
    <t>OLG Karlsruhe, 06.06.2012 – 18 UF 293/10 Juris</t>
  </si>
  <si>
    <t>OLG Zweibrücken, 09.04.2014 – 2 WF 80/14 Juris</t>
  </si>
  <si>
    <t>Rechtsprechung (verlinkt)</t>
  </si>
  <si>
    <t>Die Leistung bemisst sich nach der prozentualen Minderung der Erwerbsfähigkeit. Zur Vereinfachung gibt es drei Kategorien der Erwerbsminderung:
   * Kategorie I: Personen mit einer Minderung der Erwerbsfähigkeit um/Grad der Behinderung von mehr als 90 %;
   * Kategorie II: Personen mit einer Minderung der Erwerbsfähigkeit/Grad der Behinderung von 71 % bis 90 %,
   * Kategorie III: Personen mit einer Minderung der Erwerbsfähigkeit/Grad der Behinderung von 50 % bis 70,99 %,
„Dauerhafte Minderung der Arbeitsfähigkeit“ beschreibt einen Zustand, in welchem eine Person (Person im arbeitsfähigen Alter oder erwerbstätiger Empfänger einer Altersrente ohne festgelegte Art oder festgelegtem Grad der Behinderung) eine eingeschränkte Arbeitsfähigkeit in Verbindung mit einem dauerhaften funktionellen Ausfall eines bestimmten Organs oder Systems aufgrund einer chronisch traumatischen oder nicht-traumatischen Behinderung (Krankheit) besitzt.
„Art und Grad der Behinderung“ bezeichnet einen Zustand, in welchem eine nicht im arbeitsfähigen Alter befindliche Person (bis zu einem Alter von 16 Jahren oder als Empfänger einer Altersrente aus Versicherung) einen dauerhaften funktionellen Ausfall eines bestimmten Organs oder Systems aufweist.
Als „Personen mit dauerhafter Behinderung“ werden Personen bezeichnet, die dauerhafte körperliche, geistige, intellektuelle oder sensorische Defizite aufweisen, welche sie in Wechselbeziehungen mit ihrer Umwelt an der vollen und wirksamen Teilhabe am gesellschaftlichen Leben hindern können, wobei im Rahmen der fachärztlichen Begutachtung dieser Personen eine Art und ein Grad der Behinderung oder einer dauerhaft verminderten Erwerbsfähigkeit von 50% oder mehr festgestellt wurden. Der Bedarf an dauerhafter Unterstützung von Pflegepersonen wird für folgende Gruppen definiert:
   * Personen mit verminderter Erwerbsfähigkeit von über 90 %, die nicht in der Lage sind alltägliche Aktivitäten (Aufstehen, Verrichten der Notdurft, Nahrungsaufnahme, usw.) selbstständig auszuführen. Die regionalen Fachausschüsse für ärztliche Untersuchung/staatlichen Fachausschüsse für ärztliche Untersuchung entscheiden über die Notwendigkeit ausländischer Hilfe und bei einem Grad der dauernden Erwerbsminderung (Invaliditätsgrad) von 80 Prozent, wenn eine oder mehrere Begleiterkrankungen mehr als 50 Prozent der dauernden Erwerbsminderung (Invaliditätsgrad) verursachen;
   * Blinde;
   * Personen mit geistiger Behinderung, die nicht in der Lage sind ihr Verhalten zu kontrollieren;
   * Kinder mit einem Behinderungsgrad von über 90 %. Bei Kindern kann die dauerhafte Unterstützung auch für einen Grad der Behinderung unter 90 % bestimmt werden, je nach der Art der Erkrankung und der Möglichkeit, diese außerhalb der Familie aufzubringen (Kinderkrippe, Kindergarten, Schule usw.)</t>
  </si>
  <si>
    <t xml:space="preserve">   * Personen, die von einer bulgarischen Vermittlungsfirma zur Arbeit ins Ausland entsandt werden, können sich selbst für Invalidität, Alter und Tod auf der Grundlage eines selbst erklärten Einkommens zwischen dem Mindest- und dem Höchstbetrag des monatlichen versicherungspflichtigen Einkommens versichern;
   * Rentner, die ohne Arbeitsvertrag erwerbstätig sind, können sich freiwillig versichern.</t>
  </si>
  <si>
    <t>Die Mindestversicherungszeit ist abhängig vom Alter des Betroffenen zum Zeitpunkt des Eintritts der dauernden Erwerbsunfähigkeit:
   * Bis zum Alter von 20 Jahren (sowie für Personen, die blind geboren wurden oder ihr Augenlicht vor Aufnahme der Erwerbstätigkeit verloren haben): keine Wartezeit.
   * Bis 25 Jahre: ein Jahr, davon ein Drittel effektiv.
   * Bis 30 Jahre: 3 Jahre, davon ein Drittel effektiv.
   * Über 30 Jahre: 5 Jahre, davon ein Drittel effektiv.
Personen, die von Geburt an behindert sind oder die vor Aufnahme der Erwerbstätigkeit behindert werden, haben nach einem effektiven Versicherungsjahr Anspruch auf Invalidenrente (Пенсия за инвалидност).Siehe Tabelle V „Anrechenbare bzw. berücksichtigungsfähige beitragsfreie Zeiten.“</t>
  </si>
  <si>
    <t>Der Betrag der Invalidenrente entspricht dem Produkt der Multiplikation des Einkommens, auf dessen Grundlage die Rente zu jeweils 1,35 % pro Beitragsjahr (anteilig für unvollständige Jahre) berechnet wird.
Die vollständig als Beitragszeit angerechnete Periode wird dann mit folgenden Koeffizienten multipliziert:
   * Personen mit einer Minderung der Erwerbsfähigkeit um/Grad der Behinderung von mehr als 90 %: 0,9;
   * Personen mit bei einer Minderung der Erwerbsfähigkeit um/Grad der Behinderung von 71 % bis 90 %; 0,7;
   * Personen mit bei einer Minderung der Erwerbsfähigkeit um/Grad der Behinderung von 50 % bis 70,99 %; 0,5.
Die Rente unterliegt keiner Bedürftigkeitsprüfung und wird monatlich ausgezahlt, siehe Tabelle V, „Anrechenbare bzw. berücksichtigungsfähige beitragsfreie Zeiten“.
Bei vorübergehender Erwerbsunfähigkeit von 90 % oder mehr können Personen einmalig oder aufgeschoben bis zu 50 % von der auf ihrem individuellen Konto bei dem universellen Fonds akkumulierte Summe abziehen (Zweite Säule der Rente).
Die Zuschläge für Ostern/Weihnachten werden durch Beschluss des Ministerrates gezahlt. Sie sind nicht gesetzlich begründet.</t>
  </si>
  <si>
    <t>Die Berechnungsgrundlage ergibt sich aus der Multiplikation des nationalen durchschnittlichen versicherungspflichtigen Bruttoeinkommens während der 12 Kalendermonate vor der Bewilligung der Rente und dem individuellen Koeffizienten des Antragstellers.
Für die vor 2019 gewährten Renten:
Dieser Koeffizient berücksichtigt:
   * das Verhältnis zwischen dem durchschnittlichen monatlichen versicherungspflichtigen Einkommen des Anwärters über drei selbst gewählte aufeinander folgende Jahre innerhalb der 15 Jahre vor dem 31. Dezember 1996 und dem nationalen monatlichen Durchschnittslohn im selben Zeitraum,
   * das Verhältnis zwischen dem durchschnittlichen monatlichen versicherungspflichtigen Einkommen des Anwärters seit dem 31. Dezember 1996 und dem nationalen Durchschnittslohn desselben Zeitraums.
Für die nach 2019 gewährten Renten:
Dieser Koeffizient berücksichtigt das Verhältnis zwischen dem durchschnittlichen monatlichen versicherungspflichtigen Einkommen des Anwärters seit dem 31. Dezember 1999 und dem nationalen beitragspflichtigen monatlichen Durchschnittslohn desselben Zeitraums.</t>
  </si>
  <si>
    <t xml:space="preserve">Die Invalidenrente beträgt monatlich mindestens:
   * bei einer Minderung der Erwerbsfähigkeit um/Grad der Behinderung von mehr als 90%: 115% des Mindestbetrags der beitragsabhängigen Altersrente, also BGN 725,08 (€ 371).
   * bei einer Minderung der Erwerbsfähigkeit/Grad der Behinderung zwischen 71 % und 90 %: 105 % des Mindestbetrags der beitragsabhängigen Altersrente, also BGN 633,68 (€ 324).
   * bei einer Minderung der Erwerbsfähigkeit/Grad der Behinderung zwischen 50 % und unter 70,99 %: 85 % des Mindestbetrags der beitragsabhängigen Altersrente, also BGN 493,48 (€ 252).
Der Mindestbetrag der beitragsabhängigen Altersrente beträgt momentan BGN 630,50 (€ 322).
Ab dem 1.7.2019 wird festgelegt, dass am 1. Juli eines jeden Kalenderjahres der Gesamtbetrag, der aus einer oder mehreren Renten (ohne Zulagen) bezogen wird, 40 % des Höchstbetrags des versicherungspflichtigen Einkommens in dem jeweiligen Jahr beträgt (BGN 3.400 (€1.738)).
</t>
  </si>
  <si>
    <t>Falls die versicherte Person bei Beginn der Erwerbsunfähigkeit das Rentenalter noch nicht erreicht hat, wird die bis dahin verbleibende Zeit, jedoch mindestens 16 Jahre, als Versicherungszeit angerechnet. Bei der Berechnung des Rentenbetrags werden diese angerechneten Versicherungsjahre mit folgenden Koeffizienten multipliziert:
   * Kategorie I: 0,9
   * Kategorie II:  0,7
   * Kategorie III: 0,5</t>
  </si>
  <si>
    <t>Personen, die die erforderliche Versicherungszeit für den Anspruch auf Invalidenrente (Пенсия за инвалидност) nicht vorweisen können, erhalten eine Pauschalzahlung in Höhe des Krankengelds für 60 Arbeitstage (siehe Tabelle III "Krankheit: Geldleistungen").
Folgende Personen haben Anspruch auf zwei Hin- und Rückfahrscheine für die nationale Bahn pro Jahr:
   * Personen mit einer Behinderungsart und einem Grad von 71 % oder mehr,
   * Personen mit dauerhafter Erwerbsunfähigkeit von 71 % oder mehr,
   * Militärinvaliden,
   * dauerhaft behinderte Kinder unter 16 Jahren.
Das Recht gilt auch für die begleitende Pflegeperson/den persönlichen Assistent/Blindenhund, wenn diese mit dem Begünstigten reisen.</t>
  </si>
  <si>
    <t>Leistungen für Behandlung in Sanatorien und Heilstätten (Обезщетения за санаторно-курортно лечение):
Invalide Personen, die von den Gesundheitsbehörden an eine Behandlung in Sanatorien und Heilstätten überwiesen werden, erhalten für die gesamte Dauer der Behandlung einschließlich von bis zu 3 Reisetagen eine Geldleistung in Höhe des für Invalidität aufgrund allgemeiner Krankheit bzw. von Arbeitsunfall/Berufskrankheit geltenden Betrages.
Geldleistung bei beruflicher Rehabilitation (Парично обезщетение при трудоустрояване):
Bei beruflicher Rehabilitation hat ein vorübergehend erwerbsgeminderter Versicherter Anspruch auf eine Geldleistung, wenn der neue Arbeitsplatz mit einem Einkommensverlust verbunden ist. Die Leistung entspricht der Differenz zwischen dem durchschnittlichen Entgelt während der 18 Monate vor der Rehabilitation und der anschließenden Entlohnung. Hat die Person vorher weniger als 18 Monate gearbeitet, so bemisst sich die Leistung nach der Differenz zwischen dem Durchschnittslohn und dem Entgelt nach der Rehabilitation.
Die Eingliederung von Personen mit Behinderungen erfolgt durch folgende Maßnahmen:
   * Leistungen an Eltern (Adoptiveltern), Ehepartner oder einen Großelternteil, die eine Person mit einer dauerhaften Erwerbsminderung/Art oder Grad der Behinderung und ständigem Hilfebedarf betreuen, sofern die Eltern (Adoptiveltern), Ehepartner oder Großeltern nicht versichert sind und in dieser Zeit keine Rente beziehen.
   * Medizinische und soziale Rehabilitation.
   * Maßnahmen der Bildung und Ausbildung.
Die Teilnahme an einer Ausbildung oder Rehabilitätion ist für den Bezug einer Invaliditätsrente nicht obligatorisch.</t>
  </si>
  <si>
    <t>Wie für Arbeitnehmer.
Personen haben Anspruch auf Invaliditätsrente, wenn sie ihre Arbeitsfähigkeit ganz oder teilweise auf unbestimmte Zeit oder für längere Zeit verloren haben. Personen müssen eine um 50 % oder mehr reduzierte Arbeitsfähigkeit/Art und Grad der Behinderung haben.
Diese Personen müssen folgende Versicherungszeiten vor dem Datum der Feststellung der Invalidität erworben haben
   * bis zum 20. Lebensjahr und von Geburt an blind vor Arbeitsaufnahme - unabhängig von den Versicherungszeiten;
   * bis zur Vollendung des 25. Lebensjahres - 1 Jahr
   * bis zur Vollendung des 30. Lebensjahres - 3 Jahre;
   * über 30 Jahre - 5 Jahre.
Mindestens 1/3 dieser Versicherungszeiten muss durch eine tatsächliche Tätigkeit erworben werden.</t>
  </si>
  <si>
    <t>Erste SäuleObligatorisches öffentliches Rentenversicherungssystem nach dem Umlageverfahren, auf Grundlage eines leistungsorientierten Prinzips für alle Arbeitnehmer, Selbstständige, Landwirte, Erwerbstätige ohne formellen Arbeitsvertrag sowie sonstige (etwa 30 Gruppen versicherter Personen).
Zweite SäuleErgänzendes obligatorisches kapitalgedecktes Rentensystem.
Es gibt zwei Arten von Fonds
   * Der universelle Rentenfonds, der alle Personen abdeckt, die nach 31.12.1959 geboren sind.
   * Der berufliche Rentenfonds, der Personen abdeckt, deren Arbeit unter die erste oder zweite Kategorie fällt (schwere oder schädliche Arbeitsbedingungen).
Ab 2015 besteht die Möglichkeit, sowohl in der öffentlichen Rentenkasse als auch dem universellen Rentenfonds versichert zu sein oder Mittel aus dem universellen Rentenfonds in die öffentliche Rentenversicherung zu übertragen. Dieser Beschluss ist umkehrbar.
Mittel können auch aus dem beruflichen Rentenfonds in die öffentliche Rentenversicherung übertragen werden, in diesem Fall ist der Beschluss jedoch unumkehrbar.
Dritte SäuleFreiwillige Zusatzrentenversicherung nach dem Prinzip der Kapitaldeckung mit festgelegten Beiträgen.
Es gibt zwei Arten von Fonds
   * den freiwilligen Zusatzrentenversicherungsfonds und
   * den Berufsrentenfonds.
Beide Fonds sind freiwillig für alle Personen, die das Alter von 16 Jahren erreicht haben.
Es existiert eine spezifische beitragsbunabhängige Altersrente für Personen ab 70 Jahren – siehe Garantiertes Mindesteinkommen.</t>
  </si>
  <si>
    <t>Erste Säule
   * Männer: Alter von 64 Jahren und 8 Monaten und Versicherungszeitraum von 39 Jahren und 8 Monaten;
   * Frauen: Alter von 62 Jahren und 4 Monaten und Versicherungszeitraum von 36 Jahren und 8 Monaten.
Das Rentenalter wird wie folgt angehoben
   * bei Frauen um 2 Monate pro Kalenderjahr bis zum 31.12.2029 und um 3 Monate ab dem 01.01.2030 bis zum 65. Lebensjahr;
   * bei Männern um 2 Monate pro Kalenderjahr bis zum 31.12.2017 und um 1 Monat ab 01.01.2018 bis zum 65. Lebensjahr.
Nach dem 31.12.2037 wird das Rentenalter an die Lebenserwartung gebunden.
Der benötigte Versicherungszeitraum wird um 2 Monate pro Kalenderjahr erhöht, bis er bei Frauen 37 Jahre und bei Männern 40 Jahre erreicht.
Zweite SäuleSiehe oben Erste Säule "2. Vorzeitiger Rentenbezug“.</t>
  </si>
  <si>
    <t>Es gibt drei Kategorien von Arbeit, die in einer konkreten Verordnung aufgelistet sind
   * Kategorie I und II beinhalten die beschwerlichsten und gefährlichsten Tätigkeiten (Minenarbieter, Piloten, Berufskraftfahrer von LKW mit eine Tragfähigkeit von 12 Tonnen und mehr; Arbeiter in der Metallindustrie etc.).
   * Kategorie III umfasst alle anderen Arbeiten.
Drei Jahre in Kategorie I oder vier Jahre in Kategorie II entsprechen fünf Jahren in Kategorie III.
Personen, die in einem Berufsrentenfonds versichert waren und ihre Mittel nicht in die öffentliche Rentenkasse (Erste Säule) übertragen haben, sind anspruchsberechtigt auf befristete Zusatzberufsrente, die vom beruflichen Rentenfonds unter folgenden Bedingungen gezahlt wird
   * mindestens 10 Versicherungsjahre unter Kategorie I nach dem 31.12.1999 und noch 10 verbleibende Jahre vor dem Rentenalter;
   * mindestens 15 Versicherungsjahre unter Kategorie I oder II nach dem 31.12.1999 und noch 10 verbleibende Jahre vor dem Rentenalter.
Die befristete Zusatzberufsrente wird gezahlt, bis die Person das reguläre Rentenalter erreicht.
Personen, die keinen Anspruch auf eine Rente aus einem beruflichen Rentenfonds erworben oder ihre Mittel in die öffentliche Rentenkasse (Erste Säule) übertragen haben, sind anspruchsberechtigt auf eine lebenslange Rente, die vom Staatlichen Institut für Soziale Sicherheit unter folgenden Bedingungen gezahlt wird
   * mindestens 10 Versicherungsjahre der Kategorie I und 51 Jahre bei Frauen und 54 Jahre und 4 Monate  bei Männern, sofern die Summe von Versicherungszeiten und Alter 94 Jahren für Frauen und 100 Jahren für Männer entspricht. Das Rentenalter wird für Männer pro Kalenderjahr um 2 Monate und für Frauen pro Kalenderjahr um 4 Monate angehoben, bis es 55 Jahre erreicht;
   * mindestens 15 Versicherungsjahre der Kategorie II und 56 Jahre bei Frauen und 59 Jahre und 4 Monate bei Männern, sofern die Summe von Versicherungszeiten und Alter 94 Jahren für Frauen und 100 Jahren für Männer entspricht. Das Rentenalter wird um 2 Monate pro Kalenderjahr für Männer und 4 Monate für Frauen angehoben, bis es 60 Jahre erreicht.
Für bestimmte Berufe existieren konkrete Bestimmungen
   * Normale Soldaten, Offiziere und Beamte des Innenministeriums und der Staatlichen Agentur für nationale Sicherheit, Beamte, die in der Durchführung von Strafen, Sicherheit, Brandschutz und Schutz tätig sind: 54 Jahre und 4 Monate, wenn sie 27 Jahre Beschäftigung vorweisen können, von denen zwei Drittel tatsächlich in diesen Berufen geleistet wurden.
   * Flugbesatzung, Fallschirmspringer, Besatzung von Unterwasserschiffen und Unterwassertauchmannschaften mit mindestens 15 Dienstjahren und Balletttänzer mit mindestens 25 Dienstjahren: 44 Jahre und 4 Monate.
Das Rentenalter für diese Berufe wird um 2 Monate pro Kalenderjahr angehoben, bis es 55 oder 45 Jahre für Arbeiter erreicht.</t>
  </si>
  <si>
    <t>Erste Säule
   * Bezugslohn,
   * Versicherungszeit,
   * Nationales durchschnittliches monatliches versicherungspflichtiges Einkommen,
   * individueller Koeffizient des Anspruchsberechtigten.
Zweite Säule
   * Akkumulierte Mittel des individuellen Kontos,
   * offizielle biometrische Tabellen (Berücksichtigung der Lebenserwartung) für lebenslange oder befristete Renten,
   * genehmigter rechnerischer Zinssatz.</t>
  </si>
  <si>
    <t>Erste SäuleFolgende Zeiten werden auch ohne Beitragszahlung als Versicherungszeiten anerkannt
   * Bezahlter und unbezahlter Erziehungsurlaub,
   * bezahlte oder unbezahlte Beurlaubung wegen vorübergehender Erwerbsunfähigkeit sowie Schwangerschaft und Entbindung,
   * bis zu 30 Arbeitstage unbezahlter Urlaub pro Kalenderjahr;
   * Zeiten des Bezugs von Arbeitslosengeld;
   * Zeiten, in denen eine versicherte Person, die aus medizinischen Gründen einem anderen Arbeitsplatz zugewiesen wurde, nicht arbeitet, da dieser Arbeitsplatz für ihren Gesundheitszustand nicht geeignet ist;
   * Zeiten, in denen ein Elternteil (oder Adoptivelternteil) oder Ehepartner oder ein Großelternteil einer behinderten Person eine behinderte Person mit mindestens 90% dauerhaft verminderter Erwerbsfähigkeit und ständigem Hilfebedarf pflegt;
   * Wehrdienst oder nationaler Militär- oder Zivildienst in Friedenszeiten;
   * Erziehung eines Kindes bis zum Alter von 3 Jahren durch eine nicht-erwerbstätige Mutter.
Zweite SäuleKeine anrechenbaren bzw. berücksichtigungsfähigen beitragsfreien Zeiten.</t>
  </si>
  <si>
    <t>Die folgenden Zeiträume können rückwirkend gezahlt werden
   * Personen, die das gesetzliche Rentenalter erreicht haben, denen aber bis zu 5 Jahren Versicherungszeit fehlt, um einen Rentensanspruch zu haben, können den fehlenden Zeitraum (bis zu 5 Jahren) bezahlen
Und wenn nicht aus anderen Gründen anerkannt
   * die Studienjahre in einer höheren oder postsekundären, nicht tertiären Ausbildung, die aber nicht die regulären Zeiten der verfolgten Studien überschreiten;
   * die Dauer eines PhD-Studiums, wenn der PhD erworben wurde.
Versicherungsbeiträge, die für diese Zeiträume zahlbar sind, werden auf der Grundlage des Mindestbetrags des versicherungspflichtigen Einkommens berechnet, wie im Gesetz über den Haushalt der Sozialversicherung festgelegt. Beide werden für den Anspruch auf Altersrente und die Berechnung des Betrags verwendet.</t>
  </si>
  <si>
    <t>Die folgenden Rentenleistungen können nicht gleichzeitig in Anspruch genommen werden
   * eine Beitragsabhängige Altersrente aus eigenem Anspruch (лична пенсия за осигурителен стаж и възраст) mit einer Beitragsabhängigen Hinterbliebenenrente im Alter (Наследствена пенсия за осигурителeнстаж и възраст);
   * eine Beitragsabhängige Altersrente aus eigenem Anspruch oder eine Beitragsabhängige Hinterbliebenenrente im Alter (лична или наследствена пенсия за осигурителен стаж и възраст) mit einer Invalidenrente aus eigenem Anspruch oder als Hinterbliebener aufgrund von Allgemeinkrankheit (лична или наследствена пенсия за инвалидност поради общо заболяване);
   * eine Invalidenrente aus eigenem Anspruch aufgrund von Allgemeinkrankheit (лична пенсия за инвалидност поради общо заболяване) mit einer Invalidenrente als Hinterbliebener aufgrund von Allgemeinkrankheit (наследствена пенсия за инвалидност поради общо заболяване);
   * eine Soziale Altersrente (Социална пенсия за старост), eine Soziale Invaliditätsrente (Социална пенсия за инвалидност) und eine persönliche Rente (Персоналнa пенсия) mit irgendeiner anderen Rente.
Bei Anspruch auf mehr als eine eigene Invalidenrente wird der höchste Betrag gewährt.
Bei Anspruch auf mehr als eine Rentenleistung kann der Empfänger auswählen, welche Leistung voll ausgezahlt wird, und die anderen werden um 50 % verringert.</t>
  </si>
  <si>
    <t>Erste Säule:
Die Referenzeinkommen ergeben sich aus der Multiplikation des nationalen durchschnittlichen versicherungspflichtigen Einkommens während der 12 Kalendermonate vor der Bewilligung der Rente und dem individuellen Koeffizienten des Antragstellers.
Für vor 2019 gewährte Renten:
Dieser Koeffizient berücksichtigt:
   * für den Zeitraum vor dem 31. Dezember 1996: das Verhältnis zwischen dem durchschnittlichen monatlichen versicherungspflichtigen Bruttoeinkommen des Anwärters über drei selbst gewählte aufeinander folgende Jahre innerhalb der 15 Jahre vor dem 31. Dezember 1996 und dem nationalen monatlichen Durchschnittslohn im selben Zeitraum,
   * für den Zeitraum nach dem 31. Dezember 1996: das Verhältnis zwischen dem durchschnittlichen monatlichen versicherungspflichtigen Bruttoeinkommen des Anwärters seit dem 31. Dezember 1996 und dem nationalen Durchschnittslohn desselben Zeitraums.
Für ab 2019 gewährte Renten:
Der individuelle Koeffizient berücksichtigt das Verhältnis zwischen dem durchschnittlichen monatlichen versicherungspflichtigen Bruttoeinkommen des Anwärters seit dem 31. Dezember 1999 und dem nationalen beitragspflichtigen monatlichen Durchschnittseinkommen desselben Zeitraums.
Zweite Säule:
Die Rente basiert auf dem angesammelten Kapital auf dem individuellen Konto der versicherten Person.</t>
  </si>
  <si>
    <t>Die Hinterbliebenenrente (Наследствена пенсия) wird prozentual von der Rente, die der/die Verstorbene bezogen hat oder hätte, berechnet.Dabei gilt:
   * Falls der/die Verstorbene zum Todeszeitpunkt keine Rente bezogen hat, wird die Hinterbliebenenrente anhand der Invalidenrente (Пенсия за инвалидност) wegen allgemeiner Erkrankung oder Arbeitsunfällen und Berufskrankheiten berechnet, die der/die Verstorbene im Falle einer Minderung der Erwerbsfähigkeit um mehr als 90 % erhalten hätte;
   * falls der/die Verstorbene zum Todeszeitpunkt bereits Altersrente bezog, wird die Hinterbliebenenrente auf Basis der Altersrente berechnet, falls diese höher ist als die oben beschriebene Leistung;
   * falls der/die Verstorbene zum Todeszeitpunkt Invalidenrente bezog, wird die Hinterbliebenenrente anhand dieser berechnet, wobei die Invalidenrente zur Berechnung so aufgestockt wird, als hätte eine Erwerbsunfähigkeit/ein Grad der Behinderung von mindestens 90 % vorgelegen.
Die Hinterbliebenenrente wird prozentual abhängig von der Rente der verstorbenen versicherten Person folgendermaßen berechnet:
   * Ein/e Hinterbliebene/r: 50 %;
   * zwei Hinterbliebene: 75 %;
   * drei oder mehr Hinterbliebene: 100 %.
Die Hinterbliebenenrente wird allen anspruchsberechtigten Personen gewährt und wird zu gleichen Teilen unter ihnen verteilt.
Renten werden auf monatlicher Basis ausgezahlt.
Rentner mit Hinterbliebenenrente erhalten Oster- oder Weihnachtsgeld, sofern dies für alle Rentner vorgesehen ist.</t>
  </si>
  <si>
    <t>Minimum bei Vollzeitbeschäftigung
   * Personen mit Unterhaltsberechtigten: € 79,51 täglich. 
   * Ohne Unterhaltsberechtigte:  
   *  Alleinstehend: € 63,01 täglich, 
   *  Haushaltsmitglied: € 54,02 täglich. 
Minimum bei Teilzeitbeschäftigung
   * Personen mit Unterhaltsberechtigten: € 68,31 täglich, 
   * Ohne Unterhaltsberechtigte: € 50,55 täglich. 
Die Obergrenze des als Leistungsbemessungsgrundlage dienenden Arbeitsentgelts pro Tag beläuft sich je nach dem Zeitpunkt des Eintritts der Invalidität auf € 181,1385 oder € 183,1311 (aktuelle Obergrenzen)</t>
  </si>
  <si>
    <t>Arbeitsunfähige Leistungsempfänger, die einen anerkannten Hilfsbedarf an Unterstützung durch eine dritte Person haben, wird eine pauschale Zulage frühestens ab dem vierten Monat der Arbeitsunfähigkeit gewährt. Täglicher Betrag: € 29,39 (siehe Tabelle Krankheit – Geldleistungen, sonstige Leistungen).
 Pauschale Ausgleichsprämie (Arbeitnehmer) von 
   * € 713,26 und € 547,45 (ohne Unterhaltsberechtigte) bei ein- bis zweijähriger Arbeitsunfähigkeit am 31. Dezember des Vorjahres
   * € 1.072,88 (mit Familienzulage) und € 875,56 (ohne Familienzulage) bei mindestens zweijähriger Arbeitsunfähigkeit am 31. Dezember des Vorjahres) (siehe Tabelle Krankheit – Geldleistungen, sonstige Leistungen). </t>
  </si>
  <si>
    <t>Im Rahmen von mehreren Programmen können nicht erwerbsfähige Personen Kompetenzen erwerben oder aktualisieren, um an den Arbeitsmarkt zurückzukehren (soziale und berufliche Wiedereingliederung) Im Rahmen des Programms „Weg zurück zur Arbeit“ erhält der Arbeitnehmer Betreuung und Anleitung. Der „Weg zurück zur Arbeit“ wird eingeleitet durch die Krankenkasse oder die regionale Arbeitsverwaltung
   * durch die Krankenkasse auf Initiative des Vertrauensarztes oder des Begünstigten, 
   * durch die regionale Arbeitsverwaltung (siehe Krankheit - Geldleistungen - Rückkehr ins aktive Erwerbsleben). 
Der „Weg zurück zur Arbeit“ erfolgt auf freiwilliger Basis und richtet sich an nicht erwerbsfähige Personen.</t>
  </si>
  <si>
    <t>Das gesetzliche Rentenalter für Männer und Frauen ist wie folgt festgelegt:
   * 65 Jahrefür Personen, die vor dem 1. Januar 1960 geboren sind 
   * 66 Jahre für Personen, die nach dem 31. Dezember 1959 und vor dem 1. Januar 1964 geboren sind 
   * 67 Jahre für Personen, die nach dem 31. Dezember 1964 geboren sind. 
Das gesetzliche Rentenalter ist nicht an eine bestimmte Anzahl von Beitragsjahren gebunden und richtet sich nicht nach der Entwicklung der Lebenserwartung.</t>
  </si>
  <si>
    <t>Berechnung des Bezugslohns:
Für Jahre vor dem 1. Januar 1955:
S = pauschal € 18.413,22 (Jährliches Arbeitsentgelt).
Für die Jahre von 1955 - 1980:
   * Arbeiter: Bruttoarbeitsentgelt ohne Bemessungsgrenze. 
   * Angestellte: Bruttoentgelt ohne Bemessungsgrenze (mit Ausnahme der Jahre 1955-1957: pauschale Beträge pro Tag, an dem für mindestens vier Stunden eine Beschäftigung ausgeübt wurde). 
Für Jahre nach 1980:
Bruttoentgelt bis zur Bemessungsgrenze (2024) von: € 80.485,32
In einigen Fällen (z. B. bestimmte Arten von Arbeitslosigkeit) ist die fiktive Vergütung auf einen Betrag begrenzt, der unter der normalen Obergrenze liegt (d. h. € 72.598,16).
Die Gehälter des gesamten Erwerbslebens werden berücksichtigt und an die aktuellen Lebenshaltungskosten angepasst (mit einem Anpassungskoeffizienten multipliziert).
Die Berechnung erfolgt gemäß dem Prinzip„Einheit der Laufbahn“ (unité de carrière):
Bei einer Versicherungszeit von mehr als 14.040 Tagen werden bei der Berechnung die einkommensmäßig günstigeren Tage berücksichtigt;
   * die tatsächlich geleisteten Tage werden berücksichtigt, um zusätzliche Ansprüche des Arbeitnehmers zu bilden; 
   * bestimmte Tage der Inaktivität (z. B. Arbeitslosigkeit) werden nie berücksichtigt, wenn sie nach dem 14.040. Tag des Vollzeitäquivalents liegen. </t>
  </si>
  <si>
    <t>Folgende beitragsfreie Zeiten können bei der Rentenberechnung angerechnet werden:
Studienzeiten:
Kostenpflichtige Regularisierung für Beamte, Arbeitnehmer und Selbstständige;
Für Arbeitnehmer: Zeitlich nicht beschränkte Regularisierung (Pauschalbetrag von €1.902,39 bei Abbfindung in den 10 Jahren nach Studiumabschluss; ansonsten versicherungsmathematische Berechnung. Die regularisierten Studienjahre werden hinsichtlich der vorgeschriebenen Versicherungszeit nicht berücksichtigt).
können regularisiert werden:
   * Zeiträume von einem Jahr der universitären und außeruniversitären Hochschulbildung in Vollzeit einer vollwertigen technischen, beruflichen, maritimen oder künstlerischen Hochschulausbildung, im Rahmen derer der Studiengang vollständig absolviert und ein Abschluss erworben wurde (die Höchstdauer der Abfindung entspricht der Mindestanzahl an Studienjahren, die für einen Studienabschluss zu absolvieren sind); 
   * Zeiträume für die Doktorarbeit, sofern der akademische Doktorgrad erlangt wurde (höchstens 2 Jahre); 
   * Berufspraktika (unter bestimmten Bedingungen) (der maximale Zeitraum, der abgefunden werden kann, ist auf den Mindestzeitraum beschränkt, der für den Erwerb der Berufsqualifikation erforderlich ist) ; 
   * Zeiträume ab dem Jahr des 18. Geburtstags, in denen ein Ausbildungsvertrag abgeschlossen wurde und die bei der Rentenberechnung in einem belgischen oder ausländischen Sozialversicherungssystem nicht berücksichtigt werden (maximal 1 Jahr);;
   * Die einjährigenGesamtzeiträume, in denen die Jahre der Sekundarstufe II nach dem 6. Sekundarjahr verfolgt werden (der maximale Zeitraum, der abgefunden werden kann, entspricht der Mindestanzahl der Studienjahre (nach dem 6. Sekundarjahr), die für den Erwerb des Diploms erforderlich sind). 
   *  Wenn der Arbeitgeber in einem bestimmten Zeitraum keine Rentenbeiträge gezahlt hat, kann weiterhin bescheinigt werden, dass in diesem Zeitraum eine unselbstständige Tätigkeit ausgeübt wurde. Die betroffene Person hat dann die Möglichkeit, die geschuldeten Beiträge zu entrichten. 
   *  Zeiten der Erwerbstätigkeit, für die keine Rentenbeiträge einbehalten wurden:  
   * die Erwerbstätigkeit muss nachgewiesen werden; 
   * Zahlung der Arbeitgeberbeiträge und der Eigenbeiträge für Rentenzwecke berechnet anhand des garantierten durchschnittlichen monatlichen Mindesteinkommens, Rente wird auf der Basis dieses Einkommens berechnet. </t>
  </si>
  <si>
    <t xml:space="preserve">Einem Arbeitnehmer, der seine Berufstätigkeit nach dem Erfüllen bestimmter Bedingungen in Bezug auf Alter oder Berufslaufbahn bis zum Renteneintritt fortsetzt, wird ein Rentenbonus gewährt.
Früherer Bonus: Für Renten, die ab dem 1.1.2015 gewährt werden, wird der Bonus nur bei Arbeitnehmern angewendet, die vor dem 1.12.2014 vorzeitig in Rente gehen konnten oder das Alter von 65 Jahren erreicht und 40 Arbeitsjahre hinter sich haben.
Neuer Bonus: FürRenten, die ab dem 01.01.2025 gewährt werden, kann ein Rentenbonus ab dem 01.07.2024 erworben werden. Wenn der Arbeitnehmer – der die Bedingungen für den vorzeitigen Ruhestand erfüllt oder ansonsten Anspruch auf eine gesetzliche Rente erworben hat – weiter berufstätig ist, anstatt in den Ruhestand zu gehen, kann er für jeden Arbeitstag in Belgien einen zusätzlichen Nettobonus erwerben. Dieser Bonus kann höchstens für eine Dauer von 3 Jahren kumuliert werden und wird als Einmalzahlung oder als Monatsrente, je nach Wahl des Arbeitnehmers, ausgezahlt.
Höchstbetrag des Rentenbonus:
   * die berufliche Laufbahn beträgt zu Beginn des Rentenanspruchs weniger als 43 Jahre: 
   * Einmalzahlung: € 24.036,18 
   * Monatszahlung: € 99,32
   * die berufliche Laufbahn beträgt zu Beginn des Rentenanspruchs 43 Jahre oder mehr: 
   * Einmalzahlung: € 36.054,27
   * Monatszahlung: € 148,98
</t>
  </si>
  <si>
    <t>Betrag der garantierten Mindestrente (pension minimale garantie/gewaarborgd minimumpensioen) bei einem Versicherungsverlauf von mindestens 2/3 des vollständigen Versicherungsverlaufs (anteilig von folgenden Jahressätzen):
   * Haushaltssatz: € 27.123,07 
   * Satz für Alleinstehende: € 21.705,29. 
   * Garantierter gesetzlicher Mindestlohn (Mindestanspruch pro Berufsjahr): 
Ein Mindestrentenbetrag wird unter bestimmten Bedingungen garantiert, je nach Dauer und Art des Versicherungsverlaufs.
Eine Person, deren Versicherungsverlauf im Sicherungssystem für Arbeitnehmer mindestens 15 Jahre und 104 Tage beträgt, hat für jedes Jahr der Erwerbstätigkeit Anspruch auf ein Minimum, das auf der Basis eines garantierten Mindesteinkommens von € 32.764,09 (jährlich) für ein volles Erwerbsleben berechnet wird, wenn ihre Rente für einen vollständigen Versicherungsverlauf jährlich nicht folgende Beträge übersteigt:
   * € 22.900,17 (jährlicher Betrag) für Alleinstehende 
   * € 28.625,23 (jährlicher Betrag) für einen Haushalt 
2. Garantierte Mindestrente (Anspruch nur bei einem Mindestversicherungsverlauf (Arbeitnehmer + Selbständiger)
Der Anspruch auf eine garantierte Mindestrenteist Personen mit einem ausreichenden Versicherungsverlauf vorbehalten, wobei zwischen Vollzeit- und Teilzeitbeschäftigung unterschieden wird:
Garantierte Mindestrente bei Vollzeitbeschäftigung :
   * Mindestens 2/3 eines vollständigen Versicherungsverlaufs nachweisen.
   * Mindestens über 208 vollzeitäquivalente Tage pro Kalenderjahr verfügen.
Garantierte Mindestrente bei Teilzeitbeschäftigung:
   * Mindestens 2/3 eines vollständigen Versicherungsverlaufs nachweisen.
   * Mindestens über 156 vollzeitäquivalente Tage pro Kalenderjahr verfügen.
Ab dem 1. Januar 2025: Neben der Bedingung eines Mindestversicherungsverlaufs wird eine zusätzliche Bedingung für die effektive Erwerbstätigkeit eingeführt. Um diese Bedingung zu erfüllen, muss eine Person mindestens eine Erwerbstätigkeit wie folgt nachweisen:
   * Für eine Vollzeit-Mindestrente: 5.000 effektiv geleistete vollzeitäquivalente Arbeitstage als Arbeitnehmer; 
   * Für eine Teilzeit-Mindestrente als Arbeitnehmer: 3.120 effektiv geleistete vollzeitäquivalente Arbeitstage als Arbeitnehmer oder in einer gemischten Berufslaufbahn (Arbeitnehmer, Selbstständiger, Beamter).
Ausnahmen:
Bestimmte Zeiten der Inaktivität werden mit effektiv geleisteten Arbeitstagen gleichgesetzt. Um zu vermeiden, dass Personen aufgrund ihres Gesundheitszustands den Anspruch auf eine Mindestrente verlieren, werden außerdem bestimmte Zeiten längerer Abwesenheit aus medizinischen Gründen (teilweise) von der Anzahl der effektiven Arbeitstage in Abzug gebracht, die nachzuweisen sind.
Außerdem wird bei der Berechnung berücksichtigt, dass Teilzeitarbeit vor 2002 als abhängige Beschäftigung anerkannt wurde.
Nach Beendigung der Berufslaufbahn darf die Rente einen festen Mindestbetrag nicht unterschreiten:
   * Jahressatz für einen Haushalt: € 27.123,07 
   * ahressatz für Alleinstehende: € 21.705,29 
Wenn der Versicherungsverlauf nicht vollständig ist, aber mindestens einem Zeitraum von 2/3 eines vollständigen Versicherungsverlaufs entspricht, wird eine Mindestrente anteillig zur Berufslaufbahn eines Arbeitnehmers garantiert:
   * Garantiere Mindestrente auf der Grundlage einer Vollzeitbeschäftigung: Der Betrag wird für einen vollständigen Versicherungsverlauf mit dem Bruchteil des Versicherungsverlaufs eines Arbeitnehmers in Berufsjahren multipliziert. Der Zähler des Bruchteils berücksichtigt nur die Jahre, die mindestens 52 Tage Vollzeitäquivalente umfassen. 
   * Garantierte Mindestrente auf der Grundlage einer Teilzeitbeschäftigung: Der Betrag wird für einen vollständigen Versicherungsverlauf mit dem Bruchteil des Versicherungsverlaufs eines Arbeitsnehmers in Tagen multipliziert. Dabei werden alle Tage des Arbeitnehmers berücksichtigt, d. h. Arbeitstage und gleichgestellte Tage während der Erwerbstätigkeit. 
Betrag der garantierten Mindestrente (pension minimale garantie/gewaarborgd minimumpensioen) bei einem Versicherungsverlauf von mindestens 2/3 des vollständigen Versicherungsverlaufs (anteilig von folgenden Jahressätzen):
   * Haushaltssatz: € 27.123,07 
   * Satz für Alleinstehende: € 21.705,29 </t>
  </si>
  <si>
    <t>Die Kumulierung ist gestattet, sofern das Erwerbseinkommen 2025 die folgenden Obergrenzen nicht übersteigt:
Empfänger, die nicht das 65. Lebensjahr erreicht haben bzw. die nicht 45 Versicherungsjahre belegen können:
Für den Empfänger einer Rente zum Satz für Alleinstehende, der keine Erwerbstätigkeit von 45 Jahren aufweist, oder den Ehepartner des Empfängers einer Rente zum Haushaltssatz, die das gesetzliche Renteneintrittsalter nicht erreicht haben:
   * für eine Tätigkeit als Arbeitnehmer (berücksichtigt wird das Bruttoeinkommen): € 10.117,00 pro Jahr (ohne unterhaltsberechtigtes Kind) oder € 15.175,00 (mit unterhaltsberechtigtem Kind) 
   * für eine Tätigkeit als Selbstständiger oder eine kombinierte Tätigkeit (Nettoeinkommen als Selbstständiger + 80% des Bruttoentgelts): € 8.093,00 pro Jahr (ohne unterhaltsberechtigtes Kind) oder € 12.140,00 (mit unterhaltsberechtigtem Kind). 
   * Für eine Flexi-Job-Tätigkeit (berücksichtigtes Bruttoeinkommen): zusätzliche Obergrenze von € 7.876,00 zusätzlich zu den allgemeinen Obergrenzen (mit oder ohne unterhaltsberechtigtes Kind) 
Für den Empfänger einer Rente zum Satz für Alleinstehende, der das gesetzliche Renteneintrittsalter erreicht hat, aber weder das 65. Lebensjahr erreicht hat (möglich im Fall von Sonderregelungen, z.B. Seeleute, Bergwergleute oder Flugpersonal der zivilen Luftfahrt) noch eine Erwerbstätigkeit von 45 Jahren belegen kann, oder den Ehepartner des Empfängers einer Rente zum Haushaltssatz, der das gesetzliche Renteneintrittsalter erreicht hat:
   *  für eine Tätigkeit als Arbeitnehmer: € 29.221,00 (ohne unterhaltsberechtigtes Kind) oder € 35.544,00 (mit unterhaltsberechtigtem Kind);
   * für eine Tätigkeit als Selbstständiger oder eine kombinierte Tätigkeit: € 23.377,00 (ohne unterhaltsberechtigtes Kind) oder € 28.435,00 (mit unterhaltsberechtigtem Kind). 
Unbegrenzte Kumulierung mit Erwerbseinkommen ab dem gesetzlichen Rentenalter oder vorausgesetzt, dass die betreffende Person zum Renteneintritt 45 Jahre Erwerbstätigkeit nachweisen kann.
Liegt das Erwerbseinkommen über diesen Grenzen:
   * wird die Rente um den Prozentsatz der Überschreitung gekürzt.
   * Flexi-Job: Die Rente wird um den Prozentsatz gekürzt, der der Hälfte der Überschreitung entspricht. 
   * Möglichkeit der Verhängung einer Sanktion bei Überschreitung der allgemeinen Obergrenzen, kombiniert mit einer Sanktion im Fall der Überschreitung der Obergrenze für einen Flexi-Job 
   * Aussetzung der Rente: Wenn sich die Überschreitung auf 100% beläuft, wird die Rente für das volle Kalenderjahr ausgesetzt und muss zurückgezahlt werden.
   * Kürzung der Rente: Übersteigt das Erwerbseinkommen des Ehegatten eines Empfängers einer Rente zum Haushaltssatz die oben genannten Beträge, wird die Rente zum Haushaltssatz für die betreffenden Monate auf den Satz für Alleinstehende gekürzt. 
 Das – kumulativ mit einer Rente – bezogene Erwerbseinkommen berechtigt nicht zu einer Überprüfung der Rentenberechnung.</t>
  </si>
  <si>
    <t>Kumulation mit einem Erwerbseinkommen:
Bezieher einer Hinterbliebenenrente (overlevingspensioen), die noch nicht 65 Jahre alt sind, können diese mit einer Erwerbstätigkeit kumulieren, hierbei gelten für das Einkommen im Jahr 2025 die folgenden Grenzwerte:
   *  für eine Tätigkeit als Arbeitnehmer: € 23.555,00 pro Jahr (ohne unterhaltsberechtigtes Kind) oder € 35.333,00 pro Jahr (mit 1 unterhaltsberechtigtem Kind) + € 5889,00 pro zusätzlichem unterhaltsberechtigtem Kind pro Jahr. 
   *  für eine Tätigkeit als Selbstständiger oder eine kombinierte Tätigkeit: € 18.844,00 pro Jahr (ohne unterhaltsberechtigtes Kind) oder € 28.266,00 pro Jahr (mit 1 unterhaltsberechtigtem Kind) + € 4.711,00 pro zusätzlichem unterhaltsberechtigtem Kind pro Jahr. 
Für Bezieher einer Hinterbliebenenrente, die 65 Jahre und älter sind, sind die folgenden Beträge zulässig.
   * für eine Tätigkeit als Arbeitnehmer: € 29.221,00 pro Jahr (ohne unterhaltsberechtigtes Kind) oder € 35.544,00 pro Jahr (mit unterhaltsberechtigtem Kind);
   * für eine Tätigkeit als Selbstständiger oder eine kombinierte Tätigkeit: € 23.377,00 pro Jahr (ohne unterhaltsberechtigtes Kind) oder € 28.435,00 pro Jahr (mit unterhaltsberechtigtem Kind). 
Das Übergangsgeld kann unbegrenzt mit Arbeitseinkommen kumuliert werden.</t>
  </si>
  <si>
    <t>Es kann eine vorzeitige Rente unter den folgenden Bedingungen bezogen werden:
   * ab 63 Jahren (mit 42 Jahren Erwerbstätigkeit 
   * ab 62 Jahren mit 43 Jahren Erwerbstätigkeitab
   * 61 Jahren mit 43 Jahren Erwerbstätigkeit 
   * ab 60 Jahren mit 44 Jahren Erwerbstätigkeit. </t>
  </si>
  <si>
    <t>1. Säule:
Altersrente (Folkepension):
Alle Einwohner (abhängig von der Dauer ihres Wohnsitzes).
Frührente (Tidlig Pension):
Alle Einwohner mit langfristiger Beteiligung am Arbeitsmarkt.
Zusatzrente (arbejdsmarkedets tillægspension, ATP):
Pflichtversicherung für:
   * alle Arbeitnehmer ab dem Alter von 16 Jahren mit einer Wochenarbeitszeit von mindestens 9 Stunden sowie Personen, die Tagegeld wegen Krankheit, Geburt bzw. Adoption oder Arbeitslosigkeit beziehen oder an einer Beschäftigungsförderungs-, Ausbildungs- oder Fortbildungsmaßnahme teilnehmen oder sich in einer Trainingsmaßnahme nach dem Gesetz für eine aktive Arbeitsmarktpolitik befinden. Pflichtmitgliedschaft besteht auch für Bezieher einer ab dem 1. Januar 2003 bewilligten Invalidenrente (førtidspension);
   * Personen, die Sozialhilfe oder ein sonstiges Transfereinkommen beziehen.
Freiwillige Mitgliedschaft möglich für:
   * Personen im vorzeitigen Ruhestand sowie Bezieher einer vor dem 1. Januar 2003 bewilligten Invaliditätsrente;
   * Arbeitnehmer, die eine selbstständige Tätigkeit aufnehmen, können nach vorausgegangener dreijähriger Mitgliedschaft freiwillig im Versicherungssystem bleiben.
Obligatorisches Rentensystem (Obligatorisk Pensionsordning): Empfänger von bestimmten Sozialleistungen wie Arbeitslosengeld, Krankengeld, Invalidenrente, Seniorenrente, Bildungsförderung (uddannelseshjælp), Sozialhilfe (kontanthjælp) etc.</t>
  </si>
  <si>
    <t>1. Säule:
Altersrente (Folkepension):
   * 40/40 vom Grundbetrag (grundbeløb) = DKK 7.198 (€965) pro Monat;
   * 40/40 der Rentenzulage (pensionstillæg) = DKK 8.329 (€1.116) pro Monat für eine Person und DKK 4.262 (€571) pro Monat für einen Empfänger mit Ehepartner bzw. Lebensgefährten;
   * 40/40 des ergänzenden Rentenbetrags (supplerende pensionsydelse) = DKK 25.700 (€3.444) pro Jahr.
   * 40/40 des Betrags Mediacheck = DKK 1.087 (€146) pro Jahr.
Zusatzrente (arbejdsmarkedets tillægspension, ATP) und obligatorisches Rentensystem (Obligatorisk Pensionsordning):
DKK 26.000 (€3.467) pro Jahr ab dem Alter von 67 Jahren.</t>
  </si>
  <si>
    <t>1. Säule:
Bedingungen für Teilrente (delpension):
   * Geboren vor dem 1. Januar 1959 (das Programm wird für diejenigen, die später geboren wurden, abgeschafft);
   * Alter von 63 Jahren;
   * Wohnhaft in Dänemark;
   * Verkürzung der Arbeitszeit auf eine wöchentliche Arbeitszeit zwischen 12 und 30 Stunden;
   * Arbeitnehmerversicherung bei einer Arbeitszeit von mindestens 30 Wochenstunden mit dem Zusatzrentensystem (ATP-pension) über einen Zeitraum von mindestens 10 Jahren in den letzten 20 Jahren und mindestens 18 Monaten in den letzten 24 Arbeitsmonaten in Dänemark;
   * Selbstständige: während der letzten fünf Jahre Ausübung einer Ganztagstätigkeit; davon mindestens 4 Jahre und darüber hinaus während der letzten 12 Monate mindestens 9 Monate Ausübung einer selbstständigen Tätigkeit; Einkünfte aus selbstständiger Tätigkeit in bestimmter Höhe; Verkürzung der Wochenarbeitszeit auf durchschnittlich 18,5 Stunden;
   * Arbeitnehmer und Selbstständige: ein „Vorruhestandszertifikat“ darf nicht ausgestellt sein und ein detaillierter Nachweis der Ansprüche auf Ruhestandsleistungen muss vorgelegt werden;
   * Eine Person kann nur dann eine Teilrente erhalten, wenn sie keinen Anspruch auf eine vorgezogene Rente hat.
Betrag: 1/37 eines Grundbetrages (grundbeløb) pro Stunde, um die sich die Wochenarbeitszeit verringert, oder DKK 5.606,59 (€751) pro Jahr und gekürzte Stunde. Der Betrag entspricht 82% des Krankengeldhöchstsatzes und wird einmal jährlich angepasst. Für Selbstständige beträgt die Teilrente DKK 103.728 (€13.902) pro Jahr (entspricht einer durchschnittlichen Wochenarbeitszeit von 18,5 Stunden). Die Teilrente wird gekürzt, wenn Personen über eine private Alterssicherung verfügen oder Leistungen aus einem Altersrentensystem beziehen.
Finanzierung: Die Teilrente wird aus Steuermitteln finanziert. Die Gemeinden erhalten vom Staat eine Kostenerstattung in Höhe von 100%.
Kündigung: Durch konsolidiertes Gesetz Nr. 1120 (vom 17.9.2015) ist dieses System für ab dem 1. Januar 1959 geborene Personen nicht mehr anwendbar. Das bedeutet, das es zum Ende des Jahres 2025 auslaufen wird.</t>
  </si>
  <si>
    <t>1. Säule:
Altersrente (Folkepension):
   * Gesundheitszulage (helbredstillæg): Rentnern mit Einkünften unter einer bestimmten Schwelle wird eine Zulage gewährt, die bis zu 85% der Kosten der Selbstbeteiligung deckt:
   * für Kosten im Zusammenhang mit Sachleistungen der öffentlichen Krankenversicherung. Gewährung im Falle von Rentnern mit begrenzten Barmitteln;
   * für Kosten im Zusammenhang mit Zahnprothesen, Brillen und Fußpflege, falls die Gemeinde die Notwendigkeit der Ausgaben anerkennt. Gewährung im Falle von Rentnern mit begrenzten Barmitteln.
   * Einkommensabhängige Heizungszulage (varmetillæg);
   * Persönliche Zulage (personligt tillæg) kann Rentnern in einer schwierigen Lage gewährt werden, z. B. um Kosten für Arzneimittel zu decken u.Ä.</t>
  </si>
  <si>
    <t>Der Grad der Arbeitsfähigkeit wird wie folgt festgestellt:
   * Teilweise Fähikgkeit, wenn das Arbeiten teilweise durch eine Krankheit nicht möglich ist;
   * Keine Fähigkeit, wenn die Person zur Arbeit unfähig ist.
Das System beruht auf der Arbeitsfähigkeit der betroffenen Person. Die Beurteilung der Arbeitsfähigkeit berücksichtigt den Gesundheitszustand und die Bewegungseinschränkungen sowie die Beteilging, dies sich aus der Prognose sowie der geschätzten Dauer solcher Einschränkungen ergeben.</t>
  </si>
  <si>
    <t>Die Beurteilung der Arbeitsfähigkeit wird von der Estnischen Arbeitslosenversicherungskasse organisiert unter Einbeziehung von Gesundheitsdienstleistern und Fachärzten. Die Beurteilung stellt den Grad der Erwerbsfähigkeit von Menschen mit langfristigen Gesundheitsschäden fest, sowie Beschränkungen von Aktivität und Teilhabe; zudem gibt sie Empfehlungen zu Arbeitsbe-dingungen, Förderung der Arbeitsfähigkeit und den Bedarf an Hilfsmitteln.
Die Beurteilung soll klären, ob eine Person:
   * voll arbeitsfähig,
   * teilweise arbeitsfähig,
   * nicht arbeitsfähig ist.
Die zu beurteilende Person ist während der sechs Monate vor der Beurteilung zu einem Arztbesuch verpflichtet.
Der Antrag muss bei der Estnischen Arbeitslosenversicherungskasse gestellt werden. Die Person muss Fragen bezüglich ihrer Fähigkeiten in verschiedenen Bereichen beantworten (z.B. Mobilität, manuelle Tätigkeiten, Lernfähigkeit etc.).
Die Beurteilung beruht auf den zur Verfügung gestellten Informationen. Ein Facharzt gleicht die im Antrag angegebenen Informationen mit den Gesundheitsdaten aus dem Gesundheitsinformationssystem ab und erstellt eine Beurteilung der Arbeitsfähigkeit. Wo notwendig, werden die Daten mit Hilfe des Hausarztes oder eines Facharztes präzisiert, der den Antragsteller überprüft. Weichen die Beschränkungen der Arbeitsfähigkeit und die Gesundheitsdaten, die im Antrag angegeben sind deutlich voneinander ab, oder sind die Gesundheitsdaten, die ins Gesundheitsinformationssystem eingegeben werden, widersprüchlich, wird ein Gutachten auf Basis von Visiten erstellt.
Die Beurteilungsverfahren gelten landesweit.
Innerhalb von 30 Kalendertagen nach dem Erhalt der Entscheidung besteht Widerspruchsrecht.</t>
  </si>
  <si>
    <t>Der Tagessatz der neuen Arbeitsfähigkeitsbeihilfe beträgt
   * €21,74 für vollständig erwerbsunfähige Personen, und
   * 57% hiervon (€12,39 pro Kalendertag, etwa €371,75 pro Monat) für Personen mit einer teilweisen Arbeitsfähigkeit,
   * 100% hiervon (€21,74 pro Kalendertag, etwa €652,20 pro Monat) bei vollständiger Arbeitsunfähigkeit.
Die Behilfe wird verrringert, wenn das Einkommen des Empfängers den Höchstbetrag des 90-fachen des täglichen Beihilfesatzes (€1.956,60) übersteigt. Die Kürzung beträgt 50% des Unterschieds zwischen dem Einkommen und dem Höchstbetrag.
Die Arbeitsfähigkeitsbeihilfe wird nicht für den aktuellen Monat gezahlt:
   * wenn im Fall teilweiser Arbeitsfähigkeit das Einkommen des vorigen Monats €2.700,11 überstiegen hat,
   * €3.261 im Fall von vollständiger Arbeitsunfähigkeit.
Folgendes gilt als Einkommen: Die Vergütung, auf die Sozialsteuer entrichtet wird, Elternleistungen, Leistungen für vorrübergehende Arbeitsfähigkeit und vom Arbeitgeber gezahltes Krankengeld.
Die Beihilfe wird 12 Mal im Jahr ausgezahlt.</t>
  </si>
  <si>
    <t xml:space="preserve">Zulagen gemäß dem Gesetz über Sozialleistungen für behinderte Menschen:
   * Behindertenbeihilfe für Personen im Rentenalter (puudega vanaduspensioniealise inimese toetus),
   * Behindertenbeihilfe für Personen im Arbeitsalter (puudega tööealise inimese toetus),
   * Behindertenbeihilfe für Kinder (puudega lapse toetus), in deren Rahmen es auch eine getrennte Beihilfe für Kinder mit seltenen erkrankungen gibt,
   * Behindertenbeihilfe für Eltern (puudega vanematoetus),
   * Ausbildungsbeihilfe (õppetoetus),
   * Weiterbildungsbeihilfe (täienduskoolitustoetus).
</t>
  </si>
  <si>
    <t>Förderung der Beschäftigung von Menschen mit Behinderungen anhand folgender Maßnahmen:
   * Sozialsteuerausgleich für Personen mit verrringerter Arbeitsfähigkeit (finanziert durch den staatlichen Zuschuss zur vom Arbeitgeber gezahlten Sozialsteuer (sotsiaalmaks)) wird im Namen der Arbeitgeber gezahlt,
   * berufliche Rehabilitation,
   * bis zu 100% Kostenvergütung für Arbeitgeber für die Anpassung des Arbeitsplatzes,
   * Bereitstellung von besonderen Hilfsmitteln für die Person mit Behinderung, wenn dies zur Ausübung ihrer Arbeit notwendig ist,
   * Entschädigung, wenn die Person die Unterstützung einer Hilfsperson braucht,
   * Teilnahme an Beratungen,
   * Vergütung der Ausbildungskosten für Arbeitgeber, die verschiedene Arbeits- und Weiterbildungsmöglichkeiten für Angestellte anbieten, die aufgrund von gesundheitlichen Gründen ihrer vorherigen Arbeit nicht weiter nachgehen konnten,
   * Bruttolohnzuschüsse können Arbeitgebern gewährt werden, die eine Person einstellen, die mindestens sechs Monate lang erwerbslos war. Sie betragen 50% des Bruttolohns oder Gehalts (aber nicht mehr als den Mindestbruttolohn) und werden für höchstens 12 Monate gezahlt.
Kein Quotensystem.</t>
  </si>
  <si>
    <t>Flexible Altersrente (paindlik vanaduspension):
Bis zu fünf Jahre vor dem gesetzlichen Rentenalter möglich.
Das Recht auf vorgezogene Altersrente ist wie folgt mit der bestehenden Dienstdauer verknüpft: 1) beträgt die Mindestrentenversicherungszeit mindestens 20 Jahre: bis zu einem Jahr vor Erreichen des Rentenalters; 2) 25 Jahre: bis zu zwei Jahre; 3) 30 Jahre: bis zu drei Jahre; 4) 35 Jahre: bis zu vier Jahre; 5) 40 Jahre: bis zu fünf Jahre.
Vorgezogene Altersrente (ennetähtaegne vanaduspension):
Bis zu drei Jahre vor dem gesetzlichen Rentenalter möglich (verfügbar bis zum 31.12.2025).
Altersrente unter günstigen Bedingungen (soodustingimustel vanaduspension):
Nach mindestens 15 Beitragsjahren und 5 Jahre vor dem Rentenalter für:
   * einen Elternteil, Pflegeelternteil oder Vormund, der ein Kind mit einer mindestens mittelschweren Behinderung 8 Jahre lang erzogen hat,
   * einen Elternteil, Pflegeelternteil oder Vormund, der 5 oder mehr Kinder mindestens 8 Jahre lang erzogen hat,
   * eine Person, die an den Aufräumarbeiten in Tschernobyl beteiligt war,
   * eine Person, die mindestens 5 Jahre widerrechtlich inhaftiert oder im Exil war. Bei weniger als 5 Jahren wird das Renteneintrittsalter um je ein Jahr pro Haft oder Exiljahr reduziert.
Ein Elternteil, Pflegeelternteil oder Vormund, der mindestens 4 Kinder 8 oder mehr Jahre lang erzogen hat, kann 3 Jahre vor dem gesetzlichen Rentenalter Altersrente unter günstigen Bedingungen beziehen.
Ein um ein Jahr früherer Bezug ist für einen Elternteil, Pflegeelternteil oder Vormund, der mindestens 3 Kinder 8 Jahre lang erzogen hat, möglich.
Rente ab 45 Jahre möglich für Personen mit hypophysiärem Kleinwuchs.
Altersrente unter günstigen Bedingungen wird auch Personen gewährt, die unter harten oder gefährlichen Bedingungen arbeiten (z. B. in der chemischen, Metall-, Glas- oder Zellstoffindustrie, im Bergbau usw.); diese Personen können unter bestimmten gesetzlich festgelegten Bedingungen (zwischen 15 und 25 Beitragsjahren, davon mindestens die Hälfte im genannten Beruf) 5 oder 10 Jahre vor der gesetzlichen Altersgrenze in Rente gehen.
Altersrente bei Erreichen besonderer Altersgrenzen (väljateenitud aastate pension): Vorgezogene Altersrente für bestimmte Berufsgruppen (z. B. Piloten, Seeleute, Bergleute, bestimmte Gruppen von Künstlern), deren berufliche Fähigkeiten vor Erreichen des normalen Renteneintrittsalters nachlassen, unter bestimmten Bedingungen (15 bis 25 Beitragsjahre, abhängig vom jeweiligen Beruf).
2. Säule:
Keine vorgezogene Rente möglich, es sei denn, es liegt ein Austritt aus dem System vor.</t>
  </si>
  <si>
    <t>Altersrente (vanaduspension):
Summe von 4 Komponenten:
   * Grundbetrag,
   * Beschäftigungskomponente (für den Zeitraum bis zum 31.12.1998),
   * Versicherungskomponente(für den Zeitraum ab dem 01.01.1999 bis 31.12.2020);
   * Verbundkomponente (für den Zeitraum ab 01.01.2021).
Ab dem 01.04.2025 beläuft sich der monatliche Grundbetrag auf €377,25.
Die Komponente der Beschäftigungsdauer wird auf der Grundlage einer versicherten Beschäftigung bis zum 31.12.1998 berechnet, multipliziert mit dem Wert eines Beschäftigungsjahres.
Die Versicherungskomponente wird als Summe der jährlichen Rentenkoeffizienten multipliziert mit dem Wert eines Beschäftigungsjahres berechnet. Die Rentenversicherungskoeffizienten ergeben sich aus der Division der Summe der Beträge der für die Person gezahlten Sozialsteuer (sotsiaalmaks) ab dem 01.01.1999 durch den nationalen Durchschnitt der Sozialsteuer des entsprechenden Jahres.
Der Wert eines Beschäftigungsjahres beläuft sich ab dem 01.04.2025 auf €10.000.
Der Anteil der Verbundkomponente besteht aus:
   * einer Versicherungskomponente von 50%. Die Höhe der Versicherungskomponente wird auf Basis der erhaltenen Sozialsteuer berechnet. Sie wird auf gleiche Weise berechnet wie die derzeit akkumulierte Versicherungskomponente. Die Höhe der Versicherungskomponente für eine Person, die in Estland einen Durchschnittsbruttolohn bezieht, ist z.B. 1,0;
   * einer Solidarkomponente von 50%. Die Solidarkomponente beträgt 1,0, wenn die Sozialsteuer für mindestens das 12-fache des Mindestbruttolohns pro Jahr gezahlt wurde. Beträgt die gezahlte Sozialsteuer weniger als den jährlichen Mindestbruttolohn, wird die Solidarkomponente proportional berechnet.
Personen, die vor 2024 eine Vorzugsrente bezogen haben, können diese auch weiterhin bis Ende des Jahres 2030, 2036 oder 2049 beziehen.
Der Grundbetrag und der Wert eines Beschäftigungsjahres werden jährlich angepasst.
Altersrente wird monatlich gezahlt.
Keine zusätzlichen Zahlungen.
2. Säule:
Lebenslange Annuität (ohne Geschlechtsunterschied).
Befristete Rente.
Einmalige Auszahlung.</t>
  </si>
  <si>
    <t>1. Säule:
Anrechenbare Zeiten bis Ende 31.12.1998 sind:
   * Wehrpflicht oder Zivildienst, wenn die Person in Estland eingezogen wurde oder diese Person vor und nach dem Einzug in den Wehrdienst im Ausland in Estland wohnhaft war,
   * Vollzeitstudium,
   * Zeiten des Bezugs von Arbeitslosenleistungen oder der Teilnahme an Weiterbildungsmaßnahmen,
   * Zeiten der Tätigkeit in der Landwirtschaft,
   * Erziehung eines Kindes mindestens bis zum Alter von 8 Jahren,
   * Zeiten vorübergehender Arbeitsunfähigkeit, usw.
Seit dem 01.01.1999 zahlt der Staat die Sozialsteuer (sotsiaalmaks) für bestimmte Gruppen nicht erwerbstätiger Personen (siehe Tabelle I „Finanzierung").
2. Säule:
Keine Anrechnung beitragsfreier Zeiten, aber siehe Tabelle I „Finanzierung“, „Beteiligung des Staates“, 5. Alter“.</t>
  </si>
  <si>
    <t>1. Säule:
Rentenzulagen (pensionilisad) für:
   * Teilnehmer des estnischen Unabhängigkeitskrieges und deren Witwen bzw. Witwer: 100% des Volksrentenbetrags (rahvapensioni määr) €393,26 pro Monat),
   * Personen, die infolge einer Nuklearkatastrophe, eines Atomtests oder eines Unfalls in einem Atomkraftwerk zu mindestens 40% arbeitsunfähig sind: 10% des Volksrentenbetrags,
   * Teilnehmer des Zweiten Weltkrieges oder Mitglieder der Selbstverteidigungsmacht: 10% des Volksrentenbetrags,
   * einer der Elternteile, der Ehegatte einer der Elternteile, Vormund oder Pflegeperson; für jedes Kind das zwischen dem 31. Dezember 1980 und dem 31. Dezember 2012 geboren und das für mindestens acht Jahre aufgezogen wurde: eine Zulage gleichbedeutend mit zwei Jahren einer versicherten Beschäftigung,
   * einer der Elternteile, der Ehegatte eines der Elternteile, Vormund oder Pflegeperson; für jedes Kind, das vor dem 1. Januar 2013 geboren und für mindestens acht Jahre aufgezogen wurde; eine Zulage gleichbedeutend mit einem Jahr einer versicherten Beschäftigung.
2. Säule:
Vom Staat bezahlte zusätzliche monatliche Beiträge von 4% des Durchschnittseinkommens in Estland für Personen, die ein Kind im Alter von bis zu drei Jahren aufziehen für jedes Kind, das ab dem 1. Januar 2013 geboren wurde.</t>
  </si>
  <si>
    <t xml:space="preserve">1. Säule:
Die Leistungen unterliegen der Besteuerung.
2. Säule:
   * Beim Erreichen des Rentenalters und fünf Jahre vor dem Rentenalter wird die einmalige Auszahlung mit dem 10% Einkommenssteuersatz versteuert,
   * Die lebenslange Rente und die befristete Rente werden für den “empfohlenen Zeitraum” nicht besteuert. Der “empfohlene Zeitraum” wird auf der Basis der durchschnittlich verbleibenden Jahre der Lebenswerwartung von Männern und Frauen berechnet, wie sie vom Statistischen Amt Estlands veröffentlicht werden, sowie dem Alter des Rentners. Bei Renteneintritt fünf Jahre vor dem Erreichen des Rentenalters werden Renten der 2. Säule mit dem 20% Einkommenssteuersatz versteuert,
   * Erwerbsunfähige Personen werden nicht besteuert.
</t>
  </si>
  <si>
    <t>Anspruch auf Hinterbliebenenrente (toitjakaotuspension) hat eine Witwe/ein Witwer:
   * die (ab der 12. Woche) schwanger ist,
   * die/der nicht arbeitet und ein unter dreijähriges Kind der verstorbenen Person großzieht, oder
   * die/der im Rentenalter ist oder teilweise oder dauerhaft arbeitsunfähig ist, vorausgesetzt die Ehe bestand mindestens 1 Jahr.</t>
  </si>
  <si>
    <t>Berechnungsgrundlage ist der höhere der beiden folgenden Beträge:
   * Altersrente (vanaduspension) auf der Basis der Jahre versicherter Beschäftigung und des Rentenversicherungskoeffizienten der verstorbenen Person (siehe Tabelle VI „Alter"), oder
   * Altersrente für eine Person mit 30 Jahren versicherter Beschäftigung.
Die Höhe des monatlichen Betrags der Hinterbliebenenrente (toitjakaotuspension) ist abhängig von der Anzahl der anspruchsberechtigten Familienmitglieder:
   * ein Familienmitglied: 50%,
   * zwei Familienmitglieder: 80%,
   * drei oder mehr Familienmitglieder: 100%.
Der Betrag wird gleichmäßig unter den Anspruchsberechtigten aufgeteilt.
Die Leistung unterliegt keiner Bedürftigkeitsprüfung.
Die Leistung wird monatlich gezahlt.
Zusätzliche Zahlung einer Pauschalsumme (€200) an alleinstehende Rentner einmal pro Jahr im Oktober.</t>
  </si>
  <si>
    <t>Kein Mindestgrad der Arbeitsfähigkeit (Erwerbsunfähigkeit). Die Empfänger müssen als teilweise erwerbsfähig oder nicht erwerbsfähig eingestuft werden, um Anspruch auf die Leistung zu haben.
Die Beurteilung der Arbeitsfähigkeit beruht auf der Internationalen Einstufung der Funktionsfähigkeit, Behinderung und Gesundheit (ICF). Während des Beurteilungsprozesses werden der Gesundheitszustand und daraus resultierende Einschränkungen einer Person im Erwerbsalter berücksichtigt, um die Teilnahme am Erwerbsleben (das Finden und Behalten einer Arbeitsstelle) zu erleichtern.
Die Leistungsfähigkeit einer Person wird in folgenden Bereichen beurteilt:
   * Bewegung,
   * Manuelle Leistungsfähigkeit,
   * Kommunikation,
   * Selbstfürsorge und Selbstbewusstsein,
   * Lernfähigkeit und Anwendung von Kenntnissen/Fähigkeiten,
   * Anpassungsfähigkeit an Veränderungen und Sicherheitsempfinden,
   * Zwischenmenschliche Interaktion.
Die beurteilten Aktivitäten müssen wiederholt und sicher, auf gewohnte Weise (ohne störenden Schmerz) durchgeführt werden.
Die Beurteilung der Leistungsfähigkeit erfolgt unter der Annahme, dass die Behandlung (wo möglich) zum Ausgleich einer gesundheitlichen Störung verschrieben wurde und die betroffene Person den ärztlichen Empfehlungen folgt.</t>
  </si>
  <si>
    <t>Als invalide gilt, wer infolge eines Unfalls oder einer Krankheit, die nicht durch die Berufsausübung verursacht wurde, nur ein Drittel der normalen Einkünfte erzielen kann.
Es wird zwischen 3 Invaliditätskategorien unterschieden:
   * Invalide der 1. Kategorie: gesundheitlich in der Lage, eine Tätigkeit auszuüben;
   * Invalide der 2. Kategorie: gesundheitlich nicht in der Lage, eine Tätigkeit auszuüben;
   * Invalide der 3. Kategorie: gesundheitlich nicht in der Lage, eine Tätigkeit auszuüben, und benötigen die tägliche Hilfe einer dritten Person.</t>
  </si>
  <si>
    <t>Minimum:
Mindestrente (pension minimale) für alle Kategorien: €335,29 pro Monat.
Höhe der Zulage für Pflege durch Dritte (majoration pour l'assistance d'une tierce personne) Invalide der 3. Kategorie: €1.288,13 pro Monat.
Maximum:
   * Invaliden der 1. Kategorie: 30% der Bemessungsgrenze der Sozialversicherung, d. h. €1.177,50 pro Monat.
   * Invaliden der 2. Kategorie: 50% der Bemessungsgrenze der Sozialversicherung, d. h. €1.962,50 pro Monat.
   * Invaliden der 3. Kategorie: 50% der Bemessungsgrenze der Sozialversicherung zuzüglich der Zulage für Pflege durch Dritte (majoration pour l'assistance d'une tierce personne), d. h. €3.250,63 pro Monat (€1.962,50 + €1.288,13).</t>
  </si>
  <si>
    <t>Arbeitnehmer:
Kumulierung möglich mit:
   * einer Invaliditätsrente eines Sondersystems oder eines Systems für Landwirte (pension d’invalidité d’un régime spécial ou du régime agricole),
   * einer Arbeitsunfallrente (rente accident du travail) bis zur Höhe des Lohns eines erwerbsfähigen Arbeitnehmers der gleichen Berufsgruppe,
   * Arbeitslosengeld (unterschiedliche Bedingungen je nach Invaliditätskategorie).</t>
  </si>
  <si>
    <t>Allgemeines Basissystem (Régime de base): Sozialgesetzbuch (Code de la sécurité sociale), Artikel L 351-1 ff.
Arbeitnehmer-Zusatzrentensystem (retraite complémentaire des salariés, Agirc-Arrco): Nationales berufsübergreifendes Abkommen vom 17. November 2017.
Es gibt weitere Basis- und Zusatzsysteme, insbesondere:
   * für Selbstständige (Artikel L.633-1 ff. des Sozialgesetzbuchs);
   * für bestimmte Arbeitnehmergruppen (Arbeitnehmer in der Landwirtschaft, staatlich angestellte Arbeitnehmer, Arbeiternehmer in Unternehmen mit Sonderstatus usw.).
Verzeichnis der Rechtsakte: https://www.legifrance.gouv.fr/codes/texte_lc/LEGITEXT000006073189/ und https://www.agirc-arrco.fr/nos-etudes-et-publications/documentation-institutionnelle/textes-de-reference/</t>
  </si>
  <si>
    <t>Obligatorische Sozialversicherungssysteme, die nach dem Umlageprinzip finanziert werden, und aus zwei Säulen bestehen:
   * 1. Säule (Basissystem): obligatorische Grundversicherung, in deren Rahmen bestimmte Leistungen erbracht werden; ihre Höhe hängen vom Einkommen, den Beiträgen und der Versicherungsdauer ab;
   * 2. Säule (Zusatzsystem für Mitarbeiter Agirc-Arrco): obligatorische Zusatzversicherung, in deren Rahmen bestimmte Leistungen erbracht werden, deren Höhe auf dem Punktesystem beruht. Die Höhe der Rente entspricht der Anzahl der erworbenen Punkte, die mit dem Punktwert multipliziert werden.
Es existiert auch ein freiwilliges, kapitalgedecktes Versicherungssystem (Zusatz- oder komplementäres System), das jedoch nicht unter die Sozialversicherungsgesetzgebung fällt. Es wird in den MISSOC-Tabellen nicht aufgeführt.
Es existiert ein beitragsunabhängiges System von Mindestleistungen speziell für ältere Personen: Solidaritätsleistung für ältere Menschen (allocation de solidarité aux personnes âgées, ASPA) (weitere Informationen in der Tabelle XI „Mindestsicherung“).</t>
  </si>
  <si>
    <t>1. Säule (Basissystem):
Der Anspruch entsteht, sobald der Versicherte das gesetzliche Rentenalter erreicht hat und mit seinen Beitragszahlungen mindestens ein anrechenbares Versicherungsquartal belegen kann. Erwerb eines Versicherungsquartals durch Nachweis eines jährlichen Bruttoarbeitsentgelts in Höhe von 150 der geltenden Stundensätze des Mindestlohns (salaire minimum interprofessionnel de croissance, SMIC).
Der volle Satz wird gewährt, wenn:
   * die Altersbedingungen sowie der benötigte Versicherungszeitraum erfüllt sind. Der benötigte Versicherungszeitraum wird anhand des Geburtsjahres der betroffenen Person festgelegt (167 Quartale für Versicherte, die zwischen 1958 und 1960 geboren sind, 168 Quartale für Personen, die zwischen Januar und Ende August 1961 geboren sind, 169 Quartale für Personen, die zwischen September 1961 und Dezember 1962 geboren wurden und bis zu 172 Quartale für die ab 1965 geborenen Versicherten) oder entsprechend der Zugehörigkeit der betroffenen Person zu einer bestimmten Gruppe (versichert erwerbsunfähig usw.);
   * ersatzweise das gesetzliche Renteneintrittsalter (67 Jahre für Personen, die nach 1955 geboren sind), ohne vorgeschriebene Mindestversicherungszeit.
2. Säule (Zusatzrentensysteme (Agirc-Arrco)):
Keine Mindestversicherungsdauer.
Die volle Rente wird ab 67 Jahren oder beim Erhalt der Grundrente des allgemeinen Systems zum vollen Satz gewährt.</t>
  </si>
  <si>
    <t>1. Säule (Basissystem):
   * lange Karriere: Ab dem Alter von 58 Jahren, entsprechend dem Geburtsjahr; Alter bei Beschäftigungsaufnahme; die Versicherungsdauer; und Beitragsdauer;
   * Behinderung (mindestens 50%): Ab dem Alter von 55 Jahren, anhängig von der Vervollständigung der Beitragszeiten;
   * Arbeitsschwere: im Rahmen des beruflichen Arbeitsvorsorgekontos bis zu 2 Jahre vor dem gesetzlichen Alter, wenn der Versicherte die erforderliche Punktezahl erreicht hat;
   * Permanente berufsbedingte Arbeitsunfähigkeit (von mindestens 20%): ab 60 Jahre; oder zwischen 10% und 20% zwei Jahre vor dem gesetzlichen Rentenalter.
2. Säule (Zusatzrentensysteme (Agirc-Arrco)):
Mit Abschlag ab 57 Jahren.</t>
  </si>
  <si>
    <t>1. Säule (Basissystem):
   * Schule und Studium: Möglichkeit, die Studienzeiten bis zu 3 Beitragsjahren zu kaufen
   * Mutter- und Vaterschaft: 
   * „Mutterschafts-Kredit“: ein Jahr pro Kind für die versicherte Mutter;
   * „Adoptionskredit“: 1 Jahr für einen adoptierten Minderjährigen; wird einem der zwei versicherten Elternteile gewährt oder zwischen beiden aufgeteilt;
   * „Bildungskredit“: 1 Jahr pro Kind, wird einem der zwei versicherten Elternteile gewährt oder zwischen beiden aufgeteilt;
   * Elternschaftsurlaub bis zur effektiven Länge des Urlaubs (kann nicht mit dem Mutterschafts-, Bildungs- oder Adoptionskredit kumuliert werden; günstigste Wahl für den Versicherten);
   * Pflege und Betreuung von Kindern: Zulage „Versicherungsdauer“ für die Erziehung eines schwerbehinderten Kindes bis zu einer Höchstdauer von zwei Jahren;
   * Pflege und Betreuung eines unterhaltsberechtigten Erwachsenen: Zulage „Versicherungsdauer“ für die ständige Betreuung eines behinderten Erwachsenen (Behinderung von mindestens 80%), bis zu einer Höchstdauer von 2 Jahren;
   * Arbeitslosigkeit: Unfreiwillige Arbeitslosigkeit (nicht registrierte Zeiträume seit 1980, die aufgrund bestimmter Bedingungen und bestimmter Grenzen nicht berücksichtigt werden);
   * Krankheit: Bezug von Leistungen wegen Krankheit, Mutterschaft, Invalidität, Berufsunfällen (vorübergehende oder permanente Erwerbsminderung von mindestens 66%) oder beruflicher Rehabilitation;
   * Andere Zeiten: 
   * Militärdienst und Untersuchungshaft
   * vorzeitige Beendigung der Erwerbstätigkeit;
   * bestimmte Zeiten der beruflichen Weiterbildung (für Arbeitssuchende ohne Entschädigung oder Menschen mit einer Behinderung). Zivildienstzeiten können als anerkannte Quartale angerechnet werden, gelten aber nicht als Beitragszeiten.
2. Säule (Zusatzrentensysteme (Agirc-Arrco)):
Zeiten des Bezugs von Leistungen bei Krankheit, Mutterschaft, Arbeitsunfällen, Invalidität, Arbeitslosigkeit und Vorruhestand.</t>
  </si>
  <si>
    <t>1. Säule (Basissystem):
Haben Versicherte im allgemeinen System rückblickend nicht genügend Beitragszahlungen geleistet, können sie unter bestimmten Voraussetzungen in ihre Rente einzahlen, indem sie Beitragstrimester kaufen:
   * für Studienzeiten; das entsprechende Studium muss durch ein Abschlusszeugnis nachgewiesen werden.
   * für unvollständige Jahre, in denen der Versicherte weniger als 4 Trimester geltend gemacht hat.
Es gibt zwei Möglichkeiten des Kaufs:
   * nur bezogen auf den Satz. Der Kauf erhöht den Berechnungssatz für die Rente;
   * bezogen auf Satz und Versicherungsdauer. Der Kauf erhöht den Satz und die Anzahl der Trimester, die bei der Rentenberechnung berücksichtigt werden.
In beiden Fällen kann der Versicherte maximal 12 Trimester kaufen.
Voraussetzungen:
   * Alter zwischen 20 und einschließlich 66 Jahre, 
   * kein Bezug von Altersrente.
Der Betrag der Zahlungen richtet sich nach:
   * dem Alter des Antragstellers, 
   * der gewählten Option (nur Satz oder Satz und Versicherungsdauer), 
   * Einkünfte der letzten 3 Jahre.
Es ist möglich, aufgrund eines bezahlten Praktikums im Rahmen eines Universitätsstudiums maximal 2 Quartale zu kaufen.
2. Säule (Zusatzrentensysteme (Agirc-Arrco)): Hat der Versicherte Zeiten (Hochschulausbildung oder unvollständige Jahre) im Rahmen des Basissystems zurückgekauft, kann er auch Punkte im Zusatzrentensystem zurückkaufen (maximal 140 Punkte pro Jahr, bis zu einer Höchstdauer von 3 Jahren). Der Kaufpreis wird auf der Grundlage des aktuellen Wert des Punktes und des Alters des Leistungsempfängers berechnet.</t>
  </si>
  <si>
    <t>Ehepartner:
   * Säule (Basissystem): Für Renten, die ab 2011 festgesetzt werden, gibt es keine Zulagen für den unterhaltsberechtigten Ehepartner.
   * Säule (Zusatzrentensysteme (Agirc-Arrco)): Keine Rentenzulage für den unterhaltsberechtigten Ehepartner.
Kinder:
   * Säule (Basissystem): Keine Zulage für unterhaltsberechtigte Kinder.
   * Säule (Zusatzrentensysteme (Agirc-Arrco)): 5% der Ansprüche der gesamten Karriere für jedes unterhaltsberechtigte Kind.</t>
  </si>
  <si>
    <t>1. Säule (Basissystem) und 2. Säule (Zusatzrentensysteme (Agirc-Arrco)):
Kumulierung mit den folgenden Sozialversicherungsleistungen möglich:
   * Beihilfe für behinderte Erwachsene (allocation aux adultes handicapés, AAH) in Form einer Beihilfe zur Differenz: Die gezahlte Beihilfe für behinderte Erwachsene (AAH) entspricht der Differenz zwischen dem Betrag der Rente und dem Höchstbetrag der Beihilfe für behinderte Erwachsene (€1.033,32 pro Monat);
   * Hinterbliebenenrente (pension de réversion).
Die Höhe der Rente ändert sich nicht.</t>
  </si>
  <si>
    <t>1/Basissystem (Régime de base):
   * Witwer/Witwe
   * geschiedene Ehepartner
   * Vollwaisen (einschließlich Volladoption).
2/Zusatzrentensysteme (Agirc-Arrco):
   * Witwe oder Witwer
   * geschiedener Ehepartner
   * Vollwaisen. Adoptierte Kinder sind nur dann berechtigt, wenn es sich um eine Volladoption (und nicht um eine einfache Adoption) handelt. Pflegekinder haben keinen Anspruch auf eine Waisenrente.
Für das Basissystem und die Zusatzrentensysteme sind nur die Personen (des anderen oder des gleichen Geschlechts) betroffen, die mit dem Verstorbenen verheiratet waren. Durch den zivilen Solidaritätspakt (pacte civil de solidarité, PACS) oder die Lebensgemeinschaft entsteht kein Anspruch auf Leistungen.
Keine weiteren Gruppen von Leistungsberechtigten.</t>
  </si>
  <si>
    <t>1/Basissystem (Régime de base):
   * Hinterbliebenenrente (pension de réversion): Witwer oder Witwen von mindestens 55 Jahren, nach Bedürftigkeitsprüfung (jährliches Bruttoeinkommen unter €24.710,40 für eine alleinstehende Person oder €39.536,64 für ein Paar).
   * Invaliditätsrente für Witwer/Witwen (pension d'invalidité de veuf ou de veuve): Erwerbsunfähigkeit (um mindestens 2/3 verminderte Erwerbsfähigkeit) und Alter unter 55 Jahren.
   * Altersrente für Witwer/Witwen (pension de vieillesse de veuf ou de veuve): Erwerbsunfähigkeit (um mindestens 2/3 verminderte Erwerbsfähigkeit) und Alter unter 55 Jahren.
2/Zusatzrentensysteme (Agirc-Arrco):
Nicht wiederverheirateter Ehepartner im Alter von mindestens 55 Jahren; keine Altersbedingung im Falle einer Behinderung oder wenn 2 unterhaltsberechtigte Kinder vorhanden sind.</t>
  </si>
  <si>
    <t>1/Basissystem (Régime de base):
Hinterbliebenenrente (pension de réversion):
Kumulierung mit einem Erwerbseinkommen bis zu einer Höchstgrenze des Jahreseinkommens:
   * €24.710,40 für eine alleinlebende Person;
   * €39.536,64 für eine Person, die in einer Partnerschaft lebt.
Das Jahreseinkommen wird unter Berücksichtigung von 70% des Erwerbseinkommens berechnet. Ab der Einkommensgrenze wird die Rente um den Betrag der Überschreitung gekürzt.
Invaliditätsrente für Witwen/Witwer (pension d'invalidité de veuf ou de veuve):
Kumulierung beschränkt auf eine Bemessungsgrenze mit einem Erwerbseinkommen möglich.
Waisenrente:
Berücksichtigung des Erwerbseinkommens ab dem 21. Lebensjahr des Anspruchsberechtigten: Das Einkommen der letzten 12 Monate darf eine bestimmte Grenze nicht überschreiten (12 x 55% des Bruttomindestlohns (salaire minimum interprofessionnel de croissance, SMIC) pro Stunde am 1. Januar x 169). Die Waisenrente wird ab dem Monat, der auf die Überschreitung folgt, endgültig gestrichen.
2/Zusatzrentensysteme (Agirc-Arrco):
Kumulierung mit einem Erwerbseinkommen möglich. Die Höhe der Hinterbliebenenrente ist unabhängig vom Erwerbseinkommen, und die Hinterbliebenenrente wird ohne Einkommensgrenze gezahlt.</t>
  </si>
  <si>
    <t>Wie für Arbeitnehmer für das Basissystem.
Für Versorgungsleistungen an Hinterbliebene im Rahmen von Zusatzsystemen gelten folgende Koeffizienten:
   * 60% für Handwerker, Kaufleute und Gewerbetreibende (gleicher Satz wie bei der Zusatzrente AGIRC-ARRCO für Arbeitnehmer);
   * 54% für Landwirte (Zusatzrentenpflichtversicherung (retraite complémentaire obligatoire, RCO) für Hinterbliebene);
   * variable für reglementierte freie Berufe.
Bestimmte freie Berufe haben die Möglichkeit, eine freiwillige Beitragszahlung für den Ehegatten zu leisten, um diesen Satz auf 100% zu erhöhen.</t>
  </si>
  <si>
    <t>Bewertungskriterien:
Als normale Invalidität gilt (ΣΥΝΗΘΗ ΑΝΑΠΗΡΙΑ), wenn eine Person infolge einer Krankheit oder einer körperlichen oder geistigen Behinderung, die während der Versicherungsmitgliedschaft aufgetreten ist oder sich verschlimmert hat, mindestens ein Jahr lang nicht mehr als ein Drittel der normalen Bruttoeinkünfte einer psychisch und körperlich gesunden Person derselben Berufskategorie und desselben Ausbildungsstandes aus einer Arbeit erzielen kann, die den Stärken, Fähigkeiten und der Ausbildung und üblichen beruflichen Tätigkeit dieser Person entspricht.
Als Teilinvalidität gilt (ΜΕΡΙΚΗ ΑΝΑΠΗΡΙΑ), wenn eine Person infolge einer Krankheit oder einer körperlichen oder geistigen Behinderung, die während der Versicherungsmitgliedschaft aufgetreten ist oder sich verschlimmert hat, mindestens sechs Monate lang nicht mehr als die Hälfte der normalen Bruttoeinkünfte einer psychisch und körperlich gesunden Person derselben Berufskategorie und des Ausbildungsstandes in derselben Präfektur aus einer Arbeit erzielen kann, die den Stärken, Fähigkeiten und der Ausbildung und üblichen beruflichen Tätigkeit dieser Person entspricht.
Als schwere Invalidität gilt (ΒΑΡΙΑ ΑΝΑΠΗΡΙΑ), wenn eine Person infolge einer Krankheit oder einer körperlichen oder geistigen Behinderung, die während der Versicherungsmitgliedschaft aufgetreten ist oder sich verschlimmert hat, mindestens ein Jahr lang nicht mehr als ein Fünftel der normalen Bruttoeinkünfte einer Person desselben Ausbildungsstandes erzielen kann.
Die Ergebnisse der Anwendung dieser Kriterien werden in Prozent ausgedrückt:
   * schwere Invalidität: Invalidität von mehr als 80%;
   * normale Invalidität: Invalidität zwischen 67% und 79,99%;
   * Teilinvalidität: Invalidität zwischen 50% und 66,99%.
Mindestgrad für den Anspruch auf Invalidenrente: 50%.
Für Beamte hängen die Kriterien für die Beurteilung des Anspruchs auf Invalidenrente von der Fähigkeit ab, ihre Tätigkeit im öffentlichen Dienst wahrzunehmen. Die Ergebnisse werden nicht in Prozent ausgedrückt.</t>
  </si>
  <si>
    <t>Invaliditätsrente setzt sich zusammen aus:
(a) der staatlichen Rente (ΕΘΝΙΚΗ ΣΥΝΤΑΞΗ), die nicht beitragsfinanziert ist, sondern direkt aus dem Staats-haushalt gezahlt wird. Die Höhe ist auf €436,40 pro Monat für mindestens 20 Versicherungsjahre festgelegt. Diese Höhe reduziert sich um 2% für jedes Jahr, das zwischen 20 und 15 Versicherungsjahren fehlt (d.h. die Höhe der staatlichen Rente für 15 Versicherungsjahre ist €392,76 pro Monat).
Die oben genannte Höhe der staatlichen Rente reduziert sich weiter entsprechend dem Grad der Behinderung:
   * schwere Invalidität (ΒΑΡΙΑ ΑΝΑΠΗΡΙΑ): Grad der Erwerbsunfähigkeit von mindestens 80%: volle staatliche Rente;
   * normale Invalidität (ΣΥΝΗΘΗΣ ΑΝΑΠΗΡΙΑ): Grad der Erwerbsunfähigkeit von mindestens 67% bis 79,99%: 75% der staatlichen Rente;
   * Teilinvalidität (ΜΕΡΙΚΗ ΑΝΑΠΗΡΙΑ): Grad der Erwerbsunfähigkeit von 50% bis 66,99%: 50% der staatlichen Rente.
(b) die Zusatzrente (ΑΝΤΑΠΟΔΟΤΙΚΗ ΣΥΝΤΑΞΗ), welche berechnet wird entsprechend
   * den Versicherungsjahren, die bei der Anwendung von Ersatzraten pro Jahr (ποσοστά αναπλήρωσης) berücksichtigt werden und die bei 0,77% beginnen für 15 Versiche-rungsjahre und schrittweise angehoben werden auf 2,55% für 36-40 Versicherungsjahre und auf 0,5% fallen bei mehr als 40 Versicherungsjahren; und
   * den durchschnittlichen rentenberechtigten Einkommen des Versicherten ab dem Versicherungsjahr 2002 bis zum Tag des Rentenantrags.
Der beitragspflichtige Teil der Invalidenrente variiert je nach dem bisherigen Bruttoeinkommen während der Erwerbstätigkeit.
Sie wird monatlich gewährt und 12 Mal im Jahr ausgezahlt.
Der Anspruch auf Invalidenrente unterliegt nicht einer Bedürftigkeitsprüfung.
Der Bezug von nicht-stationärer Pflege (ΕΞΩΙΔΡΥΜΑΤΙΚΟ ΕΠΙΔΟΜΑ), Leistung bei Vollinvalidität (ΕΠΙΔΟΜΑ ΑΠΟΛΥΤΟΥ ΑΝΑΠΗΡΙΑΣ) oder sonstigen Sozialleistungen hat keinen Einfluss auf die Höhe der Invalidenrente.
Der Anspruch auf zusätzliche Invalidenrente aus der ersten Säule (Zweig für Zusatzversicherung innerhalb der e-EFKA) oder der zweiten Säule (Berufsfonds) beginnt, sobald der Leistungsempfänger die Hauptinvalidenrente aus der ersten Säule erhält (e-EFKA).</t>
  </si>
  <si>
    <t>1. Altersrente entsprechend Gesetz Nr. 612/77 (ΣΥΝΤΑΞΗ ΓΗΡΑΤΟΣ ΤΟΥ ΝΟΜΟΥ 612/77):
Völlig Blinde und an bestimmten Krankheiten leidende Versicherte (unabhängig vom Versicherungsbeginn), die 4.050 beitragspflichtige Arbeitstage vorweisen können, erhalten ungeachtet ihres Alters eine Rente, die einem Versicherungszeitraum von 10.500 Arbeitstagen entspricht. Monatliche Zahlung.
2. Leistungen für nicht-stationäre Pflege (ΕΞΩΙΔΡΥΜΑΤΙΚΟ ΕΠΙΔΟΜΑ):
Monatliche Leistungen an versicherte Personen, Empfänger von Alters-, Invaliditäts- und Hinterbliebenenrente, wenn diese keine Leistung bei Vollinvalidität (ΕΠΙΔΟΜΑ ΑΠΟΛΥΤΟΥ ΑΝΑΠΗΡΙΑΣ), beziehen, sowie Familienmitglieder der Rentenempfänger und versicherten Personen, wenn diese an besonderen Krankheiten leiden und bestimmte Bedingungen erfüllen.
Die versicherte Person muss Folgendes vervollständigt haben:
   * 50 Arbeitstage, die für den Anspruch für Sachleistungen bei Krankheit erforderlich sind, innerhalb des Jahres der Antragstellung und mindestens 350 versicherungspflichtige Arbeitstage während der letzten 4 Jahre vor der Invalidität, oder
   * 1.000 versicherungspflichtige Arbeitstage insgesamt.
Die Leistungen für nicht-stationäre Pflege werden nur von einer Anstalt/ Einrichtung gewährt.
Der Betrag entspricht dem 20-fachen des Bruttogehalts eines ungelernten Arbeiters, zuzüglich Zulagen für die Weihnachtsferien (100% der monatlichen Leistung), Osterferien und Sommerferien (jeweils 50% der monatlichen Leistung). Daher ist der Betrag €845,96 monatlich.
3. Leistung bei Vollinvalidität (ΕΠΙΔΟΜΑ ΑΠΟΛΥΤΟΥ ΑΝΑΠΗΡΙΑΣ):
Versicherungsbeginn vor 01.01.1993:
Monatliche Zahlung an Empfänger von Invaliditäts- und Hinterbliebenenrenten sowie an völlig erblindete Empfänger einer Altersrente, solange dauerhafte Pflege einer Drittperson erforderlich ist (Vollinvalidität). Der Monatsbetrag entspricht 50% der gezahlten Rente und darf das 20-Fache des Bruttogehalts eines ungelernten Arbeiters nicht übersteigen.
Versicherungsbeginn ab 01.01.1993:
Zahlung an Empfänger von Invaliditätsrenten sowie an völlig erblindete Empfänger einer Altersrente, solange dauerhafte Pflege einer Drittperson erforderlich ist (Vollinvalidität). Für Empfänger von Invaliditätsrenten entspricht der Monatsbetrag 25% des monatlichen Durchschnitts des für 1991 festgestellten Bruttosozialprodukts (BSP) je Einwohner, der jeweils entsprechend der Erhöhung der Beamtenpensionen angepasst wird. Für völlig erblindete Empfänger einer Altersrente entspricht der Monatsbetrag 50% der gezahlten Rente.
4. Sonderbeihilfen bei Invalidität: Geldleistungen, die unter bestimmten Bedingungen monatlich von der Organisation für Sozialleistungen (OPEKA) (ΟΡΓΑΝΙΣΜΟΣ ΠΡΟΝΟΙΑΚΩΝ ΕΠΙΔΟΜΑΤΩΝ ΚΑΙ ΚΟΙΝΩΝΙΚΗΣ ΑΛΛΗΛΕΓΓΥΣΗ - ΟΠΕΚΑ) gezahlt werden, sind in verschiedenen Ministeriellen Entscheidungen festgelegt für:
   * blinde Personen: sofern erwerbstätig oder Rentenempfänger: €391, sofern arbeitslos: €753;
   * taube und/oder taubstumme Personen: €391;
   * Personen mit geistiger Behinderung: €569;
   * Personen mit Thalassämie: €391;
   * Personen mit Hämophilie oder AIDS: €753;
   * Personen mit einer schweren Behinderung: €338;
   * Personen mit Zerebralparese: €753;
   * Personen mit Tetraplegie/Querschnittslähmung: €833.
Die Leistungen werden erbracht, so lange die Entscheidung des Zentrums zur Invaliditätsbescheinigung (KEPA) (ΚΕΝΤΡΑ ΠΙΣΤΟΠΟΙΗΣΗΣ ΑΝΑΠΗΡΙΑΣ – ΚΕΠΑ) unverändert bleibt.
5. EOPYY deckt die Unterhaltskosten für mittellose und unversicherte Personen mit Behinderung, die in Einrichtungen des betreuten Wohnens (Στέγες Υποστηριζόμενης Διαβίωσης) leben.</t>
  </si>
  <si>
    <t>6% der Hauptrente für Gesundheitsversorgung nach Abzug des sozialen Solidaritätsbeitrag für Rentenempfänger.
1. Beitrag entsprechend Artikel 38 des Gesetzes Nr. 3863/10, in der geänderten Fassung: Ein sozialer Solidaritätsbeitrag für Rentenempfänger (ΕΙΣΦΟΡΑ ΑΛΛΗΛΕΓΓΥΗΣ ΣΥΝΤΑΞΙΟΥΧΩΝ, ΕΑΣ) wird auf monatliche Renten über €1.433,61, zu folgenden Sätzen erhoben:
   * 3% für Renten zwischen €1.433,61 und €1740,80,
   * 6% für Renten zwischen €1.740,81 und €2.048,00,
   * 7% für Renten zwischen €2.048,01 und €2.355,20,
   * 9% für Renten zwischen €2.355,21 und €2.662,40,
   * 10% für Renten zwischen €2.662,41 und €2.969,60,
   * 12% für Renten zwischen €2.969,61 und €3.276,80,
   * 13% für Renten zwischen €3.276,81 und €3.584,
   * 14% für Renten über €3.584,01.
2. Beitrag entsprechend Artikel 44 des Gesetzes Nr. 3986/11: Für Rentner im Alter von unter 60 Jahren wird ein zusätzlicher sozialer Solidaritätsbeitrag auf monatliche Renten über €1.740,81 zu folgenden Sätzen erhoben:
   * 6% für Renten zwischen €1.740,81 und €2.355,20,
   * 8% für Renten zwischen €2.355,21 und €2.969,60,
   * 10% für Renten über €2.969,61.
Spezifische Kategorien von Rentnern sind von den oben genannten Beiträgen ausgenommen, z.B. Rentner mit Anspruch auf Leistungen für nicht-stationäre Pflege (ΕΞΩΙΔΡΥΜΑΤΙΚΟ ΕΠΙΔΟΜΑ).</t>
  </si>
  <si>
    <t>1. Säule (Hauptrente der e-EFKA):
   * 67 Jahre (bei 15 Versicherungsjahren),
   * 62 Jahre (bei 40 Versicherungsjahren).
Ab dem Jahr 2021 werden das Mindest- und das gesetzliche Renteneintrittsalter alle drei Jahre in Übereinstimmung mit Veränderungen der Lebenserwartung angepasst.</t>
  </si>
  <si>
    <t>1. Säule (Hauptrente der e-EFKA):
Folgende Bedingungen gelten in Kombination mit dem Lebensalter:
   * Staatliche Rente (ΕΘΝΙΚΗ ΣΥΝΤΑΞΗ): mindestens 15 Jahre legaler, dauerhafter Wohnsitz in Griechenland zwischen dem Alter von 15 Jahren und dem Renteneintrittsalter und mindestens 15 Versicherungsjahre;
   * Beitragsabhängige Rente (ΑΝΤΑΠΟΔΟΤΙΚΗ ΣΥΝΤΑΞΗ):
   * Versicherungszeitraum von 4.500 versicherungspflichtigen Arbeitstagen (oder 15 Versicherungsjahren) und Alter von 67 Jahren,
   * Mindestversicherungszeit von 12.000 versicherungspflichtigen Arbeitstagen (oder 40 Jahren) und Alter von 62 Jahren,
   * Mütter oder verwitwete Väter von Kindern jedes Alters, die erwerbsunfähig sind: 5.500 Arbeitstage (erste Versicherung bis 31.12.1992) oder 6.000 Arbeitstage (erste Versicherung nach dem 1.1.1993) und ein Alter von 55 Jahren für eine volle Rente unter der Bedingung, dass sie keine andere Rente beziehen,
   * Eltern und Geschwister von Personen mit einer Behinderung von mindestens 67% und Ehepartner von Personen mit einer Behinderung von mindestens 80%: 7.500 versicherungspflichtigen Arbeitstage im Alter von 62 Jahren.
Der Anspruch auf Altersrente ohne Kürzung des Betrags (volle Rente) ist abhängig vom Alter bei Beantragung der Rente, nicht der Anzahl der Jahre von geleisteten Sozialbeiträgen oder des Aufenthaltes. Kein Begriff der vollständigen Laufbahn oder vollständiger Beitragskonten.</t>
  </si>
  <si>
    <t>1. Säule (Hauptrente der e-EFKA):
Versicherungsbeginn vor 01.01.1993:
Gekürzter Betrag ab:
   * 62 Jahren für Männer und Frauen, wenn 15 Versicherungsjahre oder 4.500 Versicherungstage vorliegen (von denen 100 Tage in den letzten 5 Jahren gearbeitet wurde),
   * 62 Jahren für Mütter und verwitwete Väter minderjähriger Kinder nach 18 Versicherungsjahren oder 5.500 Arbeitstagen,
   * 50 Jahren für Mütter oder verwitwete Väter eines Kindes, das zu keinerlei Erwerbstätigkeit befähigt ist, sofern 5.500 Versicherungstage vorliegen.
Versicherungsbeginn ab 01.01.1993:
Gekürzter Betrag ab:
   * 62 Jahren mit 4.500 Versicherungstagen, davon 750 Arbeitstage in den letzten 5 Jahren vor Eintritt in den Ruhestand,
   * 62 Jahren für Mütter von minderjährigen Kindern mit 6.000 Versicherungstagen oder 20 Jahren,
   * 50 Jahren für Mütter und verwitwete Väter eines Kindes, das zu keinerlei Erwerbstätigkeit befähigt ist, sofern 6.000 Versicherungstage vorliegen.
Anspruch auf vorgezogene Altersrente ist möglich für Beschäftigte in beschwerlichen und gefährlichen Berufen (für nähere Informationen siehe Tabelle VI zu Alter „Bedingungen, Beschwerliche und gefährliche Arbeiten“).</t>
  </si>
  <si>
    <t xml:space="preserve">1. Säule (Hauptrente der e-EFKA):
Definition:
Beschwerliche und ungesunde Berufe sind in Ministerialentscheidung Nr. F10221/oik.26816/929/2011 aufgeführt. Die Entscheidung enthält Arbeitsplätze, an denen bestimmte Tätigkeiten unter dem Beschwerliche und ungesunde Berufe-Programm versichert sind. (z.B. Minen, Baustellen, Gerbereien, Eisen- und Stahlindustrie, Zementindutrie, Textilfabriken, Chemieindustrie, Waschmittelindustrie, Pflanzenschutzherstellung, Grubenausbau, Marmorverarbeitung, Lack- und Farbenindustrie, Chemiedüngerindustrie, Glasfabriken, Sprengstoffindustrie und Raffinerien).
Bedingungen zum Zugang zu beitrags-abhängiger Rente (ΑΝΤΑΠΟΔΟΤΙΚΗ ΣΥΝΤΑΞΗ):
Diejenigen, die unter den oben genannten Bedingungen versichert sind, gehen im Alter von 62 Jahren (mit weniger als 40 Beitragsjahren) in den Ruhestand und erhalten den vollen Rentenbetrag.
Bedingungen zum Zugang zu vorzeitiger Rente:
Versicherungsbeginn vor 01.01.1993:
   * Gesamtbetrag: ab 62 Jahren für Männer und Frauen, wenn sie 10.500 Versicherungstage absolviert haben (von denen an 7.500 unter beschwerlichen und ungesunden Bedingungen gearbeitet worden sein muss),
   * Gesamtbetrag: ab dem Alter von 62 Jahren für Männer und Frauen, wenn sie 4.500 Arbeitstage geleistet haben (davon 3.600 in beschwerlichen und gefährlichen Berufen – und von diesen 1.000 Tage in den letzten 17 Jahren vor dem Erreichen des Alters von 62),
   * Reduzierter Betrag: ab dem Alter von 60 Jahren für Männer und Frauen, wenn sie 35 Arbeitsjahre geleistet haben oder 10.500 Versicherungstage vorliegen (von denen 7.500 Tage unter beschwerlichen oder ungesunden Bedingungen gearbeitet worden sein müssen).
Versicherungsbeginn ab 01.01.1993:
   * Gesamtbetrag: ab dem Alter von 62 Jahren für Männer und Frauen, wenn sie 4.500 Arbeitstage geleistet haben, von diesen 3.375 in in beschwerlichen und gefährlichen Berufen.
</t>
  </si>
  <si>
    <t xml:space="preserve">1. Säule (Hauptrente der e-EFKA):
Zeiten, die nur für den Zweck der Bewertung des Pensionsanspruchs, nicht jedoch für die Berechnung des zahlbaren Rentenbetrags genutzt werden:
   * Zeiten, in denen eine Invalidenrente bezogen wurde,
   * Zeiten des Bezugs von Krankengeld oder Arbeitslosengeld,
   * Zeiten der Teilnahme am Widerstand während des 2. Weltkriegs.
Zeiträume, die sowohl für die Bewertung des Pensionsanspruchs als auch für die Berechnung der zu zahlenden Pension genutzt werden:
   * Fehlzeiten aufgrund der Versorgung eines Kindes werden gutgeschrieben, sofern Elternurlaubszeit zur Kindererziehung (Gesetz 4808) und Elterngeld gewährt wurden.
   * Fehlzeiten aufgrund von Schwangerschaft werden gutgeschrieben, sofern Leistungen bei Schwangerschaft (d.h. Mutterschaftsgeld, ergänzende Mutterschaftsschutzbeihilfe, besondere Mutterschaftsschutzhilfe) gewährt wurden.
Nicht anwendbar:
   * Fehlzeiten aufgrund der Versorgung eines hilfebedürftigen Erwachsenen;
   * Bildungsurlaub.
</t>
  </si>
  <si>
    <t>1. Säule (Hauptrente der e-EFKA):
Keine sonstigen Zulagen für Rentner. Bezug ist aber möglich von:
   * Leistung für nicht-stationäre Pflege (ΕΞΩΙΔΡΥΜΑΤΙΚΟ ΕΠΙΔΟΜΑ);
   * Invaliditätsleistung (ΕΠΙΔΟΜΑ ΑΠΟΛΥΤΟΥ ΑΝΑΠΗΡΙΑΣ) bei vollständiger Blindheit;
   * Sonderbeihilfen bei Invalidität;
   * Unterhaltskosten für mittellose und unversicherte Personen mit Behinderung, die in Einrichtungen des betreuten Wohnens leben(Στέγες Υποστηριζόμενης Διαβίωσης).</t>
  </si>
  <si>
    <t>1. Säule (Hauptrente der e-EFKA):
   * 6% der Hauptrente für Gesundheitsversorgung, nach Abzug des sozialen Solidaritätsbeitrags für Rentenempfänger.
   * sozialer Solidaritätsbeitrag für Rentenempfänger (ΕΙΣΦΟΡΑ ΑΛΛΗΛΕΓΓΥΗΣ ΣΥΝΤΑΞΙΟΥΧΩΝ, ΕΑΣ) wird auf monatliche Renten erhoben, die €1.433,61 übersteigen.
   * Für Rentner im Alter von unter 60 Jahren wird ein zusätzlicher sozialer Solidaritätsbeitrag auf monatliche Renten über €1.740,81 erhoben.
Spezifische Kategorien von Rentnern sind von den oben genannten Beiträgen ausgenommen, z.B. Rentner mit Anspruch auf Leistungen für nicht-stationäre Pflege (ΕΞΩΙΔΡΥΜΑΤΙΚΟ ΕΠΙΔΟΜΑ).
Siehe Tabelle V „Invalidität“, „Besteuerung und Sozialabgaben, Sozialabgaben von der Rente“ für nähere Informationen.</t>
  </si>
  <si>
    <t>Ehedauer muss mindestens 3 Jahre betragen, es sei denn:
   * der Verstorbene starb bei einem Arbeitsunfall oder durch Mord;
   * Kinder werden während der Ehe geboren oder adoptiert;
   * zum Todeszeitpunkt besteht eine Schwangerschaft, die zu einer Lebendgeburt führt;
   * das Paar verheiratet sich wieder, in welchem Fall die Dauer beider Ehen 5 Jahre oder mehr betragen und die zweite Ehe mindestens 6 Monate gedauert haben muss zum Zeitpunkt des Todes.
Keine Altersbeschränkungen.
Es gelten die gleichen Bedingungen für Männer und Frauen.</t>
  </si>
  <si>
    <t>Der überlebende geschiedene Ehepartner erhält eine Pension, wenn folgende Bedingungen erfüllt sind:
   * der ehemalige Ehepartner zahlte vor seinem/ihrem Tod Unterhaltsleistungen (auf der Grundlage eines Gerichtsurteils);
   * die Ehe dauerte mehr als 10 Jahre,vor der Scheidung;
   * wenn der frühere Ehepartner nicht die Scheidung verursachte;
   * der überlebende geschiedene Ehepartner ist nicht wieder verheiratet bzw. nicht in einer zivilen Lebenspartnerschaft.</t>
  </si>
  <si>
    <t>Die Invalidenrente (Invalidity Pension) ist ein obligatorisches Sozialversicherungssystem für Erwerbstätige (Arbeitnehmer und Selbstständige) mit pauschalen Geldleistungen.
Die Leistungen werden getrennt vom staatlichen Rentensystem erbracht.
Empfänger von Invalidenrente mit geminderter Erwerbsfähigkeit haben unter Umständen Anspruch auf Teilkrankengeld (Partial Capacity Benefit).
Zudem gibt es zwei relevante Sozialhilferegelungen bei Invalidität:
   * Behindertenbeihilfe (Disability Allowance) wird Personen gewährt, die wesentliche Einschränkungen aufgrund einer bestimmten Behinderung haben, um eine ihrem Alter, ihrer Erfahrung und ihrer Qualifikation angemessene Arbeit verrichten zu können.
   * Blindenrente (Blind Pension) ist eine Sozialhilferegelung für Personen mit Sehbehinderungen (siehe Tabelle XI, Mindestsicherung).</t>
  </si>
  <si>
    <t>Invaliditätsrente (Invalidity pension):
€249,50 pro Woche, falls unter 66 Jahren. Ab einem Alter von 66 Jahren haben die Empfänger Anspruch auf die beitragsabhängige Staatliche Rente in Höhe von wöchentlich €289,30.
Teilkrankengeld (Partial Capacity Benefit):
Der Betrag ist ein Prozentsatz des Krankengelds oder Invaliditätsrente, der auf der Bewertung der Einschränkung der Erwerbsfähigkeit basiert, d.h.:
   * Er beläuft sich auf 100% der Invaliditätsrente für Menschen mit schwerster Erwerbsunfähigkeit;
   * Er beträgt 50% bzw. 75% für Personen mit einer mittelschweren oder schweren Unfähigkeit.
Der jeweilige wöchentliche Betrag unterliegt nicht der Bedürftigkeitsprüfung.
Es kann Weihnachtsgeld ausbezahlt werden. Dazu ist ein Bescheid der Regierung gegebenenfalls im Rahmen des jährlichen Haushaltsverfahrens erforderlich.
Für Informationen zu Behindertenbeihilfe (Disability Allowance) und Blindenrente (Blind Pension) siehe Tabelle XI - Mindestsicherung.</t>
  </si>
  <si>
    <t>Das Lohnzuschussprogramm (Wage Subsidy Scheme) bietet Arbeitgebern außerhalb des öffentlichen Sektors finanzielle Anreize für die Anstellung von Personen mit Behinderungen, die mehr als 15 Stunden pro Woche arbeiten.
Die Behörden behalten bis zu 3% der geeigneten Arbeitsstellen Menschen mit Behinderungen vor.
Das Ministerium für Sozialschutz stellt verschiedene Beihilfen zur Verfügung:
   * Zulage für die Anpassung eines Arbeitsplatzes (Workplace Adaptation Grant), im Rahmen derer Personen mit einer Behinderung oder ihrem Arbeitgeber maximal €6.350 zur Deckung der Kosten bereitgestellt werden, die bei Anpassungen von Arbeitsumfeld oder Ausstattung anfallen. Das Programm zu Beihilfen für Beibehaltung von Arbeitnehmern (Employee Retention Grant Scheme) steht allen Unternehmen des Privatsektors offen. Förderung ist erhältlich zur Unterstützung der Beibehaltung jedes vorhandenen Arbeitnehmers auf jeder Ebene und mit jeder Beschäftigung innerhalb des Unternehmens, der eine Erkrankung oder Beeinträchtigung erleidet, die die aktuelle Befähigung, seine/ihre Tätigkeit auszuführen, beeinflusst.
   * EmployAbility Service ist ein Beschäftigungs- und Rekrutierungsdienst, der Menschen mit Behinderungen und Beeinträchtigungen hilft, einen Arbeitsplatz zu finden und zu behalten.
   * Zuschuss zur technischen Unterstützung von bis zu €1.000 für Personen, die nach Ermessen des Sachbearbeiters an vetraglich gebundene Vermittlungsdienste zur Beschäftigungsförderung verwiesen werden.</t>
  </si>
  <si>
    <t>Durchschnittlich (entrichtete oder angerechnete) Anzahl von Beiträgen pro Jahr.
Derzeit wird jeder Antrag nach zwei Methoden beurteilt:
   * jährlich gemeldete durchschnittliche Beitragsanzahl (entrichtet oder angerechnet) – die Beitragsanzahl geteilt durch die Verweildauer im Sozialversicherungssystem);
   * dem vorläufigen Gesamtbeitragsansatz. Alle geleisteten Beiträge und für bis zu zwei Jahre angerechnete Beiträge werden kombiniert.
Für die Zahlung wird die Methode genutzt, die für den Antragsteller vorteilhafter ist.</t>
  </si>
  <si>
    <t>(Beitragsabhängige) Staatliche Rente (State Pension (Contributory)):
(max.) €289,30 pro Woche. Bei weniger als 48 (aber mindestens 10) geleisteten Beitragswochen pro Jahr wird die Rente wie folgt gekürzt:
Durchschnittsrente pro Woche:
   * 40-47: €283,70
   * 30-39: €260,10
   * 20-29: €246,30
   * 15-19: €188,50
   * 10-14: €115,60
Der Satz, der für diejenigen gezahlt wird, die im Rahmen des vorläufigen Gesamtbeitragsansatzes bewertet werden, ist anteilig für diejenigen, die nicht die für eine volle Rente erforderlichen 2080 Beiträge erreichen.
Es kann Weihnachtsgeld ausbezahlt werden. Dazu ist ein Bescheid der Regierung gegebenenfalls im Rahmen des jährlichen Haushaltsverfahrens erforderlich.</t>
  </si>
  <si>
    <t>Beiträge können für die Bestimmung des jährlichen Durchschnitts und somit der gegebenenfalls zahlbaren Rentenhöhe berücksichtigt werden. Sie können nicht zur Abdeckung der grundlegenden Mindestversicherungszeit von 520 Beiträgen verwendet werden.
Vorbehaltlich von Bedingungen können Beiträge angerechnet werden für:
   * Personen im Alter von 16 bis 66 Jahren, die Geldleistungen bei Krankheit, Mutterschaft, dauernder Invalidität, Arbeitslosigkeit, Arbeitsunfall oder Ruhestandsrente erhalten;
   * Versicherte Personen, die arbeitssuchend oder krank gemeldet sind, aber keine Leistung erhalten.
Seit 1994 können bei der Berechnung des jährlichen Durchschnitts und somit der zahlbaren Rentenhöhe bis zu 20 Jahre berücksichtigt werden, in denen die versicherte Person ein Kind unter 12 Jahren erzogen oder eine invalide Person (ohne Altersbeschränkung) gepflegt hat.
Im Rahmen des vorläufigen Gesamtbeitragsansatzes können Zeiträume der häuslichen Pflege von bis zu 20 Jahren für Personen angerechnet werden, die Kinder bis zum Alter von 12 Jahren oder andere Personen mit Vollzeitpflegebedarf betreut haben. Andere Gutschriften sind gemäß der jährlichen Durchschnittsmethode verfügbar, es gilt jedoch ein Gesamtlimit von 20 Jahren (1040 Beiträgen).
Ab Januar 2024 können Personen, die mehr als 20 Jahre lang eine invalide Person in Vollzeit gepflegt haben, Anspruch auf den Gegenwert der gezahlten Beiträge (Beiträge für Pflegebedürftige) für Zeiträume von mehr als 20 Jahren haben, die sie in der Pflege verbracht haben, um Lücken in ihrem Beitragsnachweis zu schließen, die für die Berechnung der (beitragsabhängigen) staatlichen Rente (State Pension (Contributory)) erforderlich sind.</t>
  </si>
  <si>
    <t>(Beitragsabhängige) Staatliche Rente (State Pension (Contributory)):
Für unterhaltsberechtigte Erwachsene werden erhöhte Beträge von €104,20 bis €259,40 pro Woche je nach Alter des Unterhaltsberechtigten und der durchschnittlichen Anzahl von Beiträgen, die der Rentner in seinem Arbeitsleben geleistet hat, gezahlt.
Die Zulagen für Unterhaltsberechtigte umfassen:
   * €50 pro Woche für jedes unterhaltsberechtigte Kind unter 12 Jahren.
   * €62 pro Woche für jedes unterhaltsberechtigte Kind ab 12 Jahren.</t>
  </si>
  <si>
    <t>Mindestens 260 Wochen versicherungspflichtige Beschäftigung mit Beitragszahlung.
Im Jahresdurchschnitt:
   * 39 entrichtete oder angerechnete Wochenbeiträge für jedes der 3 oder 5 Beitragsjahre vor Vollendung des 66.Lebensjahres oder, falls dieser früher liegt, vor dem Tag des Todes des Ehepartners/ Lebenspartner oder
   * 48 entrichtete oder angerechnete Wochenbeiträge seit Eintritt in die Versicherung (in diesem Fall wird eine reduzierte Rente ausbezahlt, wenn der jährliche Durchschnitt an Beitragswochen mehr als 24 und weniger als 48 Wochen beträgt).
Es reicht aus, wenn einer der beiden Ehepartner/ Lebenspartner die Bedingungen erfüllt.</t>
  </si>
  <si>
    <t>Beitragsunabhängige Rente für Witwen, Witwer und hinterbliebene Lebenspartner (Widow's, Widower's or Surviving Civil Partner’s (Non-Contributory)):
Diese Leistung unterliegt nicht der Bedürftigkeitsprüfung.
Wöchentlicher Leistungsbetrag für hinterbliebene und geschiedene Ehepartner und für hinterbliebene Lebenspartner:
   * Unter 66 Jahre: €249,50 pro Woche;
   * ab 66 Jahren: €289,30 pro Woche.
Erhöhung für ein berechtigtes Kind:
   * Kind unter 12 Jahren: €50 voller Satz. Halber Satz: €25
   * Kind über 12 Jahren: €62 voller Satz. Halber Satz: €31
Zulage für Alleinlebende (Living Alone Allowance): wird an alleinlebende Rentner und Menschen mit Behinderung gezahlt: €22 pro Woche.
Empfänger haben gegebenenfalls Anspruch auf die Brennstoffbeihilfe (Fuel Allowance) (€33 pro Woche für die Dauer der 28-wöchigen Heizsaison).
Es kann Weihnachtsgeld ausbezahlt werden. Dazu ist ein Bescheid der Regierung gegebenenfalls im Rahmen des jährlichen Haushaltsverfahrens erforderlich.
Zudem wird eine Rente für Witwen, Witwer und hinterbliebene Lebenspartner (Widow's, Widower's or Surviving Civil Partner’s Pension) für Personen unterhalb des Rentenalters gewährt (siehe Tabelle XI – „Mindestsicherung“).</t>
  </si>
  <si>
    <t>Halbwaisen:
   * €50 pro Woche für jedes unterhaltsberechtigte Kind unter 12 Jahren.
   * €62 pro Woche für jedes unterhaltsberechtigte Kind ab 12 Jahren.
Die Leistungen werden unterhaltsberechtigten Kindern unter 18 Jahren (oder unter 22 Jahren, falls in Vollzeitausbildung) gewährt. Kumulation mit Kindergeld möglich.
Vollwaisen:
Beitragsabhängiges Pflegschaftsgeld (Guardian’s Payment (Contributory)) in Höhe von wöchentlich €227 erhalten Kinder unter 18 Jahren (22 Jahre bei ganztägiger Ausbildung), wenn mindestens 26 Wochenbeiträge seitens eines Eltern- oder Stiefelternteils entrichtet wurden.
Pauschalleistungen und keine Bedürftigkeitsprüfung.
Weihnachtsgeld kann gezahlt werden. Dies erfordert eine Regierungsentscheidung, die Teil des jährlichen Haushaltsverfahrens sein kann.</t>
  </si>
  <si>
    <t>Kumulation möglich:
   * zum vollen Satz mit Familienbeihilfen;
   * zum halben Satz mit Mutterschaftsgeld bzw. Adoptionsgeld (Maternity and Adoptive Benefit) oder Beihilfe für Pflegepersonen (Carer's Allowance).</t>
  </si>
  <si>
    <t>Duales System:
   * Volksrente (lífeyrir almannatrygginga) universelles, steuerfinanziertes System für alle Einwohner, im Rahmen dessen pauschale Leistungsbeträge mit Einkommensprüfung gezahlt werden, die von der Dauer des Wohnsitzes und dem Grad der Invalidität abhängen;
   * Arbeitsrente (lögbundnir lífeyrissjóðir) beitragsabhängiges System für alle Erwerbstätigen mit einkommensbezogenen Renten, die von den Beiträgen und der Versicherungsdauer abhängen (außer im System für Arbeitnehmer im Staatsdienst, das auf Versorgungszusagen mit im Voraus definierten Leistungen und teilweise auf einem beitragsorientierten (DC) System beruht).</t>
  </si>
  <si>
    <t>Volksrente (lífeyrir almannatrygginga):
   * Einen Rentenanspruch haben Personen im Alter von 18 bis 66 Jahren, bei denen aufgrund einer medizinisch diagnostizierten Krankheit oder Invalidität eine dauerhafte Invalidität von 75 % oder mehr festgestellt wird.
   * Personen mit einem Invaliditätsgrad vom 50 % oder mehr, die bis auf den Invaliditätsgrad alle sonstigen Bedingungen erfüllen.
Arbeitsrente (lögbundnir lífeyrissjóðir):
Anspruchsberechtigt sind Personen mit einer Arbeitsunfähigkeit von mindestens 50%, deren Einkommen durch die Invalidität gemindert ist.</t>
  </si>
  <si>
    <t>Volksrente (lífeyrir almannatrygginga):
Antragsteller müssen:
   * mindestens in den letzten drei Jahren vor der Feststellung einer Invalidität von 75% durchgehend versichert gewesen sein, es sei denn, die Invalidität von 75% wurde erstmals im Alter von 18 Jahren festgestellt und sie waren zu dem Zeitpunkt versichert.
   * Oder sie müssen mindestens 12 Monate vor der Feststellung einer Invalidität von 75%  durchgehend versichert gewesen sein und entweder 20 Jahre lang im Alter von über 16 Jahren versichert gewesen sein oder müssen mindestens 5 Jahre lang im Alter von über 16 Jahren versichert gewesen sein und dürfen sich höchstens 5 Jahre im Ausland aufgehalten haben.
Arbeitsrente (lögbundnir lífeyrissjóðir):
Mindestens für 2 Jahre müssen Beiträge an den Rentenfonds entrichtet worden sein.</t>
  </si>
  <si>
    <t>Volksrente (lífeyrir almannatrygginga):
Bei 40 Kalenderjahren Versicherung zwischen 16 und 66 Jahren: volle Anspruchsberechtigung.
Bei kürzerer Versicherungsdauer: proportionale Berechnung entsprechend der Versicherungsdauer vor dem  Zeitpunkt der Feststellung der Invalidität von 75%.
Die Rente ist ein pauschaler Betrag, der bei sonstigen steuerpflichtigen Einkünften gekürzt wird. Alle zu versteuernden Einkünfte des Rentners werden bei der Berechnung des Beihilfebetrags nach bestimmten Regeln berücksichtigt. Leistungen der sozialen Sicherheit und Sozialhilfe werden jedoch insofern nicht zu den Einkünften gezählt.
Berechnungsmethode: Besondere theoretische jährliche Einkommenskriterien werden auf steuerpflichtigen Einkünften aus Arbeit, Zusatzrente und Kapitaleinkommen basierend berechnet, wobei jeder Art von Einkommen einem bestimmten Gewichtungsprozentsatz zugrunde liegt. Das theoretische jährliche Einkommenskriterium und die Regelungen für die Einkommensprüfung unterscheiden sich je nach Leistungskategorie. Ein bestimmter Jahresbetrag wird für jede Einkommensart bei der Berechnung jeder Leistungskategorie ausgenommen. Wenn das auf diese Weise berechnete theoretische jährliche Einkommenskriterium eine bestimmte Höhe überschreitet (welche je nach Leistungskategorie variiert), wird der feste pauschale Leistungsbetrag entsprechend besonderen Regeln gekürzt oder ausgesetzt. Steuerpflichtiges Einkommen des Ehepartners, welches als gemeinsames Einkommen betrachtet wird, wird nicht bei der Berechnung berücksichtigt.
Invaliditätsrente (örorkulífeyrir) für Personen in einem geteilten Haushalt nach dem Grad der Invalidität:
Invaliditätsgrad von mindestens 75%:
   * Volle Invaliditätsrente (örorkulífeyrir) von ISK 788.760 (€5.481) pro Jahr. Der Betrag wird reduziert, wenn der Bezieher über ein Einkommen von mehr als ISK 2.575.220 (€17.896) verfügt, und er wird ausgesetzt, bei mehr als ISK 11.339.220 (€78.799). Rentenzahlungen aus dem Arbeitsrentensystem und Kapitaleinkommen bis ISK 98.640 (€685) werden bei dieser Leistungsberechnung nicht berücksichtigt;
   * Altersbezogene Rentenzulage (aldurstengd örorkuuppbót) von max. ISK 756.240 (€5.255) bis min. ISK 18.912 (€131) im Jahr, abhängig vom Alter zum Zeitpunkt der ersten Feststellung des Grades der Invalidität von mindestens 75%. Diese Zulage wird nach den gleichen Regeln wie bei der Invaliditätsrente gekürzt oder ausgesetzt;
   * Voller Jahresbetrag der Rentenzulage (tekjutrygging) von ISK 2.525.820 (€17.553). Der Betrag wird reduziert, wenn das jährliche Einkommen (siehe Berechnungsmethode oben) bestimmte Grenzen übersteigt, und wird ausgesetzt, wenn es ISK 6.586.170 (€45.769) übersteigt. Ein Jahreseinkommen von ISK 328.800 (€2.285) aus dem Arbeitsrentensystem und ISK 2.400.000 (€16.678) aus der Arbeit und Kapitaleinkommen bis ISK 98.640 (€685) wird bei dieser Berechnung nicht berücksichtigt.
Invaliditätsgrad von 50 % bis 75 %:
Voller Jahresbetrag von ISK 583.092 (€4.052) oder ISK 788.760 (€5.481), wenn der Rentner zwischen 62-66 Jahren ist. Gekürzt in Abhängigkeit des Einkommens, wie oben beschrieben.
Monatliche Zahlungen.
Arbeitsrente (lögbundnir lífeyrissjóðir): Die Rente wird nach den Regeln der einzelnen Rentenfonds berechnet. Im Allgemeinen hängt sie vom Grad der Arbeitsunfähigkeit und den erworbenen Rentenpunkten ab.
Es werden zusätzliche Zahlungen am 1. Juli und vor Weihnachten, am 1. Dezember gezahlt.</t>
  </si>
  <si>
    <t>Volksrente (lífeyrir almannatrygginga):
Nach dem Sozialhilfegesetz (Lög um félagslega aðstoð) können in besonderen Situationen sowie, falls der Empfänger darauf angewiesen ist, neben den Renten verschiedene Hilfen gewährt werden.Beispiele:
   * Haushaltszulage für Alleinstehende (heimilisuppbót) von bis zu ISK 71.146 (€494) im Monat;
   * Zulagen zur Deckung von Aufwendungen (uppbót vegna kostnaðar), zwischen 5 % und 140 % des Grundbetrags unter besonderen Umständen ohne, dass die tatsächlichen Kosten überstiegen werden;
   * Sonderzulagen zur Unterstützung (Sérstök uppbót til framfærslu) wenn sich zeigt, dass sie nicht in der Lage sind, sich ohne die Zulagen selbst zu unterhalten und alle zu versteuernden Einkünfte des Renterns, Leistungen der sozialen Sicherheit und Sozialhilfe eine bestimmte Grenze unterschreiten. Für die Berechnung dieser Sonderzulagen werden 65% des zu versteuernden Einkommens, 95% der Rentenzulage und 50% der altersabhängigen Zulage berücksichtigt. Zulagen zur Deckung von Ausgaben und Beihilfe für Alleinerziehende werden nicht berücksichtigt.
Zulagen und Beihilfen für Rehabilitation, siehe Tabelle V, „Berufliche Wiedereingliederung, 1. Rehabilitation, Umschulung“.
Arbeitsrente (lögbundnir lífeyrissjóðir):
Keine sonstigen Leistungen.</t>
  </si>
  <si>
    <t>Für den Anspruch auf eine Invaliditätsrente kann dem Antragsteller die Bedingung auferlegt werden, sich einer besonderen Beurteilung bezüglich seines Rehabilitationspotentials zu unterziehen und entsprechende Rehabilitationsmaßnahmen durchzuführen bevor die Invalidität endgültig beurteilt wird.
Bestimmungen in verschiedenen Gesetzen:
   * Eine Rehabilitationsbeihilfe (endurhæfingarlífeyrir) kann gemäß dem Sozialhilfegesetz (Lög um félagslega aðstoð) bis zu 36 Monate gewährt werden, wenn die Feststellung des Ausmaßes der dauerhaften Invalidität nicht möglich ist. Der Antragsteller ist dazu verpflichtet, an anerkannten Reha-Maßnahmen teilzunehmen, und darf keinen Anspruch auf ein Gehalt oder Krankengeld von den Krankenkassen oder Gewerkschaften haben. Es besteht die Möglichkeit, den Leistungszeitraum um höchstens 24 weitere Monate auszuweiten.
   * Die Arbeitsverwaltung (Vinnumálastofnun) kann auch mit Unternehmen oder Institutionen Vereinbarungen über die Beschäftigung von behinderten Menschen treffen, die eine Invalidenrente, eine Invalidenbeihilfe oder eine Rehabilitationsbeihilfe erhalten, aber dennoch in der Lage sin zu arbeiten. In diesem Fall erstattet die Sozialversicherungsanstalt 25 % bis 75 % der Bruttolohnkosten. Während der Beschäftigung werden die Renten gekürzt.
   * Alle Arbeitnehmer, selbstständige Leistungsempfänger und andere Personen, die aus gesundheitlichen Gründen nicht vollständig am Arbeitsmarkt teilnehmen können, haben Anrecht auf Dienstleistungen eines Fonds zur beruflichen Rehabilitation. Sie müssen willens und fähig sein, an der beruflichen Rehabilitation teilzunehmen, mit dem Ziel ihre Teilnahme am Arbeitsmarkt zu erhöhen und die Rehabilitation muss geeignet sein, um positive Ergebnisse zu erzielen.
   * Medizinische Hilfsmittel, siehe Tabelle II „Krankheit - Sachleistungen“.
   * Ferner gibt es eine Reihe von Hilfen nach dem Behindertengesetz.
Arbeitsrente (lögbundnir lífeyrissjóðir):
Der Rentenfonds kann die Teilnahme eines Versicherten, der eine Invaliditätsrente (örorkulífeyrir) beantragt hat, an einer Rehabilitationsmaßnahme verlangen.</t>
  </si>
  <si>
    <t>Volksrente (lífeyrir almannatrygginga):
Der Rentenanspruch bemisst sich proportional zur Dauer des Wohnsitzes in Island bei einem Minimum von 3 Jahren und einer Obergrenze von 40 Jahren. Die Rente wird monatlich gezahlt.
Die Rente ist ein fester pauschaler Betrag (volle Altersrente für eine Person in einem gemeinsam genutzten Haushalt mit 40 Jahren Wohnsitz in Island ohne weiteres steuerpflichtiges Einkommen: ISK 347.521 (€2.415) pro Monat oder ISK 4.170.252 (€29.980) pro Jahr.  Dieser Betrag wird reduziert oder ausgesetzt, wenn das Einkommen des Rentners aus anderen Quellen eine bestimmte Grenze übersteigt.
Das zu versteuernde Einkommen von Ehegatten, mit Ausnahme von Kapitalerträgen, wirkt sich nicht auf die Berechnung des Rentenbetrags aus.
Berechnungsmethode: Alle zu versteuernden Einkommen über einer bestimmten Grenze wie nachfolgend beschrieben wirken sich auf die Berechnung der Leistungsbeträge aus, mit Ausnahme von Sozialversicherungsleistungen und Sozialhilfe, die diesbezüglich kein Einkommen darstellen.
Nicht berücksichtigte steuerpflichtige Einkommen:
   * allgemeines Jahreseinkommen bis zu ISK 438.000 (€2.085),
   * Jahresverdienst bis zur Grenze von ISK 2.400.000 (€16.678) aus Beschäftigung und
   * 50 % Einkommen aus Kapital bei Paaren.
45 % des Einkommens der Rentner, das diese Grenze übersteigt, reduziert den festen pauschalen Rentenbetrag.
Wenn das theoretische wie oben beschrieben berechnete Einkommen des Rentners ISK 9.705.227 (€67.444) pro Jahr übersteigt, wird die Altersrente ausgesetzt.
Im Juli und Dezember jeden Jahres werden zusätzliche Zahlungen geleistet.
Die Rente wird monatlich ausgezahlt.
Im Falle einer Unterbringung für mindestens 6 Monate in einer Einrichtung, die aus dem Staatshaushalt finanziert wird, werden die Rentenzahlungen eingestellt. Der Rentner erhält stattdessen eine monatliche persönliche Beihilfe von ISK 104.321 (€725).
Arbeitsrente (lögbundnir lífeyrissjóðir):
Die Rente wird nach den Regeln der einzelnen Rentenfonds berechnet. Generell wird ihre Höhe durch die erworbenen Rentenpunkte bestimmt. Bei einem Beitragszeitraum von 40 Jahren ergibt sich eine Mindestrente von 56 % des beitragspflichtigen Monatsbruttoeinkommens.
Monatliche Zahlungen und keine zusätzlichen Zahlungen zu bestimmten Jahreszeiten (z.B. zu Weihnachten oder im Winter für Energiekosten).</t>
  </si>
  <si>
    <t>Volksrente (lífeyrir almannatrygginga):
Nach dem Sozialhilfegesetz (Lög um félagslega aðstoð) können in besonderen Situationen neben den Renten verschiedene Hilfen gewährt werden.Beispiele:
   * Haushaltszulage für Alleinstehende (heimilisuppbót) bis zu ISK 87.817 (€610) pro Monat;
   * Zulagen zur Deckung von Aufwendungen (uppbót vegna kostnaðar), zwischen 70 % und 120 % des Altersrentenbetrags unter besonderen Umständen ohne dass die tatsächlichen Kosten überstiegen werden.
Arbeitsrente (lögbundnir lífeyrissjóðir):
Keine sonstigen Zulagen.</t>
  </si>
  <si>
    <t>Duales System:
   * Steuerfinanziertes System der Volksrente. Ein universelles durch Steuern finanziertes System mit pauschalen Leistungen für hinterbliebene Kinder.
   * Beitragsfinanziertes System der Arbeitsrente. Ein beitragspflichtiges System für alle Erwerbstätigen mit Leistungen, die von der Rente der verstorbenen Person abhängen.</t>
  </si>
  <si>
    <t>Es gibt einen Mindestzeitraum von Versicherungsbeiträgen für Anspruchsberechtigung auf die Leistung, der unabhängig ist vom Alter:
   * 5 Jahre Beitragszahlung, davon mindestens 3 Jahre während der letzten 5 Jahre für vollständige Invalidität;
   * keine Mindestversicherungszeit erforderlich bei Invalidität (aufgrund der Berufstätigkeit, jedoch nicht durch Arbeitsunfall).
Personen, die seit dem 1. Januar 1996 versichert sind:
Zeiten der Beschäftigung eines Arbeitnehmers mit Behinderung mit einer verminderten Erwerbsfähigkeit von mindestens 74% werden um 2 Monate pro Jahr verlängert (bis zu einer Höchstdauer von 5 Jahren).</t>
  </si>
  <si>
    <t>Die Hauptkriterien zur Beurteilung der Anspruchsberechtigung auf Leistungen bei Invalidität stehen im Zusammenhang mit dem Ausmaß der Beeinträchtigungen einer Person hinsichtlich ihrer Fähigkeit, zu arbeiten und alltägliche Tätigkeiten auszuüben.
Die Beeinträchtigungen werden durch medizinische Beurteilung bemessen, die von Ad-hoc-Kommissionen sowohl innerhalb der lokalen Gesundheitsbehörden als auch der rechtlich-medizinischen Abteilung des INPS durchgeführt werden. Die verbleibende Kapazität, die bisherige Beschäftigung oder jegliche andere Art der Beschäftigung auszuüben, wird anhand von Re-ferenzwerten (z.B. die Katz Tabelle, siehe Tabelle XII, „Langzeitpflege, Indikatoren und Bedürfniskategorien“) gemessen.
Invalidität wird als ein Prozentsatz der normalen Erwerbsfähigkeit ausgedrückt:
   * zwischen 66% und 99% der Erwerbsfähigkeit für die Invaliditätsbeihilfe (assegno ordinario d‘invalidità, AOI): 66%.
   * 100% Erwerbsunfähigkeit für die Erwerbsunfähigkeitsrente (pensione di inabilità): 100%.
Der Mindestlevel der vermiderten Erwerbsfähigkeit ist 66%.</t>
  </si>
  <si>
    <t>Invaliditätsbeihilfe (assegno ordinario d‘invalidità, AOI) und Erwerbsunfähigkeitsrente (pensione di inabilità): Für Beitragszeiten, die vor dem 31. Dezember 2011 von vor dem 1. Januar 1996 versicherten Personen geleistet wurden, gilt folgendes einkommensbezogenes Berechnungssystem (das sich auf Bruttoverdienst bezieht):
   * Einkommen bis zur Bemessungsgrenze von €55.448,13 (Obergrenze): 2% x n x E;
   * zwischen €55.448,14 und €73.746,02 (133% der Grenze): 1,6% x n x E;
   * zwischen €73.746,03 und €92.043,89 (166% der Grenze): 1,35% x n x E;
   * zwischen €92.043,90 und €105.351,45 (190% der Grenze): 1,1% x n x E;
   * über €105.351,46: 0,9% x n x E.
n = Anzahl der Versicherungsjahre (max. 40). Die Jahre zwischen der Feststellung der Rente und dem Erreichen der gesetzlichen Rentenaltersgrenze werden als fiktive Beitragszeiten hinsichtlich der Anspruchsberechtigung auf Erwerbsunfähigkeitsrente einbezogen.
E = Bezugslohn (siehe unten in Tabelle V, „Invalidität, 3. Referenzeinkommen und Berechnungsgrundlage“).
Für Beitragszeiten, die seit dem 1. Januar 2012 geleistet wurden, werden die Rentenbeträge entsprechend des beitragsbasierten Berechnungssystems ermittelt: Der Beitrag wird jährlich entsprechend der durchschnittlichen Steigerung des BIP während der letzten fünf Jahre angepasst. Der Rentenbetrag ergibt sich aus der Multiplikation der Gesamtbeiträge (montante contributivo) mit einem von der Lebenserwartung abhängenden Koeffizienten.
Anspruchsberechtigung auf die Invaliditätsbeihilfe (assegno ordinario d'invalidità, AOI) unterliegt der Bedürftigkeitsprüfung mit Erwerbseinkommen.</t>
  </si>
  <si>
    <t>Bezugslohn ("E"):
   * Für Personen mit 15 Beschäftigungsjahren vor dem 31. Dezember 1992: Durchschnittseinkommen (mit Obergrenze) der letzten 5 Jahre;
   * Für Personen mit weniger als 15 Beschäftigungsjahren vor dem 31. Dezember 1992: Durchschnittseinkommen (mit Obergrenze) während eines variablen Zeitraums zwischen den letzten 5 und 10 Jahren;
   * Bei erstmaliger Beschäftigung ab dem 1. Januar 1996 erfolgt die Berechnung auf der Grundlage der Beiträge des gesamten Arbeitslebens.</t>
  </si>
  <si>
    <t>Anreize für bevorzugte Beschäftigung von Menschen mit Behinderung bestehen für Arbeitgeber in der Ausnahme von Sozialabgaben für:
   * 5 Jahre bei verminderter Erwerbsfähigkeit zwischen 67% und 79%;
   * 8 Jahre bei verminderter Erwerbsfähigkeit von 80% und darüber.
Verpflichtende Quoten für die Anzahl der einzustellenden Menschen mit Behinderung variieren entsprechend der Zahl der Angestellten:
   * zwischen 15 und 35 Angestellte: 1 Person;
   * zwischen 35 und 50 Angestellte: 2 Personen;
   * mehr als 50 Angestellte: 7% der Gesamtbelegschaft.
Siehe auch Tabelle VIII „Arbeitsunfälle und Berufskrankheiten“, „Leistungen, 4. Rehabilitation“.</t>
  </si>
  <si>
    <t>Erstmals ab 1. Januar 1996 Versicherte mit einer Arbeitsversicherung von mindestens 20 Jahren können ab einem Alter von 64 Jahren in den Ruhestand gehen, wenn der Rentenbetrag, auf welchen sie Anspruch hätten, dem 3-fachen der monatlichen Sozialhilfeleistung (assegno sociale) entspricht (gleich €1.616,07,41 im Jahr 2025 für Männer und Frauen ohne Kinder: das 2,8-fache (€1.508,33) des genannten Betrags für berufstätige Mütter mit 1 Kind; das 2,6-fache (€1.400,59)  für berufstätige Mütter mit 2 oder mehr Kindern.
Der Betrag der vorgezogenen Rente unter den oben genannten Bedingungen darf nicht das 5-fache des Betrags der gesetzlichen Mindestrente überschreiten (entsprechend €603,40 monatlich im Jahr 2025) bis der Leistungsempfänger das gesetzliche Altersrentenalter (67 Jahre im Jahr 2025) erreicht, bis der Leistungsempfänger das gesetzliche Altersrentenalter (67 Jahre im Jahr 2025) erreicht.
Die Rentenzahlung wird gestundet (so genannte “Fenster”), wodurch die Rentenzahlung um 3 Monate über den Zeitpunkt der Anspruchsberechtigung hinaus verzögert wird.
Vorruhestand für Frauen (sogenannte „opzione donna“): die, obwohl sie unter das Hybridsystem fallen, akzeptieren, Leistungen zu erhalten, die gänzlich entsprechend dem beitrags-bezogenen Berechnungssystem errechnet werden. Folgende Bedingungen müssen erfüllt werden: 35 Jahre Arbeitsversicherung + Erreichen eines Alters von 61 Jahren bis Dezember 2023, zudem Erfüllen einer der folgenden weiteren Bedingungen:
   * gekündigt worden sein oder Risiko einer Entlassung durch Unternehmen, die von der aktuellen Industriekrise betroffen sind (in diesen Fällen wird Zugang zu diesem System ab 59 Jahren gewährt);
   * eine um 74% oder mehr verringerte Erwerbsfähigkeit;
   * mindestens 6 Monate lang eine Pflegeperson für ein Familienmitglied mit Behinderung gewesen sein.
Versicherte Mütter, die sich für dieses System entscheiden, haben Anspruch auf eine Altersreduzierung um 1 Jahr pro Kind (aber auf maximal 2 Jahre).
Sobald ie Voraussetzung erfüllt sind, gilt ab dem Fälligkeitsdatum der ersten Rentenzahlung eine Aufschubregelung von 12 Monaten.
Vorruhestandsbeihilfe (A.PE Sociale - Anticipo Pensionistico): diese versuchsweise gewährte Maßnahme, verlängert bis zum 31. Dezember 2025, die ein vorgezogenes Rentenalter vorsieht:
   * Mindestalter von 63 Jahren und 5 Monaten;
   * Beitragszahlungen über einen Zeitraum von mindestens 30 Jahren für effektive Beschäftigung (36 Jahre für Arbeitnehmer, die beschwerliche Arbeiten ausgeführt haben); günstigere Voraussetzung gelten für Frauen, d.h. es werden pro Kind 1 Jahr (bis höchstens 2 Jahre) der fiktiven Beiträge gutgeschrieben;
   * Einstellung der Erwerbstätigkeit entweder als Beschäftigter oder Selbstständiger in Italien und im Ausland bei Beantragung der Leistung. Kumulierung mit dem Bezug von Vorruhestandsbeihilfe ist möglich, wenn das jährliche Erwerbseinkommen einzig aus gelegentlicher Selbstständigkeit höchstens €5.000 beträgt;
   * kein Bezug eigener Rentenleistung.
   * Zudem muss eine der folgenden Voraussetzungen erfüllt sein:
   * Langzeitarbeitslosigkeit mit geringen Chancen für die Wiedereingliederung in den Arbeitsmarkt (siehe auch Tabelle X „Arbeitslosigkeit“);
   * Einzahlung von Leistungen über einen Zeitraum von mindestens 18 Monaten in den 36 Monaten vor dem Arbeitsplatzverlust, selbst wenn der arbeitslose Antragssteller im Rahmen eines festen Arbeitsvertrags beschäftigt war;
   * Einstufung als Person mit Behinderungen und einem Grad der Invalidität von mindestens 74% (siehe auch Tabelle XI „Mindestsicherung“);
   * Unterstützung einer Person mit Behinderungen über einen Zeitraum von mindestens 6 Monaten vor Geltendmachung des Anspruchs, die im Haushalt wohnt und ein Verwandter 1. Grades (z.B. Ehegatte, Eltern, Kind) oder 2. Grades ist, wenn Ehegatte oder Eltern selbst eine Behinderung haben oder älter als 70 Jahre oder verstorben sind (siehe auch Tabelle IX „Familienleistungen“).
Flexible Vorruhestandsrente, die so genannte "Pensione anticipata flessibile" or “Quota 103”: eine experimentelle Maßnahme, die für das Jahr 2025 gilt unter den folgenden Voraussetzungen: 62 Lebensjahre und 41 Beitragsjahre (35 davon bezogen auf die tatsächliche Arbeit, d.h. es werden keine fiktiven Beiträge berücksichtigt). Sie gilt nicht für: Fachkräfte, Geistliche, Militärpersonal, Journalisten, Zollbeamte. Für Arbeitnehmer und Beamte gelten zwei unterschiedliche Stundungssysteme von 7 bzw. 9 Monaten, sobald sie die Anspruchsvoraussetzungen bis Dezember 2025 erfüllt haben. Beamte werden gebeten, eine Kündigungsfrist von 6 Monaten bei der öffentlichen Stelle einzuhalten, für die sie tätig sind. Der entsprechende Antrag muss bis spätestens November 2025 eingereicht werden.
Der Leistungsbetrag wird gemäß dem beitragsbezogenen Berechnungssystem (Defined Contribution System) berechnet: der monatliche Betrag darf das 4-fache des Mindestrentenbetrags nicht überschreiten, bis Leistungsempfänger das gesetzliche Rentenalter von 67 Jahren erreichen; ab diesem Zeitpunkt erhalten sie den Gesamtbetrag ihrer Altersrente.
Als Anreiz für aktives Altern werden versicherte Arbeiternehmer, die sich, obwohl sie anspruchsberechtigt sind für die “Quota 103”, für eine Fortsetzung ihrer Erwerbstätigkeit entscheiden, von der Zahlung ihres Beitragssatzes von 9,19% ausgenommen (8,80% für Beamte), was eine Erhöhung ihres Monatsgehalts zur Folge hätte.</t>
  </si>
  <si>
    <t>Beschwerliche Arbeiten:
Definition und Kategorien von beschwerlichen Arbeiten (lavori usuranti): Bergarbeiter, Arbeitnehmer, die in der Asbestentfernung eingesetzt werden, Nachtschichtarbeiter, Fahrer (eingestuft in drei Kategorien entsprechend der Anzahl der Arbeitsstunden pro Nacht) schwerer Fahrzeuge im öffentlichen Personenverkehr etc. wie in der gesetzgebenden Verordnung Nr. 67 vom 21. April 2011 festgelegt.
Vorteilhaftere Bedingungen gelten für Arbeitnehmer, die beschwerliche Arbeiten ausführen:
   * keine Anwendung des Stundungssystems;
   * Verkürzung des Rentenalters um 12 bis 18 Monate gegenüber dem normalen Rentenalter (d.h. 35-jährige Beitragszahlungen + 61 Jahre und 7 Monate, die die aktuelle Quote von 97,60 erklären, die bis Dezember 2026 gilt);
   * keine weiteren Anpassungen an Lebenserwartung.
Der Anspruch ist abhängig von der Ausführung einer beschwerlichen Arbeit über einen Zeitraum von mindestens 7 Jahren in den letzten 10 Jahren des Erwerbslebens des Arbeitnehmers oder, alternativ, über die Hälfte des gesamten Erwerbslebens. Eine auf der Lebenserwartung basierende Verlängerung des Rentenalters für den Zeitraum 2019-2026 kommt nicht zur Anwendung.
Beschwerliche Arbeiten (lavori gravosi):
Arbeiternehmer, die beschwerliche Arbeiten mindestens 6 Jahre in den letzten 7 Jahren des Erwerbslebens oder 7 Jahre in den letzten 10 Jahren ausgeführt haben, können zudem Anspruch auf eine Vorruhestandsbeihilfe (A. PE Sociale - Anticipo Pensionistico) haben, sofern die Voraussetzungen erfüllt sind. Kategorien beschwerlicher Arbeiten sind im Stabilitätsgesetz für 2017 aufgeführt (Anhänge C und E) und wurden im Jahr 2018 (Anhang B des „Haushaltsgesetzes“ des Jahres 2018) erweitert, eingeschlossen sind z.B. Seefahrer, Beschäftigte in der Stahlindustrie, Fischer und Beschäftigte in der Landwirtschaftsindustrie) sowie im Jahr 2022 (Haushaltsgesetz einschließlich 23 neue Kategorien). Zudem gelten vorteilhaftere Konditionen für Angestellte der Bauindustrie hinsichtlich des Anspruchs auf die Vorruhestandsbeihilfe (A. PE Sociale - Anticipo Pensionistico): 63 Jahre und 5 Monate und 32 Beitragsjahre (anstelle der gesetzlich festgelegten 36 Jahre).</t>
  </si>
  <si>
    <t>Für Beitragszeiten, die vor dem 31. Dezember 2011 von vor dem 1. Januar 1996 versicherten Personen geleistet wurden, gilt folgendes einkommensbezogenes Berechnungssystem:
   * Einkommen bis zur Bemessungsgrenze von €55.008,07: 2% x n x E;
   * Einkommensteil zwischen €55.008,07 und €73.160,73 (Bemessungsgrenze x 1,33): 1,6% x n x E;
   * Einkommensteil zwischen €73.160,73 und €91.313,38 (Bemessungsgrenze x 1,66): 1,35% x n x E;
   * Einkommensteil zwischen €91.313,38 und €104,515,33 (Bemessungsgrenze x 1,90): 1,1% x n x E;
   * Einkommen über €104.515,33: 0,9% x n x E.
n = Anzahl der Versicherungsjahre (max. 40).
E = Bezugslohn (siehe unten „3. Referenzeinkommen und Berechnungsgrundlage“).
Für Beitragszeiten, die seit dem 1. Januar 2012 geleistet wurden, werden die relevanten Rentenbeträge entsprechend des beitragsbezogenen Berechnungssystems ermittelt: Der Beitrag wird jährlich entsprechend der durchschnittlichen Steigerung des BIP während der letzten fünf Jahre angepasst. Der Rentenbetrag ergibt sich aus der Multiplikation der Gesamtbeiträge (montante contributivo) mit einem Transformationskoeffizienten (d.h. ein versicherungsmathematischer Koeffizient der je nach Alter variiert und schrittweise entsprechend der Lebenserwartung angehoben wird).
Die Renten werden in 13 monatlichen Teilbeträgen ausgezahlt, wobei der 13. dem Weihnachtsgeld entspricht. Das Sommergeld, das sogenannte „Quattordicesima“ (14. Rentenbetrag), ist eine einkommensunterstützende Maßnahme, die auf dem Einkommen und der Anzahl der geleisteten Beiträge basiert (siehe Kategorie „Leistungen, 7. Besondere Zulagen“).</t>
  </si>
  <si>
    <t>Bezugslohn:
   * Für Personen mit 15 Beschäftigungsjahren vor dem 31. Dezember 1992: Durchschnittseinkommen (mit Obergrenze) der letzten 5 Jahre;
   * Für Personen mit weniger als 15 Beschäftigungsjahren vor dem 31. Dezember 1992: Durchschnittseinkommen (mit Obergrenze) während eines variablen Zeitraums zwischen den letzten 5 und 10 Jahren;
   * Bei erstmaliger Beschäftigung ab dem 1. Januar 1996 erfolgt die Berechnung auf der Grundlage der Beiträge des gesamten Arbeitslebens.
Die oben aufgelisteten Bedingungen des Bezugslohns gelten nur für die Berechnung der anteiligen Rente basierend auf den Beiträgen, die von der vor dem 1. Januar 1996 versicherten Person bis zum 31. Dezember 2011 geleistet wurden.
Die Obergrenzen des Jahreseinkommens für das einkommensbezogene Berechnungssystem belaufen sich im Jahr 2025 auf: von €55.448 bis €105.351,45 (siehe unter Kategorie „Berechnungsmethode, Rentenformel oder Beträge“) für vor dem 1. Januar 1996 Versicherte; €120.607 für erstmals ab dem 1. Januar 1996 Versicherte.
Die Anpassung erfolgt entsprechend dem Verbraucherpreisindex.</t>
  </si>
  <si>
    <t>Möglichkeit zum Rückkauf der folgenden Versicherungszeiten sowohl im Hinblick auf den Rentenanspruch als auch die Berechnung der entsprechenden Beträge:
   * die rechtlich vorgesehene Dauer des Universitätsstudiums;
   * Zeiten der Arbeit im Ausland in Ländern, die kein Sozialversicherungsabkommen mit Italien unterzeichnet haben;
   * Zeiten des freiwilligen Mutterschaftsurlaubs, der nicht im Arbeitsvertrag geregelt ist;
   * Arbeitnehmer mit koordinierter und fortgesetzter Tätigkeit („Quasi-Mitarbeiter“), die unter dem gesonderten Rentensystem (Gestione Separata) versichert sind, mit Tätigkeit vor dem 1. April 1996.</t>
  </si>
  <si>
    <t xml:space="preserve">Zuschläge:
Bezieher des sozialen Zuschusses (maggiorazione sociale) erhalten einen Zuschuss:
   * ab dem Alter von 70 Jahren und in Abhängigkeit von der Anzahl der angesparten Beiträge ist eine Reduktion dieser Altersgrenze (bis auf 65 Jahre) möglich;
   * im Falle der Invalidität liegt sie bei 60 Jahren.
Das persönliche Jahreseinkommen kann höchstens €9.721,92 (€16.724,89 für Familieneinkommen) betragen. Die soziale Aufstockung auf die Sozialhilfe beträgt €209,15 im Monat (13 Monatssätze pro Jahr).
Einmalige, im Juli an Rentner im Alter von über 64 Jahren gezahlte Zusatzrente (sog. „quattordicesima") die als einkommensabhängiger „Sommerzuschlag" gewährt wird, dessen Betrag nach den Jahren der angesammelten Beiträgen und Einkommen unterschiedlich sein kann (siehe auch unter der Kategorie „Leistungen 2. Berechnungsmethode bzw. Rentenformel oder Beträge“).
Wenn das persönliche Jahreseinkommen eines Rentners den Betrag von €11.766,30 nicht überschreitet (entspricht dem 1,5-fachen der Mindesteinkommenszuschlags für 2025), beträgt der monatliche Zuschlag:
   * bis zu 15 Beitragsjahre: €437
   * zwischen 15 und 25: €546
   * bis zu 25 Jahre: €655
Wenn das persönliche Jahreseinkommen des Rentners zwischen €11.766,30 und €15.688,40 beträgt (entspricht jeweils dem 1,5 und 2-fachen der Mindesteinkommenszuschlags für 2025), beträgt der monatliche Zuschlag:
   * bis zu 15 Beitragsjahre: €336
   * zwischen 15 und 25 Jahre: €420
   * bis zu 25 Jahren: €504.
</t>
  </si>
  <si>
    <t>Im Allgemeinen gelten die gleichen Bedingungen wie für Arbeitnehmer bei Bedingungen bezüglich Rentenalter und Versicherungszeiten sowohl mit Hinsicht auf Alter als auch auf vorzeitige Rente.
Altersrente (Pensione di vecchiaia):
Mindestversicherungszeit von 20 Beitragsjahren.
Personen, die ab dem 1 Januar 1996 versichert waren, können im Alter von 71 Jahren + 3 Monaten in Rente gehen. Diese Altersbedingung kann auf 67 Jahre vorgezogen werden (derzeitiges gesetzliches Rentenalter), wenn daneben 20 Versicherungsjahre geleistet wurden und die Höhe ihrer Rente dem Betrag der Sozialhilfeleistung entspricht, d.h. €538,69 im Jahr 2025. Eine Mindestversicherungszeit von 5 Beitragsjahren (keine angenommenen Beiträge) gilt für Personen, die im Alter von 71 Jahren + 3 Monaten in Rente gehen.
Das normale Rentenalter ist wie folgt:
   * Männliche Selbstständige, einschließlich jene, die im gesonderten Rentensystem (Gestione separata) versichert sind: 67 Jahre;
   * Weibliche Selbstständige, einschließlich jene, die im gesonderten Rentensystem (Gestione separata) versichert sind: 67 Jahre.
Die schrittweise Anhebung des Rentenalters stützt sich auf die Lebenserwartung, ist jedoch bis Dezember 2026.
Flexibilität in den Anspruchsvoraussetzungen für das Rentenalter anstelle einer Stundung der Rente ist nun durch Anreize (bessere Transformationskoeffizienten für die Berechnung des Rentenbetrags) möglich bis zum Alter von 71 Jahren mit dem Ziel, das Arbeitsleben zu verlängern.
Vorgezogene Rente (Pensione anticipata):
Seit Januar 2012 wurde die frühere Rente nach Dienstalter (pensione di anzianità) von der vorgezogenen Rente ersetzt. Wenn die selbstständige Person die Beitragsbedingungen von 42 Jahren und 10 Monaten für Männer und 41 Jahre und 10 Monaten für Frauen erfüllt, kann sie die vorgezogene Rente zu jedem Alter beantragen (gilt noch im Jahr 2025).
Die stufenweise Verschärfung der Anspruchsbedingungen hinsichtlich der Beiträge für vorgezogene Renten aufgrund der erhöhten Lebenserwartung ausgesetzt bis 2025.
Günstigere Bedingungen gelten für Selbständige, die beschwerliche Tätigkeiten ausüben, d. h. 41 Beitragsjahre für Männer und Frauen.
Für den Anspruch sowohl auf Vorruhestandsrente für Frauen, die sogenannte „Opzione donna“ (ausgenommen das 18-Monats-Aufsschubssystem, das für die erste Rentenzahlung für selbstständige Frauen gilt im Vergleich zum 12-Monats-Aufschub, der für Arbeitnehmerinnen gilt) und die flexible Vorruhestandsrente (Pensione anticipata flessibile „Quota 103“) gelten die gleichen Bedingungen wie für Arbeitnehmer (62 Jahre + 41 Jahre Jahresbeiträge, wovon 35 sich auf effektive Arbeitstätigkeit und folglich nicht auf angenommene  Beitragszeiten, z.B. in Bezug auf Krankheit oder Arbeitslosigkeit beziehen). Das ist eine experimentelle Maßnahme, die im Jahr 2025 fortgeführt wird. Eine Aufschubregelung von drei Monaten trifft auf den Anfang der Rentenzahlung zu. Kumulierung mit Arbeitsentgelt ist nicht vorgesehen bis Empfänger, die unter der Regelung „Quota 103“ in Ruhestand gegangen sind, Anspruch auf die gesetzliche Altersrente haben, außer der jährlichen Bruttohöchstgrenze von €5.000 für Einkommen aus gelegentlicher Selbstständigkeit.
Beide Systeme ermöglichen eine Berechnung der Vorruhestandsrente entsprechend dem beitragsbezogenen System (Defined Contribution System).
Für den Anspruch auf die Vorruhestandsbeihilfe (APE sociale - Anticipo Pensionistico) gelten die gleichen Bedingungen wie für Arbeitnehmer für die Überbrückung zur gesetzlichen Altersrente mit Gewährung eines Höchstbetrags von €1.500 brutto monatlich, 12 Mal jährlich.
Nach einer Mitgliedschaft von 20 Jahren beläuft sich die Altersrente auf 2% der Anzahl der Beitragsjahre (höchstens 40), multipliziert mit dem pensionsfähigen Referenzeinkommen. Für Selbständige, die am 31. Dezember 1992 mindestens 15 Jahre Betriebszugehörigkeit vorweisen konnten, ist das Referenzeinkommen der Durchschnitt der Einkünfte aus Erwerbstätigkeit (mit einer Obergrenze) der vorangegangenen 10 Jahre. Für diejenigen, die am 31. Dezember 1992 weniger als 15 Jahre zugehörig waren, entspricht das Referenzeinkommen dem Durchschnitt des Erwerbseinkommens (mit einer Obergrenze) über einen variablen Zeitraum zwischen den vorangegangenen 10 Jahren und ihrem gesamten Arbeitsleben. Das Referenzeinkommen wird als konventionelles Einkommen auf der Grundlage von 4 Werten ermittelt und entsprechend dem Verbraucherpreisindex angepasst, der für jedes Jahr der selbständigen Tätigkeit um 1% erhöht wird.
Für jedes Beitragsjahr wird ein Beitrag von 20% des Jahreseinkommens zum Versicherungsnachweis für Selbständige hinzugefügt. Die jährliche Beitragshöhe wird am Ende des Jahres entsprechend der fünfjährigen Veränderung des BIP neu bewertet.</t>
  </si>
  <si>
    <t>Folgende Bedingungen muss der hinterbliebene Ehepartner erfüllen:
   * verheiratet oder Lebenspartner in eingetragener Lebensgemeinschaft sein und
   * Höhe des eigenen Einkommens.</t>
  </si>
  <si>
    <t>Halbwaisen:
Zusammen mit der Rente des hinterbliebenen Ehepartners entspricht die Leistung für Kinder:
   * 20% der Invaliden- oder Altersrente der versicherten Person pro Kind oder
   * 40% geteilt durch die Zahl der Kinder ab 3 Kindern.
Anspruch auf Kindergeld besteht nur, wenn der überlebende Ehepartner erwerbstätig ist.
Wenn der hinterbliebene Ehegatte Hinterbliebenenleistung bezieht, entspricht die Leistung für Kinder:
   * 40% für jedes Kind oder
   * 100% geteilt durch die Zahl der Kinder ab 3 Kindern.
Vollwaisen:
Die Leistung entspricht:
   * 40% je Kind oder
   * ab 3 Kindern: 100% geteilt durch die Zahl der Kinder.
Der Leistungsbetrag steigt auf 70% der Invaliden- oder Altersrente der versicherten Person, wenn das Kind der einzige Empfänger ist.
Die Leistung unterliegt einer Bedürftigkeitsprüfung (beitragsabhängige Leistung).
Die Leistungen werden monatlich gezahlt.
Zusätzliche Einmalzahlungen für Gas- oder Stromkosten gibt es nur für einkommensschwache Haushalte.</t>
  </si>
  <si>
    <t>Wenn die versicherte Person noch keinen Rentenanspruch geltend machen kann und mindestens 1 Jahr in den vergangenen 5 Jahren Beiträge geleistet hat: einmalige Beihilfe (Indennità „una tantum“) in Höhe des 45-fachen der gesamten gezahlten Beiträge:
   * Minimum: €22,31,
   * Maximum: €66,93.
Erstmals ab 1. Januar 1996 Versicherte:
€538,69 (entspricht dem monatlichen Betrag der Sozialhilfeleistung (assegno sociale)) mal der Beitragsjahre des Verstorbenen.
Prioritätenfolge: Ehegatte oder Lebenspartner, Kinder, Verwandte in aufsteigender Linie.</t>
  </si>
  <si>
    <t>Der Bezug von Leistungen für Hinterbliebene kann mit dem Bruttoarbeitsentgelt des Hinterbliebenen kumuliert werden. In solchen Fällen, in denen die Leistungen des Hinterbliebenen mit einem jährlichen Arbeitsentgelt kumuliert werden, das sich beläuft auf:
   * bis zu €23.532,60 (entspricht dem 3-fachen des Mindesteinkommens im Jahr 2025), keine Kürzungen;
   * bis zu €31.376,80 (entspricht dem 4-fachen des Mindesteinkommens im Jahr 2025), bis zur Höhe von 45% der Leistungen des verstorbenen Rentenempfängers;
   * bis zu €39.221 (entspricht dem 5-fachen des Mindesteinkommens im Jahr 2025), bis zur Höhe von 36% der Leistungen des verstorbenen Rentenempfängers;
   * über €39,221 bis zu 30% der Leistungen des verstorbenen Rentenempfängers.
Einkommen aus Erwerbstätigkeit bis zu einer bestimmten Bemessungsgrenze, d.h. €10.197,46 (entsprechend dem Betrag des jährlichen Mindesteinkommens + 30% im Jahr 2025), die im Fall ewerbstätiger Kinder mit Behinderung verdoppelt wird und mit der Hinterbliebenenleistung der Kinder kumuliert werden kann, bis sie aufgrund ihres Alters selbst anspruchsberechtigt darauf sind.</t>
  </si>
  <si>
    <t xml:space="preserve">
   * Säule:
Rentenversicherungsgesetz (Zakon o mirovinskom osiguranju) von 2025, Abl. Nr. 96/25.
Gesetz über die Höchstrente (Zakon o najvišoj mirovini) von 1998, Abl. Nr. 162/98, 82/01.
Gesetz über Zulagen zu Renten, die nach dem Rentenversicherungsgesetz erworben wurden (Zakon o dodatku na mirovine ostvarene prema Zakonu o mirovinskom osiguranju) von 2007, Abl. Nr. 79/07, 114/11, 115/18 und 156/23.
Gesetz über persönliche Assistenz (Zakon o osobnoj asistenciji), Abl. Nr. 71/23:
   * unabhängig von der Ursache der Behinderung; für nähere Informationen siehe Tabelle Langzeitpflege.
Gesetz über die Inklusionsbeihilfe (Zakon o inkluzivnom dodatku), Abl. Nr. 156/23:
   * unabhängig von der Ursache der Behinderung; für nähere Informationen siehe Tabelle Langzeitpflege.
Verordnung zu Beurteilungsmethoden (Uredba o metodologijama vještačenja) von 2023, Abl.Nr. 96/2023.
2. Säule:
Gesetz über obligatorische Rentenfonds (Zakon o obveznim mirovinskom fondovima) von 2014, Abl. Nr. 19/14, 93/15, 64/18, 115/18, 58/20 und 156/23.
Gesetz über freiwillige Rentenfonds (Zakon o dobrovoljnim mirovinskom fondovima) von 2014, Abl. Nr. 19/14 (in Kraft seit dem 20. Februar 2014), 29/18 115/18 und 156/23.
Gesetz über Rentenversicherungsunternehmen (Zakon o mirovinskim osiguravajućim društvima), von 2014, Abl. Nr. 22/14 (in Kraft seit dem 27. Februar 2014), 29/18 115/18 und 156/23.
Verzeichnis der Rechtsakte – siehe hier und hier.</t>
  </si>
  <si>
    <t>1. Säule:
   * Arbeitnehmer,
   * Selbstständige, selbstständige Landwirte.
2. Säule:
   * Mitglieder der 1. Säule unter 40 Jahren: Pflichtmitgliedschaft;
   * Von Januar 2002 bis Juni 2002 konnten Mitglieder der 1. Säule, die damals zwischen 40 und 50 Jahre alt waren, die obligatorische Versicherung des Systems der 2. Säule wählen.
Die Anspruchsberechtigung für Invaliditätsleistungen ist abhängig von der Versicherungszeit, nicht von Wohnort und/oder Staatsangehörigkeit. Wenn eine Person jedoch eine Behindertenrente beantragt, berücksichtigt die zuständige kroatische Einrichtung Zeiten der Versicherung oder des Wohnsitzes in einem anderen Mitgliedsstaat, wenn dies zur Anerkennung des Anspruchs auf eine Behindertenrente nötig ist.</t>
  </si>
  <si>
    <t xml:space="preserve">Versicherungszeit, die einem Drittel des Arbeitslebens entspricht.
Die volle Anzahl der Jahre zwischen dem Alter von 20 Jahren (23 bei Personen mit post-sekundärer Qualifikation und 26 Jahre bei Personen mit Universitätsabschluss) und dem Tag der Erwerbsunfähigkeit.
Personen im Alter von unter 30 bzw. 35 Jahren sind unter vorteilhafteren Bedingungen anspruchsberechtigt:
   * bis 30 Jahre: mindestens 1 Versicherungsjahr;
   * 30 bis 35 Jahre: mindestens 2 Jahre (1 Jahr bei Universitätsabschluss).
</t>
  </si>
  <si>
    <t>1. Säule:
Folgende Elemente werden berücksichtigt:
   * vorherige Bruttoeinkommen,
   * Zeitraum der Anstellung,
   * Quotient, der von der kroatischen Rentenversicherungsanstalt (Hrvatski zavod za mirovinsko osiguranje) aufgrund der statistischen Information bestimmt wird (der jährliche Wert des Durchschnittsbruttolohns),
   * Grad der Invalidität und Art der Invalidität: vollständig (potpuna), teilweise (djelomična) und vorübergehend (privremena).
Die Methode der Berechnung ist wie folgt:
   * Persönliche Entgeltpunkte x Rentenfaktor x aktueller Rentenwert;
   * Persönliche Entgeltpunkte: durchschnittliche Wertpunkte x gesamte Versicherungszeit (ist der Verlust von Arbeitsfähigkeit bedingt durch einen Arbeitsunfall oder eine Berufskrankheit, verwendet die Berechnung mindestens 40 Jahre als Versicherungszeit; besteht kein Zusammenhang zu einem Arbeitsunfall oder einer Berufskrankheit, werden mindestens 21 Jahre verwendet);
   * Wertpunkte: das entsprechende Brutto- oder Nettoeinkommen der Person in jedem Kalenderjahr, dividiert durch das durchschnittliche nationale Brutto- oder Netto-Jahreseinkommen aller Arbeitnehmer in demselben Jahr;
   * Durchschnittliche Wertpunkte: Gesamtzahl der Wertpunkte, dividiert durch den jeweiligen Zeitraum, für den die Wertpunkte angerechnet werden (Erwerbsdauer nach 1970, die kürzer als die gesamte Versicherungszeit sein kann);
   * Rentenfaktor: 1, 0,8, 0,6667 und 0,5 abhängig von der Art der Invalidität, der Ursache der Invalidität und davon, ob der Leistungsempfänger erwerbstätig, selbstständig oder arbeitslos ist;
   * Tatsächlicher Wert der Rente: der Betrag eines persönlichen Punkts wird zwei Mal jährlich durch den Vorstand des kroatischen Rentenversicherungsinstituts (Hrvatski zavod za mirovinsko osiguranje) bestimmt.
Renten werden monatlich ausgezahlt.
Der Empfänger einer Rente, die entsprechend den allgemeinen Regeln oder Sonderreglungen angesammelt wurde, hat Anspruch auf die Zahlung einer jährlichen Rentenzulage für jedes Kalenderjahr, in der die Rente gezahlt wurde.
2. Säule:
Die Rente basiert auf den Ersparnissen der Person und den versicherungsmathematischen Berechnungen mit Zahlungsbedingungen, die in einem Vertrag zwischen der Rentenversicherungsgesellschaft und dem Begünstigten vereinbart wurden.
Die zweite Säule finanziert hauptsächlich Altersrenten, kann aber auch Invaliditätsrenten abdecken. Wenn jemand Anspruch auf eine Invaliditätsrente hat, werden Gelder aus der zweiten Säule in die erste Säule überwiesen. Übersteigt die Summe aus beiden Säulen jedoch die Rente der ersten Säule allein, erhält der Begünstigte die Rente aus beiden Säulen.</t>
  </si>
  <si>
    <t xml:space="preserve">Medizinische Rehabilitation erfolgt über die Krankenversicherung, Berufsumschulung über die Arbeitslosenversicherung, während die Rentenversicherung für berufliche Rehabilitation zuständig ist. Das Zentrum für berufliche Rehabilitation führt diese Dienstleistungen für anspruchsberechtigte versicherte Personen aus, und organisiert und leitet Programme, die dem Standard des Rentenversicherungsgesetzes entsprechen, darin enthalten 12 verschiedene berufliche Rehabilitationsdienste.
Menschen mit Behinderung haben gemäß einer besonderen Verordnung Anrecht auf berufliche Rehabilitation, wenn sie die Bedingungen für die Eintragung in das Register von Menschen mit Behinderungen erfüllen. Über den Anspruch auf berufliche Rehabilitation entscheidet die Bezirksdirektion des kroatischen Rentenversicherungsinstituts, und für das Ziel einer beruflichen Rehabilitation des Rentenversicherungssystems muss eine Person ihre Arbeitsfähigkeit nachweisen.
Für Arbeitslose mit Behinderung entscheidet das kroatische Arbeitsamt, bei dem sie gemeldet sind, über ihren Anspruch auf berufliche Rehabilitation beim zuständigen beruflichen Rehabilitationszentrum aufgrund dem Grad ihrer Arbeitsfähigkeit, Wissen, Fähigkeiten und beruflichen Interessen.
Berufliche Rehabilitation beinhaltet:
   * Umschulungskurse für berufliche Umorientierung oder
   * Schulungen zum Erwerb von Zusatzqualifikationen angesichts der noch verbleibenden Arbeitsfähigkeit.
Lohnausgleich wird gezahlt an:
   * Personen mit Einschränkungen wegen Verletzungen, die sie außerhalb der Arbeit erlitten oder Krankheit, haben Anspruch auf Lohnausgleich durch berufliche Rehabilitation für eine Höchstdauer von 12 Monaten ab dem Datum des Abschlusses der beruflichen Rehabilitation;
   * Personen mit Einschränkungen aufgrund von Arbeitsunfällen oder Berufskrankheiten haben Anspruch auf Lohnausgleich durch berufliche Rehabilitation für eine Höchstdauer von 24 Monaten ab dem Datum des Abschlusses der beruflichen Rehabilitation.
</t>
  </si>
  <si>
    <t>Das Institut für medizinische Bewertungen, berufliche Rehabilitation und die Beschäftigung behinderter Menschen (Fond za profesionalnu rehabilitaciju i zapošljavanje osoba s invaliditetom) ist eine öffentliche Einrichtung, die für die Entwicklung und Verbesserung der beruflichen Rehabilitation und der Beschäftigung von Menschen mit Behinderungen zuständig ist. Ferner ist es für die Finanzierung und Kofinanzierung von Programmen und Projekten für Anreize und den Erhalt des Beschäftigungsniveaus und andere Aktivitäten, wie durch das Gesetz über die berufliche Wiedereingliederung und Beschäftigung von Personen mit Behinderungen von 2013 festgelegt, zuständig.
Arbeitgeber, die Menschen mit Behinderung im offenen Arbeitsmarkt beschäftigen, Selbstständige oder Personen, die in Behindertenwerkstätten oder integrativen Werkstätten arbeiten, können Anreize vom Institut erhalten.
Eine Behindertenwerkstatt ist eine Einrichtung oder ein Unternehmen, in dem mindestens 51% der Arbeitnehmer Menschen mit Behinderung sind, wobei 20% von ihnen ausschließlich an geschützten Arbeitsplätzen beschäftigt sind.
Bei einer integrativen Werkstatt handelt es sich um eine Einrichtung oder ein Unternehmen, in dem mindestens 40% der Arbeitnehmer Menschen mit Behinderung sind.
Das Kroatische Institut für Gesundheitsschutz (Hrvatski zavod za javno zdravstvo) führt das Behindertenregister.
Das Ministerium für Arbeit, Rentenversicherung, Familie und Sozialpolitik (Ministarstvo rada,i mirovinskoga sustava, obitelji I socijalne politike) ist für die allgemeine Aufsicht über die Systeme ebenso wie für die allgemeine Arbeitslosenunterstützung zuständig.
Ansprüche:
   * das Recht auf berufliche Rehabilitation und
   * das Recht auf Beschäftigung und Arbeit nach allgemeinen und besonderen Bedingungen.
Finanzierung:
Beitrag des Versicherten: keine.
Beschäftigungsanreize beinhalten folgende Maßnahmen:
   * Lohnkostenzuschüsse,
   * Mitfinanzierung einiger Kosten (z.B. Ausbildung, Anpassung des Arbeitsplatzes und der Arbeitsbedingungen, professionelle Unterstützung, Transport zum Arbeitsplatz oder Ausübung von Aktivitäten),
   * Entschädigung für geleistete Beiträge (obligatorische Krankenversicherung),
   * Besondere Instrumente für die Entwicklung neuer Technologien und Geschäftsprozesse für das Einstellen von Personen mit Behinderung und das Aufrechterhalten ihrer Arbeitsstellen,
   * Unterstützung für selbstständige Personen mit Behinderung.
Quoten:
Alle Arbeitgeber mit mehr als 20 oder mehr Mitarbeitern müssen mindestens 3% Personen mit Behinderung einstellen.</t>
  </si>
  <si>
    <t xml:space="preserve">1. Säule:
   * Arbeitnehmer,
   * Selbstständige.
2. Säule:
   * Mitglieder der 1. Säule unter 40 Jahren: Pflichtmitgliedschaft;
   * Von Januar 2002 bis Juni 2002 konnten Mitglieder der 1. Säule, die damals zwischen 40 und 50 Jahre alt waren, die obligatorische Versicherung des Systems der 2. Säule wählen;
   * Versicherte Personen, die seit dem 1. Januar 1962 geboren sind und die in Rentensäulen 1 und 2 pflichtversichert sind sowie Personen, die freiwillig der 2. Säule beigetreten sind, sind berechtigt, sich ihr Rentensystem auzusuchen (Säule 1 oder 2).
</t>
  </si>
  <si>
    <t>Das Renteneintrittsalter liegt derzeit bei:
   * Männer: 65 Jahre;
   * Frauen: 63 Jahre und 9 Monate im Jahr 2025;
   * Langzeitversicherte mit 41 Versicherungsjahren oder mehr: 60 Jahre.
Das Renteneintrittsalter für Frauen wird in der Übergangszeit von 2020 bis 2029 schrittweise um 3 Monate pro Kalenderjahr angehoben, um 2030 65 Jahre zu erreichen.
Das Renteneintrittsalter ist mit Veränderungen der Lebenserwartung verknüoft.</t>
  </si>
  <si>
    <t xml:space="preserve">Das Gesetz über zu berücksichtigende Versicherungszeiten mit erhöhter Dauer definiert beschwerliche und gefährliche Arbeiten als Tätigkeiten, die an „Arbeitsplätzen ausgeübt werden, an denen negative Auswirkungen auf die Gesundheit und die Arbeitsfähigkeit der Arbeitnehmer auftreten, obwohl allgemeine und spezielle Gesundheits- und Sicherheitsmaßnahmen getroffen wurden“.
Zugang zu Altersruhegeld in einem jüngeren Alter (eine Art risikospezifische vorzeitige Rente) entsprechend der in solchen Arbeitsstellen verbrachten Jahre und dem Grad der Dienststeigerung (wie zugerechnete Dienstzusatzjahre/-monate).
Das Rentenalter für beschwerliche und gefährliche Arbeiten wird wie folgt herabgesetzt:
   * um ein Jahr pro sechs Jahre in Arbeitsstellen oder Berufen, in denen eine Versicherungszeit von 12 Monaten als 14 Monate angerechnet wird,
   * um ein Jahr pro fünf Jahre in Arbeitsstellen oder Berufen, in denen eine Versicherungszeit von 12 Monaten als 15 Monate angerechnet wird,
   * um ein Jahr pro vier Jahre in Arbeitsstellen oder Berufen, in denen eine Versicherungszeit von 12 Monaten als 16 Monate angerechnet wird,
   * um ein Jahr pro drei Jahre in Arbeitsstellen oder Berufen, in denen eine Versicherungszeit von 12 Monaten als 18 Monate angerechnet wird.
Deutlich geringere Renteneintrittsalter wurden für einige spezifische Arbeiten vorgeschrieben:
   * Schiffbesatzungsmitglieder,
   * Arbeiter, die bei der Minenräumung oder im Heimatkrieg eingesetzt waren,
   * Arbeiter, die direkt oder indirekt Asbest ausgesetzt waren,
   * Feuerwehrleute,
   * Balletttänzer und Tanztheaterdarsteller.
</t>
  </si>
  <si>
    <t xml:space="preserve">1. Säule:
   * früheres Einkommen,
   * Erwerbsbiografie,
   * von der Kroatischen Rentenversicherungsanstalt (Hrvatski zavod za mirovinsko osiguranje) festgelegter Quotient.
2. Säule:
   * individuelle Ansparung,
   * geschlechtsneutrale versicherungsmathematische Tabellen.
</t>
  </si>
  <si>
    <t>1. Säule:
Personen, die nur Anspruch auf eine Rente der 1. Säule haben: persönliche Entgeltpunkte x Rentenfaktor x aktueller Rentenwert, wobei gilt:
   * Persönliche Entgeltpunkte: durchschnittliche Wertpunkte x gesamte Versicherungszeit.
   * Wertpunkte: das entsprechende Brutto- oder Nettoeinkommen der Person in jedem Kalenderjahr, dividiert durch das durchschnittliche nationale Brutto- oder Netto-Jahreseinkommen (gemäß der in den Jahren geltenden Verordnung, auf denen basierend die Rente berechnet wird) aller Arbeitnehmer in demselben Jahr.
   * Durchschnittliche Wertpunkte: Gesamtzahl der Wertpunkte, dividiert durch den jeweiligen Zeitraum, für den die Wertpunkte angerechnet werden (Erwerbsdauer nach 1970, die kürzer als die gesamte Versicherungszeit sein kann).
Rentenfaktor: 1.
Tatsächlicher Wert der Rente: der Betrag eines persönlichen Punkts bestimmt wird zwei Mal jährlich durch den Vorstand des kroatischen Rentenversicherungsinstituts (Hrvatski zavod za mirovinsko osiguranje) bestimmt.
Personen mit Rentenansprüchen aus der 1. Wie der 2. Säule erhalten die Rente der 1. Säule für die Versicherungszeit, die vor der Einführung der 2. Säule zurückgelegt wurde. Für die Versicherungszeit, die nach der Einführung der 2. Säule zurückgelegt wurde, erhalten sie die Grundrente (osnovna mirovina) der 1. Säule, welche von dem Grundrentenfaktor abhängig ist. Der Grundrentenfaktor beträgt momentan 0,75 und gibt den Anteil des Beitragssatzes für die Beiträge der 1. Säule für in beiden Säulen versicherte Personen (15%), in dem Gesamtbeitragssatz für die 1. Säule für Versicherte, die ausschließlich in der 1. Säule versichert sind (20%), wieder.
Die Rentenzulage (27%) für Personen, denen nur eine Rente aus der 1. Säule gewährt wird, wird in den Rentenbetrag integriert2. Säule:
Die Rente beruht auf den persönlichen Ersparnissen mit den versicherungsmathematischen Berechnungen mit Zahlungsbedingungen, die zwischen dem Rentenversicherungsunternehmen und dem Anspruchsberechtigten in Vertragsform vereinbart wurden.
Zahlungen auf monatlicher Basis.
Rentenempfänger haben Anspruch auf eine jährliche Rentenzulage für jedes Jahr, in dem ihre Rente gezahlt wird. Der Betrag der Zulage entspricht der Anzahl von Versicherungsjahren multipliziert mit einem von der Regierung festgelegten jährlichen Wert (oder 15 Jahren, wenn die Rente nicht auf Versicherungszeiten beruht).</t>
  </si>
  <si>
    <t xml:space="preserve">Angerechnete anrechenbare Zeiträume nur für die Berechtigung auf eine Rente:
   * für (Adoptiv-) Mütter (oder ausnahmsweise (Adoptiv-) Väter, wenn der Urlaub hauptsächlich von ihnen genommen wird),
   * Zeiten, die Militärangehörige oder Soldaten im Krieg verbracht haben,
   * Zeiten im Krieg und Zeiten der politischen Gefangenschaft nach dem Krieg.
Angerechnete anrechenbare Zeiträume nur für die Berechnung der Rente:
   * Fiktive Zeiträume für die Berechnung einer Behinderten- oder Hinterbliebenenrente, wenn eine Person unter 60 Jahre alt ist;
   * Angerechnete Zeiträume für ein geborenes oder adoptiertes Kind für den Rentenanspruch.
Für eine Mutter oder Adoptivmutter mit Recht auf Pensionierung wird in der Gesamtversicherungszeit für den Rentenanspruch ein Zeitraum von bis zu 12 Monaten für jedes geborene oder adoptierte Kind hinzugefügt (nicht für den Rentenanspruch, sondern zur Bestimmung der Höhe der Rente).
Wenn ausnahmsweise nicht die Mutter oder Adoptivmutter, sondern der Vater oder Adoptivvater den Elternurlaub nutzt, hat er Anspruch auf das oben genannte Recht.
Angerechnete Zeiträume für die Berechtigung und Berechnung einer Rente:
   * Perioden mit Fehlzeiten bei der Arbeit aufgrund der Versorgung von Kindern:
   * Für beschäftige Eltern (Beiträge werden vom Arbeitgeber und aus dem staatlichen Budget – je 12 Monate – gezahlt),
   * Für arbeitslose Eltern im ersten Jahr nach der Geburt des Kindes (Beiträge werden aus dem staatlichen Budget gezahlt).
   * Zeiträume für die Versorgung eines hilfsbedürftigen Erwachsenen mit einem Pflegerstatus nach dem Gesetz über die soziale Wohlfahrt oder nach anderen spezifischen Gesetzen (Beiträge werden aus dem staatlichen Budget gezahlt);
   * Zeiträume, in denen Krankengeld gezahlt wird;
   * Zeiträume, in denen eine Person, die ein Anrecht auf Beihilfe hat und die Altersbedingungen für das Recht auf Altersrente erfüllt, Arbeitslosenhilfe erhält, bis die erste Bedingung über die Dienstjahre für die Pensionierung erfüllt ist, was aber nicht mehr als 5 Jahre beträgt (Beiträge werden aus dem staatlichen Budget gezahlt).
</t>
  </si>
  <si>
    <t>Abgedeckt sind die Familienmitglieder der folgenden Personen:
1. Säule:
   * Arbeitnehmer,
   * Selbstständige.
2. Säule:
   * Mitglieder der 1. Säule unter 40 Jahren: Pflichtmitgliedschaft;
   * Von Januar 2002 bis Juni 2002 konnten Mitglieder der 1. Säule, die damals zwischen 40 und 50 Jahre alt waren, die obligatorische Versicherung des Systems der 2. Säule wählen.</t>
  </si>
  <si>
    <t>1. Säule:
   * 5 Versicherungsjahre oder
   * Versicherungszeiten von 10 Jahren,
   * wenn die versicherte Person die erforderliche Versicherungszeit für einen Anspruch auf Invaliditätsrente erfüllt oder
   * wenn die versicherte Person Empfänger einer Altersrente, vorgezogenen Altersrente oder Invaliditätsrente war oder
   * wenn die versicherte Person Anspruch auf berufliche Rehabilitation hatte oder
   * wenn der Tod der versicherten Person durch Arbeitsunfall oder Berufskrankheit begründet ist, haben Familienmitglieder Anspruch auf Hinterbliebenenrente, ungeachtet der Versicherungszeiten des Rentners.
Versicherungsjahre umfassen die Zeit, in der der Versicherte tatsächlich Beiträge gezahlt hat oder Versicherungszeiten, die anrechenbar oder berücksichtigungsfähig sind, siehe Tabelle VI „Alter”, „Leistungen – Angerechnete oder als berücksichtigungsfähig behandelte Zeiten”.</t>
  </si>
  <si>
    <t>1. und 2. Säule:
An Altersgrenzen gebunden:
   * normal: 15 Jahre,
   * Arbeitslos: 18 Jahre,
   * Vollzeitstudenten: 26 Jahre,
   * Behinderte Kinder: unbeschränkt.
Heirat oder Beginn einer Erwerbstätigkeit beeinflussen den Anspruch auf Leistung.</t>
  </si>
  <si>
    <t>1. und 2. Säule:
Verwandte, die vom Verstorbenen abhängig waren und mindestens 60 Jahre alt sind. Keine Altersbedingung bei Behinderung.
Geschwister, die vom Verstorbenen abhängig waren. Die gleichen Bedingungen gelten für Kinder bis zu einem gewissen Alter:
   * normal: 15 Jahre,
   * Arbeitslos: 18 Jahre,
   * Vollzeitstudenten: 26 Jahre,
   * Behinderte Kinder: unbeschränkt.</t>
  </si>
  <si>
    <t>1. Säule:
Die Hinterbliebenenrente wird nach der Anzahl der anspruchsberechtigten Familienmitglieder (einschließlich Ehegatte) festgelegt.
Die Rente basiert auf der allgemeinen Invaliditäts- oder der Altersrente, die der Verstorbene zum Todeszeitpunkt bezogen hat oder bezogen hätte (siehe Tabellen V „Invalidität”, „Leistungen” und VI „Alter”, „Leistungen”). Die persönlichen Entgeltpunkte für die Hinterbliebenenrente werden auf Basis der Wertpunkte für eine Versicherungszeit von mindestens 21 Jahren ermittelt.
Die Größe oder Zusammensetzung des Haushalts spielt keine Rolle bei der Rentenberechnung.
Die Hinterbliebenenrente wird als Prozentsatz der Rente, auf die der Verstorbene Anspruch gehabt hätte, nach der Anzahl der anspruchsberechtigten Hinterbliebenen berechnet:
   * ein Hinterbliebener: 77%,
   * zwei Hinterbliebene: 88%,
   * drei Hinterbliebene: 100%,
   * vier oder mehr Hinterbliebene: 110%.
Die Leistungen werden erhöht, wenn der Verstorbene Anspruch auf eine aufgeschobene Rente gehabt hätte. Die Leistungen werden monatlich ausgezahlt.
2. Säule:
Berechnet nach dem Wert der auf dem Konto der jeweiligen Person angesparten Mittel und den geschlechtsneutralen versicherungsmathematischen Tabellen. Die Art der Rentenzahlung wird zwischen dem Rentenversicherungsfonds-Unternehmen und dem Anspruchsberechtigten in Vertragsform vereinbart. Die Leistungen werden monatlich ausgezahlt.
Dies richtet sich grundsätzlich auf die Finanzierung der Altersrenten. Wenn die Familie eines Beitragszahlers der 2. Säule Anspruch auf Hinterbliebenenrente hat, werden die Mittel, über die der Verstorbene auf dem Konto der 2. Säule verfügt, auf die 1. Säule übertragen, um die Hinterbliebenenrente der 1. Säule auszuzahlen. Falls die Mittel auf dem Konto der 2. Säule des Verstorbenen jedoch ausreichen, um eine höhere Leistung als über die Hinterbliebenenrente der 1. Säule auszuzahlen, wird stattdessen die Rente der 2. Säule gezahlt.
Der Empfänger einer Rente, die entsprechend den allgemeinen Regeln oder Sonderreglungen angesammelt wurde, hat Anspruch auf die Zahlung einer jährlichen Rentenzulage für jedes Kalenderjahr, in der die Rente gezahlt wurde.</t>
  </si>
  <si>
    <t>Auf Basis der allgemeinen Invaliditäts- oder der Altersrente, die der Verstorbene zum Todeszeitpunkt bezogen hat oder bezogen hätte (siehe Tabellen V „Invalidität”, „Leistungen” und VI „Alter”, „Leistungen”). Der Monatsbetrag der Leistung richtet sich nach der Anzahl der abhängigen Familienmitglieder:
   * ein Hinterbliebener: 77%,
   * zwei Hinterbliebene: 88%,
   * drei Hinterbliebene: 100%,
   * vier oder mehr Hinterbliebene: 110%.
Vollwaisen: Die Rente wird auf Basis der (potenziellen) Rente beider Elternteile berechnet, wobei eine zusätzliche Zahlung im Verhältnis zur jährlichen Rentenzulage erbracht wird.
Der Empfänger einer Rente, die entsprechend den allgemeinen Regeln oder Sonderreglungen angesammelt wurde, hat Anspruch auf die Zahlung einer jährlichen Rentenzulage für jedes Kalenderjahr, in der die Rente gezahlt wurde.
Die jährliche Zulage wendet sich an für Rentenempfänger, die eine Rente im Rahmen der allgemeinen Regelungen oder Sonderregeln erhalten und Anspruch auf eine jährliche Rentenzulage für jedes Jahr haben, für das eine Rente gezahlt wurde.</t>
  </si>
  <si>
    <t>Auf Basis der allgemeinen Invaliditäts- oder der Altersrente, die der Verstorbene zum Todeszeitpunkt bezogen hat oder bezogen hätte (siehe Tabellen V „Invalidität”, „Leistungen” und VI „Alter”, „Leistungen”). Die Höhe der Leistung richtet sich nach der Anzahl der abhängigen Familienmitglieder:
   * ein Hinterbliebener: 77%,
   * zwei Hinterbliebene: 88%,
   * drei Hinterbliebene: 100%,
   * vier oder mehr Hinterbliebene: 110%.
Für Leistungsempfänger, die eine Rente gemäß den allgemeinen Regelungen oder Sonderregeln erhalten, wurde eine jährliche Rentenzulage eingeführt. Sie wird für jedes Jahr gewährt, in dem die Rente gezahlt wurde. Der Betrag wird errechnet, indem die Beitragsjahre mit einem jährlichen Wert multipliziert werden, den die Regierung von Kroatien festlegt.</t>
  </si>
  <si>
    <t>Gemäß dem Behindertengesetz (Invaliditātes likums) ist Invalidität eine langfristige oder nicht übergangsweise (sehr schwer, schwer oder moderat) eingeschränkte Funktion, welche die geistigen oder körperlichen Fähigkeiten einer Person beeinträchtigt (d. h. Arbeitsfähigkeit, Selbstversorgung und Integration in die Gesellschaft).
Menschen mit Behinderung ab dem Alter von 18 Jahren werden in drei Kategorien aufgeteilt:
   * Kategorie I, wenn der Verlust der Arbeitsfähigkeit 80 bis 100% beträgt - sehr starke Behinderung,
   * Kategorie II, wenn der Verlust der Arbeitsfähigkeit 60 bis 79% beträgt - starke Behinderung,
   * Kategorie III, wenn der Verlust der Arbeitsfähigkeit 25 bis 59% beträgt - leichte Behinderung.
Die Aufteilung in Gruppen gilt nicht für Personen unter 18 Jahren.</t>
  </si>
  <si>
    <t>Der Anspruch auf Leistungen bei Invalidität (Invaliditātes pensija) richtet sich nach dem Grad der Arbeitsunfähigkeit.
Gemäß dem Behindertengesetz werden Personen mit Behinderungen zwischen 18 Jahren und dem Rentenalter entsprechend ihrer eingeschränkten Arbeitssfähigkeit in 3 Gruppen aufgeteilt:
   * Gruppe I, wenn der Verlust der Arbeitsfähigkeit 80 bis 100% beträgt - sehr starke Behinderung,
   * Gruppe II, wenn der Verlust der Arbeitsfähigkeit 60 bis 79% beträgt - starke Behinderung,
   * Gruppe III, wenn der Verlust der Arbeitsfähigkeit 25 bis 59% beträgt - leichte Behinderung.
Minimale Einschränkung der Arbeitsfähigkeit: 25%.</t>
  </si>
  <si>
    <t>Die Staatliche Kommission der Fachärzte für Gesundheit und Arbeitsfähigkeit (Veselības un darbspēju ekspertīzes ārstu valsts komisija) führt eine Begutachtung durch und ermittelt:
   * den Invaliditätsstatus und Zeitraum der Arbeitsunfähigkeit für Personen unter 18 Jahren;
   * den Grad der Arbeitsunfähigkeit und die Gruppe der Behinderung für Personen über 18 Jahren bis zum Rentenalter.
Das Verfahren zur Bewertung der Behinderung und die angewandten Kriterien sind im ganzen Land identisch.
Die Entscheidung der Staatlichen Kommission kann innerhalb eines Monats nach Inkrafttreten beim Direktor der Staatlichen Kommission angefochten werden. Gegen die Entscheidung des Direktors der Staatlichen Kommission kann bei einem Gericht Berufung eingelegt werden. Eine Entscheidung wird durch eine Anfechtung oder Berufung nicht außer Kraft gesetzt.</t>
  </si>
  <si>
    <t xml:space="preserve">Bezugszeitraum von Mutterschaftsgeld (Maternitātes pabalsts), Vaterschaftsgeld (Paternitātes pabalsts), Kinderbetreuung (für Kinder unter 1,5 Jahren), Erziehungsgeld für ein adoptiertes Kind und Leistung für die Erfüllung von Pflichten als Pflegefamilie.
Bis zum 1. Januar 1991 wurden die folgenden Zeiten angerechnet:
   * Militärdienst,
   * Studium an höheren Bildungseinrichtungen,
   * Erziehung von Kindern unter 8 Jahren durch die Mutter,
   * Zeiten politischer Unterdrückung etc.
</t>
  </si>
  <si>
    <t>Der Staat zahlt einen monatlichen Zuschlag auf Invaliditätsrenten von €1,62 für jedes geleistete Arbeitsjahr bis 1995 (einschließlich) für Rentner, die bis 2012 in den Ruhestand gegangen sind. Der Zuschlag beträgt €2,43 für jedes geleistete Arbeitsjahr bis 1995 (einschließlich), wenn der Person Invaliditätsrente gewährt wurde und sie das gesetzliche Rentenalter vor dem 31. Dezember 1996 erreichte.
Personen mit Behinderung haben zum Teil Anspruch auf eine Fahrkostenbeihilfe für behinderte Personen mit verminderter Gehfähigkeit (pabalsts transporta izdevumu kompensēšanai personām ar invaliditāti kurām ir apgrūtināta pārvietošanās): €105 alle 6 Monate. Diese Beihilfe wird an Personen mit Behinderungen oder an Personen mit unterhaltsberechtigten Kindern mit Behinderungen gezahlt, bei Vorlage einer ärztlichen Bescheinigung, die die Notwendigkeit zur Anschaffung eines speziell angepassten Fahrzeuges und den Erhalt einer Beihilfe zum Ausgleich der Transportkosten bestätigt.
Eine besondere Unterstützung wird an jene Personen gezahlt, die von dem Unfall im Tschernobyl-Atomkraftwerk betroffen waren, und an Familienmitglieder von Personen, die an den Folgen der Katastrophe gestorben sind: €166 im Monat.
Hat eine Person mit Behinderung keinen Anspruch auf Invalidenrente, kann die Staatliche Grundleistung der sozialen Sicherheit (Valsts sociālā nodrošinājuma pabalsts) gewährt werden.
   * Gruppe I: €232,40 im Monat. (€302,12 im Monat für Personen ohne Arbeit),
   * Gruppe II: €199,20 im Monat (€239,04 im Monat für Personen ohne Arbeit),
   * Gruppe III: €166 im Monat.
Für Personen mit Behinderung seit Kindesalter:
   * Gruppe I: €264,60 im Monat (€343,98 im Monat für Personen ohne Arbeit),
   * Gruppe II: €226,80 im Monat (€272,16 im Monat für Personen ohne Arbeit),
   * Gruppe III: €189 im Monat.
Die Pflegebeihilfe für Personen mit Behinderungen (Pabalsts invalīdam, kuram nepieciešama īpaša kopšana) in Höhe von €213,43 monatlich wird an Personen mit Behinderungen über 18 Jahren gewährt, bei denen die Staatliche Kommission der Fachärzte für Gesundheit und Arbeitsfähigkeit (Veselības un darbspēju ekspertīzes ārstu valsts komisija) die medizinische Indikation für besondere Pflege festgestellt hat. Der Betrag für Personen mit schwerer Behinderung seit der Kindheit ist €413,43 im Monat.
Leistung für Personen mit Sehbehinderung der Gruppe I für die Inanspruchnahme von Begleitpersonen (Pabalsts par asistenta izmantošanu personām ar I grupas redzes invaliditāti): €17,07 wöchentlich (10 Stunden pro Woche).
Bestattungsbeihilfe (Apbedīšanas pabalsts): Beim Tod eines Rentenempfängers oder Empfänger der Staatlichen Grundleistung der sozialen Sicherheit erhält die Person, die die Beerdigung organisiert, eine Pauschale in doppelter Höhe der monatlichen Rente und des Zuschlags (wenn so bestimmt) oder der Staatlichen Grundleistung der sozialen Sicherheit des Verstorbenen.
Leistung für den hinterbliebenen Ehegatten (Pabalsts pārdzīvojušam laulātajam): Bei dem Tod eines Rentners hat der hinterbliebene Ehegatte, der ebenfalls Rentner ist, Anspruch auf eine Vergütung von 50% der monatlichen Rente und des Zuschlags (wenn so bestimmt) des verstorbenen Ehegatten, die für 12 Monate gezahlt wird.</t>
  </si>
  <si>
    <t xml:space="preserve">Kumulierung mit anderen staatlichen langfristigen Leistungen (Alters-, Hinterbliebenen-, Dienstrenten, Entschädigung für den Verlust von Arbeitsfähigkeit) ist nicht möglich. Leistungsberechtigte, die Anspruch auf mehr als eine staatliche langfristige Leistung (Invaliden-, Alters-, Hinterbliebenenrente oder Entschädigung für den Verlust von Arbeitsfähigkeit) haben, erhalten die jeweils höchste dieser Renten.
Kumulierung möglich mit:
   * Kindergeld,
   * Arbeitslosengeld (Bezdarbnieka pabalsts),
   * Mutterschafts- und Vaterschaftsgeld (Maternitātes un Paternitātes pabalsts),
   * Elternschaftsgeld (Vecāku pabalsts),
   * Kinderbetreuungsgeld,
   * Pflegebeihilfe für Personen mit Behinderungen, Betreuungsgeld für behinderte Kinder, Fahrkostenbeihilfe für behinderte Personen mit verminderter Gehfähigkeit.
</t>
  </si>
  <si>
    <t>Steuerfreibetrag für Leistungen, die nach dem 01.01.1996 gewährt oder neu berechnet wurden:
Steuerfreigrenze: €12.000 jährlich seit 01.01.2025.
Zusätzlicher Steuerfreibetrag für Menschen mit Behinderung:
   * Gruppen I &amp; II: €1.848 jährlich,
   * Gruppe III: €1.440 jährlich.
Zusätzlicher Steuerfreibetrag angewendet für Personen mit dem Status von politisch Unterdrückten oder Mitgliedern einer nationalen Widerstandsbewegung (€1.848 jährlich) oder für eine unterhaltsberechtigte Person (€3.000 jährlich).</t>
  </si>
  <si>
    <t>Obligatorische Sozialversicherungssysteme:
   * 1. Säule: Auf dem Umlageverfahren beruhendes System mit einkommensbezogenen Renten, die von Beiträgen und der Versicherungsdauer abhängen (auf der Basis fiktiver Beiträge).
   * 2. Säule: System, das auf dem Kapitaldeckungsverfahren beruht, mit Renten entsprechend den angesammelten Beiträgen und ausgewählten Rentenfonds (auf der Basis von Festbeiträgen).
Die obligatorischen Systeme werden ergänzt durch ein privates freiwilliges Rentensystem, welches der 3. Säule entspricht. Es wird nicht in den MISSOC-Tabellen dargestellt.
Es gibt kein besonderes Sozialhilfesystem für alte Menschen. Es gilt das allgemeine Mindestsicherungssystem (siehe Tabelle XI). Zusätzlich kann, wer keinen Anspruch auf Altersrente (Vecuma pensija)  hat, unter bestimmten Umständen die Staatliche Grundleistung der sozialen Sicherheit (Valsts sociālā nodrošinājuma pabalsts) erhalten.</t>
  </si>
  <si>
    <t>1. Säule:
Ein vorzeitiger Rentenbezug bis zu zwei Jahre vor dem normalen Rentenalter, d.h. im Jahr 2025 im Alter von 63 Jahren, ist möglich, wenn mindestens 30 Versicherungsjahre (Männer und Frauen) erfüllt sind.
Folgende Personengruppen haben Anspruch auf einen vorzeitigen Rentenbezug bis zu fünf Jahre vor dem normalen Rentenalter, d.h. 2025 im Alter von 60 Jahren:
   * Politisch unterdrückte Personen mit einer Versicherungsdauer von mindestens 30 Jahren;
   * Personen mit einer Versicherungsdauer von mindestens 25 Jahren, wenn sie für die Erziehung von fünf oder mehr Kindern oder einem Kind mit Behinderung, während eines Zeitraums von mindestens 8 Jahren, bis das Kind das Alter von 18 Jahren erreicht hat, zuständig waren und wenn ihnen das Recht auf Pflege oder das Sorgerecht nicht genommen wurde.
Folgende Personengruppen können Anspruch auf Rentenbezug vor dem Erreichen des Regelrentenalters erheben:
   * Personen, die bis 1996 unter besonders gefährlichen und schwierigen Bedingungen oder unter gefährlichen und harten Bedingungen gearbeitet haben (siehe nähere Informationen in Tabelle VI „Bedingungen, Beschwerliche und gefährliche Arbeiten“);
   * Personen mit Kleinwuchs und Blinde Personen können im Alter von 55 Jahren und 6 Monaten (Frauen mit einer Versicherungsdauer von mindestens 15 Jahren) und 60 Jahren und 6 Monaten (Männer mit einer Versicherungsdauer von mindestens 20 Jahren) in den Ruhestand gehen;
   * Personen, die Teil des Tschernobyl NPS Reinigungsteams waren, mit einer Versicherungsdauer von mindestens 20 Jahren können im Alter von 60 Jahren Rente beziehen.
2. Säule:
Teilnehmer des kapitalgedeckten Rentensystems nutzen das angesparte Rentenkapital, wenn ihnen eine vorgezogene Altersrente aus der 1. Säule gewährt wird.</t>
  </si>
  <si>
    <t>Beschwerliche und gefährliche Arbeiten wurden im Jahr 1956 unter der regierung der UdSSR definiert.
Es gibt zwei Listen von Arbeitsplätzen (Liste Nr. 1 und Liste Nr. 2), die je nach dem Grad der Gefährlichkeit und Beschwerlichkeit variieren und aus denen einen Anspruch auf Ruhestand einige Jahre vor dem normalen Rentenalter entsteht, vorausgesetzt, diese Arbeit wurde vor 1996 durchgeführt:
   * Personen, die bis 1996 unter besonders gefährlichen und schweren Bedingungen gearbeitet haben Liste Nr. 1), können im Alter von 60 Jahren und 6 Monaten in Rente gehen (Frauen mit einer Versicherungszeit von mindestens 15 Jahren sowie 3 Jahren und 9 Monaten der Versicherung unter den betreffenden Bedingungen) und 63 Jahren (Männer mit einer Versicherungszeit von mindestens 20 Jahren sowie 5 Jahren der Versicherung unter den betreffenden Bedingungen);
   * Personen, die bis 1996 unter gefährlichen und schweren Bedingungen (Liste Nr. 2) gearbeitet haben, können im Alter von 63 Jahren in Rente gehen (Frauen mit einer Versicherungszeit von mindestens 20 Jahren sowie 5 Versicherungsjahren unter den betreffenden Bedingungen und Männer mit einer Versicherungszeit von mindestens 25 Jahren sowie 6 Jahren und 6 Monaten der Versicherung unter den betreffenden Bedingungen).</t>
  </si>
  <si>
    <t xml:space="preserve">1. Säule:
   * Versicherungsjahre bis 1996,
   * Höhe der gezahlten Beiträge seit 1996,
   * Alter der versicherten Person.
2. Säule:
   * angesammeltes Rentenkapital,
   * von dem Versicherten gewählter Rentenfonds.
</t>
  </si>
  <si>
    <t xml:space="preserve">1. Säule:
Rentenformel (d. h. für Personen mit sozialversicherungspflichtigen Zeiten ab 1996):
P = K / G, wobei
   * P: Jahresrente;
   * K: Rentenkapital der versicherten Person;
   * G: voraussichtliche Dauer (in Jahren) der Rentenzahlung ab dem Jahr der Bewilligung (Lebenserwartung in einem bestimmten Rentenalter).
Rentenformel in der Übergangszeit (d. h. für Personen mit sozialversicherungspflichtigen Zeiten auch vor 1996):
P = Ks + K / G, wobei
   * P, K, G: siehe oben;
   * Ks: (gutgeschriebenes) Anfangskapital, berechnet nach der folgenden Formel: Ks = Vi x As x 0,2 wobei
   * As: Anzahl der Versicherungsjahre bis einschließlich 1995;
   * Vi: Durchschnittsbruttoeinkommen, auf das Beiträge gezahlt wurden (siehe Tabelle VI „Leistungen, 2. Referenzeinkommen bzw. Berechnungsgrundlage").
Monatliche Zahlung. Keine zusätzlichen Zahlungen.
2. Säule:
Zwei Möglichkeiten:
   * Das angesammelte Rentenkapital kann auf das individuelle Konto der ersten Säule übertragen werden und die Rente wird nach obiger Formel berechnet;
   * die versicherte Person kann mit dem angesammelten Kapital eine Annuität bei einer Versicherungsgesellschaft erwerben.
</t>
  </si>
  <si>
    <t>1. Säule:
   * Erziehungszeiten für ein Kind jünger als 1,5 Jahren,
   * Bezugszeitraum von Mutterschaftsgeld (Maternitātes pabalsts) und Vaterschaftsgeld (Paternitātes pabalsts),
   * Bezugszeitraum von Arbeitslosengeld (Bezdarbnieka pabalsts),
   * Bezugszeitraum von Krankengeld (Slimības pabalsts),
   * Zeiten beruflicher Untätigkeit von Menschen mit Behinderung,
   * Zeiten beruflicher Untätigkeit von Ehegatten von im diplomatischen oder konsularischen Dienst stehenden Personen oder aktiven Militärangehörigen, die mit im Ausland leben,
   * Bezugszeitraum von Kinderbetreuungsgeld für ein adoptiertes Kind,
   * Bezugszeitraum von Leistungen für die Erfüllung von Pflichten als Pflegefamilie,
   * Bezugszeitraum von Betreuungsgeld für behinderte Kinder (Bērna ar invaliditāti kopšanas pabalsts),
   * Zeiten, über die entlohnte befristete öffentliche Arbeiten verrichtet wurden.
Bis zum 1. Januar 1991 wurden die folgenden Zeiten angerechnet:
   * Militärdienst,
   * Studium an höheren Bildungseinrichtungen oder an Sekundarschulen für höchstens 5 Jahre (oder 6 Jahre bei einer längeren Ausbildung),
   * Erziehung von Kindern unter 8 Jahren durch die Mutter,
   * Zeiten politischer Unterdrückung etc.
2.Säule:
Keine anrechenbaren oder beitragsfähigen Zeiten.</t>
  </si>
  <si>
    <t>1. Säule/2.Säule:
Steuerfreibetrag für Rentner, deren Renten nach dem 01.01.1996 gewährt oder neu berechnet wurden:
Steuerfreigrenze: €12.000 jährlich seit 01.01.2025.
Zusätzlicher Steuerfreibetrag für Menschen mit Behinderung:
   * Gruppen I &amp; II: €1.848 jährlich,
   * Gruppe III: €1.440 jährlich.
Zusätzlicher Steuerfreibetrag für politisch unterdrückte Personen oder Mitglieder der nationalen Widerstandsbewegung (€1.848 jährlich) oder für unterhaltsberechtigte Personen (€3.000 jährlich).</t>
  </si>
  <si>
    <t>Halbwaisen:
Sie erhalten einen Prozentsatz der Rente, die auf Basis der potenziellen Altersrente der/des Verstorbenen (siehe Tabelle VI zu „Alter", „Berechnungsmethode, Rentenformel oder Beträge“) berechnet wird:
   * ein Kind:  50%;
   * zwei Kinder: 75%;
   * drei und mehr Kinder: 90% der Rente.
Vollwaisen:
Sie erhalten für jeden Elternteil jeweils einen Prozentsatz der Rente (s.o.), der auf Basis der potenziellen Altersrente und entsprechend der genannten Rentenformel berechnet und gewährt wird.
Die Leistung wird gezahlt, bis das Kind 18 Jahre alt ist (24 Jahre unter bestimmten Bedingungen) oder für den Zeitraum der Behinderung bei Kindern mit Behinderung seit der Kindheit.
Sie wird monatlich gezahlt und es werden keine zusätzlichen Zahlungen geleistet.</t>
  </si>
  <si>
    <t>Steuerfreibetrag für Rentner, deren Renten, nach dem 01.01.1996 gewährt oder neu berechnet wurden:
Steuerbefreiungsschwelle: €12.000 jährlich seit 01.01.2025.
Zusätzlicher Steuerfreibetrag für Personen mit Behinderung:
   * Gruppen I &amp; II: €1.848 jährlich,
   * Gruppe III: €1.440 jährlich.
Zusätzlicher Steuerfreibetrag für politisch unterdrückte Personen oder Mitglieder der nationalen Widerstandsbewegung (€1.848 jährlich) oder für unterhaltsberechtigte Personen (€3.000 jährlich).</t>
  </si>
  <si>
    <t xml:space="preserve">1. Säule:
   * bei unzumutbarer Doppelbelastung durch gleichzeitige ausländische Versicherung.
2. Säule:
   * Arbeitnehmer, die bereits für eine hauptberufliche Erwerbstätigkeit obligatorisch versichert sind oder im Hauptberuf eine selbständige Erwerbstätigkeit ausüben;
   * Arbeitnehmer, die nicht dauernd in Liechtenstein tätig sind und für die im Ausland ein genügender Versicherungsschutz besteht;
   * Arbeitnehmer, deren Arbeitgeber nach dem AHVG nicht beitragspflichtig ist;
   * Arbeitnehmer von juristischen Personen, die daran maßgebend beteiligt sind und Arbeitgeberfunktionen ausüben;
   * Arbeitnehmer, die zumindest zwei Drittel invalid sind;
   * die Familienmitglieder des Arbeitgebers, die in dessen Betrieb mitarbeiten und keinen Barlohn beziehen oder deren Barlohn nicht den Jahresbetrag der minimalen jährlichen Altersrente der Alters- und Hinterlassenenversicherung erreicht.
</t>
  </si>
  <si>
    <t>Für die Bemessung der Invalidität wird das "als Invalider zumutbare Erwerbseinkommen" (sog. Invalideneinkommen) in Beziehung gesetzt zu dem "als Gesunder erzielten Einkommen" (sog. Valideneinkommen). Die "invaliditätsbedingte Erwerbseinbuße" (Differenz zwischen Valideneinkommen und Invalideneinkommen) in Prozenten zum Valideneinkommen entspricht dem Invaliditätsgrad.
Ein Invaliditätsgrad von 40% bildet die Untergrenze.
Beispiel:
Invalideneinkommen:  CHF 3.000/Monat, Valideneinkommen:  CHF 5.000/Monat. Erwerbseinbuße:  CHF 5.000 -  CHF 3.000 =  CHF 2.000 = 40% von  CHF 5.000, also Invaliditätsgrad: 40%.
1. Säule:
   * 40% für Viertelsrente,
   * 50% für halbe Rente,
   * 67% für ganze Rente.
2. Säule: Analog zur 1. Säule.
Bezüglich des Vorliegens einer Invalidität und des Invaliditätsgrades sind die Feststellungen der Liechtensteinischen Invalidenversicherung maßgeblich.</t>
  </si>
  <si>
    <t>1. Säule:
   * Die Beitragsdauer bestimmt die anwendbare Rentenskala; innerhalb der Rentenskala variiert der Rentenbetrag zwischen dem Höchstbetrag für diese Rentenskala und dem Mindestbetrag für diese Rentenskala, abhängig vom maßgebenden durchschnittlichen Jahreseinkommen (welches sich aus verschiedenen weiteren Faktoren zusammensetzt: Beiträge, Erziehungsgutschriften, Beiträge des Ehegatten usw.).
   * Bei vollständiger Beitragsdauer (wenn zwischendem vollendetem 20. Altersjahr und dem Versicherungsfall lückenlos Beiträge entrichtet wurden) besteht Anspruch auf Vollrente (Rentenskala 44): Höchstrente  CHF 2.380 (€2.543) pro Monat und Mindestrente  CHF 1.190 (€1.272) pro Monat. Bei unvollständiger Beitragsdauer besteht Anspruch auf Teilrente (Rentenskala 1 bis Rentenskala 43).
   * Die Rente wird 13-mal jährlich ausgerichtet (2-mal im Dezember, neben der Rente das sog. Weihnachtsgeld).
2. Säule:
   * Die Invaliditätsleistung ist von der Leistungsseite her definiert, d.h. die Leistung wird als Mindestprozentsatz des versicherten Lohns festgesetzt.
   * Invalidenrente (bei Vollinvalidität): 30% des versicherten Lohns. Bei Teilinvalidität kann die Rente dem Invaliditätsgrad entsprechend niedriger festgesetzt werden.
Die Leistungen der Vorsorgeeinrichtungen können nach Maßgabe des jeweiligen Reglements gekürzt werden, wenn sie mit Leistungen anderer Versicherungen oder mit Haftpflichtleistungen Dritte zusammen und anderen anrechenbaren Einkünften 90% des mutmaßlich entgangenen Verdienstes übertreffen.</t>
  </si>
  <si>
    <t>1. Säule:
   * Erwerbseinkommen der gesamten Versicherungskarriere;
   * Nichterwerbstätigenbeiträge;
   * Erziehungsgutschriften (fiktive Einkommen);
   * Betreuungsgutschriften (fiktive Einkommen).
Diese vier Faktoren des sog. maßgebenden durchschnittlichen Jahreseinkommens werden für Ehegatten während der Ehedauer hälftig aufgeteilt ("Splitting"), sobald beide Ehegatten rentenberechtigt sind (zudem auch bei Scheidung oder wenn eine verwitwete Person eine Alters- oder Invalidenrente bezieht).
Bei Eintritt der Invalidität vor dem 45. Altersjahr wird das maßgebende durchschnittliche Jahreseinkommen durch einen sog. "Karrierezuschlag" aufgewertet.
2. Säule:
Der für die Versicherung anrechenbare Lohn entspricht dem maßgebenden Lohn. Als maßgebender Lohn gilt grundsätzlich das auf das ganze Jahr berechnete Einkommen aus dem Arbeitsverhältnis nach dem sich die AHV-Beiträge bemessen.</t>
  </si>
  <si>
    <t>1. Säule:
   * Ehepartner: keine Zulage.
   * Kinder: 40% des Mindestbetrags der für den Vater oder die Mutter anwendbaren Rentenskala (vgl. Tabelle V, 2. Berechnungsmethode).
2. Säule:
Generell keine Zulagen, aber Kinder haben einen eigenen Rentenanspruch von mindestens 6% des versicherten Lohnes.</t>
  </si>
  <si>
    <t xml:space="preserve">1. Säule:
Die Kumulation von Invalidenrenten und vorgezogenen Altersrenten ist möglich (z.B. halbe Invalidenrente zusammen mit halber vorgezogener Altersrente).
Bei Zusammentreffen von Hinterlassenenrenten und Invalidenrenten besteht ungeachtet des Invaliditätsgrades Anspruch auf ganze Invalidenrente; es wird aber nur die höhere der beiden Renten (Hinterlassenenrente oder Invalidenrente, letztere allenfalls ergänzt durch einen Verwitwetenzuschlag), ausgerichtet.
Die übrigen Leistungen der sozialen Sicherheit treten ergänzend zu den Renten der Invalidenversicherung hinzu.
2. Säule:
   * Keine Leistungspflicht, solange ein Taggeld der Kranken- oder Unfallversicherung ausbezahlt wird.
   * Möglichkeit der Leistungskürzung, sofern sie mit den übrigen Leistungen 90% des mutmaßlich entgangenen Verdienstes übertreffen.
</t>
  </si>
  <si>
    <t xml:space="preserve">1. Säule:
   * bei unzumutbarer Doppelbelastung durch gleichzeitige ausländische Versicherung,
   * bei kurzer Versicherungszugehörigkeit.
2. Säule:
   * Arbeitnehmer, die bereits für eine hauptberufliche Erwerbstätigkeit obligatorisch versichert sind oder im Hauptberuf eine selbständige Erwerbstätigkeit ausüben;
   * Arbeitnehmer, die nicht dauernd in Liechtenstein tätig sind und für die im Ausland ein genügender Versicherungsschutz besteht;
   * Arbeitnehmer, deren Arbeitgeber nach dem AHVG nicht beitragspflichtig ist;
   * Arbeitnehmer von juristischen Personen, die daran maβgebend beteiligt sind und Arbeitgeberfunktionen ausüben;
   * Arbeitnehmer, die zumindest zwei Drittel invalid sind;
   * die Familienmitglieder des Arbeitgebers, die in dessen Betrieb mitarbeiten und keinen Barlohn beziehen oder deren Barlohn nicht den Jahresbetrag der minimalen jährlichen Altersrente der Alters- und Hinterlassenenversicherung erreicht.
</t>
  </si>
  <si>
    <t>1. Säule: Die Höhe der Rente berechnet sich nach zwei Faktoren:
   * nach der Beitragsdauer (zur Bestimmung der Rentenskala) und
   * nach dem sog. "maßgebenden durchschnittlichen Jahreseinkommen" (zur Bestimmung der Rentenhöhe innerhalb der anwendbaren Rentenskala).
2. Säule: Dauer der Beitragszahlung, Höhe der Beiträge, Höhe des Umwandlungssatzes (allfällige Einkaufsleistungen, um sich höher zu versichern).</t>
  </si>
  <si>
    <t>1. Säule:
   * Die Beitragsdauer bestimmt die anwendbare Rentenskala; innerhalb der Rentenskala variiert der Rentenbetrag zwischen dem Höchstbetrag für diese Rentenskala und dem Mindestbetrag für diese Rentenskala, abhängig vom maßgebenden durchschnittlichen Jahreseinkommen (welches sich aus verschiedenen weiteren Faktoren zusammensetzt: Beiträge, Erziehungsgutschriften, Beiträge des Ehegatten usw.).
   * Bei lückenloser Beitragsdauer (zwischen dem 20. Altersjahr und dem Versicherungsfall) besteht Anspruch auf Vollrente (Rentenskala 44): Höchstrente  CHF 2.380 (€2.543) pro Monat und Mindestrente  CHF 1.190 (€1.272) pro Monat. Bei einer nicht lückenlosen Beitragsdauer sinkt der Höchst- und Mindestbetrag mit jedem fehlenden Beitragsjahr um 1/44.
   * Die aufgeschobene Altersrente wird mit folgendem Zuschlag ausbezahlt: bei einem Aufschub bis zum vollendeten 66. Altersjahr um 4,5%; bei einem Aufschub bis zum vollendeten 67. Altersjahr um 9,3%; bei einem Aufschub bis zum vollendeten 68. Altersjahr um 14,4%; bei einem Aufschub bis zum vollendeten 69. Altersjahr um 20,1%; bei einem Auf-schub bis zum vollendeten 70. Al-tersjahr um 26,1%.
Die Rente wird monatlich ausgerichtet (im Dezember zusätzlich das sog. Weihnachtsgeld).
2. Säule:
Die Altersleistung ist entweder von der Beitragsseite oder der Leistungsseite her definiert (Beitragsprimat oder Leistungsprimat). Die Höhe der Altersrente hängt vom individuell angesammelten Alterskapital ab.
Anstelle einer Altersleistung kann die Vorsorgeeinrichtung eine Kapitalabfindung vorsehen.</t>
  </si>
  <si>
    <t>1. Säule:
   * Erwerbseinkommen der gesamten Versicherungskarriere;
   * Nichterwerbstätigenbeiträge;
   * Erziehungsgutschriften (fiktive Einkommen);
   * Betreuungsgutschriften (fiktive Einkommen).
Diese vier Faktoren des sog. maßgebenden durchschnittlichen Jahreseinkommens werden für Ehegatten während der Ehedauer hälftig aufgeteilt ("Splitting"), sobald beide Ehegatten rentenberechtigt sind (zudem auch bei Scheidung oder wenn eine verwitwete Person eine Alters- oder Invalidenrente bezieht).
Keine Obergrenzen.
2. Säule:
Der für die Versicherung anrechenbare Lohn entspricht dem maßgebenden Lohn. Der maßgebende Jahreslohn (brutto) kann in der Höhe auf CHF 88.200  (€94.241) begrenzt werden.
Der maßgebende Jahreslohn (brutto) muss mindestens  CHF 14.700 (€15.707) betragen und ist bis mindestens  CHF 88.200 (€94.241) zu versichern.</t>
  </si>
  <si>
    <t>1. Säule: Für die Berechnung der Altersrente können folgende Zeiten berücksichtigt werden:
   * die Beitragsdauer als unselbständig-, selbständig- oder nicht-erwerbstätige Person, soweit die Person beitragspflichtig ist (Art. 36 AHVG);
   * Erziehungsgutschrift für Kalenderjahre, in denen während dieser Zeit die versicherte Personen die elterliche Obsorge über eines oder mehrere Kinder, die das 16. Altersjahr noch nicht vollendet haben, ausüben, und
   * Betreuungsgutschriften für jene Kalenderjahre, a) in denen Versicherte ihre in erheblichem Masse pflege- und hilfsbedürftigen Angehörigen betreuen, sofern sie in einem gemeinsamen Haushalt oder in einem nicht weiter als 30 Kilometer (Wegstrecke) entfernt gelegenen Haushalt wohnen oder b) in denen Versicherte andere in erheblichem Masse pflege- und hilfsbedürftige Personen betreuen, sofern sie in einem gemeinsamen Haushalt wohnen.
2. Säule: Keine anrechenbaren bzw. berücksichtigungsfähigen beitragsfreien Zeiten.</t>
  </si>
  <si>
    <t>1. Säule:
   * Ehepartner: Keine Zulage für Ehepartner
   * Kinder: 40% des Mindestbetrags der für den Vater oder die Mutter anwendbaren Rentenskala.
2. Säule: Keine gesetzlichen Zulagen. Reglement der Vorsorgeeinrichtung kann Zulagen für Kinder vorsehen.</t>
  </si>
  <si>
    <t>1. Säule:
   * Beitrags- (und teilweise steuer-) finanziertes obligatorisches Sozialversicherungssystem für alle Personen mit Wohnsitz oder Erwerbstätigkeit (Arbeitnehmer und Selbstständige) in Liechtenstein;
   * Renten hängen im Wesentlichen von der Versicherungsdauer und von Beiträgen (z.T. fiktiven Beiträgen) ab.
   * Reichen die anrechenbaren Einnahmen aus den Renten und allfälligen anderen Quellen nicht aus, um die anerkannten Ausgaben zu decken, besteht ein Anspruch auf Ergänzungsleistungen um die minimalen Lebenshaltungskosten decken zu können (s. Tabelle XI ‚Mindestsicherung‘).
2. Säule:
   * Beitragsfinanziertes obligatorisches Sozialversicherungssystem für unselbstständig Erwerbstätige
   * Renten sind entgeltbezogen und hängen im Wesentlichen von Beiträgen ab.
Bei bereits erfolgtem Rentenbezug des Verstorbenen hängen die Leistungen von der Rente des Verstorbenen ab.</t>
  </si>
  <si>
    <t>1. Säule:
   * Alle Erwerbstätigen (Arbeitnehmer und Selbstständige) sowie alle nichterwerbstätigen Einwohner.
2. Säule:
   * Beitragsfinanziertes obligatorisches Sozialversicherungssystem für unselbstständig Erwerbstätige;
   * Arbeitnehmer und Arbeitslose, die mit dem 1. Januar das 17. Altersjahr vollendet haben und in der 1. Säule beitragspflichtig sind;
   * Freiwillige Versicherung ist für nicht beitragspflichtige Arbeitnehmer und für selbstständig Erwerbstätige möglich.</t>
  </si>
  <si>
    <t>1. Säule:
   * bei unzumutbarer Doppelbelastung durch gleichzeitige ausländische Versicherung,
   * bei kurzer Versicherungszugehörigkeit.
2. Säule:
   * Arbeitnehmer und Arbeitslose, die mit dem 1. Januar 2018 das 17. Altersjahr vollendet haben, in der 1. Säule beitragspflichtig sind und weniger als  CHF 14.700 (€15.707) Jahreseinkommen aufweisen.
   * Arbeitnehmer, die bereits für eine hauptberufliche Erwerbstätigkeit obligatorisch versichert sind oder im Hauptberuf eine selbständige Erwerbstätigkeit ausüben;
   * Arbeitnehmer, die nicht dauernd in Liechtenstein tätig sind und für die im Ausland ein genügender Versicherungsschutz besteht;
   * Arbeitnehmer, deren Arbeitgeber nach dem AHVG nicht beitragspflichtig ist; z.B. Arbeitgeber mit Sitz im Ausland.
   * Arbeitnehmer von juristischen Personen, die daran maßgebend beteiligt sind und Arbeitgeberfunktionen ausüben;
   * Arbeitnehmer, die zumindest zwei Drittel invalid sind;
   * die Familienmitglieder des Arbeitgebers, die in dessen Betrieb mitarbeiten und keinen Barlohn beziehen oder deren Barlohn nicht den Jahresbetrag der minimalen jährlichen Altersrente der Alters- und Hinterlassenenversicherung erreicht.</t>
  </si>
  <si>
    <t>1. Säule:
   * Hinterbliebene Ehegatten oder eingetragene Partner;
   * geschiedene Ehepartner oder getrennte eingetragene Partner;
   * leibliche Kinder, Adoptionskinder, Pflegekinder.
2. Säule:
   * Hinterbliebene Ehegatten oder eingetragene Partner;
   * Geschiedene Ehepartner oder getrennte eingetragene Partner, soweit im Reglement vorgesehen;
   * Konkubinatspartner (d.h. nicht-eingetragene Partner), soweit im Reglement vorgesehen;
   * leibliche Kinder, Adoptionskinder, Pflegekinder.
Der eingetragene Partner ist dem Ehegatten gleichgestellt.</t>
  </si>
  <si>
    <t>1. und 2. Säule:
   *  Aufrechte Ehe im Todeszeitpunkt.
   *  Der überlebende Ehegatte muss für den Unterhalt mindestens eines Kindes aufkommen oder älter als 45 Jahre sein und die Ehe muss mindestens fünf Jahre gedauert haben.
Sofern diese Voraussetzungen nicht erfüllt sind, hat der überlebende Ehegatte Anspruch auf eine einmalige Abfindung in der Höhe von drei Jahresrenten.</t>
  </si>
  <si>
    <t>1. Säule:
   * Halbwaisen: 40% der hypothetischen Rente des verstorbenen Elternteils,
   * Vollwaisen: 2 Waisenrenten (jeweils 40% der hypothetischen Rente des verstorbenen Elternteils).
   * Die Leistung wird keiner Bedürftigkeitsprüfung unterzogen“
   * Die Leistungszahlungen erfolgen monatlich, im Dezember erfolgt eine zusätzliche Rentenzahlung als Weihnachtsgeld.
2. Säule:
   * Waisenrenten von jährlich mindestens 6% des versicherten Lohns.
   * Beim Tod einer Person, die eine Alters- oder Invalidenrente bezogen hat, beträgt die Waisenrente je 20% der zuletzt ausgerichteten Alters- und Invalidenrente.
   * Die Leistung wird keiner Bedürftigkeitsprüfung unterzogen“
Im Übrigen gelten für den Anspruch zusätzlich und sinngemäß die entsprechenden Bestimmungen der 1. Säule.
Die Leistungszahlungen erfolgen monatlich.</t>
  </si>
  <si>
    <t xml:space="preserve">1. Säule: Keine gesetzliche Mindestrente, aber de facto gibt es für die 1. Säule die folgenden Mindestbeträge:
   * Verwitwetenrente:  CHF 952 (€1.017) pro Monat (13 x im Jahr)
   * Waisenrente:  CHF 476 (€509) pro Monat (13 x im Jahr) bei lückenloser Beitragsdauer.
2. Säule:
   * Verwitwetenrente: jährlich 18% des versicherten Lohns. Beim Tod einer Person die eine Alters- oder Invalidenrente bezogen hat, beträgt eine Verwitwetenrente 60% der zuletzt ausgerichteten Alters- oder Invalidenrente.
   * Waisenrente: jährlich je 6% des versicherten Lohns. Beim Tod einer Person, die eine Alters- oder Invalidenrente bezogen hat, beträgt die Waisenrente je 20% der zuletzt ausgerichteten Alters- und Invalidenrente.
</t>
  </si>
  <si>
    <t>1. Säule:
   * Verwitwetenrente von  CHF 1.912 (€2.043) pro Monat (13 x im Jahr) bei lückenloser Beitragsdauer.
   * Waisenrente von  CHF 956 (€1.021) pro Monat (13 x im Jahr) bei lückenloser Beitragsdauer.
2. Säule:
Keine gesetzliche Höchstrente.</t>
  </si>
  <si>
    <t>Die Mindestversicherungszeit für einen Anspruch auf Behindertenrente (Negalios pensija) ist abhängig vom Alter zum Zeitpunkt des Auftretens der Invalidität:
   * 2 Monate unter 22 Jahren;
   * 4 Monate bei 22 Jahren.
Pro weiteres Lebensjahr bis zum Alter von 36 Jahren steigt die Mindestversicherungszeit um zwei Monate (wenn die erforderliche Mindestversicherungszeit 3 Jahre beträgt) und um 6 Monate für jedes weitere Lebensjahr bis zum Alter von 60 Jahren (bei 15 Beitragsjahren).
Volle Rente (Visa pensija):
Die obligatorische Mindestsozialversicherungszeit ist ebenfalls altersabhängig, d.h. diese beträgt:
   * 1 Jahr unter 24 Jahren;
   * verlängert um 4 Monate pro weiteres Lebensjahr zwischen 24 bis 38 Jahren:
   * verlängert um 6 Monate pro weiteres Lebensjahr zwischen 30 und 33;
   * verlängert um 8 Monate pro weiteres Lebensjahr zwischen 40 und 39;
   * ab 40 Jahren und darüber verlängert sich die erforderliche Mindestversicherungszeit um 1 Jahr für jedes weitere Lebensjahr, ohne den obligatorischen Beitragszeitraum bei der Rentensozialversicherung für die Altersrente (Senatvės pensija) (siehe Table VI „Alter“) zu überschreiten.</t>
  </si>
  <si>
    <t>Die Feststellung der Teilhabefähigkeit erfolgt auf der Grundlage einer umfassenden Bewertung des Einflusses von Umweltfaktoren auf die Selbstständigkeit, die Möglichkeiten einer effektiven Teilhabe an der Gesellschaft und die Beeinträchtigungen der Körperfunktionen der Person nach Ausschöpfung aller möglichen medizinischen Maßnahmen und unter Berücksichtigung des Ausmaßes des individuellen Hilfebedarfs der Person.
Der Verlust der Teilhabefähigkeit wird ausgedrückt als ein Prozentsatz.
Es kann sich handeln um:
   * vollständig, wenn der Verlust der Erwerbsfähigkeit zwischen 75-100% liegt;
   * teilweise, wenn er zwischen 45-75% liegt.
Es gibt eine Mindestfähigkeit zur Teilhabe von 45%, um anspruchsberechtigt für Behindertenrente (Negalios pensija) zu sein.</t>
  </si>
  <si>
    <t>Es gibt keine regelmäßige Überprüfung des Anspruchs auf Behindertenrente (Negalios pensija), dennoch ist Überprüfung möglich:
   * nach dem Ende des Anspruchszeitraums,
   * bei einer Änderung des Gesundheitszustands,
   * bei Anfechtung der Entscheidung,
   * bei Zweifeln an der Gültigkeit der Entscheidung.
Die Agentur zum Schutz der Rechte von Menschen mit Behinderung des Ministeriums für Soziale Sicherheit und Arbeit ist verantwortlich für die Durchführung der Neubewertung.</t>
  </si>
  <si>
    <t>Zeiten, die als Beitragszeiten behandelt werden, um die Anspruchsberechtigung auf Behindertenrente (Negalios pensija) zu berechnen:
   * Krankenstand;
   * Mutterschaftsurlaub;
   * berufliche Rehabilitation;
   * Zeiten des Bezugs von Leistungen bei Arbeitslosigkeit;
   * Betreuung eines Kindes unter 3 Jahren oder einer Person mit Behinderung;
   * Wehrdienstzeiten;
   * Zeiten des Auslandsaufenthalts von Ehepartnern von Diplomaten;
   * Dienstzeiten von Pfarrern aller staatlich anerkannten Religionen;
   * Dienstzeiten ohne versichertes Einkommen von Nonnen und Mönchen in Klöstern.</t>
  </si>
  <si>
    <t>Es gibt Lohnkostenzuschüsse (darbinimas subsidijuojant) zur Entschädigung von Arbeitgebern, die Menschen mit Behinderungen einstellen. Der Arbeitsmarktservice bietet teilweise Erstattungen von Löhnen und Sozialabgaben.
Die Zuschüsse werden gezahlt:
   * für bis zu 6 Monate, wenn der Arbeitsvertrag mit Menschen mit Behinderung abgeschlossen wird, deren Arbeitsfähigkeit bei 45-55% liegt oder bei denen nur eine leichte Behinderung vorliegt;
   * für bis zu 36 Monate, wenn der Arbeitsvertrag mit behinderten Personen abgeschlossen wird, deren Arbeitsfähigkeit zwischen 30 und 40% liegt oder bei denen eine mittelschwere Behinderung vorliegt;
   * unbegrenzt während des Arbeitszeitraums für behinderte Personen, deren Arbeitsfähigkeit 25% nicht überschreitet oder bei denen eine schwere Behinderung vorliegt.
Zuschuss zur Anpassung von Arbeitsplätzen (Darbo vietų pritaikymo subsidijavimas):
Die Bezuschussung wird gezahlt für Anschaffung, Einbau und Anpassung von Arbeitsmitteln oder technischen Hilfsmitteln für Personen mit Behinderung und die Instandsetzung oder Anpassung von Räumlichkeiten, bei denen die geschätzten Kosten 50% Gesamtbetrags des Zuschusses für die neugeschaffenen Arbeitsplätze nicht überschreiten.
Die Unterstützung pro Arbeitsplatz darf den monatlichen Mindestlohn (€1.038) multipliziert mit 31 nicht überschreiten. Der Zuschuss darf den monatlichen Mindestlohn multipliziert mit 4,7 nicht überschreiten.
Der Empfänger der Unterstützung soll verpflichtet werden, mindestens 35% der Kosten der Anpassung eines Arbeitsplatzes zu tragen, ausgenommen im Fall der Beschäftigung von Personen mit Behinderung (20% für jede Person mit schwerer Behinderung oder deren Arbeitsfähigkeit 25% nicht übersteigt und 30% für jede Person mit einer mittelschweren Behinderung oder deren Arbeitsfähigkeit zwischen 30-40% liegt) und soll den angepassten Arbeitsplatz während mindestens 36 Monaten ab dem Tag der Einstellung der Person erhalten, die ihm der Arbeitsmarktservice vermittelt hat.
Ab dem 1. Januar 2024 muss in öffentlichen Einrichtungen auf nationaler und kommunaler Ebene, in Unternehmen und Aktiengesellschaften, bei denen der Staat oder die Gemeinde Anteilseigner ist, die Zahl der Arbeitnehmer mit Behinderungen mindestens 5% der Gesamtzahl der Arbeitnehmer ausmachen, wenn die Zahl der Arbeitnehmer in diesen Organisationen 25 oder mehr beträgt.
Seit 1. Januar 2023 werden Sozialunternehmen nicht mehr vom Staat unterstützt, wenn sie Personen mit Behinderung einstellen.
Zuschuss für die Kosten einer Arbeitsassistenz (subsidija darbo asistento išlaidoms) wird für Arbeitnehmer erbracht, wenn diese Hilfe bei der Ausübung ihrer Erwerbstätigkeit benötigen. Bedarf und Dauer der Arbeitsassistenz wird vom Dienst für Invalidität und Arbeitsfähigkeit bestimmt, der dem Ministerium für soziale Sicherheit und Arbeit unterstellt ist.
Der Zuschuss beträgt 62% des Mindeststundenlohns (€6,35) für jede Person für die Zeit, in der die Assistenz erbracht wurde.</t>
  </si>
  <si>
    <t>1. und 2. Säule:
Das Rentenalter wird jährlich um 4 Monate für Frauen und 2 Monate für Männer angehoben, bis es im Jahr 2026 65 Jahre für beide erreicht.
Im Jahr 2025 liegt das Rentenalter bei:
   * 64 Jahren und 10 Monaten für Männer;
   * 64 Jahren und 8  Monaten für Frauen.</t>
  </si>
  <si>
    <t>Vorzeitiger Rentenbezug (išankstinė senatvės pensija) ist möglich, wenn Personen folgende Bedingungen erfüllen:
   * sie können die erforderliche Pflichtversicherungszeit für die Altersrente vorweisen, wirksam im Jahr des Renteneintritts;
   * sie stehen weniger als 5 Jahre vor dem Rentenalter;
   * sie haben kein anderes Einkommen, und erhalten keine andere Rente oder Leistungen;
   * sie sind kein Landwirt oder Partner eines Landwirts und beziehen kein Einkommen aus einem Arbeitsverhältnis in einem anderen Staat.
Die vorgezogene Altersrente kann auch gewährt werden:
   * Mütttern, die mindestens fünf Kinder geboren und bis zum Alter von 8 Jahren aufgezogen haben sowie Eltern (einschließlich Adoptiveltern), die mindestens 15 Jahre lang Kinder mit Behinderung gepflegt oder adoptierte Kinder zu Hause aufgezogen haben;
   * Personen, die mindestens 15 Jahre lang eine Person mit Behinderung (für die ein Bedarf an Rückerstattung der Kosten für individuelle Unterstützung festgestellt wurde, d.h. eine Person mit vollständiger Behinderung) zu Hause gepflegt haben, vorausgesetzt, die Person erfüllt beim Antrag der vorgezogenen Altersrente alle anderen oben genannten Bedingungen und kann mindestens die Hälfte der erforderlichen Pflichtversicherungsjahre für eine vorgezogene Altersrente vorweisen.</t>
  </si>
  <si>
    <t>1. Säule - Die monatliche Altersrente (Senatvės pensija) entspricht der Summe der allgemeinen und individuellen Teile.
Der allgemeine Teil wird nach der Formel β × B berechnet, wobei:
   * β das Verhältnis der Versicherungszeit der Person und der Mindestversicherungszeit ist, wirksam im Jahr des Rentenanspruchs. Liegen die Versicherungszeiten einer Person unter den für eine Altersrente vorgeschriebenen, entspricht der Multiplikator ß eins;
   * B die Grundrente ist (in Euro).
Der individuelle Teil der Rente wird nach der Formel V × p berechnet, wobei:
   * V die Anzahl der von der Person gesammelten Rentenpunkte ist;
   * P der Wert des Rentenpunktes ist (in Euro).
Jede versicherte Person erhält eine bestimmte Anzahl von Rentenpunkten für den Betrag von Sozialversicherungsbeiträgen, die während eines Jahres gezahlt wurden. Wenn der Betrag von Beiträgen, der während des Jahres für den individuellen Teil der Rente vom Einkommen der Person abgezogen wurde, dem Betrag der jährlichen Rentenbeiträge entspricht, die auf der Basis des jährlichen Durchschnittsgehalts festgelegt werden, erhält die Person einen Rentenpunkt. Ein größerer oder kleinerer Betrag führt entsprechend zu einer größeren oder kleineren Menge von Rentenpunkten. Die Gesamtanzahl von Rentenpunkten, die während eines Jahres erworben wurde, darf jedoch 5 nicht übersteigen. Um den individuellen Teil der Rente zu bestimmen, werden die erworbenen Rentenpunkte addiert und mit dem Wert des Rentenpunkts multipliziert.
Die Altersrente wird monatlich ausgezahlt.
2. Säule - kapitalgedecktes System, finanziert aus privaten Mitteln (3% des persönlichen Lohns) und Staatszuschüssen (1,5% des nationalen Durchschnittslohns).</t>
  </si>
  <si>
    <t>Witwen-/Witwerrente (Našlių pensija):
   * Hinterbliebener andersgeschlechtlicher Ehepartner.
Waisenrente (Našlaičio pensija):
   * Kinder, einschließlich Adoptivkinder, falls diese nicht bereits Hinterbliebenenrente für ihre leiblichen Eltern erhalten.
Leistung für Alleinstehende (Vienišo asmens išmoka):
   * geschiedener Ehepartner;
   * hinterbliebene Partner oder Lebenspartner.</t>
  </si>
  <si>
    <t>Anspruchsbedingungen für die Witwen-/Witwerrente (Našlių pensija) an den hinterbliebenen Ehepartner sind:
   * mit dem Verstorbenen für mindestens ein Jahr verheiratet gewesen sein, falls keine gemeinsamen Kinder vorhanden sind;
   * zum Todeszeitpunkt des Partners oder spätestens innerhalb von 5 Jahren nach dem Tod des Partners als erwerbsunfähig anerkannt sein/worden sein;
   * das gesetzliche Rentenalter erreicht haben.</t>
  </si>
  <si>
    <t>Der geschiedene Ehepartner kann die Leistung für Alleinstehende (Vienišo asmens išmoka) beziehen, basierend auf den folgenden Bedingungen:
   * eine ältere, alleinstehende Person (die das Altersrentenalter erreicht hat) oder eine alleinstehende Person mit Behinderung sein.
   * Litauen als Wohnsitz erklärt haben oder bei Nichterfüllung eine der folgenden Anforderungen:
   * keine erneute Heirat, weder in Litauen noch im Ausland;
   * erneute Heirat, die jedoch beendet wurde.</t>
  </si>
  <si>
    <t>Anspruchsbedingungen für die Waisenrente (Našlaičio pensija):
   * unter 18 Jahre alt sein;
   * zwischen 18 und 24 Jahre alt sein und Vollzeitstudent in höherer, beruflicher, weiterführender Bildung oder Weiterbildung sein;
   * als behindert anerkannt zu sein vor dem Erreichen des 24. Lebensjahres oder zwischen 24 und 26 aufgrund einer Krankheit oder Verletzung, die vor dem Alter von 24 passierten.
Keine Altersgrenze für Kinder mit Behinderung (wenn die Behinderung vor Vollendung des 18. Lebensjahrs anerkannt wurde, wird die Rente bis zum Ende der Behinderung gezahlt oder lebenslang im Fall einer dauerhaften Behinderung).
Eine Heirat der Kinder oder die Aufnahme einer Erwerbstätigkeit hat keinen Einfluss auf die Anspruchsberechtigung.</t>
  </si>
  <si>
    <t>Hat die verstorbene Person Anspruch auf die Sozialversicherungsrente für Waisen, die geringer ist als die Sozialhilferente für Waisen, wird eine Sozialhilferente für Waisen an die Kinder oder Adoptivkinder gezahlt, die die folgenden Bedingungen erfüllen:
   * unter 18 Jahren alt sein;
   * zwischen 18 und 24 Jahren in einer Vollzeit-Ausbildung an einer anerkannten Einrichtung der höheren oder beruflichen Bildung sein;
   * vor oder nach der Vollendung des 24. Lebensjahres als behindert eingestuft worden sein (aber nicht nach Vollendung des 26. Lebensalters) aufgrund von Krankheiten oder Verletzungen vor dem 24. Lebensjahr.
Die Sozialhilferente für Waisen beläuft sich für jedes Kind auf 0,5 der Sozialhilferentenbasis (Šalpos pensijų bazė) (d.h. €124 im Jahr 2025). Sind vier oder mehr rentenberechtigte leibliche oder adoptierte Kinder vorhanden, so wird ein Betrag entsprechend des 1,5-fachen der Sozialhilferentenbasis der verstorbenen Person (d.h. €372 im Jahr 2025) unter allen Kindern (oder adoptierten Kindern) aufgeteilt.
Die Sozialhilferentenbasis (Šalpos pensijų bazė): Der Betrag wird von der Regierung festgesetzt und beläuft sich 2025 auf €248.</t>
  </si>
  <si>
    <t>Die Behindertenrente (Negalios pensija) der Sozialversicherung besteht aus zwei Teilen: dem allgemeinen Teil und dem individuellen Teil.
Allgemeiner Teil:
Betrag wird gemäß der Formel: d x β x B berechnet, wobei:
   * B der Grundrentenbetrag ist;
   * d der Multiplikator des Grades der Teilhabefähigkeit ist, wie ausgeführt in Anhang 3 zum Gesetz über Renten der Sozialversicherung;
   * und β ist der Mulitplikator des Verhältnisses der Versicherungszeit einer Person und der obligatorischen Mindestversicherungszeit, das wie folgt bestimmt wird:
   * wenn eine Person einen Anspruch auf Behindertenrente erwirbt, aber über eine Versicherungszeit unter der obligatorischen Mindestversicherungszeit verfügt, soll der Multiplikator β 1 entsprechen;
   * wenn die Versicherungszeit einer Person der obligatorischen Mindestversicherungszeit für Altersrente entspricht oder darüber liegt, entspricht der Multiplikator β dem Verhältnis von ersterem zu der obligatorischen Mindestversicherungszeit für einen Anspruch auf Altersrente.
Individueller Teil:
Betrag wird gemäß der Formel: N x p x d berechnet, wobei:
   * N die Anzahl der Punkte einer Person ist, die gültig für eine Behindertenrente sind, berechnet als die Summe der Rentenpunkte, die die Person erworben hat, den Behindertenrentenpunkten und den vorübergehenden Rentenpunkten (Punkte, die vorübergehend zur Berechnung des individuellen Anteils der Behindertenrente der Sozialversicherung genutzt werden, um zu verhindern, dass die Mitgliedschaft im Rentenfonds der 2. Säule diesen Rentenbetrag beeinträchtigt);
   * p der Wert eines Rentenpunktes ist, wirksam in dem Monat, für den die Rente gezahlt wird;
   * d der Multiplikator des Grades der Teilhabefähigkeit ist wie ausgeführt in Anhang 3 zum Gesetz über Sozialversicherungsrenten.
Die Behindertenrente der Sozialversicherung unterliegt keiner Bedürftigkeits- oder Leistungsüberprüfung. Behindertenrenten der Sozialversicherung werden monatlich gezahlt.</t>
  </si>
  <si>
    <t>1. Säule:
Rente bestehend aus einer von der Dauer der Versicherung abhängenden Pauschalleistung (1/40 pro Versicherungsjahr, maximal 40 Jahre) und einer beitrags- bzw. einkommensabhängigen Komponente:
   * Die von der Versicherungsdauer abhängige Pauschalleistung (majorations forfaitaires) beträgt bei 40 Versicherungsjahren €652,06 im Monat (andernfalls anteilmäßige Kürzung).
   * Der einkommensabhängige Rententeilbetrag (majorations proportionnelles) beträgt 1,769% der Summe der beitragspflichtigen Einkommen.
   * Gestaffelte Erhöhung (majoration échelonnée):Wenn die Summe der Versicherungszeiten und das Alter die Zahl 95 übersteigt, wird der Erhöhungssatz um die Summe der Anzahl der Jahre, die diese Zahl um 0,015% übersteigt, angehoben.
Zulage zum Jahresende (allocation de fin d'année): jährlicher Pauschalbetrag in Höhe von €1.004,28 (für 40 Versicherungsjahre, andernfalls anteilig gekürzt).</t>
  </si>
  <si>
    <t>1. Säule:
Als effektive Versicherungszeiten, die für die Mindestversicherungszeit und die Berechnung der pauschalen und anteiligen Zuschläge berücksichtigt werden, gelten insbesondere folgende:
   * Zeiten, die durch ein Ersatzeinkommen abgedeckt sind, auf das ein Rentenbeitrag einbehalten wird: Arbeitslosigkeit, Krankheit, Mutterschaft, Unfallrente, Elternurlaub;
   * ein Zeitraum von 24 Monaten für die Erziehung eines Kindes („Babyjahre“ (années bébé);
   * Zeiten, in denen ein informeller Helfer eine Person betreut, die nach den Rechtsvorschriften über die Pflegebedürftigkeit pflegebedürftig ist.
Als zusätzliche Zeiten, die für Mindestversicherungszeit und die pauschalen Zuschläge berücksichtigt werden, gelten insbesondere folgende:
   * Ausbildungszeiten zwischen dem 18. und dem 27. Lebensjahr;
   * Zeiten der Erziehung von Kindern unter 6 Jahren (18 Jahre bei Krankheit des Kindes) – Insgesamt: 8 Jahre für 2 Kinder und 10 Jahre für 3 Kinder;
   * Zeiten für die Pflege eines Hilfsbedürftigen;
   * Zeiten, in denen eine Invaliditätsrente gewährt wird.</t>
  </si>
  <si>
    <t>Die Invalidität beruht auf dem Ausmaß der Einschränkungen, die die Erwerbsfähigkeit begrenzen.
Invalidität wird definiert als:
   * Erwerbsunfähigkeit für eine angemessene Voll- oder Teilzeitbeschäftigung oder eine Selbstständigkeit aufgrund schwerer Erkrankung oder körperlicher oder geistiger Beeinträchtigung;
   * dauerhafte oder noch nicht endgültig als dauerhaft festgestellte Erwerbsunfähigkeit bedingt, dass für mindestens ein Jahr ab der Antragstellung keine angemessene Voll- oder Teilzeiterwerbstätigkeit ausgeübt werden kann.</t>
  </si>
  <si>
    <t xml:space="preserve">Unter folgenden Umständen sind Personen von der Pflichtversicherung ausgenommen:
   * Personen mit einer Gelegenheitsbeschäftigung, die nicht dazu bestimmt ist, Teil eines Handels oder Geschäfts zu sein;
   * Arbeitnehmer mit Wohnsitz in Malta, deren Arbeitgeber seinen Unternehmenssitz im Ausland hat;
   * Personen mit einer Beschäftigung von weniger als 8 Stunden wöchentlich;
   * Personen, die Beschäftigung und Wohnsitz in Malta haben, Beiträge jedoch in ihrem Herkunftsland zahlen;
   * Geschäftsführer von Familienunternehmen;
   * Mehrheitseigentümer in Partnerschaftsgesellschaften;
   * Arbeitnehmer, die seit einem Zeitpunkt vor dem 5. Januar 2008 eine Rente im Rahmen des maltesischen Systems beziehen;
   * Hinterbliebene Ehepartner oder Partner, die eine Witwen-/Witwerrente im Rahmen des maltesischen Systems beziehen, sofern ihr Bruttoerwerbseinkommen den nationalen Mindestlohn nicht überschreitet;
   * Personen, die als gelegentliche Sozialassistenten im Rahmen des Programms „Aktives Altern und gemeinschaftliche Pflege” beschäftigt sind.
</t>
  </si>
  <si>
    <t>Die Hauptkriterien für die Bestimmung der Anspruchsberechtigung beziehen sich auf das Ausmaß, in dem die Fähigkeiten einer Person, eine Arbeit und alltägliche Tätigkeiten auszuüben, eingeschränkt ist, nachdem ihre Erkrankung abschließend behandelt wurde.
Das Ausmaß der Einschränkung bestimmt die Beeinträchtigung des Antragstellers als:
   * dauerhaft, d.h. der Zustand wird wahrscheinlich für mindestens ein Jahr nach Diagnose und Behandlung anhalten;
   * vorübergehend, d.h. entweder ist die Person kürzer als ein Jahr beeinträchtigt oder es erfolgten noch keine Diagnose und Behandlung.
Beruhend auf diesen Kriterien wird jeder Kategorie verminderter Erwerbsfähigkeit ein Prozentsatz zugeordnet. Beruhend auf einer Tabelle der Einschränkungen, die im nationalen Recht verankert ist, legt das Ärzteteam fest, zu welchem Prozentsatz die Erwerbsfähigkeit eingeschränkt ist.
Für einen Anspruch auf diese Rente muss der Mindestlevel von verminderter Erwerbsfähigkeit 20% betragen.</t>
  </si>
  <si>
    <t>Höchstrente:
   * Verheiratete: €190,33 pro Woche;
   * Alleinstehende: €170,53 pro Woche.
Der gezahlte Betrag hängt von der Anzahl der geleisteten Beiträge und vom Invaliditätsgrad ab. Der Betrag ist unabhängig von derzeitigen oder bisherigen Einkünften aus Erwerbstätigkeit, ausgenommen, eine Person bezieht eine Rente aus dem Arbeitsverhältnis (Pensjoni tas-Servizz). Dadurch reduziert sich die Grundrente (Pensjoni Bazika) auf:
   * Verheiratete: €145,99 pro Woche;
   * Alleinstehende: €135,84 pro Woche.
Eine Rente aus dem Arbeitsverhältnis (Pensjoni tas-Servizz) ist eine Rente oder eine sonstige Leistung, die einer Person vom oder an Stelle des Arbeitgebers für frühere Beschäftigung in Malta oder im Ausland gezahlt wird.
Der Bezug anderer Sozialleistungen hat keine Auswirkungen auf den Rentensatz.
Die Rente unterliegt keiner Bedürftigkeitsprüfung und wird alle vier Wochen ausgezahlt. Unter bestimmten Umständen können Rentner im Juni und im Dezember einen Regierungsbonus erhalten (siehe Näheres unter Tabelle VI zu „Alter“).
Für Rentenzulagen siehe Tabelle VI zu „Alter“, „Leistungen, Sonderzulagen“.</t>
  </si>
  <si>
    <t>Pauschalleistung, einkommensunabhängige Einheitsrente:
   * Verheiratete: €152,87 pro Woche.
   * Alleinstehende: €146,94 pro Woche.
Pauschalleistung, einkommensunabhängige Einheitsrente:
   * Verheiratete: €190,33 pro Woche.
   * Alleinstehende: €170,53 pro Woche.
Einkommensunabhängiger Höchstpauschalbetrag für arbeitsunfähige Personen: €206,90 pro Woche.
Einkommensunabhängiger Mindestpauschalbetrag für arbeitsunfähige Personen: €168,16 pro Woche.</t>
  </si>
  <si>
    <t>Zeiten der Abwesenheit vom Arbeitsplatz, die für die Anspruchsberechtigung auf Invaliditätsrente sowie die Berechnung von deren Betrag angerechnet werden sind:
   * Krankheit;
   * Arbeitslosigkeit;
   * Verletzung aufgrund von Arbeitsunfällen oder Berufskrankheiten.
Besondere Anrechnungszeiten für ehemalige Bedienstete der Polizei, der Streitkräfte und der Abteilung für Katastrophenschutz, Pflegekräfte, Gefängniswärter und ehrenamtlich tätige Personen.</t>
  </si>
  <si>
    <t>Unter folgenden Umständen sind Personen von der Pflichtversicherung ausgenommen:
   * Personen mit einer Gelegenheitsbeschäftigung, die nicht dazu bestimmt ist, Teil eines Handels oder Geschäfts zu sein;
   * Personen mit Wohnsitz in Malta, deren Arbeitgeber seinen Unternehmenssitz im Ausland hat;
   * Personen mit einer Beschäftigung von weniger als 8 Stunden wöchentlich;
   * Personen, die Beschäftigung und Wohnsitz in Malta haben, Beiträge jedoch in ihrem Herkunftsland zahlen;
   * Geschäftsführer von Familienunternehmen;
   * Mehrheitseigentümer in Partnerschaftsgesellschaften;
   * Arbeitnehmer, die seit einem Zeitpunkt vor dem 5. Januar 2008 eine Rente im Rahmen des maltesischen Systems beziehen;
   * Hinterbliebene Ehepartner oder Partner, die eine Witwen-/Witwerrente im Rahmen des maltesischen Systems beziehen, sofern ihr Bruttoerwerbseinkommen den nationalen Mindestlohn nicht überschreitet;
   * Personen, die als gelegentliche Sozialassistenten im Rahmen des Programms „Aktives Altern und gemeinschaftliche Pflege” beschäftigt sind.</t>
  </si>
  <si>
    <t xml:space="preserve">Für Männer und Frauen mit Geburtsdatum zwischen:
   * 1959 - 1961: 64 Jahre;
   * 1962 und Folgejahren: 65 Jahre.
</t>
  </si>
  <si>
    <t xml:space="preserve">Abgesehen vom Alter ist die weitere Bedingung für den Bezug einer Altersrente eine Mindestversicherungszeit von:
   * vor dem Ruhestand mindestens zehn Jahre abhängig oder selbstständig erwerbstätig gewesen sein;
   * durchschnittlich mindestens zwischen 20 und höchstens 50 Wochenbeiträge (gezahlt oder angerechnet) pro Jahr ab dem Alter von 18 Jahren aufweisen für Personen, die nach 1958 geboren sind.
Ein voller Altersrentenanspruch beruht auf folgenden Beitragszeiten:
   * 35 Jahre entrichtete oder angerechnete Beiträge für Personen, die zwischen 1952 und 1961 geboren sind;
   * 40 Jahre entrichtete oder angerechnete Beiträge für Personen, die zwischen 1962 und 1968 geboren sind;
   * 41 Jahre entrichtete oder angerechnete Beiträge für Personen, die am oder nach dem 1. Januar 1969 geboren sind;
   * 42 Jahre entrichtete oder angerechnete Beiträge für Personen, die an oder nach dem 1. Januar 1976 geboren sind.
</t>
  </si>
  <si>
    <t>Formel für die Zwei-Drittel-Rente (Pensjoni taz-Zewg terzi):
   *       Für vor dem 24. April 1958 Geborene:
N1/10 + N2/20(*)  x  1/50  x  2/3 x PI
     2
N1 = Anzahl der wöchentlichen Beiträge in den letzten zehn Jahren.
N2 =  Anzahl der wöchentlichen Beiträge in den besten 20 Jahren seit der Vollendung des 19. Lebensjahres.
PI =  Rentenfähiges Einkommen („pensionable income“).
Beispiel:
Zahl der Beiträge in den letzten 10 Jahren: 300
Zahl der Beiträge in den besten 20(*) Jahren: 800
Erster Durchschnitt: 300/10 = 30
Zweiter Durchschnitt: 800/20(*) = 40
Insgesamt: 70/2 = 35
Die Rente beläuft sich somit auf 35/50 von zwei Drittel des rentenfähigen Einkommens. Der wöchentliche Höchstsatz einer Zwei-Drittel-Rente (Pensjoni taz-Zewg terzi) beträgt €301,28.
(*) Statt 20 gilt für zwischen dem 1.1.1952 und dem 31.12.1961 geborene Personen 25.
   *       Für ab dem 24. April 1958 Geborene:
 N  x  1/50  x  2/3 x PI
40
N = Höchste Anzahl der entrichteten oder angerechneten Wochenbeiträge in 40 Jahren ab Vollendung des 18. Lebensjahres bis zum Ruhestandsalter
PI =  Rentenfähiges Einkommen („pensionable income“).
N =  Maximum 50, Minimum 15.
40
Beispiel:
Zahl der Beiträge in den  besten 40 Jahren: 1600.
Durchschnitt pro Jahr: 1600/40 = 40.
Die Rente beläuft sich somit auf 40/50 von zwei Drittel des rentenfähigen Einkommens. Der wöchentliche Höchstsatz einer Zwei-Drittel-Rente (Pensjoni taz-Zewg terzi) beträgt €354,86. Die Rente wird alle 4 Wochen gezahlt, daher gibt es 13 Zahlungen im Jahr.</t>
  </si>
  <si>
    <t>Angerechnet werden Zeiten von:
   * Krankheit, für den Anspruch auf Krankengeld angerechnete Zeiten;
   * Eine Witwe gilt unabhängig von einem Anspruch auf Witwenrente als nicht erwerbstätig, solange sie nicht erneut heiratet und vorausgesetzt, dass ihr verstorbener Ehemann oder Partner vor seinem Tod mindestens 156 Wochenbeiträge geleistet hat;
   * Invalidität: vorausgesetzt, dass die Anzahl der anrechenbaren Beiträge die Anzahl der tatsächlich vom Leistungsempfänger ab 1979 entrichteten Beiträge nicht übersteigt;
   * Anspruch auf Leistungen bei Arbeitslosigkeit;
   * Anspruch auf Leistungen bei Verletzung;
   * für nach dem 1. Januar 1952 geborene Eltern Zeiten der Erziehung eines Kindes, wenn das Kind jünger als 6 Jahre ist (unter 10 Jahren bei einem Kind mit Behinderung).
Studien-Anrechnungszeiten für Studenten, die nach dem 1. Januar 1952 geboren sind.
Besondere Anrechnungszeiten für ehemalige Bedienstete der Polizei, der Streitkräfte und der Abteilung für Katastrophenschutz, Gefängniswärter, Pflegekräfte und ehrenamtlich tätige Personen.</t>
  </si>
  <si>
    <t>Beiträge können rückwirkend entrichtet werden. Sie werden bei der Beurteilung des Rentenanspruchs und der Berechnung des Betrags unter folgenden Umständen berücksichtigt:
   * Für alleinstehende (unverheiratete) Personen im Fall von fehlenden Beiträgen innerhalb der vorhergehenden 5 Jahre vor dem Datum des Antrags. Ebenfalls anwendbar für Versicherte, die an einem von der Regierung genehmigten Vorruhestandsprogramm teilgenommen haben.
   * Für Selbstständige im Fall von fehlenden Beiträgen innerhalb der vorhergehenden 5 Jahre vor dem Datum des Antrags und die zu diesem Zeitpunkt einer Erwerbstätigkeit nachgingen (entweder als Arbeitnehmer oder Selbstständige) , jedoch die fristgerechte Zahlung der Versicherungsbeiträge versäumt haben. Ebenfalls anwendbar für Versicherte gemäß Artikel 13(1) des Sozialversicherungsgesetzes (Malta) – Im Ausland beschäftigte maltesische Saatsangehörige.
   * für Personen im Alter zwischen 59 und 64 Jahren, die aktuell einer Erwerbstätigkeit nachgehen im Fall von lückenhaften Versicherungszeiten mit Wohnsitz in Malta, vorausgesetzt, dass die Gesamtzahl von rückgekauften Jahren fünf Jahre nicht überschreitet im Alter zwischen 18 Jahren und dem Rentenalter. Dies gilt ebenfalls für Personen, die im maltesischen System versichert sind und in deren Versicherungszeiten für Beschäftigungszeiträume in Libyen zwischen den Jahren 1990 und 2018 Beitragslücken entstanden.
   * Für Personen, die im Rahmen des maltesischen Sozialversicherungsgesetzes versichert sind und eine Unfallrente aus dem gleichen System beziehen und in deren Versicherungszeiten eine Beitragslücke von besteht, vorausgesetzt, dass die Gesamtzahl von rückgekauften Jahren fünf Jahre zwischen dem Alter von 18 Jahren und dem Rentenalter nicht überschreitet. Dies gilt ebenfalls für Personen, die gemäß dem maltesischen Sozialversicherungsgesetz versichert sind und unter diesem System eine Rente für Pflegepersonen beziehen.
   * Für Personen, deren offizielle Beschäftigungszeiten bei der staatlichen Arbeitsvermittlung (Jobsplus) Beschäftigungszeiträume von vor 1990 (dem Jahr der Einführung von Jobsplus) angeben, die aber offiziell durch keine Beitragszahlungen abgedeckt sind.
Rückkauf von Beiträgen gilt sowohl für den Anspruch auf Altersrente als auch der Berechnung des Altersrentenbetrags.</t>
  </si>
  <si>
    <t xml:space="preserve">Unter folgenden Umständen sind Personen von der Pflichtversicherung ausgenommen:
   * Personen mit Gelegenheitsarbeit, deren Zweck weder das Handelstreiben noch die Fürhung eines Unternehmens ist;
   * Personen mit Wohnsitz, deren Arbeitgeber seinen Unternehmenssitz jedoch im Ausland hat;
   * Personen mit einer Beschäftigung von weniger als 8 Stunden wöchentlich;
   * Personen, die Beschäftigung und Wohnsitz in Malta haben, Beiträge jedoch in ihrem Herkunftsland zahlen;
   * Geschäftsführer von Familienunternehmen;
   * Mehrheitseigentümer in Partnerschaftsgesellschaften;
   * Arbeitnehmer, die seit einem Zeitpunkt vor dem 5. Januar 2008 eine Rente im Rahmen des maltesischen Systems beziehen;
   * Hinterbliebene Ehepartner oder Partner, die eine Witwen-/Witwerrente im Rahmen des maltesischen Systems beziehen, sofern ihr Bruttoerwerbseinkommen den nationalen Mindestlohn nicht überschreitet;
   * Personen, die als gelegentliche Sozialassistenten im Rahmen des Programms „Aktives Altern und gemeinschaftliche Pflege“ beschäftigt sind.
</t>
  </si>
  <si>
    <t>Leistungen bei Invalidität werden unter getrennten Systemen erbracht:
WIA (WGA und IVA)
Das derzeitige WIA-System, das auf dem Gesetz über Arbeit und Einkommen entsprechend der Arbeitsfähigkeit (Wet Werk en Inkomen naar Arbeidsvermogen, WIA) beruht, deckt das Risiko der Erwerbsunfähigkeit für Arbeitnehmer, denen es ab dem 1. Januar 2004 nicht möglich ist, einer Arbeit nachzugehen. Der Mindestgrad der Erwerbsunfähigkeit ist auf 35% festgelegt.
Das WIA-System ist sozialversicherungsbasiert, Leistungen sind einkommensbezogen oder basieren auf dem Existenzminimum (siehe „Leistungen – 1. Berechnungsmethode oder Rentenformel“). Es besteht aus zwei Bestimmungen:
   * Für Personen mit teilweiser Erwerbsunfähigkeit liegt der Schwerpunkt auf der Wiederaufnahme der Arbeit. Die Regelung zur Wiederaufnahme von Arbeit von Personen mit teilweiser Minderung der Erwerbsfähigkeit (Regeling Werkhervatting Gedeeltelijk Arbeidsgehandicapten, WGA) bietet Arbeitgebern und Arbeitnehmern Anreize für die Rehabilitation des Arbeitnehmers.
   * Die Regelung zur Einkommenssicherung für vollständig erwerbsunfähige Menschen (Regeling Inkomensvoorziening Volledig Arbeidsongeschikten, IVA) bietet ein Einkommen im Fall vollständiger und dauerhafter Erwerbsunfähigkeit, bei der keine oder nur geringe Aussicht auf Erholung besteht.
Wajong
Das Gesetz zur Hilfe bei Arbeitsunfähigkeit für junge Behinderte (Wet arbeidsongeschiktheidsvoorziening jonggehandicapten, Wajong) bietet eine Mindestleistung für Personen, die in jungen Jahren (vor Ende des 17. Lebensjahres) oder bis zum Alter von 30 Jahren während des Studiums (Schule oder Universität) erwerbsunfähig werden. Wajong ist steuerfinanziert.
WAO
Das bisherige System, das auf dem Invaliditätsversicherungsgesetz (Wet op de arbeidsongeschiktheidsverzekering, WAO) beruht, berechtigt Arbeitnehmer mit Behinderungen unter dem gesetzlichen Rentenalter zu Leistungen, wenn sie nach 104 Wochen der Behinderung zu mindestens 15% untauglich für eine geeignete Beschäftigung waren. Das WAO-System deckt nur Personen, die bereits vor dem 1. Januar 2004 eine WAO-Leistung bezogen.
Es ist sozialversicherungsbasiert und Leistungen sind einkommensbezogen.
Es gibt in den Niederlanden kein spezifisches Sozialhilfesystem für Invalidität.</t>
  </si>
  <si>
    <t>WIA/WAO
Ist die Einkommenskapazität nach zweijähriger Krankheit aufgrund der Invalidität noch immer vermindert, führt ein Arzt und Experte der Ausführungsbehörde für Arbeitnehmerversicherungen (Uitvoeringsinstituut werknemersverzekeringen, UWV) eine Untersuchung zur Bestimmung des Grades der Erwerbsunfähigkeit durch, indem sogenannte Einkommenseinbußen ermittelt werden, d.h. der Verlust von Einkommen aufgrund von Krankheit oder Behinderung im Bezug zum vorherigen Einkommen des Antragstellers.
In den Niederlanden ist die Ursache der Arbeitsunfähigkeit (Invalidität oder Arbeitsunfall) unerheblich. Bei der Untersuchung werden auch die Schritte berücksichtigt, die der Arbeitgeber und der Arbeitnehmer für eine vereinfachte Rückkehr an den Arbeitsplatz unternommen haben (siehe Tabelle III, „Berufliche Wiedereingliederung’).
Wajong vor 2015
Personen waren für Wajong anspruchsberechtigt, wenn ihre Einkommenskapazität unter 70% der Bezugsperson (maatman) lag (in den meisten Fällen 70% des Mindestlohns), und die Erwerbsunfähigkeit vor dem Alter von 18 Jahren eintrat (oder von 30 Jahren im Fall von Studenten).
Wajong seit 2015
Für eine Anspruchsberechtigung muss die Invalidität vor dem Alter von 18 Jahren eintreten (oder vor 30 Jahren im Fall von Studenten). Ein Arzt und Experte des Durchführungsinstituts für Arbeitnehmer-Versicherungen (Uitvoeringsinstituut werknemersverzekeringen, UWV) führt eine Untersuchung durch, um zu ermitteln, ob die Erwerbsunfähigkeit dauerhaft ist (duurzaam geen arbeidsvermogen), d.h. dass eine Person nicht in der Lage ist, eine Aufgabe innerhalb einer Arbeitsorganisation auszuüben und/oder über keinerlei reguläre Mitarbeiterkompetenzen verfügt und/oder nicht ununterbrochen für mindestens eine Stunde am Stück arbeiten kann und/oder nicht in der Lage ist, mindestens vier Stunden täglich zu arbeiten.
Mindestniveau verminderter Erwerbs-fähigkeit/Einkommenskapazität für eine Anspruchsberechtigung für Leistungen:
   * WAO (bisheriges System): 15%
   * WIA (derzeitiges System): 35%
   * Wajong: 100%</t>
  </si>
  <si>
    <t>WIA/WAO:
Nach Erschöpfung des Krankengeldes (104 Wochen, siehe Tabelle III ‘Geldleistungen bei Krankheit’) bis zum Erreichen des gesetzlichen Rentenalters. Die Anspruchsberechtigung kann früher enden, wenn der Arzt und Arbeitsmarktexperte des UWV (aus triftigem Grund) entschieden, den Invaliditätsgrad zu überprüfen und eine Absenkung unter das Mindestinvaliditätsniveau feststellten.
Im Falle verminderter Erwerbsfähigkeit bestehen keine Möglichkeiten des vorzeitigen Ruhestands.
WAO (bisheriges System):
Dauer der Anfänglichen Leistung (loondervingsuitkering) ist abhängig vom Alter des Arbeitnehmers am Tag des Bezugsbeginns der WAO-Leistung. Beispiele:
   * 6 Monate für Arbeitnehmer zwischen 33 und 37 Jahren,
   * 18 Monate für Arbeitnehmer zwischen 43 und 47 Jahren,
   * 6 Jahre für Arbeitnehmer ab 58 Jahren und
Eine Anschlussleistung (vervolguitkering) wird gezahlt, bis der Empfänger das gesetzliche Rentenalter erreicht.
Keinen Anspruch auf Anfängliche Leistung für Personen unter 33 Jahren.
WIA (derzeitiges System):
Das WIA besteht aus zwei Teilen:
   * Die Regelung zur Wiederaufnahme von Arbeit von Personen mit teilweiser Minderung der Erwerbsfähigkeit (Regeling Werkhervatting Gedeeltelijk Arbeidsgehandicapten, WGA) und
   * die Regelung zur Einkommenssicherung für vollständig erwerbsunfähige Menschen (Regeling Inkomensvoorziening Volledig Arbeidsongeschikten, IVA)
WGA: einkommensbezogene Leistung in Abhängigkeit vom bisherigen Beschäftigungsverlauf für eine Dauer von 3 bis 24 Monaten.
Zusätzliche WGA-Einkommensunterstützung / Anschlussleistung bis zum Erreichen der Regelaltersgrenze.
IVA: bei unveränderter Invalidität Leistungsgewährung bis zum Erreichen der Regelaltersgrenze (AOW-gerechtigde leeftijd).
Wajong (bisheriges System):
   * Alter von 18 Jahren bis zum Erreichen der Regelaltersgrenze. Der Arzt und Experte des UWV kann die Invalidität zu einem angemessenen Zeitpunkt überprüfen.
   * Im Falle verminderter Erwerbsfähigkeit bestehen keine Möglichkeiten des vorzeitigen Ruhestands.
Wajong (derzeitiges System):
Ab dem Alter von 18 Jahren bis zur Regelaltersgrenze. Normalerweise wird die Invalidität nicht mehr überprüft, da die Erwerbsunfähigkeit als dauerhaft angesehen wird.</t>
  </si>
  <si>
    <t>Invaliditätsleistungen (WAO, WIA und Wajong) werden monatlich ausgezahlt. Zusätzlich wird ein Urlaubsgeld in Höhe von 8% der Leistung für jeden Bezugsmonat der Invaliditätsleistung im Mai ausgezahlt.
„Letzer Lohn“ in den Paragrafen bezieht sich auf den letzten erhaltenen Bruttolohn vor Eintreten der Invalidität.
WAO (bisheriges System):
Anfängliche Leistung:
Tagegeld zwischen 14% und 75% von 100/108 vom täglichen Arbeitseinkommen des Leistungsempfängers in Abhängigkeit von der Stufe der Minderung der Erwerbsfähigkeit.
Anschlussleistung:
   * Berechnungsgrundlage: Für jedes Jahr, das der Empfänger bei Beginn seines WAO-Leistungsbezugs über 15 Jahre alt ist, wird der Mindestlohn um jeweils 2% der Differenz zwischen seinem früheren Einkommen (d.h. dem letzten Lohn vor der Invalidität) und dem gesetzlichen Mindestlohn erhöht. Auf der Basis dieses Betrages erfolgt die Leistungsberechnung.
   * Leistungsbetrag: Der Leistungsprozentsatz ist abhängig vom Invaliditätsgrad.
WIA (derzeitiges System):
IVA (vollständig erwerbsunfähige Menschen): 75% des letzten Arbeitseinkommens.
WGA:
Ein Arbeitnehmer mit teilweiser Erwerbsunfähigkeit hat Anspruch auf eine einkommensbezogene Leistung, wenn die entsprechenden Bedingungen erfüllt sind, d.h. wenn die Person in den 36 Wochen vor Beendigung der Wartezeit von 104 Wochen mindestens 26 Wochen eine Beschäftigung ausgeübt hat (vergleichbar mit WW).
Leistungsbetrag:
   * Wenn die erwerbsunfähige Person nicht arbeitet: während der ersten 2 Monate 75% des letzten Arbeitsverdienstes und anschließend 70% des letzten Arbeitsverdienstes.
Beispiel: Tagesentgelt: €100
0,7*€100 = €70
   * Wenn die teilweise erwerbsunfähige Person arbeitet: 75% des Unterschieds zwischen dem früheren und dem jetzigen Arbeitsverdienst wird zusätzlich zum Einkommen während der ersten 2 Monate gewährt. Anschließend 70%.
Beispiel: Tagesentgelt €100Einkommen €50Leistungsbetrag 0,7*(€100 - €50) = €35Daher ist das Gesamteinkommen €85.
Nach Erschöpfung der Leistung (siehe „Zeitraum der Leistungszahlung’) oder - falls die Anspruchsvoraussetzungen für die einkommensabhängige Leistung nicht erfüllt sind - unmittelbar kann eine Einkommensunterstützung oder Anschlussleistung beantragt werden:
   * 70% des Unterschieds zwischen dem früheren und dem jetzigen Arbeitsverdienst wird zu ihrem Einkommen hinzugefügt, falls die Person mindestens 50% ihrer verbleibenden Einkommenskapazität verdient.
Beispiel: Tagesentgelt war €100
verbleibende Einkommenskapazität ist €50
(Invaliditätsprozentsatz 50%)
Einkommen €40
Einkommensunterstützung 0,7*(€100-€50) = €35
Gesamteinkommen: €75
   * Verdient die Person mindestens 100% ihrer verbleibenden Einkommenskapazität, wird ihr Lohn um 70% des Unterschieds zwischen dem früheren und dem jetzigen Arbeitsverdienst ergänzt.
Beispiel: Tagesentgelt war €100
verbleibende Einkommenskapazität ist €50 (Invaliditätsprozentsatz 50%)
Einkommen €60
Einkommensunterstützung 0,7 * (€100-€60) = €28
Gesamteinkommen: €88
   * Falls die Person nach dem Ablauf der einkommensbezogenen Leistung nicht erwerbstätig ist, oder weniger als 50% der verbleibenden Einkommenskapazität verdient, beläuft sich die Zulage auf einen Anteil des gesetzlichen Mindesteinkommens abhängig vom Grad der Invalidität.
Beispiel: Tagesentgelt war €100
verbleibende Einkommenskapazität ist €50
(Invaliditätsprozentsatz 50%)
Einkommen ist €0
Anschlussleistung (und Gesamteinkommen): 35% (50%*0,7) des Mindestlohns
WAO und WIA: Anspruchsberechtigung unterliegt keiner Bedürftigkeitsüberprüfung. Der Bezug anderer Sozialleistungen hat keinen Einfluss auf den Betrag der Invaliditätsleistung.
Wajong:
Wajong-Leistungen sind unterschiedlich für erwerbsfähige Leistungsempfänger und Leistungsempfänger, die nie wieder arbeiten können (DGA, duurzaam geen arbeidsvermogen).
Nicht-erwerbsfähige Leistungsempfänger (DGA): Leistungen in der Höhe von 75% des gesetzlichen Mindestlohns (WML, wettelijk minimumloon). Das Niveau des gesetzlichen Mindestlohns ist abhängig vom Alter und variiert zwischen €1.095,90 pro Monat für Personen im Alter von 18 Jahren und €2.191,80 pro Monat für Personen im Alter von 21 Jahren seit 1. Januar 2025.
Erwerbsfähige Leistungsempfänger erhalten zusätzlich zum monatlichen Arbeitseinkommen Leistungen. Der Höchstbetrag entspricht 70% des Mindestlohnes (WML), wenn die Person nicht arbeitet. Wenn die Person arbeitet, wird 70% des Bruttolohnes von den Leistungen abgezogen. Demzufolge nimmt das gesamte Bruttoeinkommen aus Leistungen und Arbeit zu, wenn das Arbeitseinkommen steigt (30 cent pro verdientem Euro) und haben Leistungsempfänger einen Anreiz zu arbeiten.</t>
  </si>
  <si>
    <t>WIA/WAO: Keine Mindestleistung.
Wajong: Keine Mindestrente.
Wenn die Invaliditätszulage und die Arbeitslosenunterstützung zusammen niedriger sind als das Existenzminimum (sociaal minimum), kann nach dem Gesetz über Ergänzungsleistungen (Toeslagenwet, TW) ein Zuschlag gezahlt werden (Bedürftigkeitsprüfung).
WIA/WAO:
Anfängliche Leistung:
Für vollständig und Langzeit Erwerbsunfähige: 75% des letzten Bruttotageseinkommens (mit einer Höchstgrenze von €297,82 täglich).
Für vollständig aber nicht Langzeit Erwerbsunfähige: 70% des letzten Bruttotageseinkommens (mit einer Höchstgrenze von €297,82 täglich).
Für teilweise Erwerbsunfähige (WGA):
   * Wenn die erwerbsunfähige Person nicht arbeitet: 75% des letzten Bruttotageseinkommens während der ersten 2 Monate und 70% des letzten Tageseinkommens ab dem 3. Monat (mit einer Höchstgrenze von €297,82 täglich).
   * Wenn die teilweise erwerbsunfähige Person arbeitet: während der ersten zwei Monate werden 75% des Unterschieds zwischen dem früheren und dem jetzigen Arbeitsverdienst zusätzlich zum Einkommen gewährt und ab dem dritten Monat 70% des Unterschieds zwischen dem letzten Bruttolohn und dem jetzigen Arbeitsverdienst.
Anschlussleistung für teilweise Erwerbsunfähige
70% des Unterschieds zwischen 100/108 ihres letzten Bruttotageseinkommens (was sich auf den letzten erhaltenen Lohn vor der Invalidität bezieht mit einer Höchstgrenze von €297,82 täglich) und der verbleibenden Einkommenskapazität, falls die Person mindestens 50% der verbleibenden Einkommenskapazität verdient nach dem Ablauf der anfänglichen Leistung. Falls die Person nach dem Ablauf der anfänglichen Leistung nicht erwerbstätig ist, oder weniger als 50% der verbleibenden Einkommenskapazität verdient, beläuft sich die Zulage auf einen Anteil des gesetzlichen Mindesteinkommens (€2.245,91 monatlich) abhängig vom Grad der Erwerbsunfähigkeit.
Wajong: Bei voller Erwerbsunfähigkeit 75% des Mindestlohns für Jüngere.</t>
  </si>
  <si>
    <t>Duales System:
   * Durch steuerliche ‚Beiträge‘ vom Erwerbseinkommen auf Umlagebasis und zusätzlich durch Steuern finanziertes Sozialversicherungssystem (erste Säule) für alle Einwohner. Das System bietet je nach Haushaltssituation unterschiedliche pauschale Leistungen;
   * Zusatzrentensysteme aufgrund von Tarifverträgen mit Versicherungspflicht für die Mehrzahl der Arbeitnehmer (zweite Säule). Diese Systeme werden in den MISSOC-Tabellen nicht dargestellt, da sie auf Unternehmens-, Sektor- oder beruflicher Ebene organisiert sind.
   * Die Klassifizierung auf der Grundlage der Leistungsdefinition gilt nicht für die staatliche pauschal tarifierte Rentenversicherung.
Individuelle Mitgliedschaft in freiwilligen Zusatzrentensystemen ist möglich (dritte Säule).
Die unten stehenden Informationen beziehen sich ausschließlich auf das gesetzliche Sozialversicherungssystem für das Alter (erste Säule).</t>
  </si>
  <si>
    <t>Das gesetzliche Renteneintrittsalter ist an die verbleibende Lebenserwartung gebunden und steigt um 3 Monate für jede 4,5 Monate der gestiegenen Lebenserwartung. Das Renteneintrittsalter muss mindestens 5 Jahre im Voraus bekanntgegeben werden.
Das gesetzliche Renteneintrittsalter im Jahr:
   * 2025 ist 67 Jahre
   * 2026 ist 67 Jahre
   * 2027 ist 67 Jahre
   * 2028 ist 67 Jahre und 3 Monate
   * 2029 ist 67 Jahre und 3 Monate
   * 2030 ist 67 Jahre und 3 Monate</t>
  </si>
  <si>
    <t>Für jedes Versicherungsjahr erhält man 2% der vollen Rente.
Rente (monatliche Bruttobeträge, ohne Urlaubszulage), seit Juli 2025:
   * Alleinstehende: €1.612,44
   * Verheiratete und unverheiratete im gemeinsamen Haushalt lebende (unabhängig vom Geschlecht) Paare, die beide die Regelaltersgrenze erreicht haben: €1.103,97 pro Person.
Anspruch auf die volle Rente nach 50 Versicherungsjahren. Für jedes fehlende Versicherungsjahr wird der volle Rentensatz um 2% gekürzt.</t>
  </si>
  <si>
    <t>Duales System:
   * allgemeines Rentensystem für alle Einwohner und Personen, die in den Niederlanden arbeiten,
   * finanziert durch Beiträge vom Erwerbseinkommen mit pauschalen Leistungen;
Zusatzrentensysteme aufgrund von Tarifverträgen mit Versicherungspflicht für die Mehrzahl der Arbeitnehmer. Diese Systeme werden in den MISSOC-Tabellen nicht dargestellt.</t>
  </si>
  <si>
    <t>Hinterbliebenenrente wird gewährt, wenn der überlebende Ehepartner:
   * ein nicht in einem anderen Haushalt lebendes lediges Kind unter 18 Jahren hat oder
   * eine Minderung der Erwerbsfähigkeit um mindestens 45% aufweist.
Bei Erreichen der Regelaltersgrenze tritt die allgemeine Altersrente (Algemene Ouderdomswet, AOW) an die Stelle der Hinterbliebenenrente.</t>
  </si>
  <si>
    <t>Anw Hinterbliebenenrente wird gewährt, wenn:
   * wenn der verstorbene geschiedene Ehepartner versichert und rechtlich zur Unterhaltszahlung verpflichtet war.
   * Der hinterbliebene geschiedene Ehepartner: 
   * ein nicht in einem anderen Haushalt lebendes lediges Kind unter 18 Jahren hat oder
   * eine Minderung der Erwerbsfähigkeit um mindestens 45% aufweist.
Bei Erreichen der Regelaltersgrenze tritt die allgemeine Altersrente (Algemene Ouderdomswet, AOW) an die Stelle der Hinterbliebenenrente.</t>
  </si>
  <si>
    <t>Gleiche Bedingungen für eine Person, die einen Haushalt mit dem Verstorbenen geteilt hat.
Anw Hinterbliebenenrente wird gewährt, wenn der überlebende Lebenspartner:
   * ein nicht in einem anderen Haushalt lebendes lediges Kind unter 18 Jahren hat oder
   * eine Minderung der Erwerbsfähigkeit um mindestens 45% aufweist.
Bei Erreichen der Regelaltersgrenze tritt die allgemeine Altersrente (Algemene Ouderdomswet, AOW) an die Stelle der Hinterbliebenenleistung.</t>
  </si>
  <si>
    <t>Ein Kind kann nur dann Waisenleistung empfangen, wenn der Elternteil, der zuletzt gestorben ist, im Rahmen des Anw Systems versichert war. Waisenleistung endet immer, sobald das Kind das Alter von 21 Jahren erreicht.
Für Kinder unter 16 Jahren gibt es keine Sonderbedingungen.
Kinder im Alter von 16 oder 17 Jahren haben Anspruch auf Waisenleistung, wenn sie
   * täglich zur Schule gehen, um eine Basisqualifikation zu erlangen oder
   * von der Pflicht der Erlangung einer Basisqualifikation befreit sind oder
   * sie nach Erlangung einer Basisqualifikation weiterhin einer Vollzeitausbildung nachgehen.
Waisen im Alter von 18 bis 21 Jahren können Waisenleistung beziehen, wenn sie in einer Vollzeitausbildung nachgehen.
Waisen im Alter von 16 bis 21 Jahren, die als Haushaltsvorstand agieren, können jedoch Waisenleistung beziehen, wenn:
   * sie unverheiratet sind, nicht mit einem Partner zusammenleben und mehr als die Hälfte ihrer Zeit mit der Haushaltsführung verbringen und
   * der Haushalt ein weiteres Kind umfasst, das Waisenleistung bezieht, z.B. einen Bruder oder eine Schwester und
   * sie bereits eine Basisqualifikation erlangt haben und nicht verpflichtet sind, eine Basisqualifikation zu erlangen (Befreiung).</t>
  </si>
  <si>
    <t>Vollwaisen (keine Beschränkung der Kumulation mit Familienleistungen) haben Anspruch auf folgende Leistungen für Waisen:
   * jedes Kind unter 10 Jahren: €536,59 monatlich, plus eine monatliche Brutto-Urlaubsbeihilfe in Höhe von €38,94, einmal jährlich gezahlt als Pauschalbetrag.
   * jedes Kind zwischen 10 und 16 Jahren: €794,30 monatlich, eine monatliche Brutto-Urlaubsbeihilfe in Höhe von €58,42, einmal jährlich gezahlt als Pauschalbetrag.
   * jedes Kind zwischen 16 und 21 Jahren: €1.052,01 monatlich, plus eine monatliche Brutto-Urlaubsbeihilfe in Höhe von €77,89 einmal jährlich gezahlt als Pauschalbetrag.
Die monatliche Anw-Beihilfe in Höhe von €21,16 ist in den oben genannten Beträgen enthalten.
Die Bruttohinterbliebenenleistung ist auf einer solchen Höhe festgelegt, dass die Nettohinterbliebenenleistung 70% des Nettomindestlohns entspricht. Die Waisenbeihilfe entspricht einem Prozentsatz des Mindestnettolohns:
   * 32% für Waisen unter 10 Jahren,
   * 48% für Waisen im Alter von 10-15 Jahren und
   * 64% für Waisen im Alter von 16-20 Jahren.
Die Bruttoferienzahlung auf die Hinterbliebenenleistung wird so festgelegt, dass die Nettoferienzahlung auf die Hinterbliebenenleistung 70% der monatlichen Nettomindestferienzahlung entspricht.</t>
  </si>
  <si>
    <t>Obligatorische universelle Volksversicherung (folketrygden):
   * Invaliditätsleistungen (uføretrygd) basieren auf früherem Einkommen;
   * Bei der Leistung gibt es einen jährlichen Mindestbetrag für Personen mit geringem oder ohne früheres Einkommen;
   * Bei weniger als 40-jährigem früheren oder zukünftigen Wohnsitz in Norwegen (einschließlich zukünftiger Zeiträume bis zum 67. Lebensjahr) werden Invaliditätsleistungen gekürzt;
   * Invaliditätsleistungen sind nicht Teil des nationalen Rentensystems;
   * Es gibt kein besonderes Sozialhilfesystem bei Invalidität. Wie oben erwähnt gibt es eine jährliche Mindestleistung, die in den meisten Fällen als Mindestsicherung wirkt.
Umlagesystem. Finanziert durch Steuern und Beiträge.</t>
  </si>
  <si>
    <t>1. Säule:
Die Volksversicherung (folketrygden) ist ein universelles Pflichtsystem. Es ist ein Umlagesystem auf der Grundlage eines fiktiv beitragsorientierten Schemas. Finanzierung durch Steuern und Beiträge.
Das Rentensystem dieser Versicherung besteht aus folgenden Kernstücken (uneingeschränkt für vor dem Jahr 1954 geborenen Personen; alte Regelung):
   * Einkommensbasierte Zusatzrente (tilleggspensjon), beruhend auf den jährlichen Rentenpunkten (pensjonspoeng), die das Einkommensniveau widerspiegeln;
   * Grundrente (grunnpensjon), beruhend auf der Zeit des Wohnsitzes;
   * Mindestrente (minste pensjonsnivå) für diejenigen Personen, die keinen Anspruch auf eine Zusatzrente haben oder eine sehr geringe Zusatzrente beziehen. Wenn die Summe der Grundrente und der Zusatzrente geringer ist als die Mindestrente, wird der Differenzbetrag als Rentenzulage (pensjonstillegg) gezahlt.
Für Personen, die ab dem Jahr 1963 geboren sind (neue Regelung):
   * Einkommensbasierte Rente (inntektspensjon) basierend auf kumulierter Rentensparbeträge, die das Lebenseinkommen widerspiegelt;
   * Garantierte Rente (garantipensjon) basierend auf dem Aufenthaltszeitraum, für diejenigen Personen, die nur geringfügige oder keine Rentensparbeträge haben.
Personen, die zwischen den Jahren 1954 und 1962 geboren wurden, erhalten eine Rente, die proportional aus alten und neuen Regelungen berechnet wurde.
Im Rahmen der norwegischen Volksversicherung gibt es kein freiwilliges Altersrentensystem.
2. Säule:
Obligatorische berufsbezogene Rente (obligatorisk tjenestepensjon): Vom Arbeitgeber finanzierte Aufstockung der Rente der Volksversicherung.
3. Säule:
Freiwillige private Versicherung. Diese ist jedoch nicht in der Tabelle aufgeführt.</t>
  </si>
  <si>
    <t>Für alle Leistungen:
   * Renteneintrittsalter (Alter zu Beginn des Rentenbezugs);
   * Lebenserwartung der Altersgruppe.
Einkommensbasierte Rente (inntektspensjon):
   * Einkommen ab dem Alter von 13 Jahren bis zu einem Alter von 75 Jahren.
Einkommensbasierte Zusatzrente (tilleggspensjon):
   * Anzahl der Jahre mit Rentenpunkten (bis zu 40 Jahre);
   * Höhe der Rentenpunkte (pensjonspoeng) während der besten 20 Jahre.
Garantierte Rente (garantipensjon), Grundrente (grunnpensjon) und Mindestrente (minste pensjonsnivå):
   * Anzahl der Jahre des Wohnsitzes in Norwegen (bis zu 40 Jahre);
   * Familienstand.</t>
  </si>
  <si>
    <t>Einkommensbasierte Rente (inntektspensjon):
Bestimmte anrechenbare bzw. berücksichtigungsfähige beitragsfreie Zeiten:
   * Einkommen entsprechend 18% eines Betrags entsprechend dem 4,5-Fachen des Grundbetrags (Grunnbeløpet) für jedes Jahr der Kinderbetreuung von Kindern unter 6 Jahren oder der Pflege von behinderten, kranken oder älteren Personen;
   * Einkommen entsprechend dem 2,5-Fachen des Grundbetrags für jedes Jahr des verpflichteten Wehr- oder Zivildienstes;
   * Früheres Einkommen bis zum 7,1-Fachen des Grundbetrags für Empfänger von Leistungen bei Arbeitslosigkeit;
   * Geschätztes zukünftiges Einkommen bis zum 7,1-Fachen des Grundbetrags für Empfänger von Invaliditätsrenten.
Einkommensbasierte Zusatzrente (tilleggspensjon):
   * Invaliditätsrentnern werden für Zurechnungszeiten Rentenpunkte (pensjonspoeng) angerechnet;
   * Jahre der Erziehung eines Kindes unter 6 Jahren oder der Pflege behinderter, kranker oder älterer Menschen. Für solche Jahre werden jeweils mindestens 3,5 Rentenpunkte angerechnet.
Für die Anzahl von Jahren der Nichtarbeitszeit, die gutgeschrieben werden können, gibt es in beiden Systemen keine Obergrenze. Eine Einschränkung besteht aber darin, dass die Bedingungen für eine Gutschrift erfüllt werden müssen. Beispielsweise wird Kinderbetreuung nur für Kinder unter sechs Jahren anerkannt.</t>
  </si>
  <si>
    <t>Einkommensbasierte Rente (inntektspensjon):
   * Jährliche Anpassung an das Lohnwachstum der Rentensparbeträge während der Kumulation;
   * Jährliche Anpassung an die durchschnittliche Lohn- und Preissteigerung während der Auszahlung.
Die Sätze des Grundbetrags (Grunnbeløpet), der Mindestrente (minste pensjonsnivå) und der garantierten Rente (garantipensjon) werden jährlich durch den am 1. Mai in Kraft getretenen königlichen Erlass an die allgemeine Einkommensentwicklung sowie für die beiden letzteren Renten an der Erhöhung des Lebensstandards angepasst. Mindestrente und Garantierte Rente werden an die durchschnittliche Lohn- und Preissteigerung angepasst.</t>
  </si>
  <si>
    <t>Hat das verstorbene Elternteil mindestens 40 Jahre lang Versicherungsbeiträge in Norwegen geleistet, erhält das hinterbliebene Kind:
   * eine jährliche Rente entsprechend dem Grundbetrag (grunnbeløpet (NOK 130.160 (€11.038)), wenn ein Elternteil verstorben ist;
   * eine jährliche Rente entsprechend dem 2,25-fachen des Grundbetrags (grunnbeløpet), wenn beide Elternteile verstorben sind.
Hat das verstorbene Elternteil weniger als 40 Jahre lang Versicherungsbeiträge in Norwegen geleistet, werden die Beträge anteilig vermindert. Sind beide Elternteile verstorben, wird die Versicherungszeit der Person als Grundlage genommen, die am längsten Beiträge geleistet hat.
Die Leistung unterliegt keiner Bedürftigkeitsprüfung.
Bezieht das Kind eine Invaliditätsleistung, wird die Rente für hinterbliebene Kinder anteilig gekürzt. Dies gilt nur zwischen dem 18. und 20. Lebensjahr, da ein Kind mindestens 18 Jahre alt sein muss, um eine Invaliditätsleistung zu erhalten, und die Rente für hinterbliebene Kinder bis zum Alter von 20 Jahren gezahlt wird.
Renten der Volksversicherung werden monatlich ausgezahlt. Es gibt keine zusätzlichen Zahlungen, im Zusammenhang z.B. mit Sommer oder Weihnachten; von der Dezemberzahlung werden jedoch keine Steuern abgezogen.</t>
  </si>
  <si>
    <t>Beitragsfinanziertes obligatorisches Sozialversicherungssystem für Arbeitnehmer:innen mit entgeltbezogenen Renten, die von Beiträgen und der Versicherungsdauer abhängen.
Für Erwerbstätige gibt es bei geminderter Arbeitsfähigkeit oder Erwerbsunfähigkeit von voraussichtlich mindestens sechs Monaten folgende Rentenleistungen:
   * Invaliditätsrente (Rentenversicherung der Arbeiter)
   * Berufsunfähigkeitsrente (Rentenversicherung der Angestellten)
   * Erwerbsunfähigkeitsrente (Rentenversicherung der Selbstständigen und Bauern). Mehr dazu in den Informationen über den Sozialschutz von Selbstständigen auf www.missoc.org. 
   * Knappschaftsvollrente (Knappschaftliche Rentenversicherung)
Invaliditätsrente (d.h. Invaliditätsrente, Berufsunfähigkeitsrente bzw. Knappschaftsvollrente und Erwerbsunfähigkeitsrente) ist Teil des nationalen Sozialversicherungssystems.
Zu den oben genannten Renten kann bei Erfüllung der sonstigen Voraussetzungen eine Ausgleichszulage zur Sicherung eines Mindesteinkommens gewährt werden (siehe Tabelle V, Leistungen - Mindest- und Höchstleistungen).</t>
  </si>
  <si>
    <t>Sowohl Arbeitsfähigkeit der betreffenden Person als auch die Fähigkeit ein Einkommen zu erzielen spielen eine Rolle (je nachdem ob Berufsschutz besteht oder nicht - unterschiedliche Fallgruppen).
Es gibt einen unterschiedlichen Invaliditäts- bzw. Berufsunfähigkeitsbegriff für erlernte und angelernte Berufe bzw. ungelernte Tätigkeiten:
   * Bei erlernten bzw. angelernten Arbeiter:innenberufen und Angestelltenberufen (zum Teil auch bei selbstständigen Tätigkeiten) gilt Berufsschutz, wenn diese Tätigkeiten innerhalb der letzten 15 Jahre zumindest 90 Monate ausgeübt wurden. Liegen zwischen Ausbildungsende und Stichtag weniger als 15 Jahre, muss mind. die Hälfte der Kalendermonate (jedenfalls aber 12 Pflichtversicherungsmonate) – eine Erwerbstätigkeit in einem solchen erlernten/angelernten Beruf oder als Angestellte:r vorliegen, d.h. Betroffene können bei geminderter Arbeitsfähigkeit nur auf andere Berufe ihrer Berufsgruppe verwiesen werden.
   * Für Versicherte in nicht erlernten oder angelernten Berufen unter 60 Jahren gibt es keinen Berufsschutz: Sie können auf jede andere Tätigkeit auf dem allgemeinen Arbeitsmarkt verwiesen werden. Ab dem 50. Lebensjahr ist unter bestimmten Voraussetzungen eine „Härtefallregelung“ vorgesehen.
Ab Vollendung des 60. Lebensjahres liegt sowohl für Frauen als auch für Männer ein verstärkter Berufsschutz für alle (auch ungelernte) Berufsgruppen vor, wenn in den letzten 180 Kalendermonaten in zumindest 120 Kalendermonaten die gleiche Tätigkeit ausgeübt wurde.
Originäre Invalidität/Berufsunfähigkeit: Personen, die bei Eintritt in die Erwerbstätigkeit auf Grund ihrer starken gesundheitlichen Einschränkungen grundsätzlich arbeitsunfähig waren, aber dennoch mindestens 10 Beitragsjahre erworben haben.
Für Personen, die ab 1.1.1964 geboren sind: Eine Invaliditätsrente/Berufsunfähigkeitsrente bzw. Knappschaftsvollrente gebührt nur bei dauerhafter Invalidität/Berufsunfähigkeit.
Befristete Erwerbsunfähigkeitsrenten werden weiterhin bei vorübergehender Erwerbsunfähigkeit zuerkannt.
Bei befristeter Invalidität/Berufsunfähigkeit die mindestens 6 Monate andauert, besteht Anspruch auf Rehabilitationsgeld (siehe Tabelle III, Krankheit – Geldleistungen, Leistungen) oder Umschulungsgeld (siehe Tabelle X, Arbeitslosigkeit, Geldzahlungen, um Arbeitslosen den Eintritt ins Erwerbsleben zu erleichtern). Damit wird der Lebensunterhalt jener gesundheitlich beeinträchtigten Personen gesichert, die an zweckmäßigen und zumutbaren Maßnahmen der Rehabilitation teilnehmen und damit ihre Chance auf Beschäftigung steigern können.</t>
  </si>
  <si>
    <t>Pflichtversichert:
   * Alle gegen Entgelt beschäftigten Arbeitnehmer:innen und Lehrlinge.
   * Selbstständige und in den Betrieben Selbstständiger mitarbeitende Familienangehörige.
   * Freie Dienstnehmer:innen: Personen, die zwar keinen Arbeitsvertrag haben, im Wesentlichen aber wie ein:e Arbeitnehmer:in tätig werden (z.B. keine eigene betriebliche Struktur, persönliche Leistungserbringung).
Der Anspruch auf Invaliditätsrente besteht bei Pflichtversicherten unabhängig von Staatsangehörigkeit oder Wohnsitz.
Freiwillige Versicherung möglich für nicht pflichtversicherte Personen, die älter als 15 Jahre sind und im Inland ihren Wohnort haben.</t>
  </si>
  <si>
    <t>Vom Monatsersten, der dem Eintritt der Invalidität/Berufsunfähigkeit/Erwerbsunfähigkeit bzw. der späteren Antragstellung folgt. Bei Erreichung des Rentenanfallsalters wird die Rente im selben Betrag weitergewährt. Nach Erreichen des Regelrentenalters kann die Umwandlung einer Invaliditäts-, Berufsunfähigkeits-, Erwerbsunfähigkeit- bzw. Knappschaftsvollrente in eine Altersrente beantragt werden. Eine Umwandlung (mit Neuberechnung) ist allerdings nur dann möglich, wenn die für eine Altersrente geforderte Wartezeit erfüllt ist. Anderenfalls verbleibt es beim Anspruch auf Invaliditäts-, Berufsunfähigkeits-, Erwerbsunfähigkeit- bzw. Knappschaftsvollrente.
Bei Erfüllung der sonstigen Voraussetzungen besteht die Möglichkeit, eine Schwerarbeitsrente zu beanspruchen. Im Zusammenhang mit geminderter Arbeitsfähigkeit kommen zwei Fallgruppen in Betracht:
   * Personen, die Tätigkeiten unter chemischen oder physikalischen Einflüssen ausüben, wenn dadurch eine Minderung der Erwerbsfähigkeit von mindestens 10% verursacht wurde (siehe Tabelle VI, Voraussetzungen, Beschwerliche und gefährliche Arbeit).
   * Personen, die eine Tätigkeit ausüben, sofern ein Anspruch auf Pflegegeld zumindest in Höhe der Stufe 3 besteht (siehe Tabelle XII, Langzeitpflege).
Bei befristeter Rentengewährung (nur für Versicherte, die vor 1.1.1964 geboren sind): Zuerkennung jeweils für 24 Monate; für Weitergewährung ist ein neuerlicher Antrag erforderlich.</t>
  </si>
  <si>
    <t>Sofern die monatliche/n Rente/n einschließlich sonstiger Einkünfte (auch jener des:der im gemeinsamen Haushalt lebenden Ehepartner:in) die folgenden Beträge nicht erreichen, gebührt eine Ausgleichszulage in der Höhe des Differenzbetrages:
   * Einzelrichtsatz für alleinstehende:n Rentenbezieher:in: €1.273,99 (2025) pro Monat.
   * Familienrichtsatz für Rentenbezieher:in, der:die mit Ehepartner:in im gemeinsamen Haushalt lebt: €2.009,85 (2025) pro Monat.
   * Erhöhung der Ausgleichszulage für jedes Kind bis zur Vollendung des 18. Lebensjahres bzw. des 27. Lebensjahres bei Studium oder Berufsausbildung; kein Alterslimit bei Behinderung des Kindes: €196,57 (2025) pro Monat.
Ausgleichszulagen/Rentenbonus
Bei Vorliegen einer bestimmten Anzahl an Versicherungsmonaten gebührt
   * ein Ausgleichszulagenbonus, wenn eine Ausgleichszulage zu einer Eigen(Direkt)rente bezogen wird oder
   * ein Rentenbonus zur Eigen(Direkt)rente, wenn keine Ausgleichszulage bezogen wird
und wenn das Gesamteinkommen unter einem bestimmten Grenzbetrag liegt.
   * Einzelrichtsatz mind. 360 Beitragsmonate (inklusive Kindererziehungszeiten und Präsenz- und Zivildienstzeiten)Grenzwert für Gesamteinkommen: €1.386,20 (2025)Maximale Höhe: €188,60 (2025)
   * Einzelrichtsatz mind. 480 Beitragsmonate (inklusive Kindererziehungszeiten und Präsenz- und Zivildienstzeiten)Grenzwert für Gesamteinkommen: €1.656,05 (2025)Maximale Höhe: €481,00 (2025).
   * Familienrichtsatz mind. 480 Beitragsmonate (inklusive Kindererziehungszeiten und Präsenz- und Zivildienstzeiten) bei einem oder beiden Partner:innenGesamteinkommen: €2.235,34 (2025)Maximale Höhe: €480,49 (2025).
* Das Gesamteinkommen setzt sich aus der Bruttorente, ggf. der Bruttoausgleichzulage, dem auf die Ausgleichzulage anzurechnenden Nettoeinkommen aus sonstigen Einkünften, Nettoeinkünften der:s Ehepartnerin/Ehepartners (sowie eingetragnen Partners:in) und etwaigen Unterhaltsansprüchen zusammen.
Keine gesetzliche Höchstrente.</t>
  </si>
  <si>
    <t>Seit 1.1.2005: Folgende Beitragszeiten, für die Beiträge aus öffentlichen Mitteln entrichtet werden (beispielhafte Aufzählung):
   * Kindererziehungszeiten (maximal 4 Jahre pro Kind, 5 Jahre pro Mehrlingsgeburt).
   * Militär- bzw. Kriegsdienstzeiten sowie gleichgestellte Zeiten (z.B. Zivildienstzeiten).
   * Zeiten des Bezugs von Wochengeld (Zeiten des Mutterschaftsurlaubes).
   * Zeiten des Bezuges von Arbeitslosengeld bzw. Krankengeld.
Für Versicherungszeiten, die vor dem 1.1.2005 erworben wurden, sowie für Personen, die am 1.1.2005 das 50. Lebensjahr schon vollendet haben (unbegrenzt), werden die oben genannten Zeiten beitragsfrei als gleichgestellte Zeiten angerechnet.
Für Zeiten der Kindererziehung gebührt eine fixe Bemessungsgrundlage in der Höhe von €2.300,10 (2025). Für Personen, die vor dem 1.1.1955 geboren sind, beträgt die Bemessungsgrundlage €1.834,55 (2025).</t>
  </si>
  <si>
    <t>Personen, bei denen vorübergehende Invalidität/Berufsunfähigkeit im Ausmaß von zumindest sechs Monaten vorliegt, haben zunächst Anspruch auf medizinische Maßnahmen der Rehabilitation, verbunden mit Anspruch auf Rehabilitationsgeld aus der Krankenversicherung (siehe Tabelle III, Krankheit – Geldleistungen, Leistungen).
Anspruch auf berufliche Maßnahmen der Rehabilitation besteht, sobald diese zweckmäßig und zumutbar sind. Während dieser Maßnahmen besteht Anspruch auf Umschulungsgeld aus der Arbeitslosenversicherung (siehe Tabelle X, Arbeitslosigkeit, Geldzahlungen, um Arbeitslosen den Eintritt ins Erwerbsleben zu erleichtern). Damit wird der Unterhalt jener gesundheitlich beeinträchtigten Personen gesichert, die an zweckmäßigen und zumutbaren Maßnahmen der Rehabilitation teilnehmen und damit ihre Chancen auf Beschäftigung steigern können.
Menschen mit Behinderungen können ab einem festgestellten Grad der Behinderung von zumindest 50% folgende Zuschüsse beim Sozialministeriumservice beantragen:
   * Individualförderungen zur beruflichen Teilhabe von Menschen mit Behinderungen des BMSGPK, wie Beschaffung und Instandsetzung von behinderungsbedingt notwendigen technischen Arbeitshilfen zur beruflichen Teilhabe;
   * Zuschüsse oder Sachleistungen zur Adaptierung oder Erlangung bzw. Sicherung von Arbeits- und Ausbildungsplätzen;
   * Schulungskosten zur Sicherung oder Erlangung eines Arbeitsplatzes bzw. im Zuge der Aufnahme einer selbständigen Erwerbstätigkeit;
Orientierungs- und Mobilitätstraining;
   * Zuschuss zur barrierefreien Ausbildung nach Beendigung der 9. Schulstufe für den behinderungsbedingten Mehraufwand im Rahmen einer Schul- oder Berufsausbildung;
   * Anschaffung eines Assistenzhundes, wenn dieser für die Ausübung einer Erwerbstätigkeit erforderlich ist;
   * Mobilitätsförderungen wie z.B. Zuschüsse zur barrierefreien Anpassung und Umrüstung eines Kraftfahrzeuges, wenn dies für die Suche nach einem Arbeitsplatz bzw. den Antritt oder die Ausübung einer Erwerbstätigkeit erforderlich und die Benützung öffentlicher Verkehrsmittel behinderungsbedingt nicht zumutbar ist;
   * Übernahme von Kosten für Gebärdensprachdolmetschungen, wenn sie für die Erlangung und Sicherung einer Erwerbstätigkeit bzw. für berufsbezogene Schulungs- und Ausbildungsmaßnahmen (z.B. Lehrlingsausbildung, Meisterprüfung, berufliche Weiterbildung) erforderlich ist;
   * Startförderung zur Abgeltung der bei Begründung einer selbständigen Erwerbstätigkeit anfallenden Kosten;
   * Förderung barrierefreie Arbeitsplatzadaptierung für Menschen mit Behinderungen und Unternehmen um einen bestehende Arbeitsplatz zu sichern oder Menschen mit Behinderungen in die Lage zu versetzen, einen neuen Arbeitsplatz für dessen Anforderungen zu adaptieren.</t>
  </si>
  <si>
    <t>Verpflichtung der Betriebe, für jeweils 25 Beschäftigte eine:n begünstigte:n Behinderte:n (Minderung der Erwerbsfähigkeit von mindestens 50%) einzustellen oder eine Ausgleichstaxe von €335 (€472 bei Beschäftigung von 100 oder mehr Arbeitnehmer:innen bzw. €499 bei Beschäftigung von 400 oder mehr Arbeitnehmer:innen) pro offene Pflichtstelle monatlich zu zahlen.
Zuschüsse zu den Lohnkosten für Menschen mit einer Behinderung von 50% in Form einer
   * Inklusionsförderung, InklusionsförderungPlus und InklusionsförderungPlus für Frauen im Anschluss an die AMS-Eingliederungsbeihilfe für die Dauer von 12 Monaten. Die Höhe der Inklusionsförderung bzw. der Inklusionsförderung Plus beträgt monatlich 30% bzw. 37,5% des Bruttogehalts, ohne Sonderzahlungen. Die monatliche Obergrenze beträgt €1.000 bzw. €1.250
   * Entgeltzuschüsse zum Ausgleich ihrer behinderungsbedingten Leistungsminderung
   * Arbeitsplatzsicherungszuschüsse bei Gefährdung des Arbeitsplatzes können Dienstgeber:innen für Mitarbeiter:innen mit körperlichen, psychischen oder kognitiven Beeinträchtigungen oder Sinnesbehinderten, die einen Grad der Behinderung von mindestens 30 % aufweisen erhalten.
   * Mit dem Inklusionsbonus für Lehrlinge wird die Neuaufnahme von Lehrlingen mit einem Behindertenpass in einen Lehrbetrieb gefördert.
Vorteile für Dienstgeber:innen bei der Beschäftigung von begünstigten Behinderten:
   * Befreiung von der Kommunalsteuer
   * Befreiung von der Abgabe zum Familienlastenausgleichsfonds
   * Befreiung von der Kammerumlage der Wirtschaftskammer und in Wien von der U-Bahn-Steuer;
   * Prämien für die Beschäftigung eines begünstigt behinderten Lehrlings in Höhe der Ausgleichstaxe €335 (jene, die ein:e Dienstgeber:in, der:die zwischen 25 und 99 Dienstnehmer:innen beschäftigt und seiner:ihrer Verpflichtung nicht oder nicht vollständig nachkommt, zu entrichten hätte).</t>
  </si>
  <si>
    <t>Es gibt grundsätzlich immer eine jährliche Anpassung. Bei der Ermittlung des Anpassungsfaktors wird die Inflationsrate berücksichtigt: die jährliche Inflationsrate ist der Preis des gesamten fiktiven Warenkorbs in einem bestimmten Monat im Vergleich zum Preis des Warenkorbs im selben Monat des Vorjahrs. Die Höhe wird für jedes Jahr neu festgesetzt. Für das Jahr 2025 erfolgt, abhängig vom monatlichen Gesamtrenteneinkommen die Rentenerhöhung wie folgt:
   * bis €6.060 brutto mit 4,6% des Gesamtrenteneinkommens* (entspricht dem Anpassungsfaktor für das Jahr 2025).
   * ab €6.060,01 brutto mit einem Fixbetrag in Höhe von €278,76.
*Zum Gesamtrenteneinkommen zählen die Renten aus der gesetzlichen Rentenversicherung, alle Sonderrenten nach dem Sonderpensionenbegrenzungsgesetz sowie die Ruhe- und Versorgungsbezüge nach dem Bundestheaterpensionsgesetz und dem Bundesbahn-Pensionsgesetz, auf die am 31. Dezember 2024 Anspruch besteht.
Die Ausgleichszulagenrichtsätze werden im Jahr 2025 um 4,6% erhöht.</t>
  </si>
  <si>
    <t>Arbeitsgebundenes Pflichtversicherungssystem, mit Ausnahme auf Grund geringen Einkommens.
Folgende Ausnahmen von der Pflichtversicherung sind hervorzuheben:
BSVG: Wegfall der Pflichtversicherung, wenn der Einheitswert* des Betriebes unter €1.500 liegt und der Lebensunterhalt nicht überwiegend aus Ertrag des Betriebes bestritten wird.
(* Der Einheitswert ist ein vom Finanzamt für Steuerzwecke festgestellter Wert, der die Ertragsfähigkeit des land- und forstwirtschaftlichen Betriebes ausdrückt.)
GSVG:
   * Opting out: Jene Gruppen von Freiberuflern, die in gesetzlichen Interessenvertretungen (Kammern) organisiert sind, haben die Möglichkeit, aus der Pensions- bzw. Krankenversicherung auszutreten, wenn im jeweiligen Versicherungszweig eine gleichartige oder zumindest annähernd gleichwertige Versorgung der Kammermitglieder sichergestellt ist. Diese Möglichkeit besteht auch für die vom FSVG umfassten Berufsgruppen.
   * Ausnahme wegen „geringfügiger“ Einkünfte (gilt für Gewerbetreibende und Inhaber einer Konzession, nicht aber für Gesellschafter); „Kleinunternehmerregelung“: Personen, deren Umsätze €55.000 im Jahr nicht übersteigen sowie deren Einkünfte aus dieser Tätigkeit €6.613,20 (2025) im Jahr nicht übersteigen, können die Ausnahme von der GSVG Kranken-, und Pensionsversicherung beantragen wenn sie:- innerhalb der letzten 60 Kalendermonate nicht mehr als zwölf Kalendermonate nach dem GSVG/FSVG pflichtversichert waren oder- das Regelpensionsalter erreicht haben oder- das 57. Lebensjahr vollendet haben und innerhalb der letzten fünf Kalenderjahre vor Antragstellung die oben genannte Umsatz- bzw. Einkommensgrenze nicht überschritten haben.
Nichterreichen der Versicherungsgrenze: Als Freiberufler oder Neuer Selbständiger fällt man nur dann unter die Pflichtversicherung, wenn die versicherungspflichtigen Erwerbseinkünfte über einer bestimmten Grenze liegen. Die Versicherungsgrenze beträgt im Kalenderjahr 2025 €6.613,20; dies unabhängig davon, ob neben der selbständigen Erwerbstätigkeit auch andere Jobs ausgeübt oder ein Einkommen aus einer anderen Quelle bezogen wird.</t>
  </si>
  <si>
    <t>Pflichtversichert:
   * Alle gegen Entgelt beschäftigten Arbeitnehmer:innen, Lehrlinge.
   * Selbständige und in den Betrieben Selbstständiger ohne Entgelt mitarbeitende Kinder.
   * Freie Dienstnehmer:in: Personen, die zwar keinen Arbeitsvertrag haben, im Wesentlichen aber wie ein:e Arbeitnehmer:in tätig werden (z.B. keine eigene betriebliche Struktur, persönliche Leistungserbringung).
Freiwillige Versicherung möglich für nicht pflichtversicherte Personen, die älter als 15 Jahre sind und im Inland ihren Wohnort haben.
Weiters begünstigte Selbstversicherung bzw. Weiterversicherung für pflegende Angehörige möglich, die einen nahen Angehörigen ab Pflegegeldstufe 3 oder ein behindertes Kind betreuen.</t>
  </si>
  <si>
    <t>Schwerarbeitsrente:
   * Bei Schwerarbeit wird auf physische und psychische Belastungsmomente abgestellt. Diese Belastungsmomente sind in der sogenannten Schwerarbeitsverordnung festgeschrieben, die grundsätzlich nicht auf konkrete Berufe abstellt, sondern vielmehr berufsbedingt belastende Tätigkeiten normiert (z.B. Schichtdienste während der Nacht, Arbeit unter Hitze oder Kälte oder schwere körperliche Arbeit).
   * Frühestens mit Vollendung des 60. Lebensjahres.
   * Mindestens 540 Versicherungsmonate (45 Jahre), wobei innerhalb der letzten 240 Kalendermonate (20 Jahre) vor dem Stichtag mindestens 120 sogenannte Schwerarbeitsmonate (10 Jahre) vorliegen müssen.</t>
  </si>
  <si>
    <t>Ab 1.1.2005:
Beitragszeiten, für die Beiträge aus öffentlichen Mitteln entrichtet werden (keine Arbeitnehmer:innenbeiträge, beispielhafte Aufzählung):
   * Kindererziehungszeiten (maximal 4 Jahre pro Kind, im Falle einer Mehrlingsgeburt 5 Jahre), jeweils gezählt ab der Geburt des Kindes.
   * Militär- bzw. Kriegsdienstzeiten sowie gleichgestellte Zeiten (z.B. Zivildienstzeiten).
   * Zeiten des Bezuges von Wochengeld (Zeiten des Mutterschaftsurlaubes).
   * Zeiten des Bezuges von Arbeitslosengeld bzw. Notstandshilfe sowie Krankengeld.
   * Zeiten der Pflege eines behinderten Kindes (bis zur Vollendung des 40. Lebensjahres), für das erhöhte Familienbeihilfe gewährt wird, unter überwiegender Beanspruchung der Arbeitskraft in häuslicher Umgebung.
   * Zeiten der Pflege eines nahen Angehörigen mit Anspruch auf Pflegegeld zumindest der Stufe 3 unter erheblicher Beanspruchung der Arbeitskraft der pflegenden Person in häuslicher Umgebung.
Für Versicherungszeiten, die vor dem 1.1.2005 erworben wurden, sowie für Personen, die am 1.1.2005 das 50. Lebensjahr schon vollendet haben (unbegrenzt) werden die oben genannten Zeiten beitragsfrei als gleichgestellte Zeiten angerechnet.
Für Zeiten der Kindererziehung, der Pflege eines nahen Angehörigen oder eines behinderten Kindes gebührt eine fixe Bemessungsgrundlage in der Höhe von €2.300,10 (2025).
Für Personen, die vor dem 1.1.1955 geboren sind, beträgt die Bemessungsgrundlage für Kindererziehungszeiten €1.834,55 (2025).</t>
  </si>
  <si>
    <t>Schul-, Studien- oder Ausbildungszeiten werden in der Regel dann anspruchs- oder leistungswirksam, wenn für diese Zeiten ein entsprechender Beitrag (nach)entrichtet wird, wobei man die Zahlung vor dem Rentenstichtag leisten muss. Der Rückkauf bezieht sich sowohl auf den Anspruch auf eine Altersrente als auf deren Berechnung.
Berücksichtigt wird jedes volle Schuljahr, angefangen ab dem Kalenderjahr der Vollendung des 15. Lebensjahres begonnen hat und zwar
   * für jedes anrechenbare Schuljahr 12 Monate
   * für jedes anrechenbare Hochschulsemester 6 Monate und
   * Ausbildungsmonate mit der gesamten Dauer
Abhängig vom Schultyp ist folgendes Höchstausmaß vorgesehen:
   * Mittlere Schule - 24 Monate
   * Höhere Schule oder Akademie – 36 Monate
   * Hochschule/Kunstakademie/Ausbildungszeiten - 72 Monate
Wenn infolge rentenrechtlicher Änderungen die Situation entsteht, dass die nachgekauften Schul-, Studien- oder Ausbildungszeiten weder anspruchs- noch leistungswirksam werden, müssen die bereits entrichteten Beiträge für Renten mit einem Stichtag ab 1. Jänner 2004 von Amts wegen zurückbezahlt werden.</t>
  </si>
  <si>
    <t>Sofern die monatliche Rente bzw. Renten einschließlich sonstiger Einkünfte (auch jener des:der im gemeinsamen Haushalt lebenden Ehepartner:in) die folgenden Beträge nicht erreichen, gebührt eine Ausgleichszulage in der Höhe des Differenzbetrages:
   * Einzelrichtsatz für alleinstehende:n Rentenbezieher:in: €1.273,99 (2025) pro Monat.
   * Familienrichtsatz für Rentenbezieher:in, der:die mit Ehepartner:in im gemeinsamen Haushalt lebt: €2.009,85 (2025) pro Monat.
   * Erhöhung der Ausgleichszulage für jedes Kind bis zur Vollendung des 18. Lebensjahres bzw. des 27. Lebensjahres bei Studium oder Berufsausbildung; kein Alterslimit bei Behinderung des Kindes: €196,57 (2025) pro Monat.
Ausgleichszulagen/Rentenbonus
Bei Vorliegen einer bestimmten Anzahl an Versicherungsmonaten gebührt
   * ein Ausgleichszulagenbonus, wenn eine Ausgleichszulage zu einer Eigen(Direkt)rente bezogen wird oder
   * ein Rentenbonus zur Eigen(Direkt)rente, wenn keine Ausgleichszulage bezogen wird
und wenn das Gesamteinkommen unter einem bestimmten Grenzbetrag liegt.
   * Einzelrichtsatz mind. 360 Beitragsmonate (inklusive Kindererziehungszeiten und Präsenz- und Zivildienstzeiten)Grenzwert für Gesamteinkommen: €1.386,20 (2025)Maximale Höhe: €188,60 (2025)
   * Einzelrichtsatz mind. 480 Beitragsmonate (inklusive Kindererziehungszeiten und Präsenz- und Zivildienstzeiten)Grenzwert für Gesamteinkommen: €1.656,05 (2025)Maximale Höhe: €481,00 (2025)
   * Familienrichtsatz mind. 480 Beitragsmonate (inklusive Kindererziehungszeiten und Präsenz- und Zivildienstzeiten) bei einem oder beiden Partner:innenGesamteinkommen: €2.235,34 (2025)Maximale Höhe: €480,49 (2025)</t>
  </si>
  <si>
    <t>Renten werden mit Wirksamkeit ab dem 1. Jänner eines jeden Jahres grundsätzlich mit dem Anpassungsfaktor, der die Inflationsrate berücksichtigt, angepasst: Die jährliche Inflationsrate ist der Preis des gesamten fiktiven Warenkorbs in einem bestimmten Monat im Vergleich zum Preis des Warenkorbs im selben Monat des Vorjahrs. Mittels Beschluss eines "Pensionsanpassungsgesetzes" kann der Gesetzgeber davon jedoch abweichen.
Die Höhe wird für jedes Jahr neu festgesetzt. Für das Jahr 2025 erfolgt, abhängig vom monatlichen Gesamtrenteneinkommen* (brutto), die Rentenerhöhung wie folgt:
   * bis €6.060 mit 4,6% des Gesamtrenteneinkommens (entspricht dem Anpassungsfaktor für das Jahr 2025)
   * ab €6.060,01 mit einem Fixbetrag in Höhe von €278,76.
*Zum Gesamtrenteneinkommen zählen die Renten aus der gesetzlichen Rentenversicherung, alle Sonderrenten nach dem Sonderpensionenbegrenzungsgesetz sowie die Ruhe- und Versorgungsbezüge nach dem Bundestheaterpensionsgesetz und dem Bundesbahn-Pensionsgesetz, auf die am 31. Dezember 2024 Anspruch besteht.
Die Ausgleichszulagenrichtsätze werden im Jahr 2025 um 4,6% erhöht.</t>
  </si>
  <si>
    <t>BSVG und GSVG: Arbeitsgebundene Pflichtversicherung.
Folgende Ausnahmen von der Pflichtversicherung sind hervorzuheben:
BSVG: Wegfall der Pflichtversicherung, wenn Einheitswert* des Betriebes unter €1.500 liegt und der Lebensunterhalt nicht überwiegend aus Ertrag des Betriebes bestritten wird.
(* Der Einheitswert ist ein vom Finanzamt für Steuerzwecke festgestellter Wert, der die Ertragsfähigkeit des land- und forstwirtschaftlichen Betriebes ausdrückt.)
GSVG:
   * Opting out: Jene Gruppen von Freiberuflern, die in gesetzlichen Interessenvertretungen (Kammern) organisiert sind, haben die Möglichkeit, aus der Pensions- bzw. Krankenversicherung auszutreten, wenn im jeweiligen Versicherungszweig eine gleichartige oder zumindest annähernd gleichwertige Versorgung der Kammermitglieder sichergestellt ist. Diese Möglichkeit besteht auch für die vom FSVG umfassten Berufsgruppen.
   * Ausnahme wegen „geringfügiger“ Einkünfte (gilt für Gewerbetreibende und Inhaber einer Konzession, nicht aber für Gesellschafter); „Kleinunternehmerregelung“: Personen, deren Umsätze €55.000 im Jahr nicht übersteigen sowie deren Einkünfte aus dieser Tätigkeit €6.613,20 (2025) im Jahr nicht übersteigen können die Ausnahme von der GSVG Kranken-, und Pensionsversicherung beantragen wenn sie:- innerhalb der letzten 60 Kalendermonate nicht mehr als zwölf Kalendermonate nach dem GSVG/FSVG pflichtversichert waren oder- das Regelpensionsalter erreicht haben oder- das 57. Lebensjahr vollendet haben und innerhalb der letzten fünf Kalenderjahre vor Antragstellung die oben genannte Umsatz- bzw. Einkommensgrenze nicht überschritten haben.
Nichterreichen der Versicherungsgrenze: Als Freiberufler oder Neuer Selbständiger fällt man nur dann unter die Pflichtversicherung, wenn die versicherungspflichtigen Erwerbseinkünfte über einer bestimmten Grenze liegen. Die Versicherungsgrenze beträgt im Kalenderjahr 2025 €6.613,20; dies unabhängig davon, ob neben der selbständigen Erwerbstätigkeit auch andere Jobs ausgeübt oder ein Einkommen aus einer anderen Quelle bezogen wird.
Bei den oben beschriebenen Ausnahmen von der Pflichtversicherung besteht in gewissen Fällen die Möglichkeit einer freiwilligen Teilnahme an der Pensionsversicherung.</t>
  </si>
  <si>
    <t>Pflichtversichert:
   * Alle gegen Entgelt beschäftigten Arbeitnehmer:innen, Lehrlinge.
   * In den Betrieben Selbstständiger ohne Entgelt mitarbeitende Kinder.
   * Freie Dienstnehmer:innen: Personen, die zwar keinen Arbeitsvertrag haben, im Wesentlichen aber wie ein:e Arbeitnehmer:in tätig werden (z.B. keine eigene betriebliche Struktur, persönliche Leistungserbringung).
Freiwillige Versicherung möglich für nicht pflichtversicherte Personen, die älter als 15 Jahre sind und im Inland ihren Wohnort haben.</t>
  </si>
  <si>
    <t>Wenn die Hinterbliebenenrenten mangels Erfüllung der Wartezeit nicht anfallen, aber mindestens ein Beitragsmonat des:der Verstorbenen vorliegt: Abfindung in der Höhe der sechsfachen Bemessungsgrundlage, sofern die Bestimmungen des ASVG zur Anwendung gelangen. Kommen die Bestimmungen des APG zur Anwendung, beträgt die Abfindung sechs Vierzehntel jener Bemessungsgrundlage, die bei einem Arbeitsunfall gegolten hätte. (Referenzeinkommen bzw. Berechnungsgrundlage, siehe Tabelle VI).
Wenn die Wartezeit für Hinterbliebenenrenten erfüllt ist, aber keine anspruchsberechtigten Hinterbliebenen vorhanden sind: Abfindung in der Höhe der dreifachen Bemessungsgrundlage, sofern die Bestimmungen des ASVG zur Anwendung gelangen. Kommen die Bestimmungen des APG zur Anwendung, beträgt die Abfindung drei Vierzehntel der Bemessungsgrundlage, die bei einem Arbeitsunfall gegolten hätte. (Referenzeinkommen bzw. Berechnungsgrundlage, siehe Tabelle VI) der Reihe nach an die Kinder, die Mutter, den Vater oder die Geschwister des Verstorbenen, wenn diese im Zeitpunkt des Todes des:der Versicherten in Hausgemeinschaft gelebt haben und überwiegend von dem:der Verstorbenen versorgt worden sind.
Sofern die Rente einschließlich sonstiger Einkünfte die folgenden Richtsätze nicht erreicht, gebührt eine Ausgleichszulage in Höhe des Differenzbetrages:
   * Witwe:Witwer/Hinterbliebene:r eingetragene:r Partner:in: €1.273,99 (2025) pro Monat.
   * Halbwaisen bis zum 24. Lebensjahr €468,58 (2025) pro Monat, nach dem 24. Lebensjahr €832,68 (2025) pro Monat.
   * Vollwaisen bis zum 24. Lebensjahr €703,58 (2025) pro Monat, nach dem 24. Lebensjahr €1.273,99 (2025) pro Monat.
Zur Mindestgrenze der Witwen:Witwerrente unter Berücksichtigung des Einkommens des:der Hinterbliebenen siehe Tabelle VII, Leistungen 7. Mindestleistung („Schutzbetrag“).
Für zusätzlichen Anspruch auf Familienbeihilfe siehe Tabelle IX, für zusätzlichen Anspruch auf Pflegegeld siehe Tabelle XII.</t>
  </si>
  <si>
    <t xml:space="preserve">Erreicht die Summe aus gekürzter Hinterbliebenenrente und eigenem Einkommen des:der Hinterbliebenen nicht monatlich €2.547,91 brutto (2025), so ist ein entsprechender Differenzbetrag bis zum Maximum von 60% der Rente des:der Verstorbenen zu gewähren, bis das Gesamteinkommen €2.547,91 brutto (2025) erreicht („Schutzbetrag“).
Sofern die monatliche Rente bzw. Renten einschließlich sonstiger Einkünfte die folgenden Beträge nicht erreichen, gebührt eine Ausgleichszulage in der Höhe des Differenzbetrages:
   * Alleinstehende:r Rentenbezieher:in: €1.273,99 (2025) pro Monat.
   * Halbwaisen bis zum 24. Lebensjahr €468,58 (2025) pro Monat, nach dem 24. Lebensjahr €832,68 (2025) pro Monat.
   * Vollwaisen bis zum 24. Lebensjahr €703,58 (2025) pro Monat, nach dem 24. Lebensjahr €1.273,99 (2025) pro Monat.
</t>
  </si>
  <si>
    <t>Renten werden mit Wirksamkeit ab dem 1. Jänner eines jeden Jahres grundsätzlich mit dem Anpassungsfaktor, der die Inflationsrate berücksichtigt, angepasst: Die jährliche Inflationsrate ist der Preis des gesamten fiktiven Warenkorbs in einem bestimmten Monat im Vergleich zum Preis des Warenkorbs im selben Monat des Vorjahrs. Bei der Ermittlung des Anpassungsfaktors wird die Inflationsrate berücksichtigt. Mittels Beschluss eines "Rentenanpassungsgesetzes" kann der Gesetzgeber davon jedoch abweichen.
Die Höhe wird für jedes Jahr neu festgesetzt. Für das Jahr 2025 erfolgt, abhängig vom monatlichen Gesamtrenteneinkommen* (brutto), die Rentenerhöhung wie folgt:
   * bis €6.060 mit 4,6% des Gesamtrenteneinkommens (entspricht dem Anpassungsfaktor für das Jahr 2025)
   * ab €6.060,01 mit einem Fixbetrag in Höhe von €278,76.
*Zum Gesamtrenteneinkommen zählen die Renten aus der gesetzlichen Rentenversicherung, alle Sonderrenten nach dem Sonderpensionenbegrenzungsgesetz sowie die Ruhe- und Versorgungsbezüge nach dem Bundestheaterpensionsgesetz und dem Bundesbahn-Pensionsgesetz, auf die am 31. Dezember 2024 Anspruch besteht.
Die Ausgleichszulagenrichtsätze werden im Jahr 2025 um 4,6% erhöht.</t>
  </si>
  <si>
    <t>Der Mindestversicherungszeitraum (beitragspflichtige und beitragsfreie Zeiträume) hängt vom Alter bei Auftreten der Erwerbsunfähigkeit ab:
   * unter 20 Jahren: mindestens 1 Jahr Versicherungsbeiträge;
   * 20 - 22 Jahre: 2 Jahre
   * 22 - 25 Jahre: 3 Jahre
   * 25 - 30 Jahre: 4 Jahre
   * 30 Jahre und älter: 5 Jahre über die 10 Jahre unmittelbar vor Eintritt der Invalidität.</t>
  </si>
  <si>
    <t>Die Anspruchsberechtigung einer Person auf Invaliditätsrente ist verknüpft mit deren teilweisen oder vollständigen Verlust der Arbeitsfähigkeit aufgrund von Arbeitsunfall oder Berufskrankheit.
Die Kriterien, anhand denen die Anspruchsberechtigung beurteilt wird, stehen im Zusammenhang mit dem Umfang der Beeinträchtigung und der Möglichkeit einer Wiederherstellung durch Medikation und Rehabilitation und der Fähigkeit, die derzeitige Arbeit oder eine andere Art der Arbeit auszuüben sowie der Wahrscheinlichkeit einer beruflichen Umschulung (auch unter Berücksichtigung von Ausbildung und Alter).
Invalidität ist nicht definiert in Prozentsätzen oder Punkten, sondern als entweder „vollständig“ oder „teilweise“ entsprechend der verbliebenen Arbeitsfähigkeit:
   * vollständig, wenn die Person jegliche Arbeitsfähigkeit verloren hat. Dies berechtigt auf Dauerhafte Invaliditätsrente (Renta stała);
   * teilweise, wenn die Person – zu einem mittleren Ausmaß – die Fähigkeit verloren hat, die ihrer Ausbildung entrpechende Arbeit auszuüben. Dies berechtigt zu einer Teilinvaliditätsrente (Renta okresowa).
Kein Mindestmaß an Arbeitsfähigkeit/-unfähigkeit festgelegt.</t>
  </si>
  <si>
    <t>Anträge für Invaliditätsrenten werden von Ärzten und medizinischen Kommissionen der Sozialversicherungsanstalt (Zakład Ubezpieczeń Społecznych, ZUS) beurteilt.
Der Antrag muss eingereicht werden mitsamt der Bescheinigung über den Gesundheitszustand, ausgestellt vom behandelnden Arzt, sowie der Dokumentation der ärztlichen Behandlung (medizinisches Kurrikulum).
Die medizinische Bewertung der Erwerbsunfähigkeit durch die ZUS hat 2 Ebenen: die erste Instanz ist der bewertende Arzt der ZUS (die medizinische Untersuchung wird von einem Arzt durchgeführt), die zweite Instanz (Einspruch) ist die medizinische Kommission der ZUS (bestehend aus drei Ärzten).
Der bewertende Arzt der ZUS und die medizinische Kommission bescheinigen die Erwerbsunfähigkeit und ihren Grad (vollständig oder teilweise). Sie legen zudem fest:
   * das Datum des Auftretens der Erwerbsunfähigkeit;
   * die Dauer oder erwartete Dauer der Erwerbsunfähigkeit;
   * die Ursachen der Erwerbsunfähigkeit oder des Todes unter bestimmten Umständen;
   * die Unfähigkeit zu einem unabhängigen Leben;
   * die Eignung zu einer beruflichen Rehabilitation.
Die Erwerbsfähigkeit (teilweise Erwerbsunfähigkeit) wird für einen Zeitraum von höchstens 5 Jahren vom bewertenden Arzt der ZUS bescheinigt, kann aber um einen längeren Zeitraum verlängert oder als dauerhaft erklärt werden (vollständige Erwerbsunfähigkeit), wenn die Wiederherstellung der Erwerbsfähigkeit innerhalb dieses Zeitraums nur unwahrscheinlich ist.
Jede Person, die mit der Entscheidung der ersten Instanz unzufrieden ist, kann bei der medizinischen Kommission der ZUS (bestehend aus 3 Ärzten) innerhalb von 14 Tagen ab dem Tag der Entscheidungsfindung Widerspruch einlegen. Nach der Entscheidung der medizinischen Kommission der ZUS kann beim Arbeits- und Sozialversicherungsgericht innerhalb von 30 Tagen nach Erhalt der Entscheidung Widerspruch eingelegt werden.
Es gelten landesweit die gleichen Bewertungskriterien und verfahren.</t>
  </si>
  <si>
    <t>Volle Invaliditätsrente (Renta z tytułu całkowitej niezdolności do pracy):
Berechnung nach folgender Formel:
R = kb x (wpw x os x 1,3% + wpw x on x 0,7% + wpw x oh x 0,7% + 24%).
Hierbei bedeuten
   * kb: „Grundbetrag" in Höhe des nationalen Durchschnittslohns des Vorjahres abzüglich der Sozialversicherungsbeiträge;
   * wpw: Bezugslohnkoeffizient: prozentuales Verhältnis zwischen dem durchschnittlichen Bezugsentgelt der Person im Rentenberechnungszeitraum und dem entsprechenden nationalen Durchschnittslohn;
   * os: Beitragszeiten;
   * on: beitragsfreie Zeiten;
   * oh: Zurechnungszeit: wenn der Zeitraum, für den Beiträge gezahlt oder angerechnet wurden, weniger als die erforderlichen 25 Jahre beträgt, wird die Anzahl der Jahre, die zwischen dem Alter des Versicherten bei Antragstellung auf Invalidität und dem gesetzlichen Rentenalter fehlen, ebenfalls berücksichtigt (höchstens 25 Jahre).
Der Betrag der Leistung ist abhängig von früheren Einkommen.
Der Bezug von anderen Sozialleistungen hat keinen Einfluss auf den Betrag der Invaliditätsleistung.
Anspruch unterliegt keiner Bedürftigkeitsprüfung.
Teilinvaliditätsrente (Renta z tytułu częściowej niezdolnosci do pracy):
75% der vollen Invaliditätsrente.
Beide Leistungen werden monatlich ausbezahlt.
Eine zusätzliche jährliche Geldleistung (Dodatkowe roczne świadczenie pieniężne) wird wie folgt gezahlt:
   * im April – der Betrag ist derselbe wie der der Mindestaltersrente;
   * im August oder September – der Betrag ist abhängig von der Höhe der Rente, d.h.: 
   * für Personen, deren Rente PLN 2.900 (€684) brutto monatlich nicht überschreitet, ist der Betrag derselbe wie der der Mindestaltersrente;
   * übersteigt die Rente PLN 2.900 (€684) brutto monatlich, wird der Mechanismus namens "Zloty für Zloty" angewendet;
   * liegt die Leistung unter PLN 50 (€12), wird sie nicht ausgezahlt.</t>
  </si>
  <si>
    <t>Mindestrente:
   * Vollinvalidität: PLN 1.878,19 (€443) pro Monat.
   * Teilinvalidität: PLN 1.409,69 (€332) pro Monat.
Höchstrente: 100% des Bezugsentgelts (wpw – siehe Tabelle V, „Leistungen, 2. Berechnungsmethode, Formel, Beträge und Zahlungshäufigkeit“).</t>
  </si>
  <si>
    <t>Die folgenden Zeiträume werden als Beitragszeiten für die Anspruchsberechtigung auf Invaliditätsrenten und für die Berechnung der zahlbaren Betrags behandelt:
   * Krankengeld (Zasilek chorobowy);
   * Rehabilitationsgeld (Świadczenie rehabilitacyjne);
   * Arbeitslosengeld (Zasiłek dla bezrobotnych);
   * Zeiten der Nichterwerbstätigkeit aus Gründen der Kinderbetreuung (bis zu 4 Jahre), beendet vor dem 1.1.1999;
   * Studium;
   * Militärdienst;
   * Zuschüsse für Pflegepersonen (zasiłek opiekuńczy).</t>
  </si>
  <si>
    <t>Die Sozialversicherungsanstalt (Zakład Ubezpieczeń Społecznych, ZUS) trifft die Entscheidung über medizinische Rehabilitation in den Fällen, in denen die Wiederherstellung der Arbeitsfähigkeit nach der Rehabilitation wahrscheinlich ist.
Die Rehabilitation setzt normalerweise nach Ausschöpfung des Bezugs der Geldleistungen (in bar) bei Krankheit (zasiłek chorobowy) ein, kann aber auch innerhalb von sechs Monaten nach dem Beginn der Invalidität erfolgen. Sie ist nicht verpflichtend.
Geldleistungen:
Während des Rehabilitationszeitraums wird Rehabilitationsgeld (Świadczenie rehabilitacyjne) für bis zu 12 Monate gezahlt. Es beträgt:
   * 90% der Bemessungsgrundlage für Krankengeld (zasiłek chorobowy) während der ersten 90 Tage;
   * 75% für den verbleibenden Zeitraum;
   * 100%, wenn die Erwerbsunfähigkeit während der Schwangerschaft auftrat oder durch Arbeitsunfall oder Berufskrankheit ausgelöst wurde.
Ausbildungsgeld (Renta szkoleniowa) wird an Empfänger von Invaliditätsrente gezahlt, denen offiziell geraten wurde, eine berufliche Umschulung zu machen. Es wird normalerweise für einen Zeitraum von 6 Monaten gewährt (der jedoch verlängert oder verkürzt werden kann). Es beträgt: 75% der Bemessungsgrundlage oder 100% dieser Grundlage, wenn die Erwerbsunfähigkeit durch einen Arbeitsunfall oder eine Berufskrankheit verursacht wurde, und es darf nicht weniger betragen als die Mindestrente für eine Person, die teilweise arbeitsunfähig ist (PLN 1.409,18 (€332)).</t>
  </si>
  <si>
    <t>Die Rente wird ausgesetzt oder gekürzt, falls der Empfänger Erwerbseinkünfte über folgenden Grenzwerten erzielt:
   * monatliche Einkünfte zwischen 70% und 130% des nationalen Durchschnittslohns: Kürzung des Grundbetrags der Rente um 24% bei Vollinvalidität bzw. um 18% bei Teilinvalidität (Renta z tytułu częściowej niezdolnosci do pracy);
   * monatliche Einkünfte von mehr als 130% des nationalen Durchschnittslohns: Rente wird eingestellt.</t>
  </si>
  <si>
    <t>Invaliditätsrente (Renta z tytułu niezdolności do pracy) kann mit anderen Leistungen kombiniert werden, mit Ausnahme von:
   * Altersrente;
   * Hinterbliebenenrente;
   * Rente, die aufgrund eines Arbeitsunfalls oder einer Berufskrankheit gewährt wurde oder
   * Leistungen bei Arbeitslosigkeit.</t>
  </si>
  <si>
    <t>Selbstständige
Wie für Arbeitnehmer.
Landwirte
Eine Person, die für eine Invalidenrente berechtigt ist, wenn sie die folgenden kumulativen Bedingungen erfüllt:
   * sie waren über die erforderliche Zeitdauer rentenversichert (1 bis 5 Jahre – je nach Alter, in dem die vollständige Erwerbsunfähigkeit in Bezug auf den Landwirtschaftsbetrieb eintrat).
   * sie sind dauerhaft oder vorübergehend nicht in der Lage, im Landwirtschaftsbetrieb tätig zu sein.
Die vollständige Erwerbsunfähigkeit in Bezug auf den Landwirtschaftsbetrieb trat in dem Zeitraum ein, in dem sie sozialversichert waren, oder nicht später als 18 Monate nach Ende der Sozialversicherungsdauer.</t>
  </si>
  <si>
    <t>Neben dem Alter ist die andere Bedingung für die Gewährung einer Altersrente (Emerytura) mit einer garantierten Mindestrente eine Mindestversicherungszeit (Beitrags- und beitragsfreie Zeiten) von 25 Jahren für Männer und 20 Jahren für Frauen.
Altersrente (Emerytura) ohne garantiertes Minimum:
   * Personen, die vor dem 1. Januar 1949 geboren wurden: Versicherungsdauer (Beitrags- und beitragsfreie Zeiten) von 20 Jahren für Männer und 15 Jahren für Frauen. Die Bedingungen gelten in Kombination mit dem Alter;
   * Personen, die nach dem 31. Dezember 1948 geboren wurden: Keine Mindestdauer erforderlich.
Kein Konzept einer vollständigen Laufbahn oder vollständigen Beitragszeiten.</t>
  </si>
  <si>
    <t>Seit 31. Dezember 2008: Vorgezogene Rente (Wcześniejsza emerytura) nur für Personen, die zwischen 1949 und 1968 geboren wurden und folgende Bedingungen erfüllen:
   * Erreichung eines Rentenalters, das niedriger ist als das reguläre, welches abhängig ist von Geschlecht und Art der Beschäftigung (z.B. 55 oder 50 Jahre für Minenarbeiter);
   * Mindestanzahl von 25 Beitragsjahren und beitragsfreien Zeiten für Männer und 20 für Frauen;
   * Ausübung eines beschwerlichen oder gefährlichen Berufs (siehe Kategorie „Beschwerliche oder gefährliche Berufe“).</t>
  </si>
  <si>
    <t>Für Personen, die vor dem 1. Januar 1949 geboren wurden:
Es gibt keine Definition von beschwerlichen oder gefährlichen Berufen. Personen, die unter besonderen Umständen oder in Berufen mit besonderen Merkmalen und in Vollzeit arbeiten, haben Anspruch auf Vorgezogene Rente (Wcześniejsza emerytura). Es gibt eine Liste von Berufen und Arbeitsarten, die unter diese Kategorie fallen.
Für Personen, die nach dem 31. Dezember 1948 geboren wurden:
Es gibt eine Definition von Berufen unter besonderen Bedingungen oder Berufen mit besonderen Merkmalen und eine Liste von Arbeitsarten.
Definition:
   * Berufe unter besonderen Bedingungen (praca w szczególnych warunkach) sind verbunden mit Risikofaktoren, die mit zunehmendem Alter mit hoher Wahrscheinlichkeit dauerhafte Gesundheitsschäden verursachen; Berufe müssen unter besonderen Arbeitsbedingungen ausgeübt werden und sind von Naturgewalten oder technologischen Prozessen bestimmt, die – trotz der Verwendung technischer, organisatorischer und medizinischer Präventivmaßnahmen – ein Gesundheitsrisiko darstellen.
   * Berufe mit besonderen Merkmalen (praca o szczególnym charakterze) sind solche, die besondere Verantwortung erfordern sowie hohe psycho-physische Effizienz und die Fähigkeit, die öffentliche Sicherheit nicht zu gefährden inklusive Gesundheit und Leben anderer. Diese Fähigkeiten können mit zunehmendem Alter abnehmen.
Personen, die unter gesundheitsschädlichen Bedingungen arbeiten oder eine bestimmte Art von Arbeit ausführen (enthalten in einer offiziellen Liste): 5 Jahre vor dem normalen Rentenalter, z. B. bei Journalisten, Glasarbeitern, Eisenbahnarbeitern; 10 Jahre z. B. bei Bergarbeitern, Personen beschäftigt im Umgang mit Blei, Kadmium oder Asbest, Stahlarbeitern, Piloten, Tauchern oder 15 Jahre z.B. bei Blasinstrumentenspielern.
Personen, die diese Berufe ausgeübt haben, haben unter bestimmten Bedingungen Anspruch auf die Überbrückungsrente (Emerytura pomostowa), die in Tabelle X – „Arbeitslosigkeit“, „Besondere Vereinbarungen für ältere Arbeitslose, 2. Bedingungen” enthalten sind.</t>
  </si>
  <si>
    <t>Personen, die vor dem 1. Januar 1949 geboren wurden:
   * Höhe des Bezugsentgelts;
   * Anzahl der Versicherungsjahre;
   * Grundbetrag.
Personen, die nach 31. Dezember 1948 geboren wurden:
   * Beitragspflichtiges Arbeitsentgelt während des gesamten Versicherungszeitraums;
   * Alter des Versicherten zum Zeitpunkt der Zuerkennung der Rente.</t>
  </si>
  <si>
    <t>Altersrente (Emerytura):
Personen, die vor dem 1. Januar 1949 geboren wurden:
Der Betrag der Altersrente wird nach folgender Formel berechnet:
E = kb x (wpw x os x 1,3% + wpw x on x 0,7% + 24%)
dabei bedeutet:
   * kb: „Grundbetrag" in Höhe des nationalen Durchschnittslohns des Vorjahres abzüglich der Sozialversicherungsbeiträge;
   * wpw: „Bezugslohnkoeffizient“: prozentuales Verhältnis zwischen dem durchschnittlichen Bezugsentgelt der Person im Rentenberechnungszeitraum und dem entsprechenden nationalen Durchschnittslohn;
   * os: Beitragszeiten;
   * on: beitragsfreie Zeiten.
Personen, die nach dem 31. Dezember 1948 geboren wurden:
Der Betrag der Altersrente wird wie folgt berechnet:
Die Höhe der Altersrente ergibt sich aus der Division der Summe der auf dem individuellen Rentenkonto angesammelten Anwartschaften durch die durchschnittliche verbleibende Lebenserwartung bei Stellung des Rentenantrags.
Größe und Zusammensetzung des Haushalts werden nicht bei der Rentenberechnung berücksichtigt.
Eine zusätzliche jährliche Geldleistung (Dodatkowe roczne świadczenie pieniężne) wird wie folgt gezahlt:
   * im April – der Betrag ist derselbe wie der der Mindestaltersrente;
   * im September – der Betrag ist abhängig von der Höhe der Rente, d.h.: 
   * für Personen, deren Rente PLN 2.900 (€684) brutto monatlich nicht überschreitet, ist der Betrag derselbe wie der der Mindestaltersrente;
   * übersteigt die Rente PLN 2.900 (€684) brutto monatlich, wird der Mechanismus namens "Zloty für Zloty" angewendet;
   * liegt die Leistung unter PLN 50 (€12), wird sie nicht ausgezahlt.</t>
  </si>
  <si>
    <t>PLN 1.878,91 (€443) pro Monat. Die Mindestrente ist nur garantiert, wenn die betroffene Person:
   * 25 Jahre für Männer;
   * 20 Jahre für Frauen
beitrags- und beitragsfreie Zeiten hat.
Die Mindestrente unterliegt keiner Bedürftigkeitsprüfung.</t>
  </si>
  <si>
    <t>Personen, die vor dem 1. Januar 1949 geboren wurden:
Ein längerer Beschäftigungszeitraum wird in der Rentenformel berücksichtigt:
   * 1,3% der Bemessungsgrundlage für jedes zusätzliche Beitragsjahr
   * 0,7% der Bemessungsgrundlage für jedes beitragsfreie Jahr
Personen, die nach dem 31. Dezember 1948 geboren wurden:
Erhöhung des aus den Beiträgen angesammelten Kapitals.</t>
  </si>
  <si>
    <t>Kumulierung der Altersrente (Emerytura) mit Einkünften aus Erwerbsarbeit ist möglich, wenn der Rentner das gesetzliche Rentenalter erreicht und sein Arbeitsverhältnis beendet hat, bevor er den Anspruch auf Altersrente erworben hat (ein neuer Arbeitsvertrag kann später mit demselben Arbeitgeber abgeschlossen werden). Kumulierung ist nicht möglich und die Rente wird ausgesetzt, wenn das Arbeitsverhältnis mit demselben Arbeitgeber im Ruhestand ohne Unterbrechung fortgeführt wird.
Vorgezogene Rente (Wcześniejsza emerytura) wird eingestellt oder gekürzt, wenn die monatlichen Einkünfte des Rentners über den folgenden Grenzwerten liegen:
   * zwischen 70% und 130% des nationalen Durchschnittslohns: Kürzung des Grundbetrags der Rente um 24%;
   * mehr als 130% des nationalen Durchschnittslohns: Rente wird eingestellt.</t>
  </si>
  <si>
    <t>Kumulation mit Arbeitsunfallrente oder Berufskrankheitsrente (Renta z tytułu wypadku przy pracy lub Renta z tytułu choroby zawodowej) möglich. In diesem Fall wird der Betrag einer der beiden Leistungen gekürzt, wobei die Wahlmöglichkeit besteht zwischen:
   * volle Rente aus der Versicherung für Arbeitsunfälle und Berufskrankheiten und die Hälfte der Altersrente oder;
   * volle Altersrente und die Hälfte der Rente aus der Versicherung für Arbeitsunfälle und Berufskrankheiten.
Ab dem 1. Juli 2025 ist es möglich, die Altersrente mit der Hinterbliebenenrente zu kumulieren. In diesem Fall werden die Renten wie folgt ausgezahlt: 100% der Altersrente und 15% der Hinterbliebenenrente oder umgekehrt, wenn dies günstiger ist (d. h. 15% der Altersrente und 100% der Hinterbliebenenrente).</t>
  </si>
  <si>
    <t>Selbstständige
Wie für Arbeitnehmer.
Landwirte
Um Anspruch auf eine Altersrente zu haben, müssen Landwirte:
   * das Rentenalter erreicht haben (d. h. dasselbe wie für Arbeitnehmer: 60 – Frauen, 65 – Männer) und
   * über eine Rentenversicherungsdauer von mindestens 25 Jahren verfügen.
Um Anspruch auf eine vorzeitige Altersrente zu haben, müssen versicherte Landwirte:
   * bei Frauen das 55. Lebensjahr und bei Männern das 60. Lebensjahr vollendet haben;
   * die landwirtschaftlichen Tätigkeiten eingestellt haben;
   * seit mindestens 30 Jahren Beiträge gezahlt haben (nur Zeitraum der Agrarversicherung).
Eine solche vorgezogene Altersrente wird Landwirten gewährt, die die Voraussetzungen bis zum 31. Dezember 2017 erfüllt haben, also für Frauen, die vor dem 31. Dezember 1962 geboren wurden, und für Männer, die vor dem 31. Dezember 1957 geboren wurden. Nach diesem Datum Geborene haben keinen Anspruch auf eine vorgezogene Bauernaltersrente.</t>
  </si>
  <si>
    <t>Waisen müssen folgende Bedingungen erfüllen:
   * unter 16 Jahre alt sein (25 Jahre, falls Vollzeitstudent) oder;
   * voll erwerbsunfähig sein.
Für sonstige Kinder, die vom Versicherten unterhalten wurden (z.B. Pflegekinder, Stiefkinder, Enkelkinder und sonstige Kinder, die vom Versicherten unterhalten wurden), gelten folgende Bedingungen:
   * bei der verstorbenen Person mindestens ein Jahr vor deren Tod gelebt haben und;
   * keinen Anspruch auf eine Leistung wegen Todes ihrer eigenen Eltern haben oder falls ihre eigenen Eltern nicht ihren Unterhalt sichern können.</t>
  </si>
  <si>
    <t>Hinterbliebene Ehepartner und geschiedene Partner:
Die Höhe der Hinterbliebenenrente (Renta rodzinna) hängt von der Anzahl der Empfänger ab und wird als Prozentsatz der Alters- oder Invaliditätsrente ausgezahlt, auf die der Verstorbene Anspruch hatte oder gehabt hätte:
   * eine Person: 85%;
   * zwei Personen: 90%;
   * drei oder mehr Personen: 95%.
Dieser Betrag wird dann gleichmäßig zwischen allen Empfängern aufgeteilt.
Diese Leistung unterliegt keiner Bedürftigkeitsprüfung.
Die Hinterbliebenenrente wird zwölf Mal pro Jahr (monatlich) ausbezahlt.
Eine zusätzliche jährliche Geldleistung (Dodatkowe roczne świadczenie pieniężne) wird wie folgt gezahlt:
   * im April – der Betrag ist derselbe wie der der Mindestaltersrente;
   * im September – der Betrag ist abhängig von der Höhe der Rente, d.h.: 
   * für Personen, deren Rente PLN 2.900 (€684) brutto monatlich nicht überschreitet, ist der Betrag derselbe wie der der Mindestaltersrente;
   * übersteigt die Rente PLN 2.900 (€684) brutto monatlich, wird der Mechanismus namens "Zloty für Zloty" angewendet;
   * liegt die Leistung unter PLN 50 (€12), wird sie nicht ausgezahlt.</t>
  </si>
  <si>
    <t>Halbwaisen:
Leistung wird gleichmäßig zwischen allen berechtigten Hinterbliebenen aufgeteilt, siehe oben „Leistungen: 1. Hinterbliebener Ehegatte, geschiedener Ehegatte, hinterbliebener Lebenspartner").
Vollwaisen:
   * Leistung wird gleichmäßig zwischen allen berechtigten Hinterbliebenen aufgeteilt (siehe oben „Leistungen: 1. Hinterbliebener Ehegatte, geschiedener Ehegatte, hinterbliebener Lebenspartner ");
   * Zulage von PLN 654,48 (€154) pro Monat, Anpassung wie Renten.
Die Leistung unterliegt keiner Bedürftigkeitsprüfung und wird zwölfmal pro Jahr (monatlich) ausbezahlt.
Eine zusätzliche jährliche Geldleistung (Dodatkowe roczne świadczenie pieniężne) wird wie folgt gezahlt:
   * im April – der Betrag ist derselbe wie der der Mindestaltersrente;
   * im September – der Betrag ist abhängig von der Höhe der Rente, d.h.: 
   * für Personen, deren Rente PLN 2.900 (€684) brutto monatlich nicht überschreitet, ist der Betrag derselbe wie der der Mindestaltersrente;
   * übersteigt die Rente PLN 2.900 (€684) brutto monatlich, wird der Mechanismus namens "Zloty für Zloty" angewendet;
   * liegt die Leistung unter PLN 50 (€12), wird sie nicht ausgezahlt.</t>
  </si>
  <si>
    <t>Leistung wird gleichmäßig zwischen allen berechtigten Hinterbliebenen aufgeteilt (siehe oben „Leistungen: hinterbliebener Ehepartner, geschiedener Ehepartner, hinterbliebener Lebenspartner”).
Die Leistung unterliegt keiner Bedürftigkeitsprüfung und wird zwölfmal pro Jahr (monatlich) ausbezahlt.
Eine zusätzliche jährliche Geldleistung (Dodatkowe roczne świadczenie pieniężne) wird wie folgt gezahlt:
   * im April – der Betrag ist derselbe wie der der Mindestaltersrente;
   * im September – der Betrag ist abhängig von der Höhe der Rente, d.h.: 
   * für Personen, deren Rente PLN 2.900 (€684) brutto monatlich nicht überschreitet, ist der Betrag derselbe wie der der Mindestaltersrente;
   * übersteigt die Rente PLN 2.900 (€684) brutto monatlich, wird der Mechanismus namens "Zloty für Zloty" angewendet;
   * liegt die Leistung unter PLN 50 (€12), wird sie nicht ausgezahlt.</t>
  </si>
  <si>
    <t>Kumulation mit Erwerbseinkommen ist möglich, aber die Rente wird ausgesetzt oder gesenkt, wenn die Einkünfte des Leistungsempfängers über den folgenden Grenzwerten liegen:
   * zwischen 70% und 130% des nationalen Durchschnittslohns: Kürzung des Grundbetrags der Rente um 24%;
   * mehr als 130% des nationalen Durchschnittslohns: Rente wird eingestellt.</t>
  </si>
  <si>
    <t>Alle Arbeitnehmer und Selbständige sind im Falle der Invalidität pflichtversichert (weitere Informationen finden sich in dem Abschnitt über Selbständige).
Für gewisse Gruppen besteht die Möglichkeit der freiwilligen Versicherung. Dazu gehören folgende:
   * Bürger und ausländische Bürger (einschließlich Bürger der Europäischen Union) oder Staatenlose, die seit mehr als einem Jahr in Portugal wohnhaft sind;
   * Staatsangehörige, die im Ausland tätig sind und nicht durch die internationalen Instrumente der Sozialversicherung abgedeckt sind, an die Portugal gebunden ist;
   * Seeleute, die als Fischer auf Fischereifahrzeugen ausländischer oder binationaler Unternehmen tätig sind;
   * Freiwillige Sozialarbeiter, die in den privaten Institutionen der sozialen Solidarität tätig sind;
   * Forschungsstipendiaten, die zum Status des Forschers festgelegte Bedingungen erfüllen und nicht durch ein Sozialschutzsystem abgedeckt sind;
   * Hochleistungssportler;
   * Hauptverantwortliche informelle Pflegepersonen (Personen, die andere dauerhaft pflegen und keine Vergütung für ihre berufliche Tätigkeit erhalten – siehe Tabelle XII – Langzeitpflege. 5. Leistungserbringer; Identifizierung informeller Pflegepersonen) 
Der Anspruch auf Invalidenleistungen ist nicht vom Wohnsitz und/oder der Staatsangehörigkeit abhängig.</t>
  </si>
  <si>
    <t>Invalidenrente (pensão de invalidez):
Seit dem 01.01.2002 versicherte Personen:
Der monatliche Rentenbetrag ergibt sich aus dem Produkt des Referenzeinkommens mit dem Rentenprozentsatz, der von der Versicherungsdauer abhängt:
   * bis zu 20 Versicherungsjahre: Rente = 2% x J x RE
J = Anzahl der Versicherungsjahre.
RE = Referenzeinkommen.
   * mehr als 20 Versicherungsjahre: variable degressive Sätze von 2,3% bis 2% für Teilbeträge des Referenzeinkommens (an die Entwicklung des Indexwerts für soziale Unterstützungen IAS (indexante dos apoios sociais = € 522,50) gebunden), zwischen dem 1,1-Fachen und dem 8-Fachen dieses Wertes.
Vor dem 31.12.2001 versicherte Personen:
Anteilige Anwendung der Rentenberechnung nach altem und nach neuem Recht für die Beitragszeit.
Invalidenrente im Rahmen der besonderen Schutzregelung bei Invalidität : Der Rentenprozentsatz beträgt 3% für jedes Beitragsjahr.
14 Rentenzahlungen pro Jahr: Weihnachts- und Urlaubsgeld in Höhe der für den entsprechenden Monat gezahlten Leistung.
Die Höhe der Invalidenrente richtet sich nach der beitragspflichtigen Berufstätigkeit und dem aus der beitragspflichtigen Berufstätigkeit erzielten Einkommen, wird monatlich gezahlt und ist nicht von einer Bedürftigkeitsprüfung abhängig.
Die Invalidenrente (nur eine Leistung) kann nur mit der Erhöhung für einen unterhaltsberechtigten Ehepartner, dem Hinterbliebenenzuschlag, der Hinterbliebenenrente und Renten aus freiwilligen oder obligatorischen ausländischen oder nationalen Systemen kumuliert werden, die den entsprechenden Betrag nicht beeinträchtigen.</t>
  </si>
  <si>
    <t>Mindestbetrag der Invalidenrente: 30% des durchschnittlichen Monatseinkommens (siehe „Berechnungsmethode bzw. Rentenformel“). Auf keinen Fall kann die Rente unter folgenden Minima liegen:
Relative Invalidität und besondere Schutzregelung bei Invalidität:
Der monatliche Mindestbetrag ist an den Indexwert für soziale Unterstützungen (indexante dos apoios sociais = € 522,50) gemäß den Sätzen entsprechend den Beitragsjahren gebunden:
   * Minimum für Rentner mit mehr als 15 Beitragsjahren: € 331,79.
   * Minimum für Rentner mit 15 bis 20 Beitragsjahren: € 348,05.
   * Minimum für Rentner mit 21 bis 30 Beitragsjahren: € 384,07.
   * Minimum für Rentner mit mehr als 30 Beitragsjahren: € 480,08.
Absolute Invalidität:
Der monatliche Mindestbetrag entspricht dem Mindestbetrag einer Rente wegen relativer Invalidität und der Altersrente bei einer Beitragsdauer von 40 Jahren.
Keine Obergrenze.</t>
  </si>
  <si>
    <t>Relative Invalidität:
Kumulierung bis zu folgenden Grenzen möglich:
   * 100% des Referenzlohns der Leistungsberechnung, falls das Entgelt auf einer Tätigkeit beruht, die der Empfänger zu Beginn der Invalidität ausübte;
   * regressive variable Werte je nach Anzahl der Versicherungsjahre zwischen dem 2- und dem 1,33fachen des Referenzlohns, wenn das Entgelt auf anderen Aktivitäten beruht.
Absolute Invalidität:
Keine Kumulierung zulässig.</t>
  </si>
  <si>
    <t>Versicherte ab dem Alter von 60 Jahren, die die Mindestversicherungszeit erfüllt haben und eine Beitragsperiode von 40 Jahren und mehr aufweisen, haben Anspruch auf eine vorzeitige Rente (System der Flexibilisierung).
Erst nach vorheriger Annahme der ihm mitgeteilten Rentenhöhe wird dem Begünstigten die vorzeitige Rente bewilligt.
Vorzeitge Rente bei langen Beitragszeiten:
wenn der Leistungsempfänger mindestens 60 Jahre alt ist und eine Beitragszeit von mindestens:
   * 48 Kalenderjahren mit entgeltbezogenen Leistungen, die in die Rentenberechnung einfließen, belegen kann; oder
   * 46 Kalenderjahren mit entgeltbezogenen Leistungen, die in die Rentenberechnung einfließen, belegen kann und vor dem 17. Lebensjahr Beiträge in das allgemeine Sozialversicherungssystem oder in die Allgemeine Rentenkasse einzahlt.
Arbeitslose: Vorzeitige Rente ab 62 Jahren, sofern sie zu Beginn der Arbeitslosigkeit mindestens 57 Jahre alt waren und die erforderliche Beitragszeit für die Gewährung der Altersrente (15 aufeinanderfolgende oder nicht aufeinanderfolgende Kalenderjahre mit gemeldeten Vergütungen) erfüllt haben. Tritt die Arbeitslosigkeit im Alter von 52 oder mehr Jahren ein und sind 22 Kalenderjahre Versicherungszeit erfüllt, ist eine Verrentung ab 57 Jahren möglich.
Bei schwerer oder gefährlicher Arbeit: in der Regel ab 55,1 Jahren (gilt nur für gesetzlich vorgesehene Berufe).
Ab 55 Jahren im Rahmen besonderer konjunktureller Maßnahmen zum Schutz von Aktivitäten oder Unternehmen.
Menschen mit Behinderungen können die vorzeitige Altersrente in Anspruch nehmen, wenn sie mindestens 60 Jahre alt sind, einen Grad der Behinderung von 80% oder mehr haben und mindestens 15 Jahre lang eine beitragspflichtige Laufbahn mit einem Behinderungsgrad von mindestens 80% aufweisen. Die vorzeitige Altersrente ist nicht an die Entwicklung der Lebenserwartung gekoppelt.</t>
  </si>
  <si>
    <t>Die Höhe der zu beziehenden Rente richtet sich nach:
   * Anzahl der Versicherungsjahre.
   * Durchschnittlicher Monatsverdienst im gesamten Beitragszeitraum.
   * Alter der antragstellenden Person.
   * Der Nachhaltigkeitsfaktor (Abschlag auf vorzeitige Renten, die sich aus dem Verhältnis zwischen der mittleren Lebenserwartung im Jahr 2000 und der im Jahr vor dem Rentenantrag ermittelten Lebenserwartung ergeben) wird nur bei der Berechnung der vorzeitigen Rente verwendet.</t>
  </si>
  <si>
    <t>Monatlicher Betrag der Altersrente (pensão de velhice):
Seit dem 01.01.2002 versicherte Personen:
Der monatliche Rentenbetrag ergibt sich aus dem Produkt des Referenzeinkommens mit dem Rentenprozentsatz, der von der Versicherungsdauer abhängt:
   * bis zu 20 Versicherungsjahre: Rente = 2% x J x RE
J = Anzahl der Versicherungsjahre.
RE = Referenzeinkommen.
   * mehr als 20 Versicherungsjahre: variable degressive Sätze von 2,3% bis 2% für Teilbeträge des Referenzeinkommens (an die Entwicklung des Indexwerts für soziale Unterstützungen IAS (indexante dos apoios sociais = € 522,50) gebunden), zwischen dem 1,1-Fachen und dem 8-Fachen dieses Wertes.
Vor dem 31.12.2001 versicherte Personen:
Monatlicher Betrag bestimmt durch die anteilige Rentenberechnung nach altem Recht und nach neuem Recht für die Beitragszeit.
 Im Fall einer vorzeitigen Rente wird der Nachhaltigkeitsfaktor angewendet, außer im Rahmen des Flexibilisierungssystems, bei langen Beitragszeiten und bei gewährten vorzeitigen Renten aufgrund von gefährlicher oder beschwerlicher Arbeit.
Zusätzliche Zahlungen erfolgen in den Monaten Juli und Dezember - Jährlich erfolgen 14 Zahlungen. Das Urlaubs- und Weihnachtsgeld entspricht jeweils dem Betrag des entsprechenden Monats.</t>
  </si>
  <si>
    <t>Es liegt keine konkrete Definition für schwere oder ungesunde Berufe vor, aber gesetzlich sind Sonderbedingungen für den Anspruch auf Altersrente für Personen vorgesehen, die einen besonders schweren oder ungesunden Beruf ausgeübt haben:
   * Bergbauarbeiter und Arbeiter der Bergbauindustrie (Förderung und Verarbeitung von Grundstein) - Anspruch auf Rente im gesetzlich geregelten Alter (66 Jahre und 7 Monate im Jahr 2025), Kürzung um ein Jahr pro 2 Jahre effektiver Erwerbstätigkeit bis zu einer Obergrenze von 50 Jahren (die unter außergewöhnlichen Umständen um bis zu 5 Jahre gekürzt werden kann) und Erhöhung um 2,2% für jeden Zeitraum von 2 Jahren der Erwerbstätigkeit bis zu einer Obergrenze von 80%);
   * Seeleute - ab 55 Jahren, wenn sie mindestens 15 Jahre als Seemann erwerbstätig waren (273 Arbeitstage gelten als ein effektives Arbeitsjahr).
   * Hochseefischer - ab 55 Jahren, wenn 15 Beitragsjahre und mindestens 30 Erwerbsjahre vorliegen (150 Arbeitstage gelten als ein Jahr).
Ab 50 Jahren (Rente für vorzeitigen körperlichen Verschleiß): bei mindestens 40 Erwerbsjahren (273 Tage gelten als ein effektives Arbeitsjahr).
   * Fluglotsen - 60 Jahre bei mindestens 22 Erwerbsjahren in operativen Funktionen;
   * Tänzer (klassisches und zeitgenössisches Ballett) - 45 Jahre bei 20 Jahren Halbtagstätigkeit oder 55 Jahre bei 10 Jahren Vollzeittätigkeit;
   * Stickerinnen auf Madeira - 60 Jahre im Fall von 15 Beitragsjahren.</t>
  </si>
  <si>
    <t>30% des durchschnittlichen Monatseinkommens (siehe „Berechnungsmethode bzw. Rentenformel“). Der Betrag darf jedoch bestimmte gesetzliche monatliche Mindestwerte nicht unterschreiten, die an den Indexwert für soziale Unterstützungen IAS (indexante dos apoios sociais) = € 522,50 gekoppelt sind. Dabei gelten je nach Beitragsdauer folgende Prozentsätze:
   * Minimum für Rentner mit mehr als 15 Beitragsjahren:€ 331,79.
   * Minimum für Rentner mit 15 bis 20 Beitragsjahren: € 348,05.
   * Minimum für Rentner mit 21 bis 30 Beitragsjahren: € 384,07.
   * Minimum für Rentner mit mehr als 30 Beitragsjahren: € 480,08.
Sonderzulage für die Mindestrente ((complemento extraordinário para pensões de mínimos de velhice): für Rentner mit einer Mindestrente, die ab dem 1. Januar 2019 oder zwischen dem 1. Januar 2017 und dem 31. Dezember 2018 gezahlt wird und deren Gesamtbetrag 1,5xIAS (€ 783,75) oder weniger beträgt.
Rentner des allgemeinen Systems mit Rentenbezug ab 2017, 2018 oder nach 2019: Monatliche Leistung in Höhe von € 5,68 bis € 23,18, je nach dem Jahr des Renteneintritts (2017, 2018 oder ab 2019) und der Dauer der beitragspflichtigen Erwerbstätigkeit.</t>
  </si>
  <si>
    <t>Berechnung nach der allgemeinen Formel. Der Betrag wird durch die Anwendung eines Reduktionsfaktors (1 - x) gesenkt.
x = Reduktionsfaktor, entsprechend dem Produkt aus dem monatlichen Betrag von 0,5% und der Anzahl der Monate der vorzeitigen Renten.
Berücksichtigt werden die vollen Monate des vorzeitigen Rentenbeginns zwischen dem Rentenantragsdatum und dem geltenden regulären Renteneintrittsalter. Die Reduktion gilt dauerhaft.
Falls die Beitragsdauer des Leistungsempfängers zum Zeitpunkt des Antrags auf vorzeitige Rente mehr als 40 Jahre beträgt, wird die Anzahl der Monate des vorzeitigen Rentenbeginns, die für die Bestimmung des Reduktionsfaktors für die Rente zu berücksichtigen ist, um 4 Monate für jedes Jahr über 40 Jahre verringert.
Keine Reduktion findet Anwendung, wenn der Leistungsempfänger 60 Jahre alt ist und mindestens Folgendes geleistet hat:
   * 48 Kalenderjahren mit entgeltbezogenen Leistungen, die in die Rentenberechnung einfließen, belegen kann; oder
   * 46 Kalenderjahren mit entgeltbezogenen Leistungen, die in die Rentenberechnung einfließen, belegen kann und vor dem 17. Lebensjahr Beiträge in das allgemeine Sozialversicherungssystem oder in die Allgemeine Rentenkasse einzahlt.
Die Kürzung des Rentenbetrags entfällt für Arbeitslose, die die Rente ab dem Alter von 62 Jahren beantragen und für solche vorzeitige Renten, die aufgrund belastender oder gefährlicher Tätigkeiten gewährt werden sowie für Menschen mit Behinderungen, die die vorzeitige Rente ab dem 60. Lebensjahr beantragen.</t>
  </si>
  <si>
    <t>Die folgenden Personen haben Anspruch auf die Hinterbliebenenleistungen (Männer und Frauen):
   * Hinterbliebener Ehepartner,
   * geschiedener oder getrennt lebender Ehepartner,
   * hinterbliebener Lebenspartner,
   * Kinder, einschließlich ungeborener Kinder und voll adoptierter Kinder sowie Stiefkinder (bei Unterhaltspflicht des verstorbenen Leistungsempfängers)
   * vom verstorbenen Versicherten unterhaltene Eltern.</t>
  </si>
  <si>
    <t>Bedingungen für den Anspruch auf die Leistung:
   * Bestand der Ehe seit mindestens einem Jahr, außer, wenn Kinder vorhanden sind oder eine Schwangerschaft vorliegt oder wenn der Tod durch Unfall verursacht war.
   * Alter von mindestens 35 Jahren (sonst Beschränkung des Rentenanspruchs auf 5 Jahre), außer, wenn Kinder mit Anspruch auf Hinterbliebenenrente vorhanden sind oder dauernde Arbeitsunfähigkeit vorliegt.
Gleiche Bedingungen für Männer und Frauen.</t>
  </si>
  <si>
    <t>Der Monatsbetrag beläuft sich auf 60% der Alters- oder Invalidenrente, die der Versicherte erhielt oder auf die er zum Zeitpunkt seines Todes Anspruch gehabt hätte. 70% dieser Renten, wenn - neben dem Ehe- oder Lebenspartner - ein rentenberechtigter früherer Ehepartner des Verstorbenen existiert.
Jährlich erfolgen 14 Zahlungen. Das Urlaubs- und Weihnachtsgeld entspricht jeweils dem Betrag des entsprechenden Monats.
Keine bedürftigkeitsabhängigen Leistungen.
Die Höhe der Hinterbliebenenrente kann für ehemalige Ehepartner, oder im Fall von Scheidung oder Aufhebung der Ehe, die Höhe der empfangenen Unterhaltszahlung zum Zeitpunkt des Todes der versicherten Person nicht überschreiten.
Die Rente wird gewährt :
   *            für 5 Jahre, wenn die berechtigte Person unter 35 Jahre alt ist, mit möglicher Verlängerung, wenn Nachkommen eine Hinterbliebenenrente beziehen, und zwar bis zum Ende dieses Anspruchs.
   *            ohne zeitliche Begrenzung, wenn die berechtigte Person mindestens 35 Jahre alt ist oder dauerhaft vollständig erwerbsunfähig ist.</t>
  </si>
  <si>
    <t>Die Hinterbliebenenrente kann kumuliert werden mit :
   * Renten, die aus beitragsabhängigen Sozialversicherungssystemen oder anderen Systemen der sozialen Absicherung, insbesondere im Ausland, gezahlt werden;
   * Nicht beitragsabhängigen Altersrenten oder mit Invaliden-, Alters- oder Hinterbliebenenrente von Systemen, die dem nicht beitragsabhängigen System weitgehend entsprechen, bis zu einem Mindestbetrag, der für die Invaliden- und Altersrente des allgemeinen Sozialversicherungssystems garantiert wird. Wird dieser Betrag überschritten, wird die im Rahmen des nicht beitragsabhängigen Systems gezahlte Rente entsprechend gekürzt.
Wird eine Hinterbliebenenrente des allgemeinen Systems mit einer im Rahmen der Absicherung gegen Arbeitsunfälle und Berufskrankheiten gezahlten Rente kumuliert, so wird die Hinterbliebenenrente des allgemeinen Systems nur entsprechend dem Betrag angepasst, der den Betrag der Rente im Bereich des Schutzes gegen Berufskrankheiten übersteigt.</t>
  </si>
  <si>
    <t xml:space="preserve">Invalidität:
Teilweiser Verlust der Arbeitsfähigkeit aufgrund von:a) Arbeitsunfällen und Berufskrankheiten;b) anderen Krankheiten und Unfällen ohne Bezug zur Erwerbstätigkeit.
In Bezug auf den Grad der Verminderung der Arbeitsfähigkeit wird Invalidität in drei Kategorien unterteilt:
   * Kategorie I: schwere Funktionsbeeinträchtigung und vollständiger Verlust der Fähigkeit zur Selbstversorgung;
   * Kategorie II: erhebliche Funktionsbeeinträchtigung bei teilweise erhaltener Fähigkeit zur Selbstversorgung;
   * Kategorie III: leichte Funktionsbeeinträchtigung und erhaltene Fähigkeit zur Selbstversorgung.
</t>
  </si>
  <si>
    <t xml:space="preserve">Gesetzlicher Versicherungsschutz auf Grundlage des Personalstatuts für Bürger mit Wohnsitz oder Aufenthalt in Rumänien (oder ohne Wohnsitz oder Aufenthalt in Rumänien entsprechend den gesetzlich bindenden internationalen Regelungen).
Pflichtsystem:
   * Personen, die Tätigkeiten auf der Grundlage eines individuellen Beschäftigungsvertrags ausführen;
   * Beamte;
   * Sonstige Kategorien, für die Sozialversicherungsbeiträge gemäß dem Steuergesetz anfallen (z.B. Arbeitslose, die Arbeitslosengeld beziehen);
   * Selbstständige, falls ihr monatliches durchschnittliches Nettoeinkommen dem Mindestbruttolohn entspricht oder ihn überschreitet, d. h. RON 4.050 (€797) überschreitet.
</t>
  </si>
  <si>
    <t>Folgende Personen sind von der Zahlung von Sozialabgaben befreit:
   * Arbeitnehmer und Selbstständige, die anderen Sozialversicherungssystemen angehören (z. B. Soldaten, Rechtanwälte, Geistliche und anderes religiöses Personal);
   * Selbstständige im Ruhestand*;
   * Selbstständige, falls ihr monatliches durchschnittliches Nettoeinkommen (abzüglich Sozialversicherungsbeiträge) unter dem Mindestbruttolohn liegt, d. h. RON 4.050 (€797).
* Die Kategorie „Selbstständige im Ruhestand“ bezieht sich auf Personen, die nach ihrer Pensionierung weiterhin selbstständige Tätigkeiten ausüben. Personen mit Rentnerstatus sind gemäß Artikel 150 Absatz 1 des rumänischen Steuergesetzbuchs nicht verpflichtet, Sozialversicherungsbeiträge auf Einkünfte aus selbstständiger Tätigkeit und geistigen Eigentumsrechten zu zahlen.</t>
  </si>
  <si>
    <t>Hauptkriterium: Verminderte Arbeitsfähigkeit. Es gibt keine Mindestangabe in Prozent oder einen bestimmten Grad von verminderter Arbeitsfähigkeit für die Anspruchsberechtigung auf Invaliditätsleistung.
Im rumänischen System zur Feststellung der Arbeitsfähigkeit wird der Schweregrad der Funktionsbeeinträchtigung von einem medizinischen Sachverständigen der Sozialversicherung anhand einer fünfstufigen Skala bewertet, die von keiner Beeinträchtigung bis zu schwerer Beeinträchtigung reicht. Die Invalidität wird dann in drei Kategorien eingeteilt, basierend auf der Fähigkeit der Person, berufliche und tägliche Aktivitäten auszuführen:
   * Kategorie I: schwere Funktionsbeeinträchtigung und vollständiger Verlust der Fähigkeit zur Selbstversorgung;
   * Kategorie II: erhebliche Funktionsbeeinträchtigung bei teilweise erhaltener Fähigkeit zur Selbstversorgung;
   * Kategorie III: leichte Funktionsbeeinträchtigung und erhaltene Fähigkeit zur Selbstversorgung.</t>
  </si>
  <si>
    <t>Invalidenrente (pensie de invaliditate) wird gewährt:
   * ab dem Tag der Beendigung der Leistung für Arbeitsunfähigkeit (Concediu medical şi indemnizaţie pentru incapacitate tem-porară de muncă), d. h. generell 183 Kalendertage nach der Verletzung;
   * oder ab dem Tag, ab dem die Person nicht mehr über das Rentensystem versichert ist;
   * ab dem Tag der Ausstellung der medizinischen Entscheidung (sofern der Antrag innerhalb von 30 Tagen nach der medizinischen Entscheidung eingereicht wird);
   * oder ab dem Tag des Antragseingangs (sofern der Antrag 30 Tage nach der medizinischen Entscheidung eingereicht wird).
Es gibt keine ausdrücklichen gesetzlichen Bestimmungen zum Mindestalter für den Bezug. Durch das Arbeitsgesetzbuch (Codul Muncii), das ein Mindestalter von 15 Jahren für die Erwerbstätigkeit vorschreibt, wird jedoch ein effektives Mindestalter vorgegeben.
Für bestimmte, gesetzlich besonders festgelegte Personengruppen im gesetzlichen Rentenalter oder im reduzierten Ruhestandsalter wird die Invalidenrente von Amts wegen in eine Altersrente umgewandelt und der Bezieher der Invalidenrente kann sich zwischen Invalidenrente und Altersrente oder Altersrente mit reduziertem Ruhestandsalter (pensie pentru limita de varsta cu reducerea varstelor standard de pensionare) entscheiden.
Keine Frührente speziell im Fall von verringerter Arbeitsfähigkeit. Ist eine Person jedoch sowohl auf eine vorgezogene Ruhestandsrente (pensie anticipata) als auch auf eine Invalidenrente (pensie de invaliditate) anspruchsberechtigt, kann sie sich entscheiden, welche der beiden Leistungen sie empfangen möchte.</t>
  </si>
  <si>
    <t>Empfänger einer Invalidenrente (pensie de invaliditate) müssen sich bis zum gesetzlichen Renteneintrittsalter abhängig von ihrer Behinderung oder Erkrankung in Abständen von ein bis drei Jahren einer medizinischen Untersuchung unterziehen.
Ausnahme:
   * Empfänger einer Invalidenrente bei unheilbarem Zustand,
   * Empfänger einer Invalidenrente, die sich bis zu 5 Jahre unterhalb des gesetzlichen Renteneintrittsalters befinden und den vollständigen beitragsabhängigen Versicherungszeitraum abgeschlossen haben.
Die Nichteinhaltung dieser Verpflichtung führt zur Einstellung oder Beendigung der Invalidenrente.
Eine Person mit Invalidenrente ist berechtigt, medizinische Untersuchungen zu beantragen.
Der Facharzt der Sozialversicherung stellt fest, ob die Einstufung beibehalten wird, eine Neueinstufung erfolgt oder ganz aufgehoben wird.</t>
  </si>
  <si>
    <t>Folgende beitragsfreie Zeiträume werden angerechnet:
   * Zeiten des Bezugs befristeter Leistungen seit dem 1. Januar 2005: z.B. Geldleistung bei vorübergehender Arbeitsunfähigkeit (indemnizatie pentru incapacitate temporara de munca) aufgrund eines Arbeitsunfalls oder Berufskrankheit usw.;
   * Zeiten des Bezugs befristeter Leistungen seit dem 1. Januar 2006: z.B. Erziehungsurlaub und -Leistungen (concediu și indemnizatie pentru cresterea copilului);
   * Zeiten eines mit einem Diplom, Bachelor, Master oder Doktortitel abgeschlossenen Vollzeit-Universitätsstudiums;
   * Wehrdienst oder Zeiträume, in denen der Betroffene einberufen oder dienstverpflichtet war oder sich in Kriegsgefangenschaft befand.
Sie werden bei der Berechnung des zahlbaren Betrags berücksichtigt.</t>
  </si>
  <si>
    <t>Mehrsäulensystem:
   * Erste Säule: mit Beiträgen von Arbeitnehmern und Selbstständigen finanziertes obligatorisches, beitragsorientiertes Sozialversicherungssystem auf Umlagebasis mit entgeltbezogenen, von der Höhe der Beiträge und der Versicherungsdauer abhängigen Leistungen; Berechnungsmethode basiert auf Punktesystem.
   * Zweite Säule: mit Beiträgen von Arbeitnehmern (und gleichgestellten Gruppen), die nach dem 1. Juli 1971 geboren sind, vollständig finanziertes, obligatorisches, kapitalgedecktes Sozialversicherungssystem mit beitragsabhängigen Leistungen.
   * Dritte Säule: beitragsfinanziertes, freiwilliges, vollständig kapitalgedecktes Sozialversicherungssystem.
   * Vierte Säule: betriebliche Altersversorgung, finanziert von Arbeitgebern und/oder durch Arbeitnehmerbeiträge (freiwilliges System).
Die 3. Säule und 4. Säule werden in den MISSOC-Tabellen nicht dargestellt.
Sozialbeihilfe für Rentner (indemnizatie sociala pentru pensionari): beitragsunabhängige Mindestleistung, zahlbar an Personen im Ruhestand, wenn der Betrag der bezogenen Leistung unter der monatlichen Schwelle von RON 1.281 (€252) liegt.</t>
  </si>
  <si>
    <t>Erste Säule:
Gesetzlicher Versicherungsschutz auf Grundlage des Personalstatuts von Bürgern mit Wohnsitz oder Aufenthalt in Rumänien (oder ohne Wohnsitz oder Aufenthalt in Rumänien entsprechend den gesetzlich bindenden internationalen Regelungen).
Pflichtsystem:
   * Personen, die Tätigkeiten auf der Grundlage eines individuellen Beschäftigungsvertrags ausführen;
   * Beamte;
   * Sonstige Kategorien, für die Sozialversicherungsbeiträge gemäß dem Steuergesetz anfallen;
   * Personen, die monatliche Zahlungen aus dem Etat der Arbeitslosenversicherung erhalten;
   * Selbstständige, falls ihr monatliches durchschnittliches Nettoeinkommen dem Mindestbruttolohn entspricht oder ihn überschreitet, d. h. RON 4.050 (€797), überschreitet;
   * Anbieter haushaltsnaher Dienstleistungen (d.h. natürliche Person, die in einem oder mehreren Haushalten Haushaltstätigkeiten erledigen kann gegen Vergütung, die ausschließlich in Form von Gutscheinen für Haushaltsaktivitäten gewährt werden darf).
Freiwilliges System:
   * Mitglieder des Systems, die nicht im allgemeinen Rentensystem integriert sind (Rechtsanwälte, Mitarbeiter in religiösen Gruppen);
   * Personen, die sich versichern wollen oder ihr versichertes Einkommen erhöhen wollen.
Zweite Säule:
Obligatorisch für Arbeitnehmer und Selbstständige, die in der ersten Säule versichert und nach dem 1. Juli 1971 geboren sind. Freiwillige Mitgliedschaft möglich für Personen, die zwischen dem 1. Juli 1961 und dem 1. Juli 1971 geboren sind.</t>
  </si>
  <si>
    <t xml:space="preserve">Erste Säule:
   * Arbeitnehmer und Selbstständige, die anderen Sozialversicherungssystemen angehören (z. B. Soldaten, Rechtanwälte, Personal religiöser Gemeinschaften).
   * Selbstständige im Ruhestand.
   * Selbstständige, falls ihr monatliches durchschnittliches Nettoeinkommen (abzüglich Sozialversicherungsbeiträge) unter dem Mindestbruttolohn liegt, d. h. RON 4.050 (€797).
Zweite Säule:
   * Personen, die vom Versicherungsschutz der ersten Säule ausgenommen sind.
   * Arbeitnehmer im Bausektor, der Landwirtschaft und Lebensmittelindustrie.
</t>
  </si>
  <si>
    <t>Erste Säule:
Altersrente mit reduziertem Ruhestandsalter (pensie pentru limita de varsta cu reducerea varstelor standard de pensionare):
Das Regelpensionsalter wird herabgesetzt für:
   * Personen, die unter besonderen, schwierigen oder anderen bestimmten Bedingungen arbeiteten,
   * Personen, die während der Arbeitsunfähigkeit Beiträge in das Rentensystem gezahlt haben,
   * Personen, die von dem ab dem 6. März 1945 herrschenden Regime aus politischen Gründen verfolgt, deportiert oder als Kriegsgefangene inhaftiert wurden,
   * Erblindete Personen,
   * Personen, die den vollständigen beitragsabhängigen Versicherungszeitraum um mindestens 5 Jahre überschreiten,
   * Frauen, die den vollständigen beitragsabhängigen Versicherungszeitraum erfüllt haben und die Kinder geboren und bis zum Alter von 16 Jahren großgezogen haben,
   * andere, gesetzlich besonders festgelegte Personengruppen.
Vorgezogene Ruhestandsrente (pensie anticipata):
Bewilligt bis zu 5 Jahre vor dem gesetzlichen Renteneintrittsalter für Personen, die den vollständigen beitragsabhängigen Versicherungszeitraum um höchstens 5 Jahre überschreiten.
Vollständiger beitragsabhängiger Versicherungszeitraum:
Männer: 35 Jahre
Frauen: 33 Jahre, bis 1. Januar 2030 stufenweise angehoben auf 35 Jahre.
Zweite Säule:
Altersrente mit reduziertem Ruhestandsalter (pensie pentru limita de varsta cu reducerea varstelor standard de pensionare) aus dem Umlagesystem (erste Säule) wird Personen mit ausreichendem persönlichem Pensionsvermögen gewährt.</t>
  </si>
  <si>
    <t>Erste Säule:
Personen, die den vollständigen beitragsabhängigen Versicherungszeitraum geleistet haben, haben Anspruch auf Altersrente mit reduziertem Ruhestandsalter, wenn sie Mindestversicherungszeiten geleistet haben in:
   * besonderen und schwierigen Arbeitsbedingungen;
   * den früheren Arbeitsgruppen I und II, welche bis 1. April 2011 existierten.
Die maximale Reduzierung des Rentenalters ist für Personen, die unter schwierigen Bedingungen oder im Rahmen der früheren Arbeitsgruppe II gearbeitet haben, auf 7 Jahre und für Personen, die unter besonderen Bedingungen oder unter der früheren Arbeitsgruppe I gearbeitet haben, auf 10 Jahre begrenzt. Besondere Befreiungen gelten jedoch für bestimmte Arbeitsstätten, die als Arbeitsstätten mit besonderen Bedingungen eingestuft sind und an denen das Rentenalter um 11, 13, 18 oder sogar 20 Jahre gesenkt werden kann, sofern die gesetzlich vorgeschriebenen Beitragszeiten erfüllt wurden.
Als Arbeitsplätze mit besonderen Bedingungen sind diejenigen definiert, an denen der Belastungsgrad mit Berufsrisiken oder Bedingungen, die spezifisch für bestimmte Bereiche des öffentlichen Dienstes sind, für die Gesamtdauer der normalen Arbeitszeit langfristig zu Berufskrankheiten oder gefährlichem Arbeitsverhalten führen können mit ernsten Konsequenzen für Sicherheit und Gesundheit von Versicherten bei der Arbeit.
Als Arbeitsplätze mit schwierigen Bedingungen werden diejenigen definiert, an denen der Belastungsgrad mit Berufsrisiken oder Bedingungen, die spezifisch für bestimmte Bereiche des öffentlichen Dienstes sind, für mindestens 50% der normalen Arbeitszeit langfristig zu Berufskrankheiten oder gefährlichem Arbeitsverhalten führen können mit ernsten Konsequenzen für Sicherheit und Gesundheit von Versicherten bei der Arbeit.
Zweite Säule:
Keine formale Anerkennung von Arbeitnehmern in beschwerlichen und gefährlichen Berufen.</t>
  </si>
  <si>
    <t>Erste Säule:
Für den Anspruch auf Altersrente (pensie pentru limita de varsta) und Altersrente mit reduziertem Ruhestandsalter (pensie pentru limita de varsta cu reducerea varstelor standard de pensionare) werden folgende beitragsunabhängige Anrechnungszeiten berücksichtigt:
   * Zeiträume, in denen nach dem 1. Januar 2006 Erziehungsurlaub und -Leistungen (concediu și indemnizatie pentru cresterea copilului) bezogen werden;
   * Zeiten der Arbeitslosigkeit nach dem 1. April 2001, in denen Personen Arbeitslosengeld bezogen haben.
Folgende beitragsfreie Zeiträume werden bei der Berechnung der zu zahlenden Altersrente (pensie pentru limita de varsta) und Altersrente mit reduziertem Ruhestandsalter (pensie pentru limita de varsta cu reducerea varstelor standard de pensionare) berücksichtigt:
   * Zeiten des Bezugs befristeter Leistungen seit dem 1. Januar 2005: d. h Geldleistung bei vorübergehender Arbeitsunfähigkeit (indemnizatie pentru incapacitate temporara de munca) aufgrund eines Arbeitsunfalls oder einer Berufskrankheit;
   *  Zeiten des Bezugs befristeter Leistungen seit dem 1. Januar 2006 für Erziehungsurlaub und -Leistungen (concediu și indemnizatie pentru cresterea copilului), gewährt für das Aufziehen eines Kindes bis 2 Jahre oder, bei Kindern mit Behinderung, bis 3 Jahre;
   * Zeiten der Arbeitslosigkeit nach dem 1. April 2001, während denen Leistungen bei Arbeitslosigkeit bezogen wurden;
   * Zeiten eines mit einem Diplom, Bachelor-, Master- oder Doktortitel abgeschlossenen Vollzeit-Universitätsstudiums;
   * Wehrdienst oder Zeiträume, in denen der Betroffene einberufen oder dienstverpflichtet war oder sich in Kriegsgefangenschaft befand.
Zweite Säule:
Nicht anwendbar.</t>
  </si>
  <si>
    <t>Erste Säule:
Nachkauf von Versicherungszeiten ist möglich (sowohl für den Anspruch auf Altersrente als auch für die Berechnung des Betrags) für Personen, die einen Versicherungsvertrag abschließen. Nur Versicherungszeiten, die dem normalen Rentenalter vorausgehen, können rückwirkend gekauft werden mit einer Höchstdauer von 6 Jahren vor der Unterzeichnung des Vertrags.
Für den Nachkauf von Beiträgen müssen verschiedene Bedingungen erfüllt sein. Die Person:
   *  war zum Zeitpunkt des Abschlusses des Sozialversicherungsvertrags kein Rentner;
   * hatte während des Zeitraums, für den die Versicherung beantragt wurde, keinen Beitragszeitraum oder einen dem Beitragszeitraum gleichgestellten Zeitraum im staatlichen Rentensystem oder in einem darin integrierten Sozialversicherungssystem abgeschlossen;
   * unterlag während des Zeitraums, für den die Versicherung beantragt wurde, keiner Versicherungspflicht im staatlichen Rentensystem.
Zweite Säule:
Nachkauf von Versicherungszeiten ist nicht möglich.</t>
  </si>
  <si>
    <t>Erste Säule:
Kumulation mit Erwerbseinkommen:
   * Rentner mit einer Altersrente (pensie pentru limita de varsta) und Altersrente mit reduziertem Ruhestandsalter (pensie pentru limita de varsta cu reducerea varstelor standard de pensionare): Kumulation möglich. Der Betrag der Altersrenten wird nicht gekürzt.
   * Rentner mit einer vorgezogenen Ruhestandsrente (pensie anticipata): Kumulation nicht möglich.
Kumulation mit Einkommen aus Selbstständigkeit:
   * Rentner mit einer Altersrente, Altersrente mit reduziertem Ruhestandsalter und vorgezogene Ruhestandsrente: Kumulation möglich.
Die Neuberechnung der Rente ist einmal jährlich möglich, basierend auf der Altersrentenformel unter Aktualisierung der Gesamtzahl der Punkte.
Zweite Säule:
Kumulation mit Erwerbseinkommen möglich. Keine Kürzung des Leistungsbetrags.</t>
  </si>
  <si>
    <t>Gesetzlicher Versicherungsschutz auf Grundlage des Personalstatuts für Bürger mit Wohnsitz oder Aufenthalt in Rumänien (oder ohne Wohnsitz oder Aufenthalt in Rumänien entsprechend den gesetzlich bindenden internationalen Regelungen).
Pflichtsystem:
   * Personen, die Tätigkeiten auf der Grundlage eines individuellen Beschäftigungsvertrags ausführen;
   * Beamte;
   * Sonstige Kategorien, für die Sozialversicherungsbeiträge gemäß dem Steuergesetz anfallen (z.B. Arbeitslose, die Arbeitslosengeld beziehen);
   * Selbstständige, falls ihr monatliches durchschnittliches Nettoeinkommen dem Mindestbruttolohn entspricht oder ihn überschreitet, d. h. RON 4.050 (€797)
   * Anbieter haushaltsnaher Dienstleistungen.</t>
  </si>
  <si>
    <t>Altersbedingungen:
Gesetzliches Renteneintrittsalter und Ehedauer von mindestens 15 Jahren (10 Jahre mit Abzug vom Betrag der Hinterbliebenenrente).
Altersunabhängige Bedingungen:
   * die Ehe muss mindestens 1 Jahr bestanden haben und eine Invalidität der Kategorien I oder II vorliegen oder
   * das Bruttoeinkommen liegt unter dem Mindestbruttolohn, d. h. RON 4.050 (€797) monatlich, und Betreuung eines Kindes unter 7 Jahren.
Erfüllt der Hinterbliebene Ehegatte die oben genannten Bedingungen nicht, hat er dennoch Anspruch auf eine Hinterbliebenenrente (pensie de urmas) für einen begrenzten Zeitraum (6 Monate nach dem Tod des unterhaltsverpflichteten Ehegatten), wenn in diesem Zeitraum das Einkommen unterhalb des Mindestbruttolohns, d. h. RON 4.050 (€797) monatlich liegt.
Es gibt bezüglich der Bedingungen und der angewandten Berechnungsformel keine Geschlechtsunterschiede zwischen Hinterbliebenen Ehepartnern.</t>
  </si>
  <si>
    <t>Kumulation mit Erwerbseinkommen:
   * Hinterbliebener Ehepartner: Kumulation erlaubt, wenn das Bruttoeinkommen unterhalb des Mindestbruttolohns, d. h. RON 4.050 (€797) monatlich, liegt;
   * Vollwaisen: Kumulation erlaubt.
Der Leistungsbetrag wird nicht gekürzt.</t>
  </si>
  <si>
    <t>Obligatorisches öffentliches System mit einkommensbezogenen Leistungen, finanziert durch Beiträge der Arbeitnehmer und Selbstständigen, im Fall von Arbeitsunfähigkeit, und steuerfinanzierten Leistungen für alle Einwohner zur Deckung von besonderen Bedarfe.
Krankheitsausgleich (sjukersättning) oder Aktivitätsausgleich (aktivitetsersättning) kann Personen mit vollständiger oder teilweiser Reduktion der Arbeitsfähigkeit gewährt werden.
Sie bestehen aus zwei Teilen:
   * dem aus Beiträgen der Arbeitnehmer und Selbstständigen finanzierten Einkommensbezogenen Aktivitäts-/Krankheitsausgleich (inkomstrelaterad sjukersättning/aktivitetsersättning);
   * dem steuerfinanzierten Krankheits- und Aktivitätsausgleich in der Form des Garantierten Ausgleichs (garantiersättning), der eine Form grundlegenden Schutzes für Einwohner ohne oder mit nur geringem einkommensbezogenen Ausgleich darstellt.
Kein spezifisches System. Es gilt das allgemeine System der Mindestsicherung (siehe Tabelle XI).</t>
  </si>
  <si>
    <t>Einkommensbezogener Krankheits-/Aktivitätsausgleich (inkomstrelaterad sjukersättning/aktivitetsersättning): Mindestens 1 Jahr mit einem rentenfähigen Einkommen in einer Rahmenperiode unmittelbar vor dem Jahr des Eintritts der Arbeitsunfähigkeit, deren Dauer vom Alter des Berechtigten bei Eintritt der Invalidität abhängt:
   * 5 Jahre bei einem Alter von 53 oder mehr Jahren;
   * 6 Jahre bei einem Alter zwischen 50 und 52 Jahren;
   * 7 Jahre bei einem Alter zwischen 47 und 49 Jahren;
   * 8 Jahre bei einem Alter bis zu 46 Jahren.
Garantierter Ausgleich (garanti-ersättning): Mindestens 3 Jahre Wohnsitz in Schweden.</t>
  </si>
  <si>
    <t>Aktivitätsausgleich (aktivitetsersättning): Während Zeiten der Minderung der Erwerbsfähigkeit ab Vollendung des 19. Lebensjahres bis zum Alter von 29 Jahren. Die Leistung wird immer für einen begrenzten Zeitraum gewährt (maximal 3 Jahre).
Krankheitsausgleich (sjukersättning): Während Zeiten der Minderung der Erwerbsfähigkeit ab Vollendung des 19. Lebensjahres bis zum Alter von 65 Jahren. Die Leistung wird unbegrenzt gewährt, sofern die Arbeitsunfähigkeit:
   * dauerhaft und vollständig für Personen im Alter von 19 bis 29 Jahren ist;
   * dauerhaft, vollständig oder teilweise gemindert für Personen im Alter von 30 bis 65 Jahren ist.
Bei Vollendung des 66. Lebensjahres wird die Leistung durch die Altersrente abgelöst.
Der Anspruch auf den Aktivitätsausgleich und den Krankheitsausgleich ist nicht von dem vorhergehenden Bezug von Krankengeld abhängig.
Aktivitätsausgleich und Krankheitsausgleich können rückwirkend bis zu drei Monate vor der Anfrage für die Leistung gewährt werden.</t>
  </si>
  <si>
    <t>Einkommensbezogener Krankheits-/Aktivitätsausgleich (inkomstrelaterad sjukersättning/aktivitetsersättning):
Die Leistung wird dem Grad der Erwerbsminderung entsprechend in vier Stufen gezahlt. Bei vollständiger Erwerbsunfähigkeit beträgt die Leistung 64,7% des angenommenen zukünftigen Einkommens der Person bis zu einer Grenze von SEK 441.000 (€40.091).
Das Einkommen wird nach dem Durchschnitt der drei höchsten Brutto-Jahreseinkommen innerhalb einer Rahmenperiode, die unmittelbar dem Jahr des Eintritts der Invalidität vorausgeht; berechnet. Diese Rahmenperiode beträgt:
   * 5 Jahre bei einem Alter von 53 oder mehr Jahren;
   * 6 Jahre bei einem Alter zwischen 50 und 52 Jahren;
   * 7 Jahre bei einem Alter zwischen 47 und 49 Jahren;
   * 8 Jahre bei einem Alter bis höchstens 46 Jahre.
Garantierte Vergütung (garantiersättning):
Für all diejenigen, die einen geringen oder keinen einkommensbezogenen Kranheits-/Aktivitätsausgleich beziehen. Erforderlich sind 40 Jahre Wohnsitz. Für jedes fehlende Jahr wird der Betrag um 1/40 gekürzt.
Bei einer Erwerbsunfähigkeit von 100% wird der volle Krankheits-/Aktivitätsausgleich in Form der Garantierten Vergütung (sjukersättning/aktivitetsersättning I form av garantiersättning) gezahlt.
Die monatlichen Beträge sind:
   * unter 21 Jahren Wohnsitz: SEK 12.152 (€1.105)
   * 21 - 23 Jahre: SEK 12.397 (€1.127)
   * 23 - 25 Jahre: SEK 12.642 (€1.149)
   * 25 - 27 Jahre: SEK 12.887 (€1.172)
   * 27 - 29 Jahre: SEK 13.132 (€1.194)
   * 29 - 30 Jahre: SEK 13.377 (€1.216)
   * Ab 30 Jahren: SEK 13.622 (€1.238)
Die Höhe der Garantierten Vergütung wird gekürzt, wenn sie mit dem einkommensbezogenen Krankheits-/Aktivitätsausgleich kumuliert wird und wird je nach Grad der Erwerbsminderung in vier Stufen gezahlt.
Keine zusätzlichen Zahlungen.</t>
  </si>
  <si>
    <t>Pflegebeihilfe (assistansersättning):
Wohnsitzgebundene Leistung an behinderte Personen mit schweren funktionellen Störungen bis zum Alter von 66 Jahren, die mehr als 20 Stunden pro Woche persönliche Unterstützung zur Befriedigung der Grundbedürfnisse benötigen. Hilfe von bis zu 20 Stunden pro Woche wird von den Gemeinden zur Verfügung gestellt und finanziert.
Wenn eine Pflegebeihilfe vor dem Alter von 66 Jahren bewilligt wurde, kann die Leistung ab dem Alter von 66 Jahren gezahlt werden. Der reguläre Betrag beläuft sich auf SEK 342,60 (€31) pro Stunde und der erhöhte Betrag beläuft sich auf SEK 383.71 (€35) pro Stunde.
Beihilfe zur Deckung von Mehrkosten (merkostnadsersättning):
Wohnsitzgebunden und zahlbar sowohl an Kinder als auch an Erwachsene, die aufgrund von Behinderungen zusätzliche Kosten haben. Wenn die Invalidität vor dem 66. Lebensjahr eingetreten ist, kann die Leistung auch nach dem 66. Lebensjahr gewährt werden. Der Höchstbetrag ist 70% des Grundbetrages (prisbasbelopp), d.h. SEK 3.430 (€312) monatlich (im Jahr 2025). Die Beihilfe hat die Behindertenbeihilfe (handikappersättning) ersetzt.
Behindertenbeihilfe (handikappersättning):
Wohnsitzgebundene Leistung an behinderte Personen ab dem Alter von 19 Jahren, die Unterstützung bei täglichen Tätigkeiten benötigen oder zusätzliche Aufwendungen aufgrund von Behinderungen zu tragen haben. Wenn die Behinderung vor dem 65. Lebensjahr eintrat, kann die Leistung nach dem 65. Lebensjahr weiter gewährt werden. Der Höchstbetrag ist 69% des Grundbetrages (prisbasbelopp), d.h. SEK 3.381 (€307) pro Monat (im Jahr 2025). Seit 1. Januar 2019 kann die Leistung nicht mehr beantragt werden, aber diejenigen Personen, denen die Beihilfe bereits bewilligt wurde, beziehen diese weiterhin.
Betreuungsgeld für Kinder mit Behinderungen (omvårdnadsbidrag):
Wohnsitzgebunden und zahlbar an einen Elternteil, der ein Kind betreut, das aufgrund einer Behinderung bis zum Alter von 19 Jahren der besonderen Aufsicht und Betreuung bedarf. Eltern, die diese Leistung beziehen, haben das Recht, ihre Arbeitszeit auf 75% zu reduzieren. Der Höchstbetrag ist 250% des Grundbetrages (prisbasbelopp), d.h. SEK 12.250 (€1.114) im Monat. Die Beihilfe hat die Pflegebeihilfe für behinderte Kinder (vårdbidrag) ersetzt.
Pflegebeihilfe für behinderte Kinder (vårdbidrag):
Wohnsitzgebunden und zahlbar an einen Elternteil, der ein Kind unter 19 Jahren pflegt, das besondere Betreuung und Pflege aufgrund einer Behinderung benötigt. Der Höchstbetrag ist 250% des Grundbetrages (prisbasbelopp), also SEK 12.250 (€1.114) im Monat. Seit dem 1. Januar 2019 kann die Pflegebeihilfe für behinderte Kinder nicht mehr beantragt werden; deswegen können nur Personen, denen die Beihilfe bereits bewilligt wurde, diese weiterhin beziehen.
Kraftfahrzeugbeihilfe für Personen mit Behinderung (bilstöd):
Wohnsitzgebunden und zahlbar an Personen im Alter von 18–66 Jahren, die aufgrund einer dauerhaften Behinderung keine öffentlichen Verkehrsmittel benutzen können und an ein Elternteil, das ein Kind mit einer solchen Behinderung betreut. Zweck der Beihilfe ist, die Anschaffung oder Anpassung eines Kraftfahrzeugs zur persönlichen Verwendung zu ermöglichen. Der Grundbetrag beläuft sich auf SEK 30.000 (€2.727) für die Anschaffung eines Pkws, SEK 12.000 (€1.091) für die Anschaffung eines Motorrads und SEK 3.000 (€273) für die Anschaffung eines Mopeds. Ein zusätzlicher Betrag bis zu maximal SEK 40.000 (€3.636) ist einkommensabhängig. Zusätzliche Kosten für Anpassungen des Fahrzeugs oder den Kauf eines speziell angefertigten Fahrzeugs aufgrund besonderer Bedürfnisse einer Person werden auch gedeckt.
Wohnzulage (bostadstillägg):
Wohnsitzgebundene Leistung, die an Personen ausgezahlt wird, die Krankheits- oder Aktivitätsentschädigung erhalten. Sie beläuft sich auf:
   * einen Höchstbetrag von SEK 6.550 (€595) pro Monat für alleinstehende Personen in einem Singlehaushalt. Sie entspricht 96% der Wohnkosten bis zu SEK 5.000 (€455) pro Monat und 70% der Wohnkosten ab SEK 5.001 (€455) bis SEK 7.500 (€682) pro Monat.
   * einen Höchstbetrag von SEK 3.275 (€298) pro Monat für verheiratete Paare oder Lebenspartner. Sie entspricht 96% der Wohnkosten bis zu SEK 2.500 (€227) und 70% der Wohnkosten von SEK 2.501 (€227) bis SEK 3.750 (€341).
Die Wohnzulage unterliegt einer Einkommensprüfung.</t>
  </si>
  <si>
    <t>Pflichtsystem, das aus zwei Teilen besteht:
   * versicherungsabhängig (einkommensbezogene Ausgleichszahlungen im Fall von Krankheit und Erwerbsunfähigkeit, Inkomstrelaterad sjukersättning/aktivitetsersättning)
   * und wohnsitzabhängig (garantiertes Ersatzeinkommen, Garantiersättning) für alle Gebietsansässigen mit geringem oder ohne Einkommen in Verbindung mit Ausgleichszahlungen im Fall von Krankheit und Erwerbsunfähigkeit.</t>
  </si>
  <si>
    <t>Das Altersrentensystem (allmän ålderspension) ist ein universelles Pflichtsystem, das aus verschiedenen Teilen besteht:
   * Die einkommensabhängige Altersrente umfasst die entgeltbezogene Altersrente (inkomstpension) und die Prämienrente (premiepension). Die entgeltbezogene Altersrente ist ein beitragsorientiertes System mit Nennbeträgen (NDC), und die Prämienrente ist ein vollständig kapitalgedecktes Rentensystem mit beitragsorientierten Beiträgen, die in individuelle Konten (DC) eingezahlt wird.
   * Personen, die vor 1954 geboren wurden, erhalten ihre volle Rente oder Teile davon in Form einer einkommensabhängigen Zusatzrente (tilläggspension), bei der es sich um ein  leistungsorientiertes System handelt, das durch Beiträge auf einer Umlagebasis finanziert wird (DB);
   * eine steuerfinanzierte Garantierente (garantipension), welche festgelegte Leistungen für alle Einwohner ohne oder nur mit einer niedrigen entgeltbezogenen Altersrente bereitstellt. Die Garantierente ist eine Mindestleistung.
   * die steuerfinanzierte Ergänzung zur Einkommensrente (inkomstpensionstillägg) ist eine Ergänzung zur Einkommensrente für Personen, die eine vollständige Erwerbsbiographie hatten, aber noch eine geringe Einkommensrente beziehen.
Es gibt berufliche und private Alterssysteme. Nähere Informationen dazu werden nicht in den MISSOC-Tabellen dargestellt.
Ältere Menschen können grundlegende Unterstützung in Form einer Einkommenshilfe für Ältere (äldreförsörjningsstöd) und einer Garantierente (garantipension) erhalten.
Kein spezifisches System für ältere Menschen. Es gilt das allgemeine System der Mindestsicherung (siehe Tabelle XI).</t>
  </si>
  <si>
    <t>Abgesehen vom Alter beruht der Anspruch auf eine Altersrente auf den folgenden Mindestversicherungszeiten:
   * keine für die entgeltbezogene Altersrente (inkomstpension) und die Prämienrente (premiepension);
   * drei Jahre mit rentenfähigem Einkommen* für die entgeltbezogene Zusatzrente (tilläggspension) für Personen, die vor 1954 geboren wurden;
   * mindestens 3 Jahre Wohnsitz in Schweden für die Garantierente (garantipension);
   * ein Jahr Bezug eines rentenfähigen Einkommens* für die Ergänzung zur Einkommensrente (inkomstpensionstillägg).
Es gibt kein Konzept einer vollständigen Laufbahn oder vollständigen Versicherungszeiten für die entgeltbezogene Altersrente (inkomstpension) und Prämienrente (premiepension), es existiert jedoch wie folgt für:
   * entgeltbezogene Zusatzrente (tilläggspension): 30 mit Jahre mit rentenfähigem Einkommen für eine volle Rente für Personen, die vor 1954 geboren wurden;
   * Garantierente (garantipension): 40 Jahre Wohnsitz in Schweden für eine volle Rente;
   * Ergänzung zur Einkommensrente (inkomstpensionstillägg):
   * Zwischen 30 und 40 Jahren mit einem rentenfähigen Einkommen* je nach Geburtsjahr;
   * Ein Mindesteinkommen von 42,3% des Grundbetrags jährlich (welches sich im Jahr 2025 auf SEK 24.872 (€2.261) beläuft) oder mehr.
*Rentenfähiges Einkommen umfasst Erwerbseinkommen und Einkommen aus bestimmten anderen Sozialversicherungssystemen wie z.B. Entschädigung für Einkommensverlust aufgrund von Krankheit, Arbeitslosigkeit oder Elternurlaub.</t>
  </si>
  <si>
    <t xml:space="preserve">Entgeltbezogene Altersrente, Einkommensrente (inkomstpension):
   * Einkünfte während des gesamten Erwerbslebens;
   * Alter bei Beginn des Ruhestands;
   * Lebenserwartung der Alterskohorte;
   * Entwicklung von Wirtschaft/Einkommen.
Kapitalgedeckte Prämienrente (premiepension):
   * Allgemeine Versicherungsprinzipien und die Wertentwicklung des gewählten Fonds;
   * Einkünfte während des gesamten Erwerbslebens (Beginn im Jahr 1995);
   * Alter bei Beginn des Ruhestands;
   * Lebenserwartung der Alterskohorte.
Entgeltbezogene Zusatzrente (tilläggspension) (altes System):
   * Anzahl der Jahre mit rentenfähigem Einkommen in Schweden (bis zu 30 Jahre);
   * Einkommenshöhe;
   * Alter bei Beginn des Ruhestands;
   * Einkommensentwicklung für Personen über 65 Jahre.
Garantierente (garantipension):
   * Dauer des Wohnsitzes in Schweden (maximal 40 Jahre);
   * Höhe der entgeltbezogenen Renten;
   * Familienstand.
Ergänzung zur Einkommensrente (inkomstpensionstillägg):
   * Anzahl der Jahre rentenfähigen Einkommens in Schweden (die Höchstzahl der Jahre ist abhängig vom Geburtsjahr);
   * Betrag der einkommensbezogenen Renten.
</t>
  </si>
  <si>
    <t>Entgeltbezogene Altersrente, Einkommensrente (inkomstpension):
Erworbene Anwartschaftsrechte werden jährlich an die Entwicklung der durchschnittlichen Löhne angepasst.
Die Rentenhöhe ergibt sich aus der Division der Anwartschaftsrechte durch einen Annuitätsfaktor, der von der Lebenserwartung der Alterskohorte, dem individuellen Rentenzugangsalter und einem erwarteten Anstieg der Löhne abhängt.
Der erwartete Anstieg der Durchschnittslöhne beträgt 1,6%. Wird die Einkommensrente zum ersten Mal berechnet, gelten 1,6%. Dieser Satz wird von den nächsten jährlichen Anpassungen abgezogen. Die Zahlungsfrequenz ist monatlich (12 mal/Jahr).
Entgeltbezogene Zusatzrente (tilläggspension):
   * 60% x Grundbetrag x Durchschnittsrentenpunkt x Anzahl der Jahre mit Rentenpunkten und
   * 78,5 oder 96% x Grundbetrag x Anzahl der Jahre mit Rentenpunkten.
Die Entscheidung über das rentenfähige Einkommen liegt bei den Steuerbehörden. Ausgangspunkt ist die Steuererklärung der betroffenen Person. Das Einkommen der einzelnen Einkommensjahre wird in einen Rentenpunkt umgewandelt. Nur die 15 ertragsstärksten Jahre werden in die Berechnung des Durchschnittsrentenpunktes mit einbezogen, es werden jedoch 30 rentenfähige Einkommen benötigt, um eine volle Zusatzrente zu beziehen. Die Zahlungsfrequenz ist monatlich. Der Familienstand einer Person bestimmt den Prozentsatz von Punkt 2 in der Formel: 78,5% bei verheirateten Personenund 96% bei alleinstehenden Personen. Die Zahlungsfrequenz ist monatlich (12 mal/Jahr).
Prämienrente (premiepension):
Es gelten die üblichen Versicherungsprinzipien. Es ist ausschließlich lebenslange Rentenzahlung möglich. Auch diese Renten werden mit einem Annuitätsfaktor, der die verbleibende Lebenserwartung widerspiegelt, berechnet. Beim Eintritt in den Ruhestand besteht die Wahl, das Rentenkapital bei dem Fonds zu belassen und eine Rente zu erhalten, die unter Berücksichtigung der Wertentwicklung des Fonds jährlich neu berechnet wird, oder das Kapital in eine herkömmliche Lebensversicherung einzuzahlen, die bis zum Tode eine festen monatlichen Betrag garantiert. Die Zahlungsfrequenz ist monatlich (12 mal/Jahr).
Garantierente (garantipension):
Eine volle Rente nach 40 Jahren Wohnsitz in Schweden für eine unverheiratete Person, die nach 1938 geboren wurde, beläuft sich 2025 auf das 2,43-Fache des Grundbetrages (prisbasbelopp), d. h. SEK 142.884 (€12.989). Eine volle Rente für eine verheiratete Person beläuft sich 2025 auf das 2,2-Fache Grundbetrages, d h. SEK 129.360 (€11.760). Für jedes fehlende Jahr wird der Betrag um 1/40 gekürzt. Die Garantierente wird ferner proportional zur Höhe der entgeltbezogenen Rente gekürzt. Die Zahlungsfrequenz ist monatlich (12 mal/Jahr). Diese Rente wird als Mindestleistung berechnet.
Ergänzung zur Einkommensrente (inkomstpensionstillägg): wird gezahlt, wenn mindestens ein Jahr rentenfähiges Einkommen in Schweden bezogen wurde und zudem folgende Voraussetzungen erfüllt sind:
   * 30 Jahre rentenfähiges Einkommen für Personen, die im Jahr 1937 oder früher geboren wurden;
   * 35 Jahre rentenfähiges Einkommen für Personen, die 1938-1944 geboren wurden;
   * 40 Jahre rentenfähiges Einkommen für Personen, die im Jahr 1945 oder später geboren wurden.
Der Betrag der Ergänzung basiert auf den entgeltbezogenen Renten, d.h. wenn diese im Jahr 2025 zwischen:
   * SEK 119.674 (€10.879) und SEK 146.268 (€13.297) jährlich betragen, liegt die Ergänzung zwischen SEK 300 (€27) und SEK 6.900 (€627) jährlich;
   * SEK 146.269 (€13.297) und 186.159 (€16.924) jährlich betragen, liegt die Ergänzung bei SEK 7.200 (€655) jährlich;
   * SEK 186.160 (€16.924) und SEK 226.050 (€20.550) jährlich betragen, stuft sich die Ergänzung ab von SEK 6,900 (€627) auf SEK 300 (€27) jährlich.
Für jedes Jahr rentenfähigen Einkommens, das zur oben genannten Anzahl von Jahren fehlt, reduziert sich der Betrag um 1/40, 1/35 oder 1/30.
Staatliche Renten (Einkommensrente, Prämienrente, Zusatzrente, Garantierente und Ergänzung zur Einkommensrente) können auch in Teilen gewährt werden – zu 3/4, ½ oder als ¼ einer vollen (1/1) Rente.</t>
  </si>
  <si>
    <t xml:space="preserve">Die einbezogenen, nicht beitragspflichtigen Zeiten sind:
   * Kindererziehung gilt für das Elternteil, das am wenigsten verdient während der ersten vier Lebensjahre des Kindes oder der ersten vier Jahre der Adoption, aber nicht über das 10. Lebensjahr des Kindes hinaus).
   * Studium für Universitätsstudenten oder Berufsschüler, die Studienförderung der schwedischen Zentralstelle für Studienförderung (CSN) erhalten (oder Studenten über 20 Jahre, die die Pflichtstufe oder die obere Sekundarstufe der Volkshochschule besuchen).
   * Bezug anspruchsberechtigender Einkünfte von Beziehern des einkommensbezogenen Aktivitäts-/ Krankheitsausgleichs (aktivitets-/sjukersättning). Für die angeführten Zeiten ist ein Beitrag zu entrichten, wobei der Staat jeweils den Differenzbetrag bis zu einem Sa tz von 18,5% zahlt.
   * Militärdienst oder andere Pflichtdienste. Die Person muss an mindestens 120 aufeinanderfolgenden Tagen gedient haben um Rentenansprüche zu erwerben.
</t>
  </si>
  <si>
    <t>Wohnzulage (bostadstillägg): Die Obergrenze ist beläuft sich auf SEK 7.500 (€682) pro Monat für alleinstehende Leistungsempfänger und SEK 3.750 (€341) für verheiratete Leistungsempfänger. Somit werden die Wohnkosten wie folgt erstattet:
   * 100% bis zu SEK 3.000 (€273)
   * 90% zwischen SEK 3.001(€273) und SEK 5.000 (€455)
   * 70% zwischen SEK 5.001 (€455) und SEK 7.000 (€636)
   * 50% zwischen SEK 7.001 (€636) und SEK 7.500 (€682).
Für verheiratete Leistungsempfänger gilt nur die Hälfte für jede Stufe der oben dargestellten Wohnkosten bis SEK 3.750 (€341), während die Prozentsätze gleich bleiben.
Zusätzlich werden SEK 840 (€76) pro Monat für alleinstehende Leistungsempfänger zu den Wohnkosten hinzugefügt und SEK 420 (€38) für verheiratete Leistungsempfänger.
Die Zulage unterliegt einer Einkommensprüfung.
Einkommenshilfe für ältere Menschen (äldreförsörjningsstöd): umfasst eine Unterstützung für Wohnkosten bis SEK 7.500 (€682) monatlich für alleinstehende Leistungsempfänger und SEK 3.750 (€341) für Verheiratete. Hilfe für weitere Unterhaltskosten bis SEK 7.525 (€684) monatlich für alleinstehende Leistungsempfänger und SEK 6.053 (€550) für Verheiratete. Die Leistung unterliegt einer Bedürftigkeitsprüfung.</t>
  </si>
  <si>
    <t>Pflichtsystem, das aus zwei Teilen besteht:
   * versicherungsgebunden zur Erbringung von einkommensbezogenen Anpassungsrenten für Erwachsene und Kinder auf der Grundlage der Rentenansprüche der verstorbenen Person;
   * steuer- und wohnsitzgebunden zur Erbringung einer Garantierente (Garantipension).</t>
  </si>
  <si>
    <t>Das System für Hinterbliebene beruht auf:
   * Arbeitsgebundene Leistungen, zu denen die  Anpassungsrente (omställningspension),  die   Kinderrente (barnpension) und die Witwenrente (änkepension) gehören. Sie richten sich nach dem Rentenanspruch des Verstorbenen und werden über Sozialversicherungsbeiträge finanziert.
   * wohnsitzgebundene Leistungen, zu denen die garantierte Anpassungsrente (garantipension till omställningspension), die garantierte Witwenrente (garantipension till änkepension) und  die Waisenbeihilfe (garantipension till efterlevandestöd) gehören. Sie finanzieren sich über Steuern.
In bestimmten Fällen kann eine Person sowohl arbeitsgebundene als auch wohnsitzgebundene Leistungen beziehen. Letztere werden bezogen, wenn das Arbeitsgeld gering ist oder wenn nur die Person nicht für die arbeitsgebundenen Leistungen versichert ist.</t>
  </si>
  <si>
    <t>Einen Anspruch auf Hinterbliebenenleistungen haben:
   * Hinterbliebene Ehegatten;
   * eingetragene Partner (des gleichen oder anderen Geschlechts);
Kinder (einschließlich Adoptivkinder).</t>
  </si>
  <si>
    <t>Anpassungsrente (omställningspension):
Anpassungesrente wird für 12 Monate gezahlt, kann aber um 12 zusätzliche Monate verlängert werden oder bis das jüngste Kind 12 Jahre alt wird.
Der hinterbliebene Ehegatte muss:
   * unter 66 Jahre alt sein und:
   * zum Zeitpunkt als der/die Ehepartner/in starb mit einem Kind unter 18 zusammenleben, oder
   * mit dem/der Verstorbenen mindestens 5 Jahre ununterbrochen zusammengelebt haben.
Witwenrente (änkepension):
Witwenrente kann an eine Hinterbliebene ausgezahlt werden (die am 31. Dezember 1989 und zum Todeszeitpunkt mit dem Verstorbenen verheiratet war).</t>
  </si>
  <si>
    <t>Hinterbliebene Ehepartner und Lebenspartner haben Anspruch auf folgende Leistungen:
   * Entgeltbezogene Anpassungsrente (omställningspension): 55% der Rentenbasis der verstorbenen Person;
   * Garantierte Anpassungsrente (garantipension till omställningspension): der 2.13-fache  Grundbetrag (prisbasbelopp) pro Jahr, der proportional zur Erhöhung der einkommensabhängigen Rentenanpassung gekürzt wird.
Die Anpassungsrente wird für einen Zeitraum von 12 Monaten gewährt, jedoch so lange aufrecht erhalten, wie der hinterbliebene Ehegatte mit einem unterhaltsberechtigten Kind unter 12 Jahren zusammenlebt. Wenn das Kind über 12 und unter 18 Jahren alt ist, kann die Anpassungsrente um 12 zusätzliche Monate verlängert werden, d.h. verlängerte Anpassungsrente (förlängd omställningspension).
Witwenrente (änkepension): Die Witwe hat Anspruch auf 40% der vom verstorbenen Ehemann erworbenen jährlichen Zusatzrente. Für die Leistung gibt es keine zeitliche Begrenzung (sie wird zu Lebzeiten der Witwe ausgezahlt). Je nach Alter der Witwe wird die Witwenrente jedoch mit der Anpassungsrente oder mit der eigenen Altersrente der Witwe bis zu einer gewissen Höhe angepasst. Überschreitet die Witwenrente einen bestimmten Schwellenwert nicht, wird sie nicht ausbezahlt.
Eine Witwe, die das 66. Lebensjahr noch nicht vollendet hat, kann auch Anspruch auf eine Grundrentenzulage (folkpensionstillägg)  haben, die dem Teil der Witwenrente entspricht, der vor dem 1. Januar 2003 als Grundrente gezahlt wurde.</t>
  </si>
  <si>
    <t>Wohnzulage (bostadstillägg):
Wohnsitzgebundene Leistung für Personen mit geringer oder ohne Rente. Kann auch an Hinterbliebene mit Witwenrente (änkepension) gezahlt werden. Die Leistung unterliegt einer Bedürftigkeitsprüfung.
Für das Jahr 2025 liegt die Obergrenze für die Wohnzulage bei SEK 7.290 (€663) pro Monat für Alleinstehende und SEK 3.645 (€331) monatlich für Verheiratete oder zusammenlebende Personen.
Bei der Berechnung des Leistungsbetrags werden folgende monatliche Wohnkosten für Alleinstehende berücksichtigt:
   * 100% bis zu SEK 3.000 (€273),
   * 90% zwischen SEK 3.001 (€273) und SEK 5.000 (€455),
   * 70% zwischen SEK 5.001 (€455) und SEK 7.000 (€636);
   * 50% zwischen SEK 7.001 (€636) und SEK 7.500 (€682).
   * Zusätzlich SEK 840 (€76) pro Monat für alleinstehende Leistungsempfänger.
Für verheiratete Leistungsempfänger gilt die Hälfte des Betrags.
Einkommenshilfe für ältere Menschen (äldreförsörjningsstöd): Hilfe Wohnsitzgebundene Leistung für Personen, die eine geringe oder gar keine Rente haben. Sie kann auch an Hinterbliebene mit Witwenrente (änkepension) gezahlt werden. Der Leistung unterliegt einer Bedürftigkeitsprüfung.
Für alleinstehende Personen  gelten SEK 7.525 (€684) pro Monat als angemessener Lebensstandard. Angemessene Wohnkosten von bis zu SEK 7.500 (€681) pro Monat können eingerechnet werden.
Für Verheiratete, zusammen lebende Personen oder Menschen in eingetragenen Partnerschaften gelten SEK 6.053 (€550) pro Monat (im Jahr 2025) als angemessener Lebensstandard. Angemessene Wohnkosten von bis zu SEK 3.750 (€341) pro Monat können eingerechnet werden.
Für Verheiratete wird das Einkommen mit dem des Partners kombiniert. Ihr Gesamteinkommen wird dann durch zwei geteilt.</t>
  </si>
  <si>
    <t>Es gibt folgende Mindestleistungen:
   * Waisenbeihilfe (efterlevandestöd till barn): SEK 1.960 (€178) pro Monat im Jahr 2025.
   * Garantierte Anpassungsrente (garantipension till omställningspension): 2,13 Grundbeträge (Grundstufe), d. h. SEK 10.437 (€949) pro Monat im Jahr 2025.  Um Anspruch auf eine volle garantierte Anpassungsrente zu haben, müssen dem Verstorbenen 40 Versicherungsjahre angerechnet werden. Wenn es weniger als 40 Jahre sind, wird der Basiswert für jedes fehlende Jahr um ein Vierzigstel reduziert.
   * Garantierte Witwenrente (garantipension till änkepension): Wenn dem Verstorbenen 30 Jahre Rentenpunkte bis 1989 gutgeschrieben werden, wird die garantierte Witwenrente auf der Grundlage eines Grundbetrags von 2,15 Euro berechnet, was SEK 10.535 (€958) pro Monat im Jahr 2025 entspricht. Der Grundbetrag wird um einen Betrag gekürzt, der 100% der Witwenrente oder Anpassungsrente entspricht, soweit er 1,49 Grundbeträge nicht übersteigt. Übersteigt die Witwenrente oder Anpassungsrente 1,49 Grundbeträge, so wird die Garantierente zusätzlich um 40% des Teils der Witwenrente oder Anpassungsrente gekürzt, der 1,49 Grundbeträge übersteigt.</t>
  </si>
  <si>
    <t>Pflichtsystem, das aus zwei Teilen besteht:
   * versicherungsgebunden zur Erbringung von einkommensbezogenen Anpassungsrenten für Erwachsene und Kinder auf der Grundlage der Rentenansprüche der verstorbenen Person;
   * steuer- und wohnsitzgebunden zur Erbringung einer Garantierente.</t>
  </si>
  <si>
    <t>1. Säule (Grundsystem):
   * Jede Person, die in der Schweiz Wohnsitz hat oder hier eine Erwerbstätigkeit ausübt.
   * Unter bestimmten Bedingungen, freiwillige Versicherung für Schweizer Bürger und Staatsangehörige der Mitgliedstaaten der EU oder der EFTA, die ausserhalb der Schweiz, der EU oder der EFTA leben.
2. Säule (obligatorische Mindestvorsorge):
   * Arbeitnehmer über 24 Jahren, die in der 1. Säule versichert sind und vom gleichen Arbeitgeber einen Lohn von mehr als CHF22.680 (€24.233) erhalten.
   * Freiwillige Versicherung für gewisse nicht obligatorisch unterstellte Arbeitnehmer sowie Selbstständigerwerbende.</t>
  </si>
  <si>
    <t>1. Säule (Grundsystem):
Insbesondere:
   * Bei Doppelbelastung (gleichzeitige ausländische Versicherung).
   * Selbstständigerwerbende und Arbeitnehmer nicht beitragspflichtiger Arbeitgeber, welche die Voraussetzungen der obligatorischen Versicherung nur für eine verhältnismäßig kurze Zeit erfüllen.
2. Säule (obligatorische Mindestvorsorge):
Insbesondere:
   * Arbeitnehmer, deren Arbeitgeber der Beitragspflicht in der 1. Säule nicht unterliegt.
   * Arbeitnehmer mit einem befristeten Arbeitsvertrag von höchstens 3 Monaten.
   * Personen, die zu mindestens 70% invalid sind.
   * Gewisse Familienmitglieder des Leiters eines Landwirtschaftsbetriebes, die in diesem Betrieb arbeiten.
   * Bei Doppelbelastung (gleichzeitige ausländische Versicherung).</t>
  </si>
  <si>
    <t>1. Säule (Grundsystem):
Das durchschnittliche Jahreseinkommen setzt sich zusammen aus:
   * den aufgewerteten Erwerbseinkommen (die Beiträge der nichterwerbstätigen Personen werden als Erwerbseinkommen gewertet);
   * den Erziehungsgutschriften und den Betreuungsgutschriften (vgl. Tabelle VI „Alter“, „Leistungen, 4. Anrechenbare oder als Beitragszeiten gewertete Zeiträume).
Die Einkommen der Ehegatten während der Ehedauer werden zwischen den Ehegatten geteilt (Splitting),
   * wenn die beiden Gatten das Referenzalter (Rentenalter) erreicht haben und/oder Anspruch auf eine Invalidenrente haben;
   * wenn die Witwe oder der Witwer das Referenzalter (Rentenalter) erreicht haben oder Anspruch auf eine Invalidenrente haben;
   * oder im Falle einer Scheidung.
Die eingetragene Partnerschaft ist einer Ehe und die gerichtliche Auflösung der Partnerschaft einer Scheidung gleichgestellt.
2. Säule (obligatorische Mindestvorsorge):
Als versicherter Lohn (= koordinierter Lohn) gilt der Teil des Jahreslohnes zwischen CHF26.460 (€28.272) und CHF90.720 (€96.933). Minimaler koordinierter Lohn: CHF3.780 (€4.039).</t>
  </si>
  <si>
    <t>1. Säule (Grundsystem):
Insbesondere:
   * Bei Doppelbelastung (gleichzeitige ausländische Versicherung).
   * Selbstständigerwerbende und Arbeitnehmer nicht beitragspflichtiger Arbeitgeber, welche die Voraussetzungen der obligatorischen Versicherung nur für eine verhältnismäßig kurze Zeit erfüllen.
2. Säule (obligatorische Mindestvorsorge):
Insbesondere:
   * Arbeitnehmer, deren Arbeitgeber der Beitragspflicht in der 1. Säule nicht unterliegt.
   * Arbeitnehmer mit einem befristeten Arbeitsvertrag von höchstens 3 Monaten.
   * Personen, die zu mindestens 70% invalid sind.
   * Gewisse Familienmitglieder des Leiters eines Landwirtschaftsbetriebes, die in diesem Betrieb arbeiten.
Bei Doppelbelastung (gleichzeitige ausländische Versicherung).</t>
  </si>
  <si>
    <t>1. Säule (Grundsystem):
   * Hinterbliebener Ehegatte: Witwen und Witwer mit Kindern; Witwen ohne Kinder, unter gewissen Voraussetzungen.
   * Geschiedener Ehegatte, unter gewissen Voraussetzungen.
   * Überlebender eingetragener Partner: dem Witwer gleichgestellt.
   * Kinder, einschließlich Pflegekinder, unter gewissen Voraussetzungen.
2. Säule (obligatorische Mindestvorsorge):
   * Hinterbliebener Ehegatte: Witwen und Witwer.
   * Geschiedener Ehegatte, unter gewissen Voraussetzungen.
   * Überlebender eingetragener Partner: dem Witwer gleichgestellt.
   * Kinder, einschließlich Pflegekinder, wenn der Verstorbene unterhaltspflichtig war.</t>
  </si>
  <si>
    <t>1. Säule (Grundsystem):
Ein Beitragsjahr.
2. Säule (obligatorische Mindestvorsorge):
   * Versicherungszugehörigkeit im Zeitpunkt des Todes oder bei Eintritt der Arbeitsunfähigkeit, deren Ursache zum Tod führte, oder
   * der Verstorbene erhielt im Zeitpunkt seines Todes eine Alters- oder Invalidenrente der Vorsorgeeinrichtung.</t>
  </si>
  <si>
    <t>1. Säule (Grundsystem):
Witwe:
   * ein oder mehrere Kinder oder
   * 45 Jahre und 5 Ehejahre.
Witwer: ein oder mehrere Kinder.
2. Säule (obligatorische Mindestvorsorge):
Hinterbliebener Ehegatte:
   * ein oder mehrere unterhaltsberechtigte Kinder oder
   * 45 Jahre und 5 Ehejahre.</t>
  </si>
  <si>
    <t>1. Säule (Grundsystem):
Eine geschiedene Person ist einer verwitweten gleichgestellt, wenn:
   * sie eines oder mehrere Kinder hat und die geschiedene Ehe mindestens 10 Jahre gedauert hat;
   * die geschiedene Ehe mindestens 10 Jahre gedauert hat und die Scheidung nach dem vollendeten 45. Altersjahr der geschiedenen Person erfolgte;
   * das jüngste Kind sein 18. Altersjahr vollendet hat, nachdem die geschiedene Person ihr  45. Altersjahr zurückgelegt hat.
Ist nicht mindestens eine dieser Voraussetzungen erfüllt, so besteht ein Rentenanspruch nur, wenn und solange die geschiedene Person Kinder unter 18 Jahren hat.
2. Säule (obligatorische Mindestvorsorge):
Die Ehe hat mindestens 10 Jahre gedauert und der geschiedene Ehegatte bezieht einen Unterhaltsbeitrag.</t>
  </si>
  <si>
    <t>1. Säule (Grundsystem):
   * Halbwaisen: 40% der dem maßgebenden durchschnittlichen Jahreseinkommen entsprechenden Altersrente.
   * Vollwaisen: zwei Waisenrenten. Sie werden gekürzt, wenn sie zusammen 60% der Höchstaltersrente übersteigen, nämlich CHF1.512 (€1.615) pro Monat.
2. Säule (obligatorische Mindestvorsorge):
   * Halbwaisen: 20% der ganzen Invalidenrente, auf die der Verstorbene Anspruch gehabt hätte oder, während dem Aufschub des Bezugs der Altersleistung, der Altersrente, auf welche die versicherte Person Anspruch gehabt hätte.
   * Vollwaisen: zwei Waisenrenten.
Keine Bedürftigkeitsprüfung.
Grundsätzlich monatliche Zahlung. Keine zusätzliche Zahlung.</t>
  </si>
  <si>
    <t>1. Säule (Grundsystem):
   * Außerordentliche Rente.
   * Ergänzungsleistungen zur 1. Säule (vgl. Tabelle XI „Mindestsicherung“).
2. Säule (obligatorische Mindestvorsorge):
   * Abfindung in Höhe von 3 Jahresrenten für den hinterbliebenen Ehegatten/Partner, welcher die Voraussetzungen für eine Rente nicht erfüllt.
   * Die Vorsorgeeinrichtung kann eine Kapitalleistung ausrichten, wenn die Rente des hinterbliebenen Ehegatten/Partners weniger als 6%, die Waisenrente weniger als 2% der Mindestrente der Alters- und Hinterlassenenversicherung AHV (1. Säule, Grundsystem) beträgt.</t>
  </si>
  <si>
    <t>1. Säule:
Pflichtmitgliedschaft für
   * Personen in einem Beschäftigungsverhältnis oder einem ähnlichen Verhältnis (zum Beispiel ein Arbeitsvertrag);
   * Selbstständige, deren Einkommen €8.580 im Jahr 2024 übersteigt (50% des nationalen Durchschnittslohns im Jahr 2023).
Die folgenden Personengruppen sind ebenfalls versichert:
   * Personen, die ein Kind unter 6 Jahren betreuen (oder 18 Jahren, wenn eine Behinderung vorliegt);
   * Bezieher eines Barzuschusses für Pflegeaufgaben;
   * Personen, die mindestens 140 Stunden persönliche Unterstützung pro Monat erhalten;
   * Soldaten in freiwilligem Militärdienst;
   * Bezieher einer Unfallrente zum Zweck der Alterssicherung;
   * gefährdete oder geschützte Zeugen;
   * ehemalige Bergarbeiter, die Ausgleichszahlung für Bergleute erhalten.
Freiwillige Versicherung für Personen über 16 Jahre mit ständigem oder zeitweiligem Wohnsitz.
2. Säule:
Automatische Teilnahme am Altersvorsorgesparen für Personen unter 40 Jahren (die ab 1. Mai 2023 Versicherungsbeiträge zahlen werden). Sparer haben die Möglichkeit, innerhalb von zwei Jahren ab dem ersten Eintritt aus der zweiten Säule auszutreten und das Recht, erneut beizutreten (allerdings nur einmal).</t>
  </si>
  <si>
    <t>Altersrente (Starobný dôchodok):
Das Rentenalter beruht auf Geburtsjahr, Geschlecht und Anzahl der aufgezogenen Kinder mit einem Höchstrentenalter von 64 für kinderlose Männer und Frauen.
Seit dem 1. Januar 2023 ist das Rentenalter für Personen, die im Jahr 1967 oder später geboren wurden, mit der durchschnittlichen Lebenserwartung verknüpft.
Für Frauen, die Kinder großgezogen haben (oder für Männer, die allein Kinder großgezogen haben), reduziert sich das Rentenalter um:
   * ein halbes Jahr für 1 Kind;
   * ein Jahr für 2 Kinder und;
   * anderthalb Jahre für 3 oder mehr Kinder.
Beispielsweise liegt das Rentenalter für Männer und Frauen ohne Kinder, die im März 1962 geboren wurden, am 1. Juli 2025 bei 63 Jahren und 4 Monaten.</t>
  </si>
  <si>
    <t>1. Säule:
Die folgenden Bedingungen müssen erfüllt sein, um Anspruch auf eine Vorgezogene Altersrente (Predčasný starobný dôchodok) zu haben:
   * eine Leistung beziehen, welche mehr als das 1,6-fache des Existenzminimums beträgt;
   * sich im Zeitraum der 2 Jahre vor Erreichen des Rentenalters befinden oder dieses erreicht haben oder die erforderliche Dauer der Erwerbsbiografie erreicht haben;
   * über die die erforderliche Erwerbszeit verfügen, die durch Abzug von 23 Jahren von dem für das Geburtsjahr der Person geltenden allgemeinen Rentenalter bestimmt wird;
   * nicht in einer regelmäßigen Beschäftigung arbeitstätig sein (mit beitragspflichtigem Einkommen von maximal €2.400 pro Jahr).
2. Säule:
Der Bezug einer vorgezogenen Rente ist möglich, wenn eine vorgezogene Rente der 1. Säule bezogen wird oder eine Mindesthöhe der Leistung aus beiden Säulen (das 1,6-fache des Existenzminimums) erreicht wurde.</t>
  </si>
  <si>
    <t>Folgende Zeiten werden vom Staat für den Rentenanspruch und die Berechnung des zahlbaren Betrags angerechnet:
   * Zeiten des Bezugs von Mutterschaftsgeld (Materské);
   * Zeiten von krankheitsbedingter Arbeitsunterbrechung sowie Zeiten des Bezugs von Pflegegeld für die Pflege eines kranken Angehörigen (Ošetrovné);
   * Zeiten der Betreuung von Kindern bis zum Alter von 6 Jahren;
   * Zeiten der Betreuung eines langfristig schwer behinderten Kindes bis zum Alter von 18 Jahren oder einer erwachsenen Person oder Zeiten der persönlichen Unterstützung (Osobná asistencia) für mindestens 140 Stunden monatlich);
   * Zeiten des Bezugs der Invailiditätsrente bis zum Erreichen des Ruhestandsalters oder bis zum Bezug der vorgezogenen Altersrente;
   * Zeiten des Bezugs der Unfallrente (Úrazovú rentu) oder
   * Zeiten des Bezugs früherer Bergleute von Ausgleichsbeitrag für Bergleute (Kompenzačný príspevok baníkom) oder
   * Zeiten der gefährdeten oder geschützten Zeugenschaft oder der freiwilligen militärischen Ausbildung.
Für Zeiten des Bezugs der Unfallrente (Úrazová renta) vor dem Ruhestandsalter oder vor dem Bezug von Frührente werden Beiträge von der Sozialversicherungsanstalt, (Sociálna poisťovňa) gezahlt.
Für Personen, die vor 2004 versichert waren, werden auch andere beitragsfreie Zeiten (wie z.B. Zeiten des Besuchs von Bildungseinrichtungen, Grundwehrdienst und Zeiten des Bezugs von Arbeitslosengeld) angerechnet.</t>
  </si>
  <si>
    <t>Die Mindestbeschäftigungszeit hängt vom Alter der Person bei Auftreten der Invalidität ab:
   * 30 Jahre und älter: Erwerbstätigkeit für mindestens 1/3 der Zeit zwischen dem 20. Geburtstag und dem Auftreten der Invalidität (nur volle Beschäftigungsjahre werden berücksichtigt);
   * zwischen 21 und 29 Jahren: Erwerbstätigkeit für mindestens 1/4 der Zeit zwischen dem 21. Geburtstag und dem Auftreten der Invalidität (volle Beschäftigungsjahre).
Personen mit Invalidität der Kategorie I (volle Erwerbsunfähigkeit - siehe Tabelle V, „Beurteilungskriterien und Kategorien von Erwerbsfähigkeit/-unfähigkeit“) im Alter von unter 21 Jahren erhalten Anspruch auf Invalidenrente, wenn sie bei Auftreten der Invalidität pflichtversichert waren oder mindestens drei Versicherungsmonate vorweisen.</t>
  </si>
  <si>
    <t>Die Hauptkriterien, die zur Beurteilung der Anspruchsberechtigung für Leistungen bei Invalididtät genutzt werden, sind abhängig vom Grad der Erwerbsfähigkeit.
Die Beurteilungskriterien beruhen auf der verminderten Fähigkeit, berufliche Aufgaben durchzuführen, die in Verbindung zur bisherigen Beschäftigung oder jeder anderen Art von Beschäftigung stehen. Davon ausgehend gibt es drei Kategorien von Invalidität:
   * Kategorie I: Fähigkeit, jegliche Art von Erwerbstätigkeit auszuüben, ist vollständig verloren;
   * Kategorie II: Erwerbsfähigkeit ist um 50% oder mehr vermindert;
   * Kategorie III: Fähigkeit zu Vollzeitbeschäftigung ist eingeschränkt, die betroffene Person ist aber fähig, in einer bestimmten Art von Beschäftigung zumindest in Teilzeit zu arbeiten; oder die Fähigkeit, in dem Beruf zu arbeiten, für den die Person ausgebildet wurde, ist um weniger als 50% vermindert; oder die Person kann weiterhin auf Vollzeitbasis arbeiten, allerdings nicht mehr in derselben Beschäftigung wie vorher.
Beurteilungsergebnisse werden als Prozentsatz der Erwerbsfähigkeit ausgedrückt.
Kein Mindestlevel von Erwerbsfähigkeit/-unfähigkeit festgelegt.</t>
  </si>
  <si>
    <t>Invaliditätsgeld (nadomestilo za invalidnost): Wird an Versicherte gezahlt, denen das Recht auf eine Wiederzuweisung nach dem Abschluss der beruflichen Rehabilitation anerkannt wurde und mit einer Invalidität der Kategorie II und einem Alter über 55 Jahren, oder einer Invalidität der Kategorie III, wenn die Arbeitsfähigkeit in dem eigenen Beruf um weniger als 50% gemindert wurde, oder in besonderen Fällen, wenn die Personen ihrem Beruf weiterhin in Vollzeit nachgehen können, jedoch nicht in der Lage sind, weiterhin in der Position zu arbeiten, die sie bis dahin inne hatten. Der Leistungsbetrag variiert zwischen 20% - 80% der Invaliditätsrente (invalidska pokojnina), auf die die Person bei Eintritt der Invalidität Anspruch gehabt hätte).
Teilbeihilfe (delno nadomestilo): versicherte Personen mit einer Invalidität der Kategorie III, die nicht länger oder nicht ohne berufliche Rehabilitation in Vollzeit arbeiten können, haben Anspruch auf Teilzeitarbeit und Teilbeihilfe. Diese wird in Bezug auf die Invaliditätsrente, auf welche der Betroffene am Tag des Eintretens der Invalidität Anspruch hätte, berechnet, und wird bemessen entsprechend der Reduzierung der vollen Arbeitszeit, wie folgt:
   * 50% der Invaliditätsrente, wenn die versicherte Person 4 Stunden pro Tag auf Teilzeitbasis arbeitet;
   * 37,5% für 5 Stunden pro Tag;
   * 25% für 6 Stunden pro Tag;
   * 12,5% für 7 Stunden pro Tag.
Überbrückungsleistung (začasno nadomestilo):
Versicherte Personen, die nach Vollendung der beruflichen Rehabilitation Anspruch auf Rückkehr an den Arbeitsplatz in Vollzeit oder Teilzeit für mindestens vier Stunden täglich oder 20 Stunden wöchentlich haben, sind anspruchsberechtigt für Überbrückungsleistung, bis sie ihre Beschäftigung wiederaufnehmen (höchstens 2 Jahre lang). Der Betrag der Leistung entspricht für eine Person, die auf der Basis eines Arbeitsverhältnisses versichert ist, der Invaliditätsrente, auf die die Person bei Auftreten der Invalidität Anspruch hätte, und 50% dieses Betrags für alle anderen Personen (Selbstständige, Landwirte, Versicherte auf anderer gesetzlicher Grundlage).
Behindertenbeihilfe (invalidnina):
Wird nach wie vor nur an diejenigen gezahlt, die sie bereits vor dem 31. Dezember 2012 bezogen. Versicherte haben auch bei einer körperlichen Einschränkung Anspruch auf Behindertenbeihilfe, wenn die Ursache für die Einschränkung außerhalb der Arbeit oder einer Krankheit besteht. Der Betrag wurde im Dezember 2012 festgelegt und ist sowohl abhängig von 8 unterschiedlichen Graden der Invalidität als auch davon, ob die Invalidität die Folge eines Arbeitsunfalls ist oder nicht, und reicht von €36,61 bis €125,53 monatlich (seit 1. März 2025).</t>
  </si>
  <si>
    <t xml:space="preserve">Es gibt keine eindeutige Definition für „beschwerliche oder gefährliche Berufe“. Eine Liste beschwerlicher oder gefährlicher Berufe wurde im Gesetz über die Ausweitung der Erweiterten Rentenbezüge aufgestellt.
Die Berufe werden je nach Höhe des Versicherungsbonus, der wiederum vom Grad der Beschwerlichkeit oder Gefährlichkeit der Berufe abhängt, in fünf Gruppen unterteilt.
Diese Berufe werden von der slowenischen Gesetzgebung im Rahmen gesonderter Rentenregelungen und –systeme anerkannt.
Versicherte Personen, die besonders schwierige Berufe oder Berufe ausüben, die der Gesundheit schaden können, sowie Berufe, die ab einem bestimmten Alter nicht mehr ordnungsgemäß ausgeübt werden können, sind zusätzlich über die betriebliche Altersversorgung (II. Säule) versichert. Wenn die Voraussetzungen erfüllt sind, erhält die versicherte Person die betriebliche Altersversorgung, die in monatlichen Raten gezahlt wird, bis die Voraussetzungen für eine (reguläre) Altersrente erfüllt sind.
Die betriebliche Altersversorgung wird unter den folgenden Voraussetzungen gewährt:
   * Mindestens 42 Jahre und sechs Monate rentenfähige Dienstzeit, einschließlich zusätzlichen Zeitraums und hinreichender Mittel auf dem persönlichen Konto zur Zahlung der betrieblichen Altersversorgung. Der Zeitraum, in dem die betriebliche Altersversorgung erhalten wird, entspricht der Differenz zwischen der tatsächlichen rentenfähigen Dienstzeit ohne den zusätzlichen Wert und 40 Jahren rentenfähiger Dienstzeit. Darüber hinaus wird Versicherten, die mindestens 17 Jahre lang in die Berufsversicherung eingezahlt haben, eine Altersrente gewährt, unabhängig davon, ob sie die Voraussetzung für die reguläre Altersrente nach Ablauf der betrieblichen Altersversorgung erfüllen oder
   * Wenn die Summe der Jahre des rentenfähigen Zeitraums niedriger ist, sollte sie mindestens 40 Jahre, einschließlich Zusatzzeitraum betragen, sofern auf dem persönlichen Konto ausreichende Mittel für die Zahlung der betrieblichen Altersversorgung vorhanden sind und die Altersvoraussetzung je nach Berufsgruppe erfüllt ist.
Wenn es Zeiträume gibt, in denen die versicherten Personen keinen Anspruch auf eine Berufsversicherung haben, sollten sie mindestens 60 Jahre alt sein oder die Altersvoraussetzungen entsprechend der Kategorie erfüllen, der ihr Beruf zugeordnet wird, d. h.:
   * Arbeitsplatz, Klasse 1: 56 Jahre alt;
   * Arbeitsplatz, Klasse 2: 55 Jahre alt;
   * Arbeitsplatz, Klasse 3: 54 Jahre alt;
   * Arbeitsplatz, Klasse 4: 53 Jahre alt;
   * Arbeitsplatz, Klasse 5: 52 Jahre alt.
</t>
  </si>
  <si>
    <t>Folgende inaktive Zeiten der Abwesenheit vom Arbeitsplatz werden für den Anspruch auf Altersrente und die Berechnung des Rentenbetrags berücksichtigt:
   * Zeiten des Bezugs von Krankengeld;
   * Zeiten des Bezugs von Leistungen während Mutterschaft (Mutterschaftsgeld (materinsko nadomestilo)), Vaterschaft (Vaterschaftsgeld (očetovsko nadomestilo)) und Elternurlaub (Elterngeld (starševsko nadomestilo));
   * Zeiten des Bezugs von Arbeitslosengeld;
   * Zeiten der subventionierten Beiträge für die Renten- und Invaliditätsversicherung für Langzeitarbeitslose gegen Ende ihrer Laufbahn (ein Jahr vor dem Ruhestand);
   * Zeiten der Kindererziehung, d.h.:
   * Zeiten der Teilzeitarbeit aufgrund längerer Kindererziehungszeiten (der Staat garantiert die Zahlung eines proportionalen Anteils der Beiträge bis zum Pflichtbeitrag bei Vollzeitbeschäftigung (für ein Kind bis zum Alter von 3 Jahren und für mindestens zwei Kinder bis zum Abschluss des ersten Schuljahres des jüngsten Kindes);
   * Zeiten der Erziehung von vier oder mehr Kindern (das Elternteil hat Anspruch auf vom Staat gezahlte Sozialversicherungsbeiträge bis das jüngste Kind die erste Klasse vollendet hat).</t>
  </si>
  <si>
    <t>Die betriebliche Altersversorgung wird in Höhe der auf dem persönlichen Konto der versicherten Person akkumulierten Mittel gewährt und liegt zwischen:
   * der Höhe der Altersrente, die versicherte Personen erhalten hätten, sofern sie einen Versicherungszeitraum von 40 Jahren erlangt hätten, erhöht durch den Beitrag zur Krankenversicherung und die Kosten des Fondsmanagers;
   * der Höhe der maximalen Altersrente, erhöht durch den Beitrag zur Krankenversicherung und die Kosten des Fondsmanagers, sofern auf dem persönlichen Konto hinreichende Mittel vorhanden sind.</t>
  </si>
  <si>
    <t>Witwen- bzw. Witwerrente (vdovska pokojnina):
   * Hinterbliebene Ehepartner;
   * Lebenspartner;
   * Partner in registrierten gleichgeschlechtlichen Partnerschaften;
   * geschiedene Ehegatten (mit Unterhaltsanspruch vor dem Tod).
Hinterbliebenenrente (družinska pokojnina):
   * Kinder;
   * Enkel, Stiefkinder und andere elternlose Kinder, die von der verstorbenen Person zum Todeszeitpunkt unterhalten wurden);
   * Eltern der verstorbenen Person.</t>
  </si>
  <si>
    <t>Erfüllung von Bedingungen durch den Verstorbenen, um die Leistung geltend machen zu können:
   * Muss die Bedingungen für den Anspruch auf eine vorgezogene Rente (predčasna pokojnina), eine Altersrente (starostna pokojnina) oder eine Invaliditätsrente (invalidska pokojnina) erfüllen (siehe Tabelle V „Invalidität“ und Tabelle VI „Alter“); oder
   * Empfänger einer vorgezogene, Alters- oder Invaliditätsrente der Pflichtversicherung oder eine Person mit Anspruch auf Invaliditätsgeld (nadomestilo za invalidnost) oder Teilbeihilfe (delno nadomestilo) der Pflichtversicherung.
Bei Tod als Folge eines Arbeitsunfalls oder einer Berufskrankheit ist keine Mindestversicherungszeit erforderlich.</t>
  </si>
  <si>
    <t>Witwen und Witwer sind anspruchsberechtigt, wenn sie zum Zeitpunkt des Todes des Ehepartners:
   * mindestens 58 Jahre alt sind, oder
   * vollständig erwerbsunfähig sind oder nach einem Jahr nach dem Tod des Ehepartners erwerbunfähig wird, oder
   * gegenüber einem Kind mit Anspruch auf Hinterbliebenenrente (družinska pokojnina) unterhaltsverpflichtet sind, oder
   * bei einem Alter zwischen 53 und 58 Jahren wird die Zahlung bis zur Vollendung des 58. Lebensjahrs aufgeschoben;
   * das Kind des Verstorbenen nicht später als 300 Tage nach dessen Tod gebärt.</t>
  </si>
  <si>
    <t>Bedingungen, die zusätzlich zu denen für hinterbliebene Ehepartner erfüllt werden müssen:
   * mindestens drei Jahre lang mit der versicherten Person in einer nichtehelichen Gemeinschaft gelebt haben, oder
   * das letzte Jahr vor dem Tod des Partners mit ihm zusammengelebt und ein Kind mit der verstorbenen Person haben.</t>
  </si>
  <si>
    <t>Altersgrenzen von Kindern für die Anspruchsberechtigung auf Leistung sind:
   * 15 Jahre;
   * 18 Jahre, wenn das Kind als arbeitsuchend gemeldet ist;
   * 26 Jahre während eines ordentlichen Studiums;
   * keine Altersgrenze, wenn das Kind vollständig erwerbsunfähig ist.
Im Falle einer Anstellung verlieren sie ihren Anspruch auf Hinterbliebenenrente.</t>
  </si>
  <si>
    <t>Witwen- bzw. Witwerrente (vdovska pokojnina):
   * 70% der Rente des Verstorbenen (Alters- oder Invalidenrente) oder der Rente, auf die der Verstorbenen zum Todeszeitpunkt Anspruch gehabt hätte;
   * Witwen/Witwer oder hinterbliebene Partner, die eine eigene Rente beziehen, erhalten 15% der Witwen- bzw. Witwerrente, sofern der Betrag der beiden Renten die Altersrente (starostna pokojnina) für einen Mann, die anhand der maximalen Rentenberechnungsbasis (pokojninska osnova) für 40 ruhegehaltsfähige Dienstjahre festgelegt wird, nicht überschreitet.
   * Witwen und Witwern, die die gesetzlichen Bedingungen erfüllen, wird somit eine Rente in Höhe der Summe ihrer Altersrente, vorgezogenen Rente oder Invaliditätsrente und der Höhe der Bewertungsgrundlage für die Witwenrente garantiert, jedoch nicht mehr als der Betrag der Garantierente, welche sich ab 1. Januar 2025 auf €781,94 beläuft.
Falls der hinterbliebene Ehepartner Anspruch auf verschiedenen Renten hat, kann er auswählen, welche er beziehen möchte.
Im Fall einer Wiedereinstellung wird das Recht auf die Leistung ausgesetzt.
Ein geschiedener Ehepartner, der zum Todeszeitpunkt Unterhaltsanspruch hatte, erhält die gleichen Rentenleistungen wie ein/e Witwe/r. Falls die verstorbene Person wieder geheiratet hatte, jedoch weiterhin Unterhalt zahlen musste, erhalten sowohl neue als auch alte Ehepartner Rentenleistungen.
Leistungen werden monatlich gezahlt.
Keine zusätzlichen Zahlungen.</t>
  </si>
  <si>
    <t>Witwen- bzw. Witwerrente (vdovska pokojnina) entfällt, wenn die hinterbliebenen Ehepartner:
   * vor dem Alter von 58 Jahren wieder heiratet, es sei denn, der Rentenanspruch beruht auf vollständiger Erwerbsunfähigkeit;
   * vor dem Alter von 58 Jahren eine eheähnliche Partnerschaft eingehen.</t>
  </si>
  <si>
    <t>Halbwaisen:
Die Höhe der Hinterbliebenenrente (družinska pokojnina) in Prozent der Rente der verstorbenen Person zum Todeszeitpunkt hängt von der Anzahl der berechtigten Personen ab:
   * ein Anspruchsberechtigter: 70% der Rente des Verstorbenen zum Todeszeitpunkt;
   * zwei Anspruchsberechtigte: 80% dieser Bemessungsgrundlage;
   * drei Anspruchsberechtigte: 90% dieser Bemessungsgrundlage;
   * vier oder mehr Anspruchsberechtigte: 100% dieser Bemessungsgrundlage.
Vollwaisen:
Ein Anspruchsberechtigter auf Hinterbliebenenrente bezieht 100% der vorgeschriebenen Grundlage der höheren Rente der verstorbenen Eltern zum Zeitpunkt des Todes. Bei zwei oder mehr Anspruchsberechtigten basiert die Hinterbliebenenrente auf 100% beider Renten der verstorbenen Eltern. Diese Renten werden zu gleichen Teilen entsprechend der Anzahl der Kinder geteilt. Wenn die Teilung in gleiche Teile nicht möglich ist, geht der restliche Teil an das älteste Kind.
Die Höchstdauer des Leistungsbezugs beruht auf folgenden Bedingungen:
   * 26 Jahre alt sein;
   * eine Anstellung haben;
   * sich nicht in der Ausbildung befinden.
Leistungen werden monatlich gezahlt.
Keine zusätzlichen Zahlungen.
Die Leistung unterliegt keiner Bedürftigkeitsprüfung.</t>
  </si>
  <si>
    <t>Das Anrecht auf Hinterbliebenenrente kann auch erworben werden von:
   * Enkeln, Stiefkindern und anderen elternlosen Kindern, die von der verstorbenen Person zum Todeszeitpunkt unterhalten wurden (sofern sie die für Kinder festgelegten Bedingungen erfüllen);
   * Eltern, die von der verstorbenen Person unterhalten wurden, wenn sie ein Alter von 60 Jahren erreicht haben oder wenn sie zum Todeszeitpunkt der versicherten Person vollständig arbeitsunfähig waren (erreichen sie in diesem Fall das 60. Lebensalter während des Bezugs der Hinterbliebenenrente, erhalten sie darauf einen dauerhaften Anspruch).
Für den Leistungsbetrag siehe Tabelle VII, „Leistungen, Kinder“.</t>
  </si>
  <si>
    <t>Finanzielle Sozialhilfe in Sonder- und Notfällen nach dem Tod eines Familienmitglieds (posebna oblika izredne denarne socialne pomoči po smrti družinskega člana - posmrtnina) und finanzielle Sozialhilfe in Sonder- und Notfällen zur Deckung der Begräbniskosten (posebna oblika izredne denarne socialne pomoči kot pomoč pri kritju stroškov pogreba – pogrebnina) sind einmalige Zahlungen an Personen, die eine Anrecht auf finanzielle Sozialhilfe haben (siehe Tabelle XI, „Mindestsicherung“) im Falle des Tods des Ehepartners, Lebenspartners, Kinds, Stiefkinds, von Geschwistern, Nichten, Neffen und Enkeln oder Eltern, die die gesetzlich festgelegten Bedingungen erfüllen. Sie betragen:
   * €421,89 für finanzielle Sozialhilfe in Sonder- und Notfällen nach dem Tod eines Familienmitglieds;
   * €843,78 für finanzielle Sozialhilfe in Sonder- und Notfällen zur Deckung der Begräbniskosten.</t>
  </si>
  <si>
    <t>Eine Mindestbeitragsdauer ist erforderlich, wenn die Behinderung auf einer weit verbreiteten Krankheit beruht:
   * regelmäßig Versicherter im Alter unter 31 Jahren: die Mindestversicherungszeit beträgt ein Drittel des zwischen der Vollendung des 16. Lebensjahres und dem Eintritt des Versicherungsfalls liegenden Zeitraums;
   * regelmäßig Versicherter ab 31 Jahren: die Mindestversicherungszeit beträgt ein Viertel der Zeit zwischen dem Alter von 20 Jahren und dem Ereignis, welches zur Berufsunfähigkeit geführt hat; mindestens jedoch 5 Jahre. Ein Fünftel des Beitragszeitraums muss in den zehn Jahren vor Eintritt des Versicherungsfalls liegen;
   * Sonderregelungen bei nicht regelmäßig Versicherten.
Bei Personen über 21 Jahren sind im Falle einer dauerhaften Teilinvalidität 1.800 Tage in den letzten 10 Jahren erforderlich, wenn sie auf eine Nichtberufskrankheit zurückzuführen ist. Bei Minderjährigen unter diesem Alter ist die Hälfte der Zeit, die zwischen dem Datum, an dem sie das 16. Lebensjahr vollendet haben, und dem ursächlichen Ereignis plus 545 Tage erforderlich. In anderen Fällen ist keine Mindestbeitragszeit erforderlich.
Keine Mindestversicherungszeit erforderlich, wenn die Invalidität durch Arbeitsunfall, sonstigen Unfall oder Berufskrankheit verursacht wurde.</t>
  </si>
  <si>
    <t>Dauernde Invalidität, gleich welcher entscheidenden Ursache, wird eingestuft nach prozentualer Verminderung der Arbeitsfähigkeit:
   * dauernde teilweise Minderung der Berufsfähigkeit (incapacidad permanente parcial para la profesión habitual): Behinderung, die die Fähigkeit des Arbeitnehmers, seine übliche Tätigkeit zu erfüllen, um mindestens 33% vermindert, jedoch keine Hinderung darstellt, die Grundaufgaben des Berufs zu erfüllen;
   * dauernde vollständige Berufsunfähigkeit (incapacidad permanente total para la profesión habitual): Behinderung, die den Arbeitnehmer hindert, jegliche Hauptaufgaben seines Berufes zu erfüllen, mit der er jedoch einen anderen Beruf ausüben kann;
   * dauernde vollständige Erwerbsunfähigkeit (incapacidad permanente absoluta): Behinderung, die den Arbeitnehmer hindert, jegliche Art von Arbeit oder Beruf auszuüben;
   * Schwerstbehinderung (gran incapacidad): wenn der dauernd behinderte Arbeitnehmer der Unterstützung einer anderen Person bedarf, um die grundlegendsten Tätigkeiten auszuführen.
Die normale Fähigkeit des Arbeitnehmers, seine übliche Tätigkeit auszuführen, muss um mindestens 33% vermindert sein, um Anspruch auf Invaliditätsleistungen (pensiones de incapacidad) zu haben.</t>
  </si>
  <si>
    <t>Zahlung von Invaliditätsleistungen (pensiones de incapacidad) kann beginnen:
   * bei Erschöpfung des Anpruchs auf Krankengeld (d.h. 12 oder 18 Monate nach dem Beginn der Erkrankung);
   * ab dem Datum, an dem die Verminderung der Arbeitsfähigkeit des Antragstellers um mindestens 33% anerkannt wurde.
Anspruch auf Invaliditätsleistungen kann entfallen aufgrund:
   * einer Neubewertung der Arbeitsunfähigkeit;
   * der Zuerkennung der Altersrente (wenn die Person sie beantragte);
   * dem Tod des Leistungsempfängers.
Arbeitnehmer mit einer anerkannten Behinderung von mindestens 65% oder einer Behinderung von mindestens 45%, die in eine der zu diesem Zweck gesetzlich festgelegten Kategorien gehören, haben Anspruch auf vorgezogenen Ruhestand.
Dauernde Invaliditätsleistungen werden zu Altersrente, wenn der Leistungsempfänger 65 Jahre alt wird.</t>
  </si>
  <si>
    <t>Bis zum Erreichen des Mindestalters für den Ruhestand ist jederzeit eine Revision des Bewertungsteams für Behinderungen möglich.
Der Invaliditätsstatus kann überprüft werden, wenn:
   * sich der Zustand verschlechtert oder verbessert;
   * eine Fehldiagnose vorliegt;
   * eine Anstellung gefunden wurde.</t>
  </si>
  <si>
    <t>Monatliche Mindestbeträge:
   * Dauernde vollständige Berufsunfähigkeit (incapacidad permanente total para la profesión habitual): Mindestbetrag für Personen über 65 Jahren: €874,40 für Einpersonenhaushalte. Für verheiratete Leistungsempfänger: €1.127,60 oder €830, abhängig vom unterhaltsberechtigten Ehepartner;
Mindestbetrag für Personen zwischen 60-64: €818 für Einzelpersonenhaushalte und €1.127,60 oder €773,20 für verheiratete Leistungsempfänger, abhängig davon, ob der Ehepartner unterhaltsberechtigt ist oder nicht.
Mindestbetrag für Personen unter 60 Jahren (bei einer häufigen Krankheit): €644,60 für Einzelpersonenhaushalte; €644,60 für verheiratete Leistungsempfänger, wenn der Ehepartner unterhaltsberechtigt ist; für verheiratete Leistungsempfänger, wenn der Ehepartner nicht unterhaltsberechtigt ist: €639,10.
   * dauernde vollständige Erwerbsunfähigkeit (incapacidad permanente absoluta): Mindestbetrag für alleinstehende Leistungsempfänger: €874,40. Für verheiratete Leistungsempfänger: €1.127,60 oder €830, abhängig vom unterhaltsberechtigten Ehepartner;
   * Schwerstbehinderung (gran incapacidad): Mindestbetrag für alleinstehende Leistungsempfänger: €1.311,60. Für verheiratete Leistungsempfänger: €1.691,30 oder €1.245, abhängig vom unterhaltsberechtigten Ehepartner.
Monatlicher Höchstbetrag: €3.267,60 pro Monat.
Im Falle von Schwerstbehinderung hat diese Grenze keine Auswirkungen auf die Zulage.</t>
  </si>
  <si>
    <t xml:space="preserve">Bestimmungen oder Anreize für bevorzugte Beschäftigung sehen vor:
   * Lohnkostenzuschüsse oder Verminderungen der Sozialbeiträge von Arbeitgebern;
   * Einstellungsquoten für Menschen mit Behinderung, (verpflichtende Bereithaltung von 2% der Arbeitsstellen für Menschen mit Behinderung für Arbeitgeber mit einer Stamm-belegschaft von über 50 Personen);
   * Formen geschützter Beschäftigung.
</t>
  </si>
  <si>
    <t xml:space="preserve">Leistungen bei dauernder Erwerbsunfähigkeit (pensiones por incapacidad permanente):
   * Dauernde Teilerwerbsunfähigkeit für die übliche Beschäftigung (incapacidad permanente parcial para la profesión habitual): mit Arbeitseinkommen kumulierbar, wenn die Tätigkeit mit der physischen Konstitution des Leistungsempfängers in Einklang steht und keine Änderung des Invaliditätsgrades impliziert. Die Höhe der Leistung wird nicht gekürzt;
   * Dauernde vollständige Arbeitsunfähigkeit (incapacidad permanente total para la profesión habitual): Vereinbar mit dem Arbeitseinkommen, sofern die Tätigkeit mit dem körperlichen Zustand des Empfängers vereinbar ist und keine Änderung seiner Arbeitsfähigkeit zum Zwecke der Revision impliziert und es sich um einen anderen Beruf handelt als den, der die Arbeitsunfähigkeit verursacht.  Die Höhe der Leistung wird nicht gekürzt.
Ist die Arbeitsunfähigkeit qualifiziert (Leistung in Höhe von 75%), wird der Bonus (20% der Berechnungsgrundlage) gekürzt.
   * Absolute dauernde Arbeitsunfähigkeit (incapacidad permanente absoluta): Wenn der Empfänger eine Arbeit aufnimmt, ruht die Leistung;
   * Schwere Erwerbsunfähigkeit (gran incapacidad): Die Leistung wird ausgesetzt, aber der Zuschlag wird beibehalten.
</t>
  </si>
  <si>
    <t xml:space="preserve">60 Jahre für bestimmte Personen, die bereits unter dem zum 1. Januar 1967 abgeschafften System versichert waren.
Maximal zwei Jahre vor Erreichen der Regelaltersgrenze im Fall von:
   * freiwilligem Vorruhestand,
   * 35 Beitragsjahren, und
   * eine höhere Rente als die Mindestrente.
Maximal vier Jahre vor Erreichen der Regelaltersgrenze im Fall von:
   * unfreiwilligem Ruhestand aufgrund verschiedener Umstände,
   * 33 Beitragsjahren und
   * seit 6 Monaten arbeitslos gemeldet sein.
Die Regelaltersgrenze kann für bestimmte Arbeitnehmer, die schwere körperliche, gefährliche oder gesundheitsschädliche Arbeiten verrichten, vorauskalkuliert werden.
   * 56 Jahre für Arbeiter mit einer Erwerbsminderung von 45%;
   * 52 Jahre für Arbeiter mit einer Erwerbsminderung von 65%.
</t>
  </si>
  <si>
    <t>Keine Definition beschwerlicher oder gefährlicher Arbeitsplätze, es gibt jedoch Berufsgruppen oder Tätigkeiten, deren Arbeitsplätze als besonders beschwerlich, gefährlich, toxisch oder ungesund betrachtet werden und die besonders hohe Sterblichkeits- oder Morbiditätsraten mit sich bringen:
   * Bergbauarbeiter;
   * Flugpersonal;
   * Eisenbahner;
   * Künstler;
   * Stierkämpfer;
   * Feuerwehrleute im öffentlichen Dienst und öffentlichen Einrichtungen;
   * örtliche Polizeibeamte und Mitglieder der baskischen Polizei, der katalanischen Polizei oder der Polizei von Navarra. 
Es gelten besondere Bedingungen für diese Gruppen im Bezug auf Absenkung des normalen Renteneintrittsalters.</t>
  </si>
  <si>
    <t xml:space="preserve">Gesetzliche Mindestrente mit Bedürftigkeitsprüfung.
Mindestrente (Pensión mínima): abhängig vom Wohnsitz.
Monatsbeträge (14 Zahlungen im Jahr):
   * +65 Jahre: €874,40 für Ein-Personen-Haushalte; €1.127,60 oder €830 für verheiratete Leistungsempfänger, abhängig davon, ob der Ehepartner unterhaltsberechtigt ist oder nicht.;
   * -65 Jahre: €818 für Ein-Personen-Haushalte; €1.127,60 oder €773,20 für verheiratete Leistungsempfänger, abhängig davon, ob der Ehepartner unterhaltsberechtigt ist oder nicht.
Folgendes Vermögen wird berücksichtigt: Arbeitseinkommen, Kapital, oder wirtschaftliche Aktivitäten, und Kapitaleinkünfte laut dem für solche Einkommen im Einkommensteuergesetz geregelten Konzept. Folgendes ist vom Bruttoeinkommen des Rentners laut Steuergesetz ausgenommen:
   * abzugsfähige Aufwendungen für Brutto-Arbeitseinkommen;
   * abzugsfähige Aufwendungen für Brutto-Einkommen aus wirtschaftlichen Aktivitäten;
   * abzugsfähige Aufwendungen für Brutto-Einkommen aus Immobilienvermögen.
</t>
  </si>
  <si>
    <t xml:space="preserve">Aufschub möglich. Für Arbeitnehmer über dem gesetzlichen Ruhestandsalter mit mehr als 15 Beitragsjahren, die weiterhin arbeiten, haben einen Anspruch auf:
   * eine Erhöhung des Rentenbetrags für jedes zusätzliche Beitragsjahr zwischen der Regelaltersgrenze und dem tatsächlichen Renteneintritt um 4 Prozentpunkte;
   * oder eine Pauschalleistung, bestimmt durch die Anzahl der vollständig angerechneten Beitragsjahre zwischen der Regelaltersgrenze und dem tatsächlichen Renteneintritt;
   * oder eine gemischte Option abhängig von der Anzahl der Beitragsjahre.
</t>
  </si>
  <si>
    <t>Der Verstorbene muss am Todestag:
   * aktiver Beitragszahler oder einem solchem gleichgestellt gewesen sein und für mindestens 500 Kalendertage in den fünf Jahren vor dem Tod Beiträge entrichtet haben (nicht zutreffend für das Waisengeld, pensión de orfandad). Diese Beitragsvoraussetzung entfällt bei Tod durch Berufskrankheit, Arbeitsunfall oder sonstigen Unfall, oder
   * falls er kein aktiver Beitragszahler oder einem solchen gleichgestellt war, mindestens für 15 Jahre Beiträge entrichtet haben, oder
   * eine Invaliditäts- oder Ruhestandsrente bezogen haben,
   * Mütter, die durch Gewalt gegen Frauen verstorben sind.</t>
  </si>
  <si>
    <t>Altersgrenze der Kinder:
   * 21 Jahre;
   * 25 Jahre, wenn das Bruttoerwerbseinkommen den Mindestlohn (Salario mínimo interprofesional) nicht übersteigt. Das berücksichtigte Vermögen umfasst Einkommen aus Arbeit oder Kapital und Sozialleistungen.
Keine Altersbegrenzung bei dauernder vollständiger Erwerbsunfähigkeit (incapacidad permanente absoluta) und Schwerstbehinderung (gran incapacidad).</t>
  </si>
  <si>
    <t>Alle folgenden Bedingungen müssen erfüllt sein:
   * Gemeinsamer Haushalt mit dem Verstorbenen in den letzten zwei Jahren vor dem Tod;
   * Nachweis der finanziellen Abhängigkeit von dem Verstorbenen;
   * kein eigener Anspruch auf eine öffentliche Leistung;
   * Bedürftigkeit und keine lebenden Verwandten, die nach bürgerlichem Recht zu Unterhalt verpflichtet und dazu in der Lage wären. Das berücksichtigte Vermögen umfasst Einkommen aus Arbeit oder Kapital und Sozialleistungen.</t>
  </si>
  <si>
    <t>In der Regel entfällt das Witwen- bzw. Witwergeld (Pensión de viudedad) bei Wiederheirat. Sie erlischt jedoch nicht, wenn:
   * der Bezieher mindestens 61 Jahre alt ist oder eine Erwerbsminderung um mindestens 65% aufweist;
   * das Witwen- bzw. Witwergeld mindestens 75% des Jahreseinkommens ausmacht;
   * das Jahresgesamteinkommen des neuen Haushalts unter dem Zweifachen des Mindestlohns (Salario Mínimo Interprofesional) liegt.</t>
  </si>
  <si>
    <t xml:space="preserve">Gesetzlich festgelegte Mindestleistung mit Bedürftigkeitsprüfung.
Monatsbeträge (14 Zahlungen im Jahr):
Hinterbliebener Ehegatte:
   * mit Unterhaltsberechtigten: €1.127,60;
   * über 65 Jahren oder mit einer Erwerbsminderung um mindestens 65%: €874,40;
   * von 60 bis 64 Jahren: €818;
   * unter 60 Jahren: €662,50.
Halbwaisen: €267,50.
Waisen unter 18 Jahren mit einem Invaliditätsgrad von mindestens 65%: €525,80.
Vollwaisen: €930 pro Kind. Die Mindestleistung wird um €662,50/monatlich erhöht, verteilt auf die Leistungsempfänger.
Waisen durch Gewalt gegen Frauen: €793,80 für Einzelempfänger oder €1.338,12, verteilt auf die Leistungsempfänger.
Andere Berechtigte: €267,50.
Einziger Empfänger:
   * über 65: €646;
   * unter 65 Jahren: €608,80.
Folgendes Vermögen wird berücksichtigt: Arbeitseinkommen, Kapital, oder wirtschaftliche Aktivitäten, und Kapitaleinkünfte laut dem für solche Einkommen im Einkommensteuergesetz geregelten Konzept.
Folgendes ist vom Bruttoeinkommen des Rentners, welches laut den im Steuergesetz festgelegten Bedingungen berechnet wurde, ausgenommen:
   * abzugsfähige Aufwendungen für Brutto-Arbeitseinkommen;
   * abzugsfähige Aufwendungen für Brutto-Einkommen aus wirtschaftlichen Aktivitäten;
   * abzugsfähige Aufwendungen für Brutto-Einkommen aus Immobilienvermögen.
</t>
  </si>
  <si>
    <t>Persönliche Bemessungsgrundlage (Osobní vyměřovací základ):
   * basierend auf dem durchschnittlichen Bruttoverdienst in dem Referenzzeitraum, der die gesamte Beitragsgeschichte enthält, anfangend mit dem ersten Kalenderjahr nach Vollendung des 17. Lebensjahres und endend mit dem Kalenderjahr vor dem Jahr des Rentenbezugs. Verdienst (und Jahre) vor 1986 werden nicht berücksichtigt;
   * alle Einkommen werden entsprechend der Entwicklung des Durchschnittsverdiensts angepasst;
   * nicht alle Einkommen gehen in die Berechnung ein; die Persönliche Bemessungsgrundlage wird reduziert, da monatliche Bruttoverdienste wie folgt berücksichtigt werden: 
   * bis zu CZK 20.486 (€828): 100% Einbeziehung,
   * von CZK 20.486 (€828) bis CZK 186.228 (€7.525): 26% Einbeziehung,
   * Einkommen von über CZK 186.228 (€7.525) monatlich werden nicht berücksichtigt.</t>
  </si>
  <si>
    <t>Keine gesetzliche Mindestrente, aber:
   * Grundbetrag (Základní složka): Pauschale (10% des nationalen monatlichen Bruttodurchschnittslohns) von CZK 4.660 (€188) monatlich.
   * Prozentualer Betrag (Procentní část): Mindestens CZK 770 (€31) monatlich.
Keine gesetzliche Höchstrente.</t>
  </si>
  <si>
    <t>Ersatzzeiten werden berücksichtigt für die Anspruchsberechtigung und Berechnung des zahlbaren Betrags, überwiegend für:
   * Vollzeitschüler an weiterführenden Schulen oder Universitätsstudenten (höchstens 6 Jahre ab dem Alter von 18 Jahren) (nur Zeiträume bis zum Jahr 2010 für die Berechnung des Rentenbetrags);
   * Beim Arbeitsamt gemeldete Arbeitssuchende für den Zeitraum des Leistungsbezugs sowie zusätzlich maximal 3 Jahre für Personen älter als 55 Jahre und für maximal 1 Jahr für Personen unter 55 Jahren;
   * Personen mit verringerter Arbeitsfähigkeit, die an Ausbildungsmaßnahmen teilnehmen;
   * Wehrdienstleistende (bis 30.06.2016) oder Zivildienstleistende (bis 31.12.2004);
   * Personen, die ein Kind bis zum Alter von 4 Jahren versorgen (10 Jahre, wenn das Kind in Pflegebedürftigkeits-Kategorie I gehört (leichte Pflegebedürftigkeit));
   * Personen, die eine unvermittelte Pflegeunterbringung stellen (nach gesetzlich vorgeschriebenen Bedingungen);
   * Personen, die für eine unterhaltsberechtigte Person sorgen (Kategorie II – mittlere Pflegebedürftigkeit, Kategorie III – schwere Pflegebedürftigkeit und Kategorie IV – vollständige Pflegebedürftigkeit);
   * Empfänger von Invaliditätsrente dritten Grades (Invalidní důchod třetího stupně) bis zum Erreichen des Ruhestandes;
   * Personen im Zeugenschutz;
   * Zeiten des Bezugs von Leistungen bei Krankheit werden grundsätzlich als Versicherungszeiten berücksichtigt.
Für die Rentenberechnung wird der Zeitraum zwischen Beginn der Invalidität und dem Ruhestandsalter einer kinderlosen Frau desselben Geburtsjahres der Versicherungszeit ganz oder teilweise hinzugerechnet (abhängig von den „realen“ Versicherungsjahren und anderen Bedingungen).</t>
  </si>
  <si>
    <t>Wenn ein Arbeitgeber in Abstimmung mit der Arbeitsagentur eine behinderte Person einstellt, erhält er von der Arbeitsagentur einen Lohnkostenzuschuss (Beihilfe zur Schaffung von Arbeitsplätzen für Menschen mit Behinderung (příspěvek na zřízení pracovního místa pro osobu se zdravotním postižením)), der das 8-fache oder 12-fache im Falle einer schwerwiegenden Behinderung des nationalen Durchschnittslohnes in den ersten drei Quartalen des vorangegangenen Kalenderjahres nicht überschreiten darf. Wenn ein Arbeitgeber im Rahmen einer einzigen Vereinbarung mit der Arbeitsagentur Arbeitsplätze für mindestens 10 Menschen mit Behinderungen schafft, kann der Lohnkostenzuschuss pro Arbeitsplatz bis um das 10-fache erhöht werden und um das 14-fache des nationalen Durchschnittslohns in den ersten drei Quartalen des vorherigen Kalenderjahres pro Arbeitsplatz für Personen mit einer schwerwiegenden Behinderung.
Die Arbeitsagentur kann zusätzliche Beihilfe gewähren, um die Betriebskosten für die Anpassung des Arbeitsplatzes auf die Bedürfnisse des behinderten Arbeitnehmers zu decken. Der Gesamtjahresbetrag der Beihilfe darf CZK 48.000 (€1.940) jährlich nicht überschreiten.
Arbeitgeber mit mehr als 25 Arbeitnehmern sind verpflichtet, eine bestimmte Anzahl behinderter Personen zu beschäftigen, d.h. mindestens 4% der Belegschaft des Unternehmens.
Arbeitgeber halten diese Regelung ein indem sie:
   * Menschen mit Behinderungen einstellen und/oder,
   * Produkte kaufen oder Dienste in Anspruch nehmen von Unternehmen, die von der Arbeitsagentur als Arbeitgeber des geschützten Arbeitsmarktes anerkannt sind, und/oder
   * Zahlungen an den Staatshaushalt machen.
Ein Unternehmen wird als „Arbeitgeber des geschützten Arbeitsmarktes“ anerkannt, wenn mehr als 50% der Belegschaft aus behinderten Arbeitnehmern besteht und sie als solche von der Arbeitsagentur anerkannt sind.
Sie erhalten Lohnkostenzuschüsse (Příspěvek na podporu zaměstnávání osob se zdravotním postižením na chráněném trhu práce) zur Förderung der Beschäftigung von Menschen mit Behinderung von bis zu 75% des tatsächlichen Lohns des betreffenden Arbeitnehmers, einschließlich der Sozial- und Krankenversicherungsbeiträge des Arbeitgebers. Die monatliche Höchstgrenze für Lohnkostenzuschüsse liegt bei CZK 15.700 (€699) (CZK 17.300 ab 1. April 2025) für Behinderte und CZK 5.000 (€202) für Menschen mit physischen Einschränkungen. Zur Bestimmung der Höhe des Lohnkostenzuschusses werden die Lohnkosten um den Lohn in Form vom Sachleistungen und Lohnkürzungen entsprechenden Betrag vermindert (d.h. den nicht-finanziellen Teil des Lohns).</t>
  </si>
  <si>
    <t>Eine auf Teilzeitbasis (siehe Tabelle 0, „Grundprinzipien“ für Selbstständige‘) erwerbstätige selbstständige Person ist für die Rentenversicherung abgedeckt:
   * wenn Bruttoeinkommen aus Teilzeit-Selbstständigkeit nach Abzug der Ausgaben mindestens dem „maßgebendem Betrag“ (CZK 111.736 (€4.429)) im vorangegangenen Kalenderjahr entspricht, oder;
   * wenn sie freiwillig Mitglied des Rentenversicherungssystems geworden ist.
Es gilt eine geringere Mindestbeitragsgrundlage für Vollzeit-Selbstständige (CZK 5.122 (€207) monatlich).
Beiträge werden getrennt für jede versicherte Wirtschaftstätigkeit gezahlt. Eine einzelne Leistung wird auf die Summe des Entgelts aus allen versicherten Wirtschaftstätigkeiten gezahlt.</t>
  </si>
  <si>
    <t>Personen mit Anspruch auf Leistungen für Personen mit veränderter Erwerbsfähigkeit (megváltozott munkaképességű személyek ellátásai): Versicherungszeiten von mindestens 1.095 Kalendertagen innerhalb von 5 Jahren oder 2.555 Kalendertagen innerhalb von 10 Jahren oder 3.650 Tagen innerhalb von 15 Jahren vor der Antragstellung.
Personen mit Anspruch auf außerordentliche Invaliditätsleistung (kivételes rokkantsági ellátás): wenn die Person mindestens die Hälfte der für die Rehabilitierungs- oder Invaliditätsleistung erforderliche Mindestversicherungszeit aufweist (mindestens 548 Kalendertage innerhalb von 5 Jahren oder 1.278 Kalendertage innerhalb 10 Jahren oder 1.825 Tage innerhalb 15 Jahre vor der Antragsstellung).
Personen können Anspruch auf Leistungen für Personen mit veränderter Erwerbsfähigkeit haben, ungeachtet der Versicherungsdauer, wenn:
   * ihre Arbeitsfähigkeit sich vor dem Alter von 35 Jahren geändert hat, sie vor dem Alter von 35 Jahren ihr Studium begonnen haben und sich während ihres Studiums versichert haben oder sich innerhalb von 180 Tagen nach der Beendigung des Studiums versichert haben und als solches ohne Unterbrechung von mehr als 30 Tagen vor der Antragstellung versichert werden, oder
   * sie am 31. Dezember 2011 eine Invaliditätsrente, eine Erwerbsunfähigkeitsrente bei Arbeitsunfall oder Berufskrankheit, eine Rehabilitationsrente oder eine rentenähnliche Leistung für Personen mit Gesundheitsschäden bezogen haben oder die Anspruchsberechtigung für die vorgenannten Leistungen festgesetzt, die Zahlung aber am 31. Dezember 2011 ausgesetzt war.</t>
  </si>
  <si>
    <t>Rehabilitationsleistung (rehabilitációs ellátás):
Jeder Person, die eine Rehabilitationsleistung bezieht, muss mit der Behörde für Rehabilitation zusammenarbeiten und die im Rehabilitationsplan festgelegten Bedingungen erfüllen.
Innerhalb von 10 Kalendertagen nach Eintritt des Ereignisses/Umstands muss die Person, die solche Leistung bezieht, Folgendes melden:
   * Jede dauerhafte Verbesserung oder dauerhafte Verschlechterung ihres Gesundheitszustandes,
   * die Aufnahme einer Erwerbstätigkeit und die Beendigung dieser Erwerbstätigkeit.
Invaliditätsleistung (rokkantsági ellátás):
Innerhalb von 10 Kalendertagen nach Eintritt des Ereignisses/ Umstands muss die Person, die solche Leistung bezieht, Folgendes melden:
   * Veränderungen in den Umständen, die für die Anspruchsbedingungen wichtig sind,
   * alle dauerhaften Verbesserungen oder Verschlechterungen ihres Gesundheitszustands.
Wenn der Gesundheitszustand als dauerhaft angesehen werden kann, erfolgt keine Revision. Wenn es jedoch wahrscheinlich ist, dass sich der Gesundheitszustand ändern wird, wird das Datum der nächsten Nachuntersuchung in den Unterlagen festgehalten. Wenn der Zeitraum bis zum Erreichen des Rentenalters 10 Jahre oder weniger beträgt oder wenn der Leistungsempfänger hilfsbedürftig ist und dauerhafte Unterstützung bei den Alltagstätigkeiten benötigt, erfolgt keine Revision. Der Anspruchsberechtigte kann jedoch jederzeit während des Anspruchszeitraums auf Rehabilitierungsleistungen bzw. Invaliditätsleistung einen Antrag auf Nachuntersuchung stellen. Die Neubewertung wird durch die Behörde der Hauptstadt oder das Bezirksverwaltungsbüro des Wohnortes durchgeführt.</t>
  </si>
  <si>
    <t>Der Leistungsbetrag ist abhängig vom monatlichen Durchschnittslohn, wird aber nicht durch den Bezug anderer Sozialleistungen beeinflusst. Anspruchsberechtigung auf die Leistung unterliegt keiner Bedürftigkeitsprüfung.
Rehabilitationsleistung (rehabilitációs ellátás):
   * Personen, deren Rehabilitation noch möglich ist: 35% des monatlichen Durchschnittsbruttoeinkommens;
   * Personen, die dauerhafter Rehabilitation bedürfen: 45% des monatlichen Durchschnittsbruttoeinkommens.
Invaliditätsleistung (rokkantsági ellátás):
   * Personen, deren Rehabilitation noch möglich ist (d.h. Personen, deren Gesundheitszustand zwischen 51% und 60% liegt): 40% des monatlichen Durchschnittsbruttoeinkommens;
   * Personen, die dauerhafte Rehabilitation benötigen (d.h. Personen, deren Gesundheitszustand zwischen 31% und 50% liegt): 60% des monatlichen Durchschnittsbruttoeinkommens;
   * Personen, die mit dauerhafter Unterstützung beschäftigt werden können: 65% des monatlichen Durchschnittsbruttoeinkommens;
   * Personen, die nicht in der Lage sind, sich selbst zu versorgen oder dazu dauerhafte Unterstützung benötigen: 70% des monatlichen Durchschnittsbruttoeinkommens.
Leistungen werden monatlich gezahlt, zwölf Mal im Jahr.</t>
  </si>
  <si>
    <t>Das Bezugseinkommen für Rehabilitationsleistung (rehabilitációs ellátás) und Invaliditätsleistung (rokkantsági ellátás) ist das monatliche Durchschnittsbruttoeinkommen der Einzelperson, d.h.:
   * das 30-fache der täglichen Durchschnittssumme des Einkommens, das als Grundeinkommen für die Geldbeiträge der Gesundheitsvorsorge dient, wenn die anspruchsberechtigte Person im Kalenderjahr direkt vor Antragsstellung ein Einkommen erwirtschaftet hat;
   * das 30-fache der täglichen Durchschnittssumme des täglichen Einkommens von 180 Kalendertagen, das als Grundeinkommen für die Geldbeiträge der Gesundheitsvorsorge dient und der Antragsstellung vorausgegangen ist, wenn die anspruchsberechtigte Person kein Einkommen in dem Kalenderjahr direkt vor Antragsstellung erwirtschaftet hatte;
   * das Einkommen von mindestens 180 Kalendertagen, das direkt vor Startdatum der Anspruchsberechtigung auf Krankengeld (Táppénz) oder Arbeitsunfallkrankengeld (Baleseti táppénz) erwirtschaftet wurde, wenn die anspruchsberechtigte Person eine dieser Leistungen während des gesamten Referenzzeitraumes oder auf jeden Fall für einen Teil dieses Zeitraumes bezogen hat und wenn dies vorteilhafter ist.
Wenn die Bedingung der 180 Tage nicht erfüllt wird, erhält der Empfänger den Mindestbetrag (siehe Tabelle V, „Leistungen, Mindest- und Höchstleistungen“).</t>
  </si>
  <si>
    <t xml:space="preserve">Rehabilitationsleistung (rehabilitációs ellátás):
   * Personen, deren Rehabilitation noch möglich ist:
   * Mindestbetrag: 30% des Grundbetrags (d.h. HUF42.620 monatlich);
   * Höchstbetrag: 40% des Grundbetrags (d.h. HUF56.825 monatlich).
   * Personen, die dauerhafte Rehabilitation benötigen:
   * Mindestbetrag: 40% des Grundbetrags (d.h. HUF56.825 monatlich);
   * Höchstbetrag: 50% des Grundbetrags (d.h. HUF71.030 monatlich).
Invaliditätsleistung (rokkantsági ellátás):
   * Personen, deren Rehabilitation noch möglich ist (d.h. Personen mit einem Gesundheitszustand zwischen 51% und 60%):
   * Mindestbetrag: 30% des Grundbetrags (d.h. HUF42.620 monatlich)
   * Höchstbetrag: 45% des Grundbetrags (d.h. HUF63.930 monatlich)
   * Personen, die dauerhafte Rehabilitation benötigen (d.h. Personen mit einem Gesundheitszustand zwischen 31% und 50%):
   * Mindestbetrag: 45% des Grundbetrags (d.h. HUF63.930 monatlich)
   * Höchstbetrag: 150% des Grundbetrags (d.h. HUF213.090 monatlich)
   * Personen, die mit dauerhafter Unterstützung beschäftigt werden können:
   * Mindestbetrag: 50% des Grundbetrags (d.h. HUF71.030 monatlich)
   * Höchstbetrag: 150% des Grundbetrags (d.h. HUF213.090 monatlich)
   * Personen, die nicht in der Lage sind, sich selbst zu versorgen oder dazu dauerhafte Unterstützung benötigen:
   * Mindestbetrag: 55% des Grundbetrags (d.h. HUF78.135 monatlich)
   * Höchstbetrag: 150% des Grundbetrags (d.h. HUF213.090 monatlich)
</t>
  </si>
  <si>
    <t>Staatliches Gesundheitskartensystem (közgyógyellátás) für Personen:
   * mit Anspruch auf Invaliditätsleistung (rokkantsági ellátás) mit einem Gesundheitszustand, der auf 30% des normalen Zustands oder weniger eingeschätzt wird, oder
   * mit Anspruch auf Invaliditätsleistung (rokkantsági ellátás) und mit Anspruch am 31. Dezember 2011 auf Invaliditätsrente der Stufen I und II oder Erwerbsunfähigkeitsrente bei Arbeitsunfall oder Berufskrankheit (Baleseti rokkantsági nyugdíj),
   * die eine Altersrente (öregségi nyugdíj) beziehen und die einen Anspruch auf Invaliditätsleistung (rokkantsági ellátás) vor dem Anspruch auf Altersrente hatten.
Beihilfe für Pflegepersonen (Ápolási díj) und Beihilfe für häusliche Kinderpflege (Gyermekek otthongondozási díja): siehe Tabelle XII zu „Langzeitpflege“ für nähere Informationen.
Invaliditätsleibrente (Rokkantsági járadék): für Personen mit einer Gesundheitsbeeinträchtigung von mindestens 70%, die vor dem Erreichen des 25. Lebensjahrs eintritt, die keine Rente oder Leistungen für Personen mit veränderter Erwerbsfähigkeit (megváltozott munkaképességű személyek ellátásai) erhalten, kann diese Leistung erst nach dem Erreichen des 18. Lebensjahrs gewährt werden. Die Höhe der Rente beträgt HUF60.715 (€152) monatlich.</t>
  </si>
  <si>
    <t>Erste Säule:
Altersrente für Frauen mit einem Anwartschaftszeitraum von 40 Jahren (Öregségi nyugdíj nők számára 40 év jogosultsági idővel) ungeachtet ihres Alters.
Der Anwartschaftszeitraum bezieht sich auf jede Versicherungszeit der Erwerbstätigkeit oder den Bezug von Leistung bei Schwangerschaft und Geburt (Terhességi- gyermekágyi segély) (bis 31. Dezember 2014), Mutterschaftsgeld (Csecsemőgondozási díj), Kinderbetreuungsgeld (Gyermekgondozási díj), Geld für die Kinderbetreuung zuhause (Gyermekgondozási segély) (bis zum 31. Dezember 2015), Erziehungsgeld (Gyermekgondozást segítő ellátás) (ab dem 1. Januar 2016) und Erziehungsgeld für kinderreiche Familien (Gyermeknevelési támogatás), oder Beihilfe für Pflegepersonen bei Pflege eines Kindes mit Behinderung (Ápolási díj), Beihilfe für häusliche Kinderpflege (Gyermekek otthongondozási díja), Adoptionsbeihilfe (Örökbefogadói díj) (ab 1. Januar 2020). Zusätzlich zu den Bezugszeiträumen der oben genannten Mutterschafts- /Familienleistungen wird ein Mindestbeschäftigungszeitraum von 32 Jahren benötigt oder bei Bezug von Beihilfe für Pflegepersonen (Ápolási díj), festgelegt auf der Grundlage des Rechts des Kindes oder Beihilfe für häusliche Kinderpflege (Gyermekek otthongondozási díja) ein Beschäftigungszeitraum von mindestens 30 Jahren. Der Anspruchszeitraum wird um ein Jahr pro Kind im Haushalt gekürzt, für Mutter mit fünf oder mehr Kindern und einer maximalen Verringerung von 7 Jahren.
Zusätzlich können einige Leistungen vor Erreichen des Rentenalters gewährt werden, bei denen es sich nicht um Altersrenten handelt:
   * Leistung vor dem Rentenalter (Korhatár előtti ellátás) für Personen, die das Rentenalter noch nicht erreicht haben und eine vorgezogene Altersrente bezogen haben (Korkedvezményes öregségi nyugdíj), Rente für Bergleute (Bányásznyugdíj) oder Rente für Künstler (Művésznyugdíj) am 31. Dezember 2011;
   * Übergangsrente für Bergleute (Átmeneti bányászjáradék) für Personen, die mindestens 25 Versicherungsjahre und 5.000 Schichten in Bergwerken geleistet haben;
   * Leibrente für Tanzkünstler (Táncművészeti életjáradék) für Personen, die mindestens 25 Versicherungsjahre als Tänzer in einer im Gesetz aufgeführten Kompagnie geleistet haben;
   * Leistungen für das Militär (Szolgálati járandóság) für Personen, die aufgrund von Invalidität Anspruch auf Dienstrenten für Angehörige der Streitkräfte hatten (Szolgálati nyugdíj) und bis 31. Dezember 2011 25 Versicherungsjahre geleistet hatten.</t>
  </si>
  <si>
    <t>Erste Säule:
   * nationaler Militärdienst (öffentlicher Dienst);
   * Zeiten des Anspruchs auf Leistung bei Schwangerschaft und Geburt (Terhességi-gyermekágyi segély) (bis 31. Dezember 2014), Mutterschaftsgeld (Csecsemőgondozási díj), Krankengeld (Táppénz), Arbeitsunfallkrankengeld (Baleseti táppénz), Kinderbetreuungsgeld (Gyermekgondozási díj), Adoptionsbeihilfe (Örökbefogadói díj) (ab 1. Januar 2020), Geld für die Kinderbetreuung zuhause (Gyermekgondozási segély) (bis 31. Dezember 2015), Erziehungsgeld (Gyermekgondozást segítő ellátás) (ab 1. Januar 2016) und Erziehungsgeld für kinderreiche Familien (Gyermeknevelési támogatás), Beihilfe für Pflegepersonen (Ápolási díj);
   * Zahlungszeiträume von Arbeitslosengeld (Álláskeresési járadék), Arbeitslosenhilfe vor der Rente (Nyugdíj előtti álláskeresési segély) und frühere Leistungen bei Arbeitslosigkeit, wenn der Beitrag geleistet wurde;
   * Zeiten der höheren Bildung vor 1, Januar 1998 (und danach, sofern es sich um eine Vollzeitausbildung handelt und Beiträge als Teil der Vereinbarung gezahlt wurden);
   * Rehabilitationsrente (Rehabilitációs járadék), die aufgrund verminderter Erwerbsfähigkeit von 2008 bis 31. Dezember 2011 für die Gesamtdauer der Rehabilitationsleistung (Rehabilitációs ellátás) gezahlt wurde (nach 31. Dezember 2011).</t>
  </si>
  <si>
    <t>Erste Säule:
Jede volljährige Person kann eine Vereinbarung schließen zum Zweck des Erwerbs von Einkommen als Rentenbasis und zum Erhalt von Versicherungszeit, die einer Verpflichtung zur Zahlung der (individuellen) Rentenbeiträge von Arbeitgebern und Arbeitnehmern unterliegt, welche basierend auf dem Mindestlohn berechnet werden, der am Tag des Abschlusses der Vereinbarung maßgeblich ist.
Der Rückkauf von Versicherungszeit hilft bei der Gewinnung von Versicherungsjahren, wodurch die Berechnung des Rentenbetrags beeinflusst wird. Dies ist anwendbar auf:
   * Zeiten eines Vollzeitstudiums an einer Hochschuleinrichtung (einschließlich Promotionsstudium);
   * die Versicherungszeit, die nötig ist, um die 20 Versicherungsjahre zu erreichen, welche für die vollen Altersleistungen des Sozialversicherungssystems erforderlich sind (oder die 15 Jahre, die für die Teilruhestandsrente nötig sind), kann höchstens 5 Kalenderjahre betragen;
   * Erziehungszeiträume, im Jahr 1998, in denen Geld für die Kinderbetreuung zuhause (Gyermekgondozási segély) erbracht wurde.</t>
  </si>
  <si>
    <t>Bezug einer Altersrente oder Erfüllung der Mindestversicherungszeit für eine Altersrente zum Todeszeitpunkt (altersabhängig).
Anspruchsberechtigung auf Witwen-/Witwerrente (Özvegyi nyugdíj) ist davon abhängig, ob die verstorbene Person eine der folgenden Bedingungen erfüllt hat:
   * verstorben vor Erreichen des 22. Lebensjahres und
   * in den 180 Kalendertagen seit Beendigung des Studiums Versicherungszeiten angesammelt haben oder
   * insgesamt mindestens 2 Jahre Versicherungszeit angesammelt haben,
   * verstorben zwischen 22-25 Jahren und mindestens 4 Jahre Versicherungszeit angesammelt haben,
   * verstorben zwischen 25-30 Jahren und mindestens 6 Jahre Versicherungszeit angesammelt haben,
   * verstorben zwischen 30-35 Jahren und mindestens 8 Jahre Versicherungszeit angesammelt haben,
   * verstorben zwischen 35-45 Jahren und mindestens 10 Jahre Versicherungszeit angesammelt haben,
   * verstorben mit über 45 Jahren und mindestens 15 Jahre Versicherungszeit angesammelt haben.
Hat die verstorbene Person nicht die oben genannten Versicherungszeiten angesammelt, jedoch die erforderlichen Versicherungszeiten für eine jüngere Alterskohorte angespart (wie oben aufgeführt), kann Hinterbliebenenleistung gewährt werden, vorausgesetzt, die Versicherungszeit wurde bis zum Todesdatum nicht durch einen Zeitraum von mehr als 30 Kalendertagen unterbrochen.</t>
  </si>
  <si>
    <t>Witwen- bzw. Witwerrente (Özvegyi nyugdíj)
Die Anspruchsberechtigung wird bestimmt durch Heirat oder eingetragene Lebenspartnerschaft und das Zusammenleben mit dem Verstorbenen.
Die Rente:
   * wird befristet auf 1 Jahr (verlängert auf 18 Monate, wenn der hinterbliebene Ehepartner die Fürsorge für das Kind (unter 18 Monaten) des Verstorbenen übernimmt);
   * oder wird für höchstens 3 Jahre gewährt, wenn der hinterbliebene Ehegatte ein Kind versorgt, das als behindert oder dauerhaft krank gilt;
   * oder wird in eine dauerhafte Rente umgewandelt, wenn der Ehepartner:
   * das Rentenalter überschritten hat oder
   * als eine Person mit veränderter Erwerbsfähigkeit angesehen wird oder
   * mindestens zwei minderjährige Kinder (mit Anspruch auf Waisenrente) hat oder einen mit dem Verstorbenen verwandten Waisen (mit Anspruch auf Waisenrente) pflegt, der behindert oder dauerhaft krank ist.
Diese Bedingungen gelten auch innerhalb von 10 Jahren nach Einstellung der Zahlung von Witwen- bzw. Witwerrente (Özvegyi nyugdíj), wenn die Anspruchsbedingungen erfüllt sind.
Wenn der verstorbene Ehegatte zum Zeitpunkt der Heirat das Rentenalter überschritten hatte, so hat die hinterbliebene Person nur dann Anspruch auf die Leistung, wenn sie länger als 5 Jahre mit der verstorbenen Person zusammengelebt hat oder ein gemeinsames Kind vorhanden ist.
Der geschiedene Ehegatte hat nur dann Anspruch, wenn die Trennung weniger als ein Jahr zurückliegt.
War der Ehegatte länger als ein Jahr vom Verstorbenen getrennt, besteht nur dann ein Anspruch, wenn die Person Unterhaltszahlungen vom Verstorbenen erhalten hat.
Für Männer und Frauen gelten die gleichen Bedingungen.</t>
  </si>
  <si>
    <t>Elternrente (Szülői nyugdíj):
Für (Groß-)Eltern, deren (Enkel-)Kind die erforderliche Versicherungszeit für eine Witwen- bzw. Witwerrente (Özvegyi nyugdíj) erfüllten, wenn die Eltern oder Großeltern:
   * zum Zeitpunkt des Todes des (Enkel-)Kindes als eine Person mit veränderter Erwerbstätigkeit angesehen werden oder mindestens 65 Jahre alt sind, und
   * während des vergangenen Jahres von ihrem (Enkel-)Kind abhängig waren.
Pflegeeltern haben nur Anspruch auf die Leistung, wenn sie ihr Pflegekind mindestens 10 Jahre lang versorgt haben.</t>
  </si>
  <si>
    <t>Witwen bzw. Witwer:
   *              Grundrente (Βασική Σύνταξη) : 100 % des versicherungspflichtigen Grundentgelts (Βασικές Ασφαλιστέες Αποδοχές) (im Fall von 3 abhängigen Familienmitgliedern). 
   *              Zusatzrente (Συμπληρωματική Σύνταξη) : Keine gesetzliche Höchstrente. Basierend auf der Beitragsbemessungsgrenze beträgt der Höchstbetrag der Zusatzrente € 1.572,43 pro Monat (für Personen, die im Jahr 2025 berechtigt werden). 
Halbwaisen:
   *              Grundrente (Βασική Σύνταξη) : 20 % des versicherungspflichtigen Grundentgelts (Βασικές Ασφαλιστέες Αποδοχές) = € 42,71 pro Woche pro Waise für bis zu drei Waisen. 
Vollwaisen:
   *              Grundrente (Βασική Σύνταξη) : 40 % des versicherungspflichtigen Grundentgelts = € 85,42 pro Woche für jedes Kind. 
   *              Zusatzrente (Συμπληρωματική Σύνταξη) : Bei mehr als zwei Waisen kann der Betrag der Zusatzrente für Witwen bzw. Witwer nicht überschritten werden. 
Für die Definition von versicherungspflichtigem Entgelt siehe Tabelle I zu Finanzierung – Allgemeine Sozialbeitragssätze.</t>
  </si>
  <si>
    <t>Sterbegeld (Βοήθημα Κηδείας) :
   *              Beim Tod einer versicherten Person oder eines Rentenempfängers: Pauschale von € 621,82 (ab dem 1. Januar 2025). 
   *              Beim Tod eines abhängigen Familienmitglieds einer versicherten Person oder eines Rentenempfängers: Pauschale von € 310,91 (ab dem 1. Januar 2025). 
Die Bedingungen für diese Leistung entsprechen den Bedingungen für die Witwenrente im Fall eines Unfalltodes (kein Arbeitsunfall).
Bei Tod durch Arbeitsunfall oder Berufskrankheit wird die Leistung auch dann gewährt, wenn die Versicherungsbedingungen nicht erfüllt sind.
Beim Tod eines Rentenempfängers wird das Sterbegeld ohne zusätzliche Bedingungen gezahlt.</t>
  </si>
  <si>
    <t xml:space="preserve">   *              Versicherungspflichtiges Grundentgelt (Βασικές Ασφαλιστέες Αποδοχές) : jährliche Anpassung entsprechend den Löhnen und Gehältern. 
   *              Grundrenten (Βασική Σύνταξη) werden jeweils zum Jahresanfang entsprechend der Steigerung des versicherungspflichtigen Grundentgelts angepasst.  
   *              Die Zusatzrente (Συμπληρωματική Σύνταξη) wird am gleichen Tag an die Grundrente entsprechend der Steigerung des Lebenshaltungsindex angepasst (Vergleich zwischen den zweiten Halbjahren der letzten beiden Jahre). Die Steigerung der Zusatzrente kann die Steigerung der Grundrente nicht überschreiten. 
   *              Die Renten (Grund- und Zusatzrente) werden zusätzlich jeden Juli an die Steigerung des Lebenshaltungsindex (Vergleich des ersten Halbjahrs eines Jahres mit dem zweiten Halbjahr des vorangegangenen Jahres) angepasst, wenn diese mindestens 1 % beträgt. Diese Steigerung wird bei der Rentenanpassung zu Beginn des Folgejahres berücksichtigt. 
Für die Definition von versicherungspflichtigem Entgelt siehe Finanzierung – Allgemeine Sozialbeitragssätze.</t>
  </si>
  <si>
    <t>Altersgrenzen:
   *              Normal: 15 Jahre, 
   *              ledige Söhne in Vollzeitausbildung oder Militärdienst: 25 Jahre, 
   *              ledige Töchter in Vollzeitausbildung: 23 Jahre, 
   *              keine Altersgrenze für ledige Kinder, die nicht in der Lage sind, für sich selbst zu sorgen. </t>
  </si>
  <si>
    <t>Die Beiträge der verstorbenen Person werden unter folgenden Versicherungsbedingungen berücksichtigt, wenn die verstorbene Person das Rentenalter noch nicht erreicht hat:
   *              Die verstorbene Person muss mindestens 156 Wochen versichert gewesen sein; 
   *              Gezahlte Grundversicherung bis zum Todestag muss mindestens dem 156-fachen des wöchentlichen versicherungspflichtigen Grundentgelts (Βασικές Ασφαλιστέες Αποδοχές), also € 213,54 pro Woche (3 Versicherungspunkte zur Grundversicherung) entsprechen; 
   *              die Anzahl der Versicherungspunkte der gezahlten und gleichgestellten Grundversicherung für den Zeitraum zwischen dem dem 1. Tag des Jahres, in dem das 16. Lebensjahr vollendet wurde und der Woche vor derjenigen, in der die Anspruchsberechtigung beginnt, beträgt mindestens 25 % der in diesem Zeitraum umfassten Jahre. 
Wenn die verstorbene Person eine gesetzliche Rente bezog oder eine gesetzliche Rente bezogen hätte, wenn sie diese angefordert hätte, sind die Versicherungsbedingungen die gleichen wie für die Altersrente (siehe Tabelle VI zu Alter, Mindestversicherungszeit und sonstige Bedingungen für den Bezug einer Altersrente).
Wenn der Verstorbene nach Erreichen des Rentenalters eine Ehe eingegangen ist, hat die Witwe/ der Witwer Anspruch auf die Rente des Ehepartners, wenn die Ehe mindestens 5 Jahre bestand.
Falls der Tod durch einen Unfall verursacht wurde (kein Arbeitsunfall) :
   *              Die verstorbene Person muss bis zum Todeszeitpunkt mindestens 26 Wochen versichert gewesen sein, 
   *              die gezahlte Grundversicherung entspricht zum Todeszeitpunkt mindestens dem 26-fachen des wöchentlichen versicherungspflichtigen Grundentgelts (0,5 Versicherungspunkt) und 
   *              Gezahlte oder gleichgestellte Versicherung im relevanten Beitragsjahr entspricht mindestens dem 20-fachen des wöchentlichen versicherungspflichtigen Grundentgelts (0,39 Versicherungspunkt). 
Diese Versicherungsbedingungen gelten für hinterbliebene Ehegatten und Halbwaisen. Bei Vollwaisen ist allein erforderlich, dass ein Elternteil sozialversichert war.
Falls die Versicherungsbedingungen nicht erfüllt sind, erfolgt eine Pauschalzahlung. Wenn die verstorbene Person das Rentenalter nicht erreicht hat und die Grundversicherung, der mindestens dem 156-fachen des wöchentlichen versicherungspflichtigen Grundentgelts (Βασικές Ασφαλιστέες Αποδοχές) entspricht (mindestens 3 Versicherungspunkte) , gezahlt hat, wird der Pauschalbetrag gewährt. Wenn die verstorbene Person eine gesetzliche Rente bezog oder eine Altersrente bezogen hätte, wenn sie diese angefordert hätte, sind die Versicherungsbedingungen für den Pauschalbetrag die gleichen wie für den Pauschalbetrag der gesetzlichen Rente.
Definitionen:
Grundversicherung: versicherungspflichtiges Entgelt unterhalb des versicherungspflichtigen Grundentgelts (bis zu einem Versicherungspunkt).
Zusatzversicherung: versicherungspflichtiges Entgelt über dem Einkommensgrundbetrag (mehr als ein Versicherungspunkt).
Ein Versicherungspunkt: entspricht dem 52-fachen des wöchentlichen Grundbetrags = € 11.104.
Relevantes Beitragsjahr: das letzte Beitragsjahr vor dem Leistungsjahr, welches das Datum der Erfüllung der entsprechenden Bedingungen umfasst.
Leistungsjahr: der Zeitraum beginnt am ersten Montag im Juli jeden Jahres und endet am letzten Sonntag vor dem ersten Montag im Juli des Folgejahres.
Für die Definition von versicherungspflichtigem Entgelt siehe Finanzierung – Allgemeine Sozialbeitragssätze.</t>
  </si>
  <si>
    <t xml:space="preserve">   *               Witwen und Witwer (für Witwer nur, falls die Verstorbene seit dem 1.Janur 2018 verstorben ist), 
   *               abhängige Kinder. </t>
  </si>
  <si>
    <t xml:space="preserve">   *              Arbeitnehmer im elterlichen Betrieb in der Landwirtschaft. 
   *              beim Ehepartner angestellter Arbeitnehmer. 
   *              Selbstständige in der Landwirtschaft im Alter unter 16 Jahren. 
</t>
  </si>
  <si>
    <t xml:space="preserve">   *              Versicherungspflichtiges Grundentgelt (Βασικές Ασφαλιστέες Αποδοχές) : jährliche Anpassung entsprechend den Löhnen und Gehältern. 
   *              Grundrenten (Βασική Σύνταξη) werden jeweils zum Jahresanfang entsprechend der Steigerung des versicherungspflichtigen Grundentgelts angepasst. Die Zusatzrente (Συμπληρωματική Σύνταξη) wird am gleichen Tag an die Steigerung des Lebenshaltungsindex angepasst (Vergleich zwischen den zweiten Halbjahren der letzten beiden Jahre). Die Steigerung der Zusatzrente kann die Steigerung der Grundrente nicht überschreiten. 
   *              Die Renten (Grund- und Zusatzrente) werden zusätzlich jeden Juli an die Steigerung des Lebenshaltungsindex (Vergleich des ersten Halbjahrs eines Jahres mit dem zweiten Halbjahr des vorangegangenen Jahres) angepasst, wenn diese mindestens 1 % beträgt. Diese Steigerung wird bei der Rentenanpassung zu Beginn des Folgejahres berücksichtigt. 
Für die Definition von versicherungspflichtigem Entgelt siehe Tabelle I zu Finanzierung – Allgemeine Sozialbeitragssätze.</t>
  </si>
  <si>
    <t>85 % der vollen Grundrente (Βασική Σύνταξη) basierend auf dem versicherungspflichtigen Grundentgelt (Βασικές Ασφαλιστέες Αποδοχές).
   *              Für eine alleinstehende Person beläuft sich die Mindestrente auf € 108,91 pro Woche (85 % x 60 % x € 213,54),  
   *              für eine Person mit einer unterhaltsberechtigten Person auf € 145,21 pro Woche (85 % x 80 % x € 213,54) ,  
   *              für eine Person mit zwei unterhaltsberechtigten Personen auf € 163,36 pro Woche (85 % x 90 % x € 213,54) und  
   *              für eine Person mit drei unterhaltsberechtigten Personen auf € 181,51 pro Woche (85 % x 100 % x € 213,54). </t>
  </si>
  <si>
    <t>Gleichgestelltes versichertes Einkommen für Zeiten von:
   *              Arbeitslosigkeit, 
   *              Arbeitsunfähigkeit, 
   *              Mutterschaft, 
   *              Vaterschaft, 
   *              Invalidität, 
   *              Militärdienst, 
   *              Ausbildung, 
   *              Erziehungsurlaub (bis zu 6 Jahren) , 
   *              Anrechnung der Erziehung eines Kindes von bis zu 156 Wochen pro Kind für Frauen, die nach dem 31.12.1992 Anspruch auf Rente erlangt haben und aufgrund der Erziehung eines Kindes unter 12 Jahren keine Beiträge entrichten konnten. 
Für die Definition von versicherungspflichtigem Entgelt siehe Tabelle I zu Finanzierung – Allgemeine Sozialbeitragssätze.</t>
  </si>
  <si>
    <t>63 Jahre für Männer und Frauen, wenn die versicherte Person:
   *              alle Versicherungsbedingungen erfüllt und die Anzahl der Versicherungspunkte der gezahlten und gleichgestellten Grundversicherung muss mindestens 70 % anstatt 30 % der in diesem Zeitraum umfassten Jahre entsprechen (siehe Tabelle VI zu Alter - Mindestversicherungszeit und sonstige Kriterien für den Bezug einer Altersrente); 
   *              oder unmittelbar vor Vollendung des 63. Lebensjahres Anspruch auf Invaliditätsrente (Σύνταξη Ανικανότητας) erlangt hat. 
Zwischen 63 und 65 Jahren alt ist, wenn sie Anspruch auf Invaliditätsrente hätte, aber nicht das Höchstalter (63 Jahre) überschritten hatte.
50 Jahre für Männer und Frauen mit Thalassämie.
Ein Empfänger von Altersrente, der zwischen dem vorzeitigen Rentenbeginn und der Vollendung des 65. Lebensjahres Beiträge vom versicherungspflichtigen Entgelt entrichtet hat, hat Anspruch auf eine wöchentliche Erhöhung der Rente um 1/52 von 1,5 % dieses versicherungspflichtigen Entgelts.</t>
  </si>
  <si>
    <t>Grund- (Βασική Σύνταξη) und Zusatzrente (Συμπληρωματική Σύνταξη):
Der Anspruch hängt von der Versicherungszeit und den Beitragszahlungen ab:
   *              Die Person muss mindestens 780 Wochen bis zum Erreichen des Rentenalters versichert gewesen sein (diese Zahl steigt jedes Kalenderjahr schrittweise an, um 780 Wochen von dem ersten Montag in 2017 an zu erreichen), 
   *              die gezahlte Grundversicherung bis zum Rentenalter muss mindestens das 780-fache des wöchentlichen versicherungspflichtigen Grundentgelts (Βασικές Ασφαλιστέες Αποδοχές), also € 213,54 pro Woche betragen (mindestens 15 Versicherungspunkte zur Grundversicherung), 
   *              die Anzahl der Versicherungspunkte der gezahlten und gleichgestellten Grundversicherung für den Zeitraum dem 1. Tag des Jahres, in dem das Alter von 16 Jahren erreicht wurde und der Woche vor derjenigen, in der die Anspruchsberechtigung beginnt, beträgt mindestens 30 % der in diesem Zeitraum umfassten Jahre. 
Die Beitragspflicht endet mit Erreichen des Rentenalters (65 Jahre). Falls bis dahin die Versicherungsbedingungen für die gesetzliche Rente (Θεσμοθετημένη Σύνταξη) noch nicht erfüllt sind, sind auch weiterhin Beiträge zu entrichten, bis die Versicherungsbedingungen für die gesetzliche Rente erfüllt sind, jedoch maximal bis zur Vollendung des 68. Lebensjahres.
Personen, die im Alter von 68 Jahren die Versicherungsbedingungen nicht erfüllen und die die Grundversicherung, die mindestens dem 312-fachen des wöchentlichen versicherungspflichtigen Grundentgelts (Βασικές Ασφαλιστέες Αποδοχές) (mindestens sechs Versicherungspunkte zur Grundversicherung) entspricht, gezahlt haben, haben Anspruch auf eine Pauschalzahlung in Höhe von 15 % des Wertes der Versicherungspunkte der gezahlten und gleichgestellten Versicherung.
Eine besondere Leistung für Personen mit Thalassämie im Alter von 50 Jahren ab dem 28.12.2020: Der Anspruch hängt von den Mtgliedszeiten und den wie oben beschriebenen Beiträgen ab:
   *      Die versicherte Person muss mindestens 520 Wochen bis zum rentenfähigen Alter versichert sein, 
   *      Die bezahlte Grundversicherung bis zum rentenfähigen Alter muss mindestens dem 520-fachen des wöchentlichen Grundversicherungsvermögens  von € 213,54 pro Woche entsprechen (mindestens 10 Versicherungspunkte bei der Grundversicherung), 
   *      Die Anzahl der ausgezahlten Versicherungspunkte und der angepassten Grundversicherung für den Zeitraum zwischen dem ersten Tag des Jahres, an dem das 16. Lebensjahr erreicht wurde, und der Woche vor der Woche, die den Tag des Anspruchs einschließt, entspricht mindestens 30 % der in diesem Zeitraum einbezogenen Jahren.  
Definitionen:
Grundversicherung: versicherungspflichtiges Entgelt unterhalb des versicherungspflichtigen Grundentgelts (bis zu einem Versicherungspunkt).
Zusatzversicherung: versicherungspflichtiges Entgelt über dem Einkommensgrundbetrag (mehr als ein Versicherungspunkt).
Ein Versicherungspunkt: entspricht dem 52-fachen des wöchentlichen Grundbetrags = € 11.104.
Grundrente (Βασική Σύνταξη) :
Durchschnittliches jährlich gezahltes oder gleichgestelltes versicherungspflichtiges Entgelt ab dem 1. Tag des Jahres, in dem das 16. Lebensjahr vollendet wurde bis zum Rentenalter in Höhe des 52 fachen des versicherungspflichtigen Grundentgelts (Βασικές Ασφαλιστέες Αποδοχές) von € 213,54 pro Woche (ein Versicherungspunkt).
Es gibt das Konzept einer „vollen Rente“ bei der Grundrente. Eine versicherte Person muss über vollständige Grundversicherungszeiten ab dem Alter von 16 Jahren bis zum Alter von 63 Jahren (47 gezahlte oder gleichgestellte Jahre) oder bis zum Alter von 65 Jahren (49 gezahlte oder gleichgestellte Jahre) verfügen, um die „volle Grundrente“ zu beziehen.
Zusatzrente (Συμπληρωματική Σύνταξη):
Kein Konzept einer „vollen Rente“.
Für die Definition von versicherungspflichtigem Entgelt siehe Tabelle I zu Finanzierung – Allgemeine Sozialbeitragssätze.</t>
  </si>
  <si>
    <t xml:space="preserve">   *              Arbeitnehmer im elterlichen Betrieb in der Landwirtschaft. 
   *              beim Ehepartner angestellter Arbeitnehmer. 
   *              Selbstständige im Landwirtschaftssektor im Alter unter 16 Jahren. </t>
  </si>
  <si>
    <t>Kumulierung möglich mit:
   *              Arbeitsunfallrente (Σύνταξη Αναπηρίας) nur, falls die Person den Unfall vor dem 6. Oktober 1980 erlitten hat, 
   *              Witwenrente. 
Hat ein Leistungsempfänger Anspruch auf Krankengeld (Επίδομα Ασθενείας) , Arbeitslosengeld (Επίδομα Ανεργίας) , Arbeitsunfallgeld (Επίδομα Σωματικής Βλάβης) und Arbeitsunfallrente wegen eines Unfalls nach dem 6. Oktober 1980, so wird allein die höchste Leistung ausgezahlt.</t>
  </si>
  <si>
    <t xml:space="preserve">   *              Versicherungspflichtiges Grundentgelt (Βασικές Ασφαλιστέες Αποδοχές) : jährliche Anpassung entsprechend den Löhnen und Gehältern. 
   *              Grundrenten (Βασική Σύνταξη) werden jeweils zum Jahresanfang entsprechend der Steigerung des versicherungspflichtigen Grundentgelts angepasst. Zusatzrenten (Συμπληρωματική Σύνταξη) werden am gleichen Tag an die Steigerung des Lebenshaltungsindex angepasst (Vergleich zwischen den zweiten Halbjahren der letzten beiden Jahre). Die Steigerung von Zusatzrenten kann die Steigerung der Grundrenten nicht überschreiten. 
   *              Die Renten (Grund- und Zusatzrente) werden zusätzlich jeden Juli an die Steigerung des Lebenshaltungsindex (Vergleich des ersten Halbjahrs eines Jahres mit dem zweiten Halbjahr des vorangegangenen Jahres) angepasst, wenn diese mindestens 1 % beträgt. Diese Steigerung wird bei der Rentenanpassung zu Beginn des Folgejahres berücksichtigt. 
Für die Definition von versicherungspflichtigem Entgelt siehe Tabelle I zu Finanzierung – Allgemeine Sozialbeitragssätze.</t>
  </si>
  <si>
    <t>Die Grundrente wird in Relation zur Anzahl der abhängigen Familienmitglieder erhöht (siehe oben „Berechnungsmethode bzw. Rentenformel oder Beträge“).
   *              ein Ehepartner gilt als abhängiges Familienmitglied, wenn er/sie mit dem anderen Ehepartner zusammenlebt oder von diesem unterhalten wird und weder selbst eine Rente des Sozialversicherungsfonds (Ταμείο Κοινωνικών Ασφαλίσεων) erhält noch erwerbstätig ist. 
   *              Abhängige Kinder müssen unter 15 Jahre alt sein (unter 25 bei unverheirateten Söhnen in Vollzeitausbildung oder Wehrdienst und unter 23 bei unverheirateten Töchtern in Vollzeitausbildung) ; ohne Altersbeschränkung für Kinder, die permanent unfähig sind, sich selbst zu versorgen. 
   *              Falls beide Ehepartner eine Rente beziehen, wird die Erhöhung wegen abhängiger Kinder bei demjenigen vorgenommen, der Anspruch auf eine größere Erhöhung hat. 
   *              Sonstige abhängige Personen: Eltern oder jüngere Geschwister, falls sie überwiegend von der versicherten Person unterhalten werden. </t>
  </si>
  <si>
    <t>Gleichgestelltes versicherungspflichtiges Entgelt für Zeiten von:
   *              Arbeitslosigkeit, 
   *              Arbeitsunfähigkeit, 
   *              Mutterschaft, 
   *              Vaterschaft, 
   *              Invalidität, 
   *              Militärdienst, 
   *              Ausbildung, 
   *              Erziehungsurlaub, 
   *              Anrechnung der Erziehung eines Kindes von bis zu 156 Wochen pro Kind für Frauen, die nach dem 31.12.1992 Anspruch auf Rente erlangt haben und aufgrund der Erziehung eines Kindes unter 12 Jahren keine Beiträge entrichten konnten, 
   *              bei der Berechnung der Zusatzrente Zurechnung der Zeit zwischen dem Beginn der Invalidität bzw. dem Zeitpunkt des Todes und der Vollendung des 63. Lebensjahres. 
Für die Definition von versicherungspflichtigem Entgelt siehe Tabelle I zu Finanzierung – Allgemeine Sozialbeitragssätze.</t>
  </si>
  <si>
    <t>85 % der vollen Grundrente (Βασική Σύνταξη) basierend auf dem versicherungspflichtigen Grundentgelt (Βασικές Ασφαλιστέες Αποδοχές).
   *              Für eine alleinstehende Person beläuft sich die Mindestrente auf € 108,91 pro Woche (85 % x 60 % x € 213,54),  
   *              für eine Person mit einer unterhaltsberechtigten Person auf € 145,21 pro Woche (85 % x 80 % x € 213,54) ,  
   *              für eine Person mit zwei unterhaltsberechtigten Personen auf € 163,36 pro Woche (85 % x 90 % x € 213,54) und  
   *              für eine Person mit drei unterhaltsberechtigten Personen auf € 181,51 pro Woche (85 % x 100 % x € 213,54).  
Bei teilweiser Invalidität entsprechender Prozentsatz dieser Beträge.
Grundrente (Βασική Σύνταξη) :
100 % des versicherungspflichtigen Grundentgelts (Βασικές Ασφαλιστέες Αποδοχές) (einschließlich der Zulagen für maximal 3 abhängige Familienmitglieder).
Zusatzrente (Συμπληρωματική Σύνταξη) :
Keine gesetzliche Höchstrente.
Basierend auf der Beitragsbemessungsgrenze beträgt der Höchstbetrag der Zusatzrente für 100 % Invalidität € 2.561,91 pro Monat (für Personen, die im Jahr 2025 berechtigt werden).</t>
  </si>
  <si>
    <t>Vollinvalidität (Πλήρης ανικανότητα) :
   *              Grundrente (Βασική Σύνταξη) : 60 % des wöchentlichen Wertes des jährlichen Durchschnitts der Versicherungspunkte der gezahlten und gleichgestellten Grundversicherung (siehe oben unter Punkt 3 „Leistungen, 2. Mindestversicherungszeit“) , entsprechend erhöht auf 80 %, 90 % und 100 % für das erste, zweite und dritte abhängige Familienmitglied. Bei Leistungsempfängern ohne unterhaltsberechtigten Ehegatten wird die Grundrente für jedes abhängige Kind um 10 % (Höchstzahl abhängiger Kinder: 2). Für die Definition von abhängig siehe unten:„Zulagen für Unterhaltsberechtigte“). 
   *              Zusatzrente (Συμπληρωματική Σύνταξη) : 1,5 % des Gesamtwertes der Versicherungspunkte der gezahlten und gleichgestellten Zusatzversicherung des Anspruchsberechtigten während seiner gesamten Berufslaufbahn und zusätzlich des gleichgestellten versicherungspflichtigen Entgelts der Zusatzversicherung (siehe unten – voraussichtliches Guthaben) zwischen dem Zeitpunkt des Beginns der Invalidität und der Vollendung des 63. Lebensjahres des Versicherten, umgerechnet in wöchentliche Beträge durch Division durch 52. 
Ein Versicherter kann gleichzeitig Anspruch auf eine Hinterbliebenenrente und eine Invaliditätsrente haben. In diesem Fall ist die Zusatzrente beider Ansprüche auf eine bestimmte Summe von Versicherungspunkten beschränkt.
Gleichgestelltes versicherungspflichtiges Entgelt (voraussichtliches Guthaben) : Wird eine versicherte Person vor Vollendung des 63. Lebensjahres erwerbsunfähig oder stirbt, gilt die Zeit zwischen Eintritt der Erwerbsunfähigkeit oder des Todes und dem 63. Geburtstag als Versicherungszeit. Das gleichgestellte Einkommen für diesen Zeitraum basiert auf dem durchschnittlichen versicherungspflichtigen Entgelt der Zusatzversicherung der Person (zu berücksichtigen ist dabei die höchste der folgenden drei Optionen) :
   *              während der letzten fünf Jahre vor dem Zeitpunkt des Todes oder Erwerbsunfähigkeit (vorausgesetzt, dass 5 Versicherungsjahre bestehen) oder 
   *              seit dem 6. Oktober 1980 (oder das Jahr in dem die Person das Alter von 16 Jahren erreicht hat, wenn dies nach dem 6. Oktober 1980 ist, bis zur Woche, in der die Erwerbsunfähigkeit oder  
   *              der Tod eintrat oderdas Jahr, in dem die Person das Alter von 25 Jahren erreicht hat, wenn dies nach dem 6. Oktober 1980 ist, bis zur Woche, in der die Erwerbsunfähigkeit oder der Tod eintrat. Unter keinen Umständen wird ein Zeitraum von weniger als 5 Jahren berücksichtigt. 
Teilinvalidität (Μερική Ανικανότητα) :
   *              bei Minderung der Erwerbsfähigkeit um 50 % bis 66,66 %: 60 % der vollen Invaliditätsrente (Σύνταξη Ανικανότητας). 
   *              bei Minderung der Erwerbsfähigkeit um 66,67 % bis 75 %: 75 % der vollen Invaliditätsrente. 
+F8   *              bei Minderung der Erwerbsfähigkeit um 76 % bis 99 %: 85 % der vollen Invaliditätsrente. 
Renten für Voll- und Teilinvalidität werden 13-mal jährlich gezahlt.
Für die Definition von versicherungspflichtigem Entgelt siehe Tabelle I zu Finanzierung – Allgemeine Sozialbeitragssätze.</t>
  </si>
  <si>
    <t>Der Leistungsanspruch hängt von der Versicherungszeit und den Beitragszahlungen ab:
   *              Mindestens 156 Versicherungswochen vor Beginn der Invalidität; 
   *              Gezahlte Grundversicherung bis zum Beginn der Invalidität muss mindestens dem 156-fachen des wöchentlichen versicherungspflichtigen Grundentgelts (Βασικές Ασφαλιστέες Αποδοχές) von € 213,54 entsprechen (3 Versicherungspunkte zur Grundversicherung) ; 
   *              Die Anzahl der Versicherungspunkte der gezahlten und gleichgestellten Grundversicherung für den Zeitraum zwischen dem 5. Oktober 1964 (bzw. falls die Person erst danach das 16. Lebensjahr vollendet hat, ab dem Beginn des Jahres, in dem das 16. Lebensjahr vollendet wurde) und der Woche vor der Woche des Beginns der Erwerbsunfähigkeit entspricht mindestens 25 % der in diesem Zeitraum umfassten Jahre und 
   *              Die gezahlte und gleichgestellte Versicherung des Jahres vor Beginn der Arbeitsunfähigkeit oder der Durchschnitt der Einkommen der letzten zwei Jahre entspricht mindestens dem 20-fachen des versicherungspflichtigen Grundentgelts (0,39 Versicherungspunkt). 
Falls die Invalidität durch einen Unfall eingetreten ist, gelten die gleichen Versicherungsbedingungen wie für Krankengeld (Επίδομα Ασθενείας) :
   *              Versicherungszeit von mindestens 26 Wochen bis zum Tag der Arbeitsunfähigkeit, 
   *              Die gezahlte Grundversicherung entspricht mindestens dem 26-fachen des versicherungspflichtigen Grundentgelts von € 213,54 pro Woche (0,50 Versicherungspunkt) und 
   *              Die gezahlte oder gleichgestellte Versicherung im relevanten Beitragsjahr entspricht mindestens dem 20-fachen des wöchentlichen versicherungspflichtigen Grundentgelts (0,39 Versicherungspunkt). 
Definitionen:
Grundversicherung: versicherungspflichtiges Entgelt unterhalb des versicherungspflichtigen Grundentgelts (bis zu einem Versicherungspunkt).
Zusatzversicherung: versicherungspflichtiges Entgelt über dem Einkommensgrundbetrag (mehr als ein Versicherungspunkt).
Ein Versicherungspunkt: entspricht dem 52-fachen des wöchentlichen Grundbetrags = € 11.104.
Relevantes Beitragsjahr: das letzte Beitragsjahr vor dem Leistungsjahr, welches das Datum der Erfüllung der entsprechenden Bedingungen umfasst.
Leistungsjahr: der Zeitraum beginnt am ersten Montag im Juli jeden Jahres und endet am letzten Sonntag vor dem ersten Montag im Juli des Folgejahres.
Für die Definition von versicherungspflichtigem Entgelt siehe Finanzierung – Allgemeine Sozialbeitragssätze.</t>
  </si>
  <si>
    <t xml:space="preserve">   *               Arbeitnehmer im elterlichen Betrieb in der Landwirtschaft. 
   *               beim Ehepartner angestellter Arbeitnehmer. 
   *               Selbstständige in der Landwirtschaft im Alter unter 16 Jahren. </t>
  </si>
  <si>
    <t xml:space="preserve">   *                   Arbeitnehmer, 
   *                   Selbstständige 
Der Anspruch auf Invaliditätsrente hängt nicht vom Wohnsitz oder von der Staatsangehörigkeit ab.
Freiwillige Versicherung möglich für Personen, die für zypriotische Arbeitgeber im Ausland tätig sind.
Die Beiträge der im Inland freiwillig Versicherten werden zwar bei der Leistungsberechnung, jedoch nicht bei der Prüfung der Anspruchsvoraussetzungen berücksichtigt.</t>
  </si>
  <si>
    <t>Als Folge einer besonderen Krankheit oder körperlicher oder geistiger Behinderung wird eine versicherte Person als erwerbsunfähig angesehen.
Vollinvalidität (Πλήρης ανικανότητα) :
100 % Minderung der Erwerbsfähigkeit: 100 % der Invaliditätsrente ((Σύνταξη Ανικανότητας).
Teilinvalidität (Μερική Ανικανότητα) :
Drei unterschiedliche Stufen:
   *               Bei Minderung der Erwerbsfähigkeit um 50 % bis 66,66 % (Alter zwischen 60 und 63 Jahren): 60 % der Invaliditätsrente;  
   *               bei Minderung der Erwerbsfähigkeit um 66,67 % bis 75 %: 75 % der Invaliditätsrente;  
   *               bei Minderung der Erwerbsfähigkeit um 76 % bis 99 %: 85 % der Invaliditätsrente. </t>
  </si>
  <si>
    <r>
      <t xml:space="preserve">Sprung zum Land Ihrer Wahl
</t>
    </r>
    <r>
      <rPr>
        <sz val="11"/>
        <color theme="1"/>
        <rFont val="Calibri"/>
        <family val="2"/>
      </rPr>
      <t>ausführliche Doku</t>
    </r>
  </si>
  <si>
    <t>Zuschläge (deutschen Werte)</t>
  </si>
  <si>
    <t>Abfindungsberechnung</t>
  </si>
  <si>
    <r>
      <t xml:space="preserve">Datum des frühesten </t>
    </r>
    <r>
      <rPr>
        <b/>
        <sz val="11"/>
        <color rgb="FF000000"/>
        <rFont val="Calibri"/>
        <family val="2"/>
      </rPr>
      <t>Versorgungsbeginns der ausgleichsberechtigten Person</t>
    </r>
  </si>
  <si>
    <t>Index Land, Deutschland=100 = Preisniveauindex Land / 108,8 × 100.</t>
  </si>
  <si>
    <r>
      <t xml:space="preserve">Nachfolgend eine </t>
    </r>
    <r>
      <rPr>
        <b/>
        <sz val="11"/>
        <color theme="1"/>
        <rFont val="Calibri"/>
        <family val="2"/>
        <scheme val="minor"/>
      </rPr>
      <t>Indexrechnung</t>
    </r>
    <r>
      <rPr>
        <sz val="11"/>
        <color theme="1"/>
        <rFont val="Calibri"/>
        <family val="2"/>
        <scheme val="minor"/>
      </rPr>
      <t xml:space="preserve">: Der deutsche 4-Personen-Haushalt wird mit </t>
    </r>
    <r>
      <rPr>
        <b/>
        <sz val="11"/>
        <color theme="1"/>
        <rFont val="Calibri"/>
        <family val="2"/>
        <scheme val="minor"/>
      </rPr>
      <t>100</t>
    </r>
    <r>
      <rPr>
        <sz val="11"/>
        <color theme="1"/>
        <rFont val="Calibri"/>
        <family val="2"/>
        <scheme val="minor"/>
      </rPr>
      <t xml:space="preserve"> angesetzt. Für jedes Land wird berechnet, wie teuer derselbe Verbrauchskorb rechnerisch wäre. Grundlage ist der </t>
    </r>
    <r>
      <rPr>
        <b/>
        <sz val="11"/>
        <color theme="1"/>
        <rFont val="Calibri"/>
        <family val="2"/>
        <scheme val="minor"/>
      </rPr>
      <t>Eurostat-Preisniveauindex für household final consumption expenditure / HFCE 2024</t>
    </r>
    <r>
      <rPr>
        <sz val="11"/>
        <color theme="1"/>
        <rFont val="Calibri"/>
        <family val="2"/>
        <scheme val="minor"/>
      </rPr>
      <t xml:space="preserve">. Eurostat/SSB weist Deutschland in der Originalreihe mit </t>
    </r>
    <r>
      <rPr>
        <b/>
        <sz val="11"/>
        <color theme="1"/>
        <rFont val="Calibri"/>
        <family val="2"/>
        <scheme val="minor"/>
      </rPr>
      <t>108,8</t>
    </r>
    <r>
      <rPr>
        <sz val="11"/>
        <color theme="1"/>
        <rFont val="Calibri"/>
        <family val="2"/>
        <scheme val="minor"/>
      </rPr>
      <t xml:space="preserve"> bei EU27=100 aus; daher lautet die Umrechnung:</t>
    </r>
  </si>
  <si>
    <t>Eurostat weist darauf hin, dass diese Preisniveauindizes auf Kaufkraftparitäten beruhen, Preisniveaus relativ zum EU-Durchschnitt ausdrücken und nicht als scheingenaues Ranking verstanden werden sollten. Die zugrunde liegenden Preiserhebungen umfassen mehr als 2.000 Konsumgüter und Dienstleistungen; der Eurostat/OECD-Vergleich enthält die 27 EU-Staaten sowie als EFTA-Staaten Island, Norwegen und die Schweiz, nicht aber Liechtenstein. (European Commission)</t>
  </si>
  <si>
    <r>
      <t>Lesebeispiel:</t>
    </r>
    <r>
      <rPr>
        <sz val="11"/>
        <color rgb="FF000000"/>
        <rFont val="Calibri"/>
        <family val="2"/>
      </rPr>
      <t xml:space="preserve"> Ein Verbrauchsniveau, das für einen 4-Personen-Haushalt in Deutschland rechnerisch 100 Kosteneinheiten erfordert, kostet bei gleicher Verbrauchsstruktur in der Schweiz etwa </t>
    </r>
    <r>
      <rPr>
        <b/>
        <sz val="11"/>
        <color theme="1"/>
        <rFont val="Calibri"/>
        <family val="2"/>
        <scheme val="minor"/>
      </rPr>
      <t>159 Kosteneinheiten</t>
    </r>
    <r>
      <rPr>
        <sz val="11"/>
        <color rgb="FF000000"/>
        <rFont val="Calibri"/>
        <family val="2"/>
      </rPr>
      <t xml:space="preserve">, in Dänemark etwa </t>
    </r>
    <r>
      <rPr>
        <b/>
        <sz val="11"/>
        <color theme="1"/>
        <rFont val="Calibri"/>
        <family val="2"/>
        <scheme val="minor"/>
      </rPr>
      <t>129 Kosteneinheiten</t>
    </r>
    <r>
      <rPr>
        <sz val="11"/>
        <color rgb="FF000000"/>
        <rFont val="Calibri"/>
        <family val="2"/>
      </rPr>
      <t xml:space="preserve">, in Polen etwa </t>
    </r>
    <r>
      <rPr>
        <b/>
        <sz val="11"/>
        <color theme="1"/>
        <rFont val="Calibri"/>
        <family val="2"/>
        <scheme val="minor"/>
      </rPr>
      <t>67 Kosteneinheiten</t>
    </r>
    <r>
      <rPr>
        <sz val="11"/>
        <color rgb="FF000000"/>
        <rFont val="Calibri"/>
        <family val="2"/>
      </rPr>
      <t xml:space="preserve"> und in Bulgarien etwa </t>
    </r>
    <r>
      <rPr>
        <b/>
        <sz val="11"/>
        <color theme="1"/>
        <rFont val="Calibri"/>
        <family val="2"/>
        <scheme val="minor"/>
      </rPr>
      <t>56 Kosteneinheiten</t>
    </r>
    <r>
      <rPr>
        <sz val="11"/>
        <color rgb="FF000000"/>
        <rFont val="Calibri"/>
        <family val="2"/>
      </rPr>
      <t>.</t>
    </r>
  </si>
  <si>
    <r>
      <t>Datenquellen und methodische Einordnung:</t>
    </r>
    <r>
      <rPr>
        <sz val="9"/>
        <color theme="1"/>
        <rFont val="Calibri"/>
        <family val="2"/>
        <scheme val="minor"/>
      </rPr>
      <t xml:space="preserve"> Die konkreten Ausgangswerte stammen aus der von Statistics Norway veröffentlichten Eurostat-Tabelle „Price level indices for household final consumption. EU27=100“, Tabelle 14682; dort sind für 2024 u. a. Deutschland 108,8, Schweiz 173,0, Island 162,1, Norwegen 127,2 und alle EU-Staaten ausgewiesen. (SSB) Eurostat beschreibt HFCE als Gesamtpreisniveau der von privaten Haushalten bezahlten und konsumierten Güter und Dienstleistungen; die Aggregation verwendet nationale Ausgabenanteile als Gewichte. (European Commission)</t>
    </r>
  </si>
  <si>
    <t>Gruppe</t>
  </si>
  <si>
    <t>EU</t>
  </si>
  <si>
    <t>EFTA</t>
  </si>
  <si>
    <t>Eurostat/SSB-Preisniveau HFCE 2024, EU27=100</t>
  </si>
  <si>
    <t>n. v.</t>
  </si>
  <si>
    <t>Lebenshaltungs-kosten-Index, Deutschland=100</t>
  </si>
  <si>
    <t>Abweichung zu Deutschland</t>
  </si>
  <si>
    <t>Lebenskostenvergleich Europa</t>
  </si>
  <si>
    <t>Kaufkraftunterschied:</t>
  </si>
  <si>
    <r>
      <t>Versorgung enthält</t>
    </r>
    <r>
      <rPr>
        <b/>
        <sz val="11"/>
        <color rgb="FF000000"/>
        <rFont val="Calibri"/>
        <family val="2"/>
      </rPr>
      <t xml:space="preserve"> Geschiedenen-Hinterbliebenenabsicherung</t>
    </r>
    <r>
      <rPr>
        <sz val="11"/>
        <color rgb="FF000000"/>
        <rFont val="Calibri"/>
        <family val="2"/>
      </rPr>
      <t xml:space="preserve"> (Nr.79)</t>
    </r>
  </si>
  <si>
    <t>Abgrenzung: Die Tabelle bezieht sich auf die gesetzliche Hauptversorgung bzw. den gesetzlichen Hinterbliebenenschutz im Renten-/Sozialversicherungssystem. Nicht einbezogen sind rein private oder freiwillige Zusatzsysteme. Bei der Schweiz weise ich zusätzlich auf das obligatorische BVG/LPP hin, weil es dort praktisch versorgungsrechtlich relevant ist. Die länderübergreifende Vergleichbarkeit ist eingeschränkt, weil die Anspruchsberechtigten bei Hinterbliebenenleistungen national sehr unterschiedlich definiert werden; als Quellengerüst habe ich insbesondere MISSOC, die EU-Länderleitfäden und nationale Trägerseiten ausgewertet. MISSOC umfasst die 27 EU-Staaten sowie Island, Liechtenstein, Norwegen und die Schweiz. (MISSOC)</t>
  </si>
  <si>
    <t>Teilweise: im allgemeinen Arbeitnehmer-/Selbständigenrecht eher keine echte Hinterbliebenenrente für Ex-Ehegatten, sondern eine eigene „divorced spouse pension“; im öffentlichen Dienst kann eine Hinterbliebenenpension an geschiedene Ehegatten vorkommen. (sfpd.fgov.be)</t>
  </si>
  <si>
    <t>Im allgemeinen System nicht einschlägig; für Sonderregime gesondert zu prüfen.</t>
  </si>
  <si>
    <t>Ja, jedenfalls für die Hinterbliebenenpension bestehen Wiederverheiratungs-/Aussetzungstatbestände; beim Sonderfall öffentlicher Dienst gesondert zu prüfen.</t>
  </si>
  <si>
    <t>Nein, Anspruchskreis im gesetzlichen System im Wesentlichen Ehegatte, Kinder, Eltern; geschiedener Ehegatte nicht als eigener Anspruchsberechtigter ausgewiesen.</t>
  </si>
  <si>
    <t>Nicht einschlägig.</t>
  </si>
  <si>
    <t>Nein, gesetzlicher Hinterbliebenenschutz knüpft an überlebenden Ehegatten/Partner bzw. Zusammenleben an, nicht an geschiedene Ehegatten.</t>
  </si>
  <si>
    <t>Ja, aber nur stark eingeschränkt: echte Witwen-/Witwerrente an geschiedene Ehegatten nur für vor dem 1.7.1977 geschiedene Ehen nach § 243 SGB VI; daneben Erziehungsrente nach Scheidung, diese beruht aber auf der eigenen Versicherung des Überlebenden. (Deutsche Rentenversicherung)</t>
  </si>
  <si>
    <t>Ja, bei § 243 SGB VI: Unterhalt im letzten Jahr vor Tod oder Unterhaltsanspruch im letzten wirtschaftlichen Dauerzustand. (Sozialgesetzbuch SGB)</t>
  </si>
  <si>
    <t>Ja, keine Wiederheirat/keine neue Lebenspartnerschaft; bei Wiederheirat grundsätzlich Wegfall bzw. Abfindungs-/Wiederauflebensregeln.</t>
  </si>
  <si>
    <t>Ja, geschiedene Ehegatten können unter engen Voraussetzungen erfasst sein, insbesondere Alter/Erwerbsunfähigkeit und lange Ehe; das estnische Recht nennt u. a. den geschiedenen Ehegatten des „providers“. (riigiteataja.ee)</t>
  </si>
  <si>
    <t>Keine klassische titulierte Unterhaltsvoraussetzung; eher Abhängigkeits-/Versorgerbezug plus persönliche Voraussetzungen.</t>
  </si>
  <si>
    <t>Ja, nach SSA-Übersicht endet die Witwen-/Witwerrente 12 Monate nach Wiederheirat. (Social Security)</t>
  </si>
  <si>
    <t>Ja. Ein früherer Ehegatte kann eine Hinterbliebenenrente erhalten, wenn der Verstorbene aufgrund rechtsgültiger Entscheidung oder bestätigter Vereinbarung Unterhalt an den Ex-Ehegatten zahlen musste. (Eläketurvakeskus)</t>
  </si>
  <si>
    <t>Ja.</t>
  </si>
  <si>
    <t>Ja, die Hinterbliebenenrente endet bei Wiederheirat vor Vollendung des 50. Lebensjahrs. (Eläketurvakeskus)</t>
  </si>
  <si>
    <t>Ja, im régime général wird der geschiedene Ehegatte dem überlebenden Ehegatten gleichgestellt; die Rente wird bei mehreren Ehegatten/Ex-Ehegatten anteilig nach Ehedauer verteilt. (Service Public)</t>
  </si>
  <si>
    <t>Nein, aber Alters- und Einkommensgrenzen.</t>
  </si>
  <si>
    <r>
      <t xml:space="preserve">Im régime général </t>
    </r>
    <r>
      <rPr>
        <b/>
        <sz val="11"/>
        <color rgb="FF000000"/>
        <rFont val="Calibri"/>
        <family val="2"/>
      </rPr>
      <t>nein</t>
    </r>
    <r>
      <rPr>
        <sz val="11"/>
        <color rgb="FF000000"/>
        <rFont val="Calibri"/>
        <family val="2"/>
      </rPr>
      <t xml:space="preserve"> als automatische Ausschlussklausel; neue Partnerschaft/Ehe kann aber über die Ressourcenprüfung relevant werden. Zusatz- und Sonderregime können strenger sein.</t>
    </r>
  </si>
  <si>
    <t>Ja, geschiedene Ehegatten können eine Hinterbliebenenleistung erhalten, wenn gegenüber dem Verstorbenen ein Unterhaltsanspruch bzw. eine Unterhaltspflicht bestand. (European Commission)</t>
  </si>
  <si>
    <t>Ja, regelmäßig Fortfall bei Wiederheirat/vergleichbarer neuer Verbindung; Details nach griechischem Recht zu prüfen.</t>
  </si>
  <si>
    <t>Nein. Die Bereaved Partner’s/Widow’s/Widower’s Pension knüpft an Witwe/Witwer, überlebenden Civil Partner bzw. inzwischen qualifizierte Cohabitants an, nicht an geschiedene Ex-Ehegatten. (Bürgerinformationen)</t>
  </si>
  <si>
    <t>Nein im ersten Pfeiler: Nach der SSA-Übersicht gibt es im residence-based first pillar keine Leistungen an überlebende Ehegatten; Hinterbliebenenschutz betrifft dort insbesondere Kinder. (secure.ssa.gov)</t>
  </si>
  <si>
    <t>Ja. Geschiedene Ehegatten können anspruchsberechtigt sein, wenn eine Scheidungs-/Unterhaltsregelung besteht; bei getrennten Ehegatten ist richterlich zugesprochener Unterhalt relevant. (Employment, Social Affairs and Inclusion)</t>
  </si>
  <si>
    <t>Ja, regelmäßig Scheidungsunterhalt/assegno divorzile bzw. gerichtliche Unterhaltsberechtigung.</t>
  </si>
  <si>
    <t>Ja, bei Wiederheirat nur Einmalzahlung/Abfindung. (Employment, Social Affairs and Inclusion)</t>
  </si>
  <si>
    <t>Ja. Der geschiedene Ehegatte ist anspruchsberechtigt, wenn ein Gericht einen Unterhaltsanspruch gegen den früheren Ehegatten festgestellt hat. (Employment, Social Affairs and Inclusion)</t>
  </si>
  <si>
    <t>Ja, der Anspruch ist grundsätzlich dauerhaft, entfällt aber bei Heirat. (Employment, Social Affairs and Inclusion)</t>
  </si>
  <si>
    <t>Nein, keine echte Geschiedenen-Hinterbliebenenversorgung aus der gesetzlichen Altersversorgung ersichtlich; Hinterbliebenenleistungen betreffen im Kern Kinder/Angehörige nach nationalen Voraussetzungen.</t>
  </si>
  <si>
    <t>Ja. Geschiedene Personen haben unter denselben Voraussetzungen wie verheiratete Personen Anspruch, wenn der geschiedene Ehegatte im Todeszeitpunkt laufende wiederkehrende Unterhaltsbeiträge zu leisten hatte. (ahv.li)</t>
  </si>
  <si>
    <t>Ja, Wiederverheiratung lässt die Witwen-/Witwerrente erlöschen. (AHV IV)</t>
  </si>
  <si>
    <t>Nein, kein eigenständiger Anspruch geschiedener Ehegatten aus dem gesetzlichen Hinterbliebenensystem ersichtlich.</t>
  </si>
  <si>
    <t>Ja. Geschiedene Ehegatten und frühere Partner können eine Hinterbliebenenpension erhalten; die Aufteilung erfolgt anteilig nach Ehedauer/Partnerschaftsdauer. (European Commission)</t>
  </si>
  <si>
    <t>Nein, keine Unterhaltsvoraussetzung in der ausgewerteten Grundregel; entscheidend sind u. a. Nichtwiederverheiratung und Versicherungszeiten.</t>
  </si>
  <si>
    <t>Ja, der geschiedene Ehegatte/frühere Partner darf nicht wieder verheiratet sein bzw. keine neue Partnerschaft eingegangen sein. (European Commission)</t>
  </si>
  <si>
    <t>Ja, die maltesische Widow/er’s Pension erfasst auch „former spouse/partner“. (Social Security)</t>
  </si>
  <si>
    <t>Nach älteren/ergänzenden Übersichten regelmäßig Unterhalts-/Maintenance-Bezug; aktuelle Trägerseite formuliert stärker beitragsbezogen.</t>
  </si>
  <si>
    <t>Ja, bei Wiederheirat gilt nur noch eine pauschale/flat-rate-Leistung bzw. besondere Remarriage-Regel. (Social Security)</t>
  </si>
  <si>
    <t>Ja, Anw-Hinterbliebenenleistung auch bei Tod des Ex-Partners. (svb.nl)</t>
  </si>
  <si>
    <t>Ja, der Ex-Partner musste unterhaltspflichtig sein; tatsächliche Zahlung ist nicht erforderlich. (svb.nl)</t>
  </si>
  <si>
    <t>Ja, Anw endet bei Heirat, registrierter Partnerschaft oder Zusammenleben mit Partner. (svb.nl)</t>
  </si>
  <si>
    <t>Ja. Geschiedene Ex-Ehegatten können anspruchsberechtigt sein, wenn sie nicht wieder geheiratet haben und die gesetzlichen Fristen/Ehedauern erfüllt sind; regelmäßig Tod binnen 5 Jahren nach Scheidung und Ehe mindestens 25 Jahre, bzw. 15 Jahre bei gemeinsamen Kindern. (nav.no)</t>
  </si>
  <si>
    <t>Grundsätzlich nein; bei weiter zurückliegendem Tod kann Unterhalt/Versorgung durch den Verstorbenen relevant werden. (nav.no)</t>
  </si>
  <si>
    <t>Ja, Anspruch setzt voraus, dass der geschiedene Ehegatte nicht wieder geheiratet hat. (nav.no)</t>
  </si>
  <si>
    <t>Ja. Geschiedene Ehegatten können Hinterbliebenenpension erhalten, insbesondere bei Unterhaltspflicht des Verstorbenen. (BMAS)</t>
  </si>
  <si>
    <t>Ja, regelmäßig Unterhaltstitel/-vergleich/-vertrag bzw. laufende Unterhaltsleistung; die Pension ist typischerweise auf den Unterhalt begrenzt. (European Commission)</t>
  </si>
  <si>
    <t>Ja, Wiederverheiratung führt zum Verlust der unbefristeten Pension, regelmäßig mit Abfindung. (European Commission)</t>
  </si>
  <si>
    <t>Ja. Geschiedene Ehegatten können eine Hinterbliebenenrente erhalten, wenn ein Unterhaltsanspruch gegen den Verstorbenen bestand und die weiteren Witwen-/Witwerbedingungen erfüllt sind. (European Commission)</t>
  </si>
  <si>
    <t>Ja, bei Wiederheirat entfällt die Witwen-/Witwerrente.</t>
  </si>
  <si>
    <t>Ja. Ex-Ehegatten und gerichtlich getrennte Ehegatten können Pensão de Sobrevivência erhalten.</t>
  </si>
  <si>
    <t>Ja, es muss eine gerichtlich/standesamtlich festgelegte Unterhaltspflicht des Verstorbenen bestehen; die Leistung ist auf den Unterhalt begrenzt.</t>
  </si>
  <si>
    <t>Ja, der Anspruch endet bei Heirat oder Beginn einer união de facto.</t>
  </si>
  <si>
    <t>Nein, gesetzliche Hinterbliebenenrente knüpft an überlebenden Ehegatten an; geschiedene Ehegatten sind nicht als eigener Anspruchskreis ersichtlich.</t>
  </si>
  <si>
    <t>Nein, der gesetzliche Anspruch betrifft überlebende Ehegatten, eingetragene Partner oder bestimmte zusammenlebende Partner; ein geschiedener, getrennt lebender Ex-Ehegatte ist nicht als eigener Anspruchskreis ausgewiesen. (pensionsmyndigheten.se)</t>
  </si>
  <si>
    <t>Ja in der AHV: geschiedene Frauen und — nach EGMR-/Bundesgerichtsfolgefragen — geschiedene Männer mit Kindern unter bestimmten Voraussetzungen; im obligatorischen BVG/LPP zusätzlich Anspruch geschiedener Personen bei langer Ehe und Unterhalt/Abfindung. (zas.admin.ch)</t>
  </si>
  <si>
    <t>AHV: keine klassische Unterhaltsvoraussetzung, sondern Kinder-/Ehedauer-/Alterskriterien. BVG/LPP: ja, Unterhalt bzw. Kapitalabfindung relevant. (zas.admin.ch)</t>
  </si>
  <si>
    <t>Ja, Wiederverheiratung lässt die AHV-Witwen-/Witwerrente entfallen. (zas.admin.ch)</t>
  </si>
  <si>
    <t>Regel-Witwen-/Witwerrente: nein; die slowakische Sozialversicherung weist ausdrücklich darauf hin, dass ein geschiedener Ehegatte keine Witwen-/Witwerrente erhält. Ältere/vertragliche Übersichten nennen daneben eine unterhaltsakzessorische geschiedene Hinterbliebenenleistung. (socpoist.sk)</t>
  </si>
  <si>
    <t>Soweit die Sonderleistung greift: ja, Unterhalt aufgrund gerichtlicher Entscheidung.</t>
  </si>
  <si>
    <t>Bei der Regel-Witwen-/Witwerrente nicht einschlägig; bei Sonderleistung kein allgemeiner Wiederheiratstatbestand sicher belegt, da Leistung ohnehin zeitlich/unterhaltsbezogen begrenzt ist.</t>
  </si>
  <si>
    <t>Ja. Ein unterhaltener geschiedener Ehegatte gehört zum Anspruchskreis der Witwen-/Witwerrente. (syllogos.gr)</t>
  </si>
  <si>
    <t>Ja, „maintained divorced spouse“.</t>
  </si>
  <si>
    <t>Ja, Wiederheirat kann den Anspruch entfallen lassen; Einzelheiten alters-/invaliditätsabhängig.</t>
  </si>
  <si>
    <t>Ja. Geschiedene oder gerichtlich getrennte Personen können Witwen-/Witwerrente erhalten, wenn sie nicht wieder geheiratet bzw. keine neue eingetragene Partnerschaft begründet haben und grundsätzlich eine pensión compensatoria bestand; Ausnahmen u. a. bei Gewaltopfern und Übergangsfällen. (seg-social.es)</t>
  </si>
  <si>
    <t>Ja, grundsätzlich compensatory pension/pensión compensatoria; Ausnahmen.</t>
  </si>
  <si>
    <t>Ja, keine Wiederheirat/keine neue Partnerschaft als Anspruchsvoraussetzung. (seg-social.es)</t>
  </si>
  <si>
    <t>Nein. Die amtliche Darstellung verlangt, dass die Ehe im Zeitpunkt des Todes bestand; die Rente wird nicht an den geschiedenen Ehegatten gezahlt. (Regierungsportal)</t>
  </si>
  <si>
    <t>Ja. Geschiedene Ehegatten gehören zum Kreis der anspruchsberechtigten Hinterbliebenen; die Ehegattenrente kann zwischen überlebendem Ehegatten und geschiedenem Ehegatten geteilt werden.</t>
  </si>
  <si>
    <t>In der ausgewerteten ISSA-Übersicht nicht als Unterhaltstitelvoraussetzung ausgewiesen; weitere nationale Detailprüfung sinnvoll.</t>
  </si>
  <si>
    <t>Ja, die Witwen-/Witwer- bzw. Geschiedenenrente endet bei Wiederheirat.</t>
  </si>
  <si>
    <t>Geschiedenen_HR_Rente</t>
  </si>
  <si>
    <t>Text5</t>
  </si>
  <si>
    <t xml:space="preserve">Geschiedenen-Hinterbliebenenversorgung Ja/nein:   </t>
  </si>
  <si>
    <t xml:space="preserve">Besteht Unterhaltsvoraussetzung?:   </t>
  </si>
  <si>
    <t xml:space="preserve">Existiert eine Wiederverheiratungsklausel?:   </t>
  </si>
  <si>
    <t>Geschiedenen-Hinterbliebenen-Versrg.?</t>
  </si>
  <si>
    <r>
      <rPr>
        <b/>
        <sz val="18"/>
        <color rgb="FF000000"/>
        <rFont val="Calibri"/>
        <family val="2"/>
      </rPr>
      <t>Kurzfazit:</t>
    </r>
    <r>
      <rPr>
        <sz val="11"/>
        <color rgb="FF000000"/>
        <rFont val="Calibri"/>
        <family val="2"/>
      </rPr>
      <t xml:space="preserve"> Eine echte Geschiedenen-Hinterbliebenenversorgung kennen insbesondere Österreich, Deutschland nur Altfall, Estland, Finnland, Frankreich, Griechenland, Italien, Kroatien, Liechtenstein, Luxemburg, Malta, Niederlande, Norwegen, Polen, Portugal, Slowenien, Spanien, Ungarn und die Schweiz. In vielen dieser Staaten ist sie unterhaltsakzessorisch ausgestaltet, besonders deutlich in Österreich, Finnland, Italien, Kroatien, Liechtenstein, den Niederlanden, Polen, Portugal, Slowenien und Spanien. Eine Wiederverheiratungsklausel ist ebenfalls häufig; Frankreich ist im Grundsystem die auffälligste Ausnahme, weil Wiederheirat dort nicht automatisch ausschließt, sondern vor allem über die Einkommens-/Ressourcenprüfung wirken kann.</t>
    </r>
  </si>
  <si>
    <r>
      <rPr>
        <b/>
        <sz val="22"/>
        <color theme="0"/>
        <rFont val="Calibri"/>
        <family val="2"/>
      </rPr>
      <t>Geschiedenen-Hinterbliebenen-Versorgung</t>
    </r>
    <r>
      <rPr>
        <b/>
        <sz val="18"/>
        <color theme="0"/>
        <rFont val="Calibri"/>
        <family val="2"/>
      </rPr>
      <t xml:space="preserve">
</t>
    </r>
    <r>
      <rPr>
        <b/>
        <sz val="14"/>
        <color theme="0"/>
        <rFont val="Calibri"/>
        <family val="2"/>
      </rPr>
      <t>aus den gesetzlichen Versorgungssystemen Europas</t>
    </r>
  </si>
  <si>
    <t>Rentenrechner</t>
  </si>
  <si>
    <t>Stand: 10.06.2026. Ich habe vorrangig amtliche Rechner oder amtliche Schätz-/Selbstbedienungsportale aufgenommen. Die DBA-Spalte bezieht sich auf das Bestehen eines allgemeinen Doppelbesteuerungsabkommens mit Deutschland; nach der aktuellen BMF-Übersicht zum Stand 01.01.2026 besteht für sämtliche unten aufgeführten EU- und EFTA-Staaten ein DBA mit Deutschland. Das sagt noch nichts darüber, welchem Staat im konkreten Einzelfall das Besteuerungsrecht für eine bestimmte gesetzliche Rente zusteht. (Bundesministerium der Finanzen)</t>
  </si>
  <si>
    <t>Amtlicher Renten-/Pensionsrechner bzw. amtliche Schätzseite</t>
  </si>
  <si>
    <t>DBA mit Deutschland</t>
  </si>
  <si>
    <t>mypension.be / Federal Pensions Service (sfpd.fgov.be)</t>
  </si>
  <si>
    <t>Persönliches Rentenportal; Berechnung/Anzeige der voraussichtlichen Pension.</t>
  </si>
  <si>
    <t xml:space="preserve">NSSI – Prognose gesetzliche Rente (reps.nssi.bg)
</t>
  </si>
  <si>
    <t>Amtlicher Prognosedienst zur staatlichen Sozialversicherung.</t>
  </si>
  <si>
    <t xml:space="preserve">State Pension Calculator / minpensionsag.dk (minpensionssag.dk)
</t>
  </si>
  <si>
    <t>Indikative Berechnung der staatlichen Folkepension.</t>
  </si>
  <si>
    <t>Deutsche Rentenversicherung – Online-Rechner (Deutsche Rentenversicherung)</t>
  </si>
  <si>
    <t>Rentenbeginn-, Rentenhöhen- und weitere DRV-Rechner.</t>
  </si>
  <si>
    <t>Social Insurance Board / Pension calculator (Sotsiaalkindlustusamet)</t>
  </si>
  <si>
    <t>Amtlicher Selbstbedienungsrechner zur Altersrente.</t>
  </si>
  <si>
    <t>Työeläke.fi – Pension calculator (laskurit.tyoelake.fi)</t>
  </si>
  <si>
    <t>Schätzung der Erwerbsrente und ggf. Kela-Anteile.</t>
  </si>
  <si>
    <t>Info Retraite – Mon estimation retraite (services.info-retraite.fr)</t>
  </si>
  <si>
    <t>Zentrales amtliches Rentenportal für die französischen Systeme.</t>
  </si>
  <si>
    <t>Online Pension Calculator / sintaxi.isotita.gr (sintaxi.isotita.gr)</t>
  </si>
  <si>
    <t>Öffentliches Schätztool; nicht verbindliche Näherungsberechnung.</t>
  </si>
  <si>
    <t>MyWelfare / Contribution Statement und gov.ie-Berechnungshinweise (gov.ie)</t>
  </si>
  <si>
    <t>Kein allgemeiner amtlicher State-Pension-Betragsrechner auffindbar; die amtliche Schätzung erfolgt über Versicherungsverlauf/Berechnungshinweise.</t>
  </si>
  <si>
    <t>island.is / Social Insurance Administration – pension calculator (island.is)</t>
  </si>
  <si>
    <t>Amtlicher Rechner zur Altersrente.</t>
  </si>
  <si>
    <t>INPS – La mia pensione futura (INPS公式サイト)</t>
  </si>
  <si>
    <t>Amtliche Simulation der voraussichtlichen gesetzlichen Rente.</t>
  </si>
  <si>
    <t>HZMO/e-Građani und REGOS – Moja mirovina (Gov.hr)</t>
  </si>
  <si>
    <t>Persönliche Projektion über e-Citizens/REGOS.</t>
  </si>
  <si>
    <t>VSAA / Latvija.lv – erwartete Altersrente (vsaa.gov.lv)</t>
  </si>
  <si>
    <t>Amtlicher Online-Dienst zur Information über die prognostizierte Altersrente.</t>
  </si>
  <si>
    <t>AHV-IV-FAK – Rentenberechnung / Vorausberechnung (ahv.li)</t>
  </si>
  <si>
    <t>Amtliche Berechnungsgrundlagen; kein frei nutzbarer allgemeiner Online-Betragsrechner auffindbar.</t>
  </si>
  <si>
    <t>Sodra – projected retirement pension calculator („Sodra“)</t>
  </si>
  <si>
    <t>Amtlicher Rechner der litauischen Sozialversicherung.</t>
  </si>
  <si>
    <t>CNAP / Guichet – Rentenschätzung auf Antrag (Guichet.lu)</t>
  </si>
  <si>
    <t>Kein frei bedienbarer allgemeiner CNAP-Onlinerechner auffindbar; amtliche Schätzung auf Antrag.</t>
  </si>
  <si>
    <t>DSS – Retirement Pension Calculator (servizz.gov.mt)</t>
  </si>
  <si>
    <t>Amtlicher Rechner für eine Schätzung der gesetzlichen Altersrente.</t>
  </si>
  <si>
    <t>SVB / My SVB – AOW-Auskunft und Berechnung (Regierung der Niederlande)</t>
  </si>
  <si>
    <t>Individuelle AOW-Berechnung über My SVB; allgemeine AOW-Alters-/Betragsinformationen öffentlich.</t>
  </si>
  <si>
    <t>NAV – Pensjonskalkulator / Din pensjon (nav.no)</t>
  </si>
  <si>
    <t>Amtliche Schätzung der Altersrente aus National Insurance und ggf. AFP.</t>
  </si>
  <si>
    <t>Pensionsversicherungsanstalt – Pensionsrechner (Pensionsversicherung Österreich)</t>
  </si>
  <si>
    <t>Rechner zum Pensionsantritt und zur voraussichtlichen Pensionshöhe.</t>
  </si>
  <si>
    <t>ZUS – Pension calculator (zus.pl)</t>
  </si>
  <si>
    <t>Amtlicher Rechner zur Prognose der gesetzlichen Altersrente.</t>
  </si>
  <si>
    <t>Segurança Social – Simulador de Pensões (seg-social.pt)</t>
  </si>
  <si>
    <t>Amtlicher Simulator zur Schätzung der Altersrente.</t>
  </si>
  <si>
    <t>CNPP – Renteneintrittsalter-Rechner / Berechnungshinweise (cnpp.ro)</t>
  </si>
  <si>
    <t>Amtlicher Rechner vor allem zum Renteneintrittsalter; kein allgemeiner amtlicher Betragsrechner auffindbar.</t>
  </si>
  <si>
    <t>Pensionsmyndigheten – pension forecast (pensionsmyndigheten.se)</t>
  </si>
  <si>
    <t>Persönliche Rentenprognose über „My Pages“.</t>
  </si>
  <si>
    <t>AHV/AVS – ESCAL Rentenschätzung (AHV IV)</t>
  </si>
  <si>
    <t>Amtlicher Online-Rechner zur unverbindlichen Schätzung der AHV-Altersrente.</t>
  </si>
  <si>
    <t>Sociálna poisťovňa – elektronisches Versichertenkonto / Renteninformation (socpoist.sk)</t>
  </si>
  <si>
    <t>Informative Altersrentenhöhe im elektronischen Versichertenkonto; zusätzlich Altersgrenzenrechner.</t>
  </si>
  <si>
    <t>ZPIZ – Informative pension calculator (zpiz.si)</t>
  </si>
  <si>
    <t>Allgemeiner und persönlicher amtlicher Rentenrechner.</t>
  </si>
  <si>
    <t>Seguridad Social – Simulador de jubilación (sede.seg-social.gob.es)</t>
  </si>
  <si>
    <t>Amtliche Simulation von Rentenalter und voraussichtlicher Rentenhöhe.</t>
  </si>
  <si>
    <t>ČSSZ – IDA pension estimate (ePortál ČSSZ)</t>
  </si>
  <si>
    <t>Amtliche Schätzung von Rentenalter und Altersrente.</t>
  </si>
  <si>
    <t>Magyar Államkincstár – Selbstbedienungs-Rentenrechner (allamkincstar.gov.hu)</t>
  </si>
  <si>
    <t>Amtlicher Rechner der ungarischen Rentenverwaltung.</t>
  </si>
  <si>
    <t>gov.cy – temporary calculation of statutory pension (Regierung Zypern)</t>
  </si>
  <si>
    <t>Amtliche vorläufige Berechnung; Login über Cy Login.</t>
  </si>
  <si>
    <t>Rentenechnner für EU- &amp; EFTA-Länder</t>
  </si>
  <si>
    <t>Internet-Adresse</t>
  </si>
  <si>
    <t>https://www.mypension.be/</t>
  </si>
  <si>
    <t>https://reps.nssi.bg/PensionsCalc/</t>
  </si>
  <si>
    <t>https://www.minpensionssag.dk/pe-selvbetjening/simulering/foerdubegynder/simuleringFolkepension?lang=en</t>
  </si>
  <si>
    <t>https://www.deutsche-rentenversicherung.de/DRV/DE/Online-Services/Online-Rechner/RentenbeginnUndHoehenRechner/rentenbeginnrechner.html</t>
  </si>
  <si>
    <t>https://sotsiaalkindlustusamet.ee/en/pension-and-benefits/preparing-retirement/pension-calculator</t>
  </si>
  <si>
    <t>https://laskurit.tyoelake.fi/en/elakelaskuri</t>
  </si>
  <si>
    <t>https://services.info-retraite.fr/service/calcul-retraite/</t>
  </si>
  <si>
    <t>https://sintaxi.isotita.gr/?lang=en&amp;page_id=245</t>
  </si>
  <si>
    <t>https://www.gov.ie/en/department-of-social-protection/publications/how-to-calculate-your-state-pension-contributory-rate/</t>
  </si>
  <si>
    <t>https://www.inps.it/it/en/dettaglio-scheda.en.schede-servizio-strumento.schede-servizi.la-mia-pensione-futura-simulazione-della-propria-pensione-50033.la-mia-pensione-futura-simulazione-della-propria-pensione.html</t>
  </si>
  <si>
    <t>https://regos.hr/en/my-pension-digital-platform/</t>
  </si>
  <si>
    <t>https://www.vsaa.gov.lv/lv/kalkulatori</t>
  </si>
  <si>
    <t>https://www.sodra.lt/lt/skaiciuokles/prognozuojamos_pensijos_skaiciuokle?lang=lt</t>
  </si>
  <si>
    <t>https://guichet.public.lu/en/citoyens/travail/pension/assurance-pension/estimation-pension-vieillesse.html</t>
  </si>
  <si>
    <t>https://socialsecurity.gov.mt/en/benefit-calculators/</t>
  </si>
  <si>
    <t>https://www.government.nl/faq/how-much-state-pension-will-i-receive</t>
  </si>
  <si>
    <t>https://www.pv.at/web/pension/pensionsrechner</t>
  </si>
  <si>
    <t>https://www.zus.pl/swiadczenia/emerytury/kalkulatory-emerytalne/emerytura-na-nowych-zasadach/kalkulator-emerytalny-prognozowana-emerytura</t>
  </si>
  <si>
    <t>https://extwww.seg-social.pt/ptss/pssd/menu/simuladores/simulador-pensoes</t>
  </si>
  <si>
    <t>https://www.cnpp.ro/varsta-pensionare</t>
  </si>
  <si>
    <t>https://www.pensionsmyndigheten.se/other-languages/english-engelska/english-engelska/pension-forecast-see-how-much-pension-you-will-get</t>
  </si>
  <si>
    <t>https://www.socpoist.sk/en/top-topics/insurees-electronic-account</t>
  </si>
  <si>
    <t>https://www.zpiz.si/content2020en/informative-calculation-of-retirement-date</t>
  </si>
  <si>
    <t>https://sede.seg-social.gob.es/wps/portal/sede/sede/Ciudadanos/Pensiones/202045_2</t>
  </si>
  <si>
    <t>https://eportal.cssz.cz/web/portal/-/sluzby/informativni-duchodova-aplikace</t>
  </si>
  <si>
    <t>https://www.allamkincstar.gov.hu/nyugdij/sajat-jogu-ellatasok/oregsegi-nyugdij/onkiszolgalo-nyugdijkalkulator</t>
  </si>
  <si>
    <t>https://www.gov.cy/en/service/temporary-calculation-of-the-amount-of-statutory-pension/</t>
  </si>
  <si>
    <t>https://island.is/en/o/social-insurance-administration/calculator</t>
  </si>
  <si>
    <t>https://www.ahv.li/leistungen/ahv/rentenberechnung</t>
  </si>
  <si>
    <t>https://www.nav.no/pensjon/pensjonskalkulator</t>
  </si>
  <si>
    <t>https://www.ahv-iv.ch/en/Forms/Online-pension-estimate-ESCAL</t>
  </si>
  <si>
    <r>
      <rPr>
        <b/>
        <sz val="10"/>
        <color rgb="FF000000"/>
        <rFont val="Calibri"/>
        <family val="2"/>
      </rPr>
      <t>Warum nun diese Aufarbeitung?</t>
    </r>
    <r>
      <rPr>
        <sz val="10"/>
        <color rgb="FF000000"/>
        <rFont val="Calibri"/>
        <family val="2"/>
      </rPr>
      <t xml:space="preserve"> Ganz einfach: wir haben es im Familienrecht immer häufiger mit ausländischen (meist europäischen) Versorgungen zu tun. Oft haben die anwaltlichen Vertretungen und Gerichte kaum Kenntnisse der Einzelheiten dieser Versorgungssysteme und wissen auch nicht, woher die diese Kennrnisse gewinnen sollen. Mit dieser Datenbank soll daher schnell und einfach zu bedienende Abhilfe geschaffen werden.</t>
    </r>
  </si>
  <si>
    <r>
      <rPr>
        <b/>
        <sz val="10"/>
        <color rgb="FF000000"/>
        <rFont val="Calibri"/>
        <family val="2"/>
      </rPr>
      <t>Suchen Sie z.B. Länderinformationen zur Altersrente</t>
    </r>
    <r>
      <rPr>
        <sz val="10"/>
        <color rgb="FF000000"/>
        <rFont val="Calibri"/>
        <family val="2"/>
      </rPr>
      <t xml:space="preserve">, klicken Sie in der </t>
    </r>
    <r>
      <rPr>
        <b/>
        <sz val="10"/>
        <color rgb="FF000000"/>
        <rFont val="Calibri"/>
        <family val="2"/>
      </rPr>
      <t>Spalte "B"</t>
    </r>
    <r>
      <rPr>
        <sz val="10"/>
        <color rgb="FF000000"/>
        <rFont val="Calibri"/>
        <family val="2"/>
      </rPr>
      <t xml:space="preserve"> auf den Auswahlpfeil, deaktivieren die Checkbox "Alles auswählen" und aktivieren die Checkbox "Alter". Damit grenzen Sie die Auswahl auf halbwegs überschaubare 28 Datensätze ein. In der </t>
    </r>
    <r>
      <rPr>
        <b/>
        <sz val="10"/>
        <color rgb="FF000000"/>
        <rFont val="Calibri"/>
        <family val="2"/>
      </rPr>
      <t>Spalte "C"</t>
    </r>
    <r>
      <rPr>
        <sz val="10"/>
        <color rgb="FF000000"/>
        <rFont val="Calibri"/>
        <family val="2"/>
      </rPr>
      <t xml:space="preserve"> können Sie nun auf gleiche Weise eine weitere Konkretisieung Ihrer Anfrage aus insgesamt 7 Unterbegriffen vornehmen und beispielsweise die Belastung der Renten mit Sozial- und Steuerabgaben erfahren. In Spalte "D" schließlich können Sie nach allen Suchbegriffen der Datenbank suchen wenn Sie in den vorherigen Spalten eine Eingrenzungen vorgenommen haben.</t>
    </r>
  </si>
  <si>
    <r>
      <rPr>
        <b/>
        <sz val="10"/>
        <color rgb="FF000000"/>
        <rFont val="Calibri"/>
        <family val="2"/>
      </rPr>
      <t>Durch Anklicken der Ländernamen</t>
    </r>
    <r>
      <rPr>
        <sz val="10"/>
        <color rgb="FF000000"/>
        <rFont val="Calibri"/>
        <family val="2"/>
      </rPr>
      <t xml:space="preserve"> in der nebenstehenden Liste gelanden Sie schnell zum Land Ihrer Wahl. Zurück geht es, indem Sie auf die klasische Schltfläche "zurück" klicken (wie nebenstehende Pfeile). Da 103 Datensätze nicht ganz einfach zu durchstöbern sind, habe ich Ihnen diese Arbeit entwas erleichtert: Sie finden in der ersten Zeile mit den Überschriften für jede Spalte einen kleinen Auswahlpfeil. wenn Sie darauf klicken, können Sie Ihre Suche strukturieren:</t>
    </r>
  </si>
  <si>
    <r>
      <t>Die hier als "</t>
    </r>
    <r>
      <rPr>
        <b/>
        <sz val="11"/>
        <color rgb="FF000000"/>
        <rFont val="Calibri"/>
        <family val="2"/>
      </rPr>
      <t>Methode 1</t>
    </r>
    <r>
      <rPr>
        <sz val="11"/>
        <color rgb="FF000000"/>
        <rFont val="Calibri"/>
        <family val="2"/>
      </rPr>
      <t>" bezeichnete Form der Abfindungsberechnung knüpft an den Wortlaut von § 24 Abs. 1 VersAusglG an, wonach für die Höhe der Abfindung der "Zeitwert des Ausgleichswerts" maßgeblich ist. Nach § 5 Abs. 4 S. 1 VersAusglG ist auch für die Berechnung der Abfindungshöhe der Rentenbetrag maßgeblich. Nach § 39 VersAusglG entspricht der Wert eines Anrechts nach dem Umfang der auf die Ehezeit anfallenden Bezugsgröße. Maßgeblich ist für die Berechnung der Abfindungshöhe also auch im sVA der Anspruch der ausgleichspflichtigen Person gegen den VT und nicht etwa der Anspruch der ausglber. Person auf die sVA-Rente gegen die ausglpfl. Person.</t>
    </r>
  </si>
  <si>
    <r>
      <t>Erläuterung:</t>
    </r>
    <r>
      <rPr>
        <sz val="11"/>
        <color theme="1"/>
        <rFont val="Calibri"/>
        <family val="2"/>
      </rPr>
      <t xml:space="preserve"> (AusglW = Ausgleichswert; VT = Versorgungsträger; BW = Barwert; sVA = schuldrechtlichen Versorgungsausgleich; ReZins = Rechnungszins</t>
    </r>
  </si>
  <si>
    <r>
      <t xml:space="preserve">4. Der zur Berechnung des Abfindungswerts anzuwendende </t>
    </r>
    <r>
      <rPr>
        <b/>
        <sz val="11"/>
        <color rgb="FF000000"/>
        <rFont val="Calibri"/>
        <family val="2"/>
      </rPr>
      <t>Rechnungszins kann nicht der Bilanzierungsrechnungszins eines Versorgungsträgers sein.</t>
    </r>
    <r>
      <rPr>
        <sz val="11"/>
        <color rgb="FF000000"/>
        <rFont val="Calibri"/>
        <family val="2"/>
      </rPr>
      <t xml:space="preserve"> Die ausglpfl. Person hat die sVA-Rente zu erbringen. Sie bilanziert nicht. Der BGH hat die Wahl des ReZinses ausdrücklich dem VT überlassen (BGH v. .... XII ZB ...........). Der VT spielt beim sVA aber keine Rolle. 
Da eine Versorgungsleistung eine zukünftig fällig werdende wiederkehrende Leistung der ausglpflichtigen an die ausglberechtigte Person ist, sind die zukünftigen Leistungen in Höhe der erwartbaren Inflation abzuzinsen. Nur dadurch wird dem inflationsbedingten Wertverlust der künftig fällig werdenden Rentenbezüge der ausglpfl. Person hinreichend Rechnung getragen.
Eine weitere Erhöhung des Rechnungszinses ist m.E. nicht gerechtfertigt. Die im Bewertungsgesetz ausgewiesene Höhe des Abzinsungszinses von 5,5% (§ 12 Abs. 3 BewG)  kann nicht herangezogen werden. Sie gilt für "öffentlich-rechtliche Abgaben" (§ 1 Abs. 1 BewG). Soweit ein höherer Rechnungszins bei der Abzinsung zukünftig fällig werdender Geldzahlungen befürwortet wird, ist dies damit begründet, dass dem Gläubiger in der Zeit bis zur Fälligkeit der Forderung die Möglichkeit ratierlicher Anlage der Forderung fehlt. Diese Situation ist im sVA aber nicht gegeben, da die im sVA ausgleichspflichtige Person Anspruch auf die Rente gegen den Versorgungsträger hat, nicht aber auf eine Kapitalleistung. Der Ausfall von Einkünften aus rentierlicher Anlage des Abfindungsbetrages bei dessen Zahlung an die ausgleichsber. Person bzw. einen von ihr benannten VT ist ein nicht dem sVA zuzuordnender Vermögensnachteil. Ob dieser Renditeverlust über § 27 VersAusglG eine Anhebung des ReZinses rechtfertigt (und damit eine Verminderung des Abfindungskapitals) rechtfertigt, muss bezweifelt werden.</t>
    </r>
    <r>
      <rPr>
        <b/>
        <sz val="11"/>
        <color rgb="FF000000"/>
        <rFont val="Calibri"/>
        <family val="2"/>
      </rPr>
      <t xml:space="preserve">
</t>
    </r>
  </si>
  <si>
    <t>Table 1: Life expectancy at birth, 1980-2024</t>
  </si>
  <si>
    <t>(years)</t>
  </si>
  <si>
    <t>erwartbares Alter ab Geburt</t>
  </si>
  <si>
    <t>erwartbares Alter ab 65</t>
  </si>
  <si>
    <t>Total</t>
  </si>
  <si>
    <t>Males</t>
  </si>
  <si>
    <t>Females</t>
  </si>
  <si>
    <t>EU (¹)</t>
  </si>
  <si>
    <t>Letland</t>
  </si>
  <si>
    <t xml:space="preserve">Malta </t>
  </si>
  <si>
    <t>Finland</t>
  </si>
  <si>
    <t>Nord Mazedonien</t>
  </si>
  <si>
    <t>(¹) 2010: break in series. 2023: estimate/provisional.</t>
  </si>
  <si>
    <t>(²) 2023: estimate/provisional.</t>
  </si>
  <si>
    <r>
      <t>Source:</t>
    </r>
    <r>
      <rPr>
        <sz val="10"/>
        <rFont val="Arial"/>
        <family val="2"/>
      </rPr>
      <t xml:space="preserve"> Eurostat (online data code: demo_mlexpec)</t>
    </r>
  </si>
  <si>
    <t>Bookmark:</t>
  </si>
  <si>
    <t>https://ec.europa.eu/eurostat/databrowser/bookmark/99157eb2-16e0-44f4-9d4b-8119e37e111e?lang=en</t>
  </si>
  <si>
    <t>ab Geburt</t>
  </si>
  <si>
    <t>ab 65</t>
  </si>
  <si>
    <t>Lebenserwartungsabweichung zu Deutschland</t>
  </si>
  <si>
    <r>
      <t>Länderwahl</t>
    </r>
    <r>
      <rPr>
        <b/>
        <sz val="11"/>
        <color theme="0"/>
        <rFont val="Arial"/>
        <family val="2"/>
      </rPr>
      <t>▼</t>
    </r>
  </si>
  <si>
    <t>Lebenserwartung EU &amp; EFTA</t>
  </si>
  <si>
    <t>Lebenshaltungskostenvergleich 
Deutschland / EU-Länder</t>
  </si>
  <si>
    <r>
      <rPr>
        <b/>
        <sz val="11"/>
        <color rgb="FF000000"/>
        <rFont val="Calibri"/>
        <family val="2"/>
      </rPr>
      <t>Ausgleichspflichtige Person</t>
    </r>
    <r>
      <rPr>
        <sz val="11"/>
        <color rgb="FF000000"/>
        <rFont val="Calibri"/>
        <family val="2"/>
      </rPr>
      <t xml:space="preserve">, Geburtstag: </t>
    </r>
  </si>
  <si>
    <t>Die versorgungsausgleichsrechtliche Datenbank
 zu euröpäischen Versorgungen
und ihre Behandlung im Versorgungsausgleich und ihre Abfindung</t>
  </si>
  <si>
    <t>Dynamisierung der auszugleichenden Versorgung in:</t>
  </si>
  <si>
    <t>Anwartschaft:</t>
  </si>
  <si>
    <t>&amp; Leistung:</t>
  </si>
  <si>
    <t>Alter BerDat</t>
  </si>
  <si>
    <t>Ehezeitende (EzE)</t>
  </si>
  <si>
    <t>Alter EzE/Sex</t>
  </si>
  <si>
    <t>Fälligkeit der sVA-Rente ▼</t>
  </si>
  <si>
    <t xml:space="preserve">erwartbare sVA-Leistungszeit: </t>
  </si>
  <si>
    <t>Rentenbezugs-alter (Nr. 39ff) ▼</t>
  </si>
  <si>
    <t>Datum d.  Rentenbezugs ▼</t>
  </si>
  <si>
    <r>
      <t>ehezeitl. erdiente monatliche Rente</t>
    </r>
    <r>
      <rPr>
        <b/>
        <sz val="12"/>
        <color rgb="FF000000"/>
        <rFont val="Calibri"/>
        <family val="2"/>
      </rPr>
      <t xml:space="preserve"> im Ehezeitende zu 1/2:</t>
    </r>
  </si>
  <si>
    <r>
      <t xml:space="preserve">Qualifikationsmerkmale der Versorgung </t>
    </r>
    <r>
      <rPr>
        <sz val="10"/>
        <color theme="0"/>
        <rFont val="Calibri"/>
        <family val="2"/>
      </rPr>
      <t>(die Nummern entsprechen den Nummern in der EU-Länderdatenbank Spalte A)</t>
    </r>
  </si>
  <si>
    <t>Alter_sVA_Ber</t>
  </si>
  <si>
    <t>L_sVABeginn_Pfl</t>
  </si>
  <si>
    <t>L_sVABeginn_Ber</t>
  </si>
  <si>
    <t>Alter_sVA_Pfl</t>
  </si>
  <si>
    <r>
      <t>abweichend:</t>
    </r>
    <r>
      <rPr>
        <b/>
        <sz val="12"/>
        <color theme="0"/>
        <rFont val="Arial"/>
        <family val="2"/>
      </rPr>
      <t>↓</t>
    </r>
  </si>
  <si>
    <t>Zur Recherche &amp; Datensammlung ist KI eingesetzt worden</t>
  </si>
  <si>
    <t>Alter bei Fälligkeit</t>
  </si>
  <si>
    <t>Grundinformationen zu der auszugleichenden Altersversorgung &amp; zum Fall</t>
  </si>
  <si>
    <t>Alter EzE</t>
  </si>
  <si>
    <t>Geschlecht</t>
  </si>
  <si>
    <r>
      <rPr>
        <b/>
        <sz val="11"/>
        <color rgb="FF000000"/>
        <rFont val="Calibri"/>
        <family val="2"/>
      </rPr>
      <t>Ausgleichswert</t>
    </r>
    <r>
      <rPr>
        <sz val="11"/>
        <color rgb="FF000000"/>
        <rFont val="Calibri"/>
        <family val="2"/>
      </rPr>
      <t xml:space="preserve"> (ehezeitl. erdiente monatliche Rente</t>
    </r>
    <r>
      <rPr>
        <b/>
        <sz val="12"/>
        <color rgb="FF000000"/>
        <rFont val="Calibri"/>
        <family val="2"/>
      </rPr>
      <t xml:space="preserve"> im EzE zu 1/2):</t>
    </r>
  </si>
  <si>
    <t>AnwPhase:</t>
  </si>
  <si>
    <t>LeistPhase:</t>
  </si>
  <si>
    <t>Versorgungserwerb in DRV</t>
  </si>
  <si>
    <t>Rente</t>
  </si>
  <si>
    <t>Ab</t>
  </si>
  <si>
    <t>Änderung hier eingeben:</t>
  </si>
  <si>
    <t>Aufzinsungszinssatz:</t>
  </si>
  <si>
    <t>Aufzinsungsmethode des auf das Ehezeitende berechneten Barwerts zum Berechnungsstichtag</t>
  </si>
  <si>
    <t>27'=130%</t>
  </si>
  <si>
    <t>13' = 100%</t>
  </si>
  <si>
    <t>27' = 130%</t>
  </si>
  <si>
    <t>13'=85%</t>
  </si>
  <si>
    <t>27' = 150%
13' = 100%</t>
  </si>
  <si>
    <t>13'= 100%</t>
  </si>
  <si>
    <t>27' = 145%</t>
  </si>
  <si>
    <t>Dies ist kein Programm für "kleine Bildschirme" es funktioniert, ist aber weniger komfortabel. Ab 13' macht es Spaß. Die optimale Zoom-Einstellung finden Sie am rechten Bildschirmrand</t>
  </si>
  <si>
    <t xml:space="preserve"> Die mit diesem Programm gefundenen Ergebnisse ersetzen kein SV-Gutachten, geben aber die Möglichkeit, die Dimensionierung einer Abfindungszahlung auch für wenig versicherungsmathematisch affine Menschen vorzunehmen</t>
  </si>
  <si>
    <t>Autor: Jörn Hauß, FA-FamR - Duisburg  Für die mit diesem Programm erzielten Ergebnisse haftet der Anwender. Für Korrektur- und Verbesserungsvorschläge bin ich immer dankbar Hauss@anwaelte-DU.de</t>
  </si>
  <si>
    <r>
      <rPr>
        <b/>
        <sz val="10"/>
        <color rgb="FF000000"/>
        <rFont val="Calibri"/>
        <family val="2"/>
      </rPr>
      <t>Diese Excel-Tabelle ist eigentlich eine Datenbank</t>
    </r>
    <r>
      <rPr>
        <sz val="10"/>
        <color rgb="FF000000"/>
        <rFont val="Calibri"/>
        <family val="2"/>
      </rPr>
      <t>. In ihr finden Sie Informationen aus 32 Ländern Europas zu wichtigen Fragen der in diesen Ländern geltenden gesetzlichen Alters-, Invaliditäts- und Hinterbliebenenversorgungen.  Zu jedem Land sind die Versorgungssysteme unter 103 einheitlichen Stichworten zusammengetragen. Das bedeutet, dass die Datenbank 3.296 Datensätze enthält. Diese Daten sind von der EU-Kommission in der Datenbank MISSOC aufbereitet worden und werden kontinuierlich gepflegt.</t>
    </r>
  </si>
  <si>
    <r>
      <t xml:space="preserve">Eigentlich ist das aber gar nicht nötig. Schauen Sie einfach zunächst in das Blatt Abfindungsberechnung. Das besteht aus 2 Teilen. Links haben Sie die "Fallinformationen" zur </t>
    </r>
    <r>
      <rPr>
        <b/>
        <sz val="10"/>
        <color rgb="FF000000"/>
        <rFont val="Calibri"/>
        <family val="2"/>
      </rPr>
      <t xml:space="preserve">Berechnung der Abfindung eines sVA-Anspruchs </t>
    </r>
    <r>
      <rPr>
        <sz val="10"/>
        <color rgb="FF000000"/>
        <rFont val="Calibri"/>
        <family val="2"/>
      </rPr>
      <t xml:space="preserve">und rechts die Infos zu Ihrem ausgewählen Land. Sie werden damit nicht automatisch zum Sachverständigen, bekommen aber ein 'Gefühl' für die auszugleichende Versorgung. Gelb leuchtende Felder sollten Sie ausfüllen. Versuchen Sie es einfach, mehr als scheitern können Sie nicht. 
Wenn Sie sich jetzt ein bisschen Zeit nehmen finden Sie die </t>
    </r>
    <r>
      <rPr>
        <b/>
        <sz val="10"/>
        <color rgb="FF000000"/>
        <rFont val="Calibri"/>
        <family val="2"/>
      </rPr>
      <t>Rspr. zu den Versorgungen</t>
    </r>
    <r>
      <rPr>
        <sz val="10"/>
        <color rgb="FF000000"/>
        <rFont val="Calibri"/>
        <family val="2"/>
      </rPr>
      <t>, den</t>
    </r>
    <r>
      <rPr>
        <b/>
        <sz val="10"/>
        <color rgb="FF000000"/>
        <rFont val="Calibri"/>
        <family val="2"/>
      </rPr>
      <t xml:space="preserve"> offiziellen Rentenrechner, Dynamisierungswerte der Versorgung </t>
    </r>
    <r>
      <rPr>
        <sz val="10"/>
        <color rgb="FF000000"/>
        <rFont val="Calibri"/>
        <family val="2"/>
      </rPr>
      <t xml:space="preserve">und </t>
    </r>
    <r>
      <rPr>
        <b/>
        <sz val="10"/>
        <color rgb="FF000000"/>
        <rFont val="Calibri"/>
        <family val="2"/>
      </rPr>
      <t>Inflationswerte</t>
    </r>
    <r>
      <rPr>
        <sz val="10"/>
        <color rgb="FF000000"/>
        <rFont val="Calibri"/>
        <family val="2"/>
      </rPr>
      <t xml:space="preserve"> des Landes und Vieles mehr. Und wenn Sie ganz viel Zeit haben, können Sie auch auf die </t>
    </r>
    <r>
      <rPr>
        <b/>
        <sz val="10"/>
        <color rgb="FF000000"/>
        <rFont val="Calibri"/>
        <family val="2"/>
      </rPr>
      <t>Länderbroschüre</t>
    </r>
    <r>
      <rPr>
        <sz val="10"/>
        <color rgb="FF000000"/>
        <rFont val="Calibri"/>
        <family val="2"/>
      </rPr>
      <t xml:space="preserve"> zu den 32 Versorgungen zugreifen. Da bekommen Sie alle Infos, die Sie im VA brauchen und noch mehr: Einen Eindruck davon, dass andere Länder auch pfiffige Ideen für ihre Versorgungssysteme haben. Viel Spaß.
Mit diesem Programm können Sie die Abfindung einer sVA-Rente dimensionieren (auch inländischer). Sie sind nicht mehr ganz  hilflos dem Sachverständigen-Gutachten ausgeliefert und kommen vielleich auch ohne SV-Gutachten aus, weil die Parteien sich einigen.
</t>
    </r>
    <r>
      <rPr>
        <b/>
        <sz val="10"/>
        <color rgb="FF000000"/>
        <rFont val="Calibri"/>
        <family val="2"/>
      </rPr>
      <t>Und bevor Sie verzweifeln: rufen Sie mich an: 0821-40873475 oder schreiben Sie eine Email (Hauss@Anwaelte-DU.de).  Der Versorgungsausgleich ist mein Hobby.</t>
    </r>
  </si>
  <si>
    <r>
      <rPr>
        <b/>
        <sz val="10"/>
        <color rgb="FF000000"/>
        <rFont val="Calibri"/>
        <family val="2"/>
      </rPr>
      <t>Und noch einen kleinen Bedienungshinweis:</t>
    </r>
    <r>
      <rPr>
        <sz val="10"/>
        <color rgb="FF000000"/>
        <rFont val="Calibri"/>
        <family val="2"/>
      </rPr>
      <t xml:space="preserve"> Das Programm enthält keine Makros, weil sonst Büro-, Behörden- und Gerichts-Firewalls oft eine Nutzung verhindern.
Wenn Ihnen nicht gefällt, dass die </t>
    </r>
    <r>
      <rPr>
        <b/>
        <sz val="10"/>
        <color rgb="FF000000"/>
        <rFont val="Calibri"/>
        <family val="2"/>
      </rPr>
      <t>Position des Cursors</t>
    </r>
    <r>
      <rPr>
        <sz val="10"/>
        <color rgb="FF000000"/>
        <rFont val="Calibri"/>
        <family val="2"/>
      </rPr>
      <t xml:space="preserve"> in den einzelnen Blättern durch ein lindgrünes Balkenkreuz angezeigt wird, schalten Sie das aus: &lt;Ansicht&gt;, &lt;Fokuszeile&gt;...
Wenn Ihnen der </t>
    </r>
    <r>
      <rPr>
        <b/>
        <sz val="10"/>
        <color rgb="FF000000"/>
        <rFont val="Calibri"/>
        <family val="2"/>
      </rPr>
      <t>Bildschirmausschnitt</t>
    </r>
    <r>
      <rPr>
        <sz val="10"/>
        <color rgb="FF000000"/>
        <rFont val="Calibri"/>
        <family val="2"/>
      </rPr>
      <t xml:space="preserve"> nicht passt: &lt;Ansicht&gt;,&lt;Zoom&gt;  oder &lt;strg&gt;+Mausrad drehen.
</t>
    </r>
    <r>
      <rPr>
        <b/>
        <sz val="10"/>
        <color rgb="FF000000"/>
        <rFont val="Calibri"/>
        <family val="2"/>
      </rPr>
      <t>In den Blättern "Methode 1 - 3" können Sie keine Eingaben machen</t>
    </r>
    <r>
      <rPr>
        <sz val="10"/>
        <color rgb="FF000000"/>
        <rFont val="Calibri"/>
        <family val="2"/>
      </rPr>
      <t>. Sie müssten zum "Abfindungsrechner" zurück, oder Sie klicken mit der rechten Maustaste auf die entsprechenden Zellunterstreichungen und landen automatisch im richtigen Eingabefeld zur Änderung der Eingabe. Klicken Sie sich einfach mal "durch". Wo etwas unterstrichen ist, springen Sie weiter.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</si>
</sst>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6" formatCode="#,##0\ &quot;€&quot;;[Red]\-#,##0\ &quot;€&quot;"/>
    <numFmt numFmtId="8" formatCode="#,##0.00\ &quot;€&quot;;[Red]\-#,##0.00\ &quot;€&quot;"/>
    <numFmt numFmtId="164" formatCode="_-* #,##0.00\ [$€-407]_-;\-* #,##0.00\ [$€-407]_-;_-* &quot;-&quot;??\ [$€-407]_-;_-@_-"/>
    <numFmt numFmtId="165" formatCode="#,##0_ ;\-#,##0\ "/>
    <numFmt numFmtId="166" formatCode="0_ ;\-0\ "/>
    <numFmt numFmtId="167" formatCode="#,##0.0000"/>
    <numFmt numFmtId="168" formatCode="0.0000"/>
    <numFmt numFmtId="169" formatCode="0.0%"/>
    <numFmt numFmtId="170" formatCode="0.000"/>
    <numFmt numFmtId="171" formatCode="0.0000000000"/>
    <numFmt numFmtId="172" formatCode="d/m/yy;@"/>
    <numFmt numFmtId="173" formatCode="#,##0.00_ ;[Red]\-#,##0.00\ "/>
    <numFmt numFmtId="174" formatCode="#,##0.0000_ ;[Red]\-#,##0.0000\ "/>
    <numFmt numFmtId="175" formatCode="#,##0.0000\ &quot;€&quot;;[Red]\-#,##0.0000\ &quot;€&quot;"/>
    <numFmt numFmtId="176" formatCode="0.0"/>
    <numFmt numFmtId="177" formatCode="0.00000%"/>
    <numFmt numFmtId="178" formatCode="0.0000%"/>
    <numFmt numFmtId="179" formatCode="#,##0.0_ ;[Red]\-#,##0.0\ "/>
    <numFmt numFmtId="180" formatCode="0.00000000000"/>
    <numFmt numFmtId="181" formatCode="\+0.0%;[Red]\-0.0%"/>
    <numFmt numFmtId="182" formatCode="@_i"/>
    <numFmt numFmtId="183" formatCode="#,##0.0_i"/>
    <numFmt numFmtId="184" formatCode="#,##0.0"/>
  </numFmts>
  <fonts count="145">
    <font>
      <sz val="11"/>
      <color rgb="FF000000"/>
      <name val="Calibri"/>
    </font>
    <font>
      <sz val="11"/>
      <color theme="1"/>
      <name val="Calibri"/>
      <family val="2"/>
      <scheme val="minor"/>
    </font>
    <font>
      <sz val="11"/>
      <color theme="1"/>
      <name val="Calibri"/>
      <family val="2"/>
      <scheme val="minor"/>
    </font>
    <font>
      <sz val="18"/>
      <color rgb="FF60256C"/>
      <name val="Calibri"/>
      <family val="2"/>
    </font>
    <font>
      <u/>
      <sz val="11"/>
      <color rgb="FF0000FF"/>
      <name val="Calibri"/>
      <family val="2"/>
    </font>
    <font>
      <b/>
      <sz val="14"/>
      <color rgb="FF000000"/>
      <name val="Calibri"/>
      <family val="2"/>
    </font>
    <font>
      <sz val="11"/>
      <color rgb="FF000000"/>
      <name val="Calibri"/>
      <family val="2"/>
    </font>
    <font>
      <sz val="11"/>
      <name val="Calibri"/>
      <family val="2"/>
    </font>
    <font>
      <b/>
      <sz val="14"/>
      <name val="Calibri"/>
      <family val="2"/>
    </font>
    <font>
      <b/>
      <sz val="11"/>
      <name val="Calibri"/>
      <family val="2"/>
    </font>
    <font>
      <b/>
      <sz val="13"/>
      <name val="Calibri"/>
      <family val="2"/>
    </font>
    <font>
      <b/>
      <sz val="18"/>
      <name val="Calibri"/>
      <family val="2"/>
    </font>
    <font>
      <b/>
      <sz val="36"/>
      <color rgb="FF60256C"/>
      <name val="Calibri"/>
      <family val="2"/>
    </font>
    <font>
      <u/>
      <sz val="11"/>
      <color theme="10"/>
      <name val="Calibri"/>
      <family val="2"/>
    </font>
    <font>
      <sz val="11"/>
      <color rgb="FF000000"/>
      <name val="Calibri"/>
      <family val="2"/>
    </font>
    <font>
      <b/>
      <sz val="12"/>
      <color rgb="FF000000"/>
      <name val="Calibri"/>
      <family val="2"/>
    </font>
    <font>
      <b/>
      <sz val="28"/>
      <color rgb="FF60256C"/>
      <name val="Calibri"/>
      <family val="2"/>
    </font>
    <font>
      <sz val="16"/>
      <color rgb="FF000000"/>
      <name val="Calibri"/>
      <family val="2"/>
    </font>
    <font>
      <sz val="8"/>
      <color rgb="FF000000"/>
      <name val="Segoe UI"/>
      <family val="2"/>
    </font>
    <font>
      <b/>
      <sz val="14"/>
      <color theme="0"/>
      <name val="Calibri"/>
      <family val="2"/>
    </font>
    <font>
      <sz val="11"/>
      <color theme="0"/>
      <name val="Calibri"/>
      <family val="2"/>
    </font>
    <font>
      <sz val="11"/>
      <color rgb="FF000000"/>
      <name val="Arial"/>
      <family val="2"/>
    </font>
    <font>
      <sz val="12"/>
      <color rgb="FF000000"/>
      <name val="Calibri"/>
      <family val="2"/>
    </font>
    <font>
      <b/>
      <sz val="11"/>
      <color rgb="FF000000"/>
      <name val="Calibri"/>
      <family val="2"/>
    </font>
    <font>
      <sz val="14"/>
      <color theme="2" tint="-0.89999084444715716"/>
      <name val="Calibri"/>
      <family val="2"/>
    </font>
    <font>
      <sz val="14"/>
      <color theme="1" tint="0.499984740745262"/>
      <name val="Calibri"/>
      <family val="2"/>
    </font>
    <font>
      <sz val="13"/>
      <color theme="1" tint="0.499984740745262"/>
      <name val="Calibri"/>
      <family val="2"/>
    </font>
    <font>
      <sz val="10"/>
      <name val="Arial"/>
      <family val="2"/>
    </font>
    <font>
      <b/>
      <sz val="8"/>
      <name val="Arial"/>
      <family val="2"/>
    </font>
    <font>
      <sz val="8"/>
      <name val="MetaNormalLF-Roman"/>
    </font>
    <font>
      <sz val="10"/>
      <name val="MetaNormalLF-Roman"/>
      <family val="2"/>
    </font>
    <font>
      <sz val="8"/>
      <name val="Arial"/>
      <family val="2"/>
    </font>
    <font>
      <sz val="10"/>
      <color theme="1"/>
      <name val="Arial"/>
      <family val="2"/>
    </font>
    <font>
      <sz val="8"/>
      <color indexed="8"/>
      <name val="Arial"/>
      <family val="2"/>
    </font>
    <font>
      <b/>
      <sz val="8"/>
      <color indexed="8"/>
      <name val="Arial"/>
      <family val="2"/>
    </font>
    <font>
      <sz val="8"/>
      <color theme="1"/>
      <name val="Arial"/>
      <family val="2"/>
    </font>
    <font>
      <sz val="9"/>
      <color indexed="8"/>
      <name val="Arial"/>
      <family val="2"/>
    </font>
    <font>
      <sz val="12"/>
      <color indexed="8"/>
      <name val="Calibri"/>
      <family val="2"/>
    </font>
    <font>
      <b/>
      <sz val="12"/>
      <color indexed="8"/>
      <name val="Calibri"/>
      <family val="2"/>
    </font>
    <font>
      <vertAlign val="subscript"/>
      <sz val="8"/>
      <color indexed="8"/>
      <name val="Calibri"/>
      <family val="2"/>
    </font>
    <font>
      <vertAlign val="subscript"/>
      <sz val="9"/>
      <color indexed="8"/>
      <name val="Calibri"/>
      <family val="2"/>
    </font>
    <font>
      <sz val="10"/>
      <color indexed="8"/>
      <name val="Calibri"/>
      <family val="2"/>
    </font>
    <font>
      <b/>
      <sz val="10"/>
      <color indexed="8"/>
      <name val="Calibri"/>
      <family val="2"/>
    </font>
    <font>
      <sz val="10"/>
      <color indexed="8"/>
      <name val="Arial"/>
      <family val="2"/>
    </font>
    <font>
      <vertAlign val="subscript"/>
      <sz val="9"/>
      <color indexed="8"/>
      <name val="Arial"/>
      <family val="2"/>
    </font>
    <font>
      <vertAlign val="subscript"/>
      <sz val="11"/>
      <color indexed="8"/>
      <name val="Arial"/>
      <family val="2"/>
    </font>
    <font>
      <sz val="11"/>
      <color theme="0"/>
      <name val="Carlito"/>
    </font>
    <font>
      <sz val="11"/>
      <name val="Carlito"/>
    </font>
    <font>
      <b/>
      <sz val="10"/>
      <color theme="0"/>
      <name val="Aptos"/>
      <family val="2"/>
    </font>
    <font>
      <sz val="10"/>
      <color theme="0"/>
      <name val="Aptos"/>
      <family val="2"/>
    </font>
    <font>
      <sz val="10"/>
      <name val="Aptos"/>
      <family val="2"/>
    </font>
    <font>
      <i/>
      <sz val="12"/>
      <color rgb="FF000000"/>
      <name val="Calibri"/>
      <family val="2"/>
    </font>
    <font>
      <b/>
      <sz val="11"/>
      <color theme="0"/>
      <name val="Calibri"/>
      <family val="2"/>
    </font>
    <font>
      <sz val="14"/>
      <color rgb="FF000000"/>
      <name val="Calibri"/>
      <family val="2"/>
    </font>
    <font>
      <b/>
      <sz val="18"/>
      <color theme="0"/>
      <name val="Calibri"/>
      <family val="2"/>
    </font>
    <font>
      <sz val="10"/>
      <color rgb="FF000000"/>
      <name val="Calibri"/>
      <family val="2"/>
    </font>
    <font>
      <b/>
      <sz val="10"/>
      <color theme="0"/>
      <name val="Calibri"/>
      <family val="2"/>
    </font>
    <font>
      <b/>
      <sz val="14"/>
      <color theme="1"/>
      <name val="Calibri"/>
      <family val="2"/>
      <scheme val="minor"/>
    </font>
    <font>
      <b/>
      <u/>
      <sz val="14"/>
      <color theme="0"/>
      <name val="Calibri"/>
      <family val="2"/>
    </font>
    <font>
      <b/>
      <sz val="16"/>
      <color theme="0"/>
      <name val="Calibri"/>
      <family val="2"/>
    </font>
    <font>
      <sz val="14"/>
      <color theme="0"/>
      <name val="Calibri"/>
      <family val="2"/>
    </font>
    <font>
      <vertAlign val="subscript"/>
      <sz val="11"/>
      <color rgb="FF000000"/>
      <name val="Calibri"/>
      <family val="2"/>
    </font>
    <font>
      <sz val="12"/>
      <color theme="0"/>
      <name val="Calibri"/>
      <family val="2"/>
    </font>
    <font>
      <sz val="11"/>
      <color rgb="FF000000"/>
      <name val="Consolas"/>
      <family val="3"/>
    </font>
    <font>
      <u/>
      <sz val="11"/>
      <name val="Calibri"/>
      <family val="2"/>
    </font>
    <font>
      <b/>
      <sz val="11"/>
      <color rgb="FFFFFFFF"/>
      <name val="Carlito"/>
    </font>
    <font>
      <b/>
      <sz val="10"/>
      <color rgb="FF60256C"/>
      <name val="Calibri"/>
      <family val="2"/>
    </font>
    <font>
      <b/>
      <sz val="8"/>
      <color rgb="FF60256C"/>
      <name val="Calibri"/>
      <family val="2"/>
    </font>
    <font>
      <b/>
      <u/>
      <sz val="12"/>
      <color theme="0"/>
      <name val="Calibri"/>
      <family val="2"/>
    </font>
    <font>
      <b/>
      <sz val="9"/>
      <color theme="1"/>
      <name val="Calibri"/>
      <family val="2"/>
      <scheme val="minor"/>
    </font>
    <font>
      <b/>
      <sz val="11"/>
      <color theme="1"/>
      <name val="Calibri"/>
      <family val="2"/>
    </font>
    <font>
      <u/>
      <sz val="10"/>
      <color theme="10"/>
      <name val="Calibri"/>
      <family val="2"/>
    </font>
    <font>
      <b/>
      <sz val="20"/>
      <color theme="0"/>
      <name val="Calibri"/>
      <family val="2"/>
    </font>
    <font>
      <b/>
      <sz val="12"/>
      <color theme="0"/>
      <name val="Calibri"/>
      <family val="2"/>
    </font>
    <font>
      <sz val="16"/>
      <color theme="0"/>
      <name val="Calibri"/>
      <family val="2"/>
    </font>
    <font>
      <b/>
      <sz val="11"/>
      <color theme="1"/>
      <name val="Calibri"/>
      <family val="2"/>
      <scheme val="minor"/>
    </font>
    <font>
      <b/>
      <sz val="16"/>
      <color theme="1"/>
      <name val="Calibri"/>
      <family val="2"/>
      <scheme val="minor"/>
    </font>
    <font>
      <sz val="9"/>
      <color rgb="FF000000"/>
      <name val="Arial"/>
      <family val="2"/>
    </font>
    <font>
      <sz val="11"/>
      <color rgb="FF000000"/>
      <name val="Calibri"/>
      <family val="2"/>
      <scheme val="minor"/>
    </font>
    <font>
      <i/>
      <sz val="11"/>
      <color theme="1"/>
      <name val="Calibri"/>
      <family val="2"/>
      <scheme val="minor"/>
    </font>
    <font>
      <sz val="9"/>
      <color rgb="FF000000"/>
      <name val="Calibri"/>
      <family val="2"/>
    </font>
    <font>
      <b/>
      <sz val="10"/>
      <name val="Calibri"/>
      <family val="2"/>
    </font>
    <font>
      <sz val="10"/>
      <name val="Calibri"/>
      <family val="2"/>
    </font>
    <font>
      <vertAlign val="superscript"/>
      <sz val="11"/>
      <color rgb="FF000000"/>
      <name val="Calibri"/>
      <family val="2"/>
    </font>
    <font>
      <sz val="11"/>
      <color rgb="FF000000"/>
      <name val="Aptos Narrow"/>
      <family val="2"/>
    </font>
    <font>
      <b/>
      <sz val="12"/>
      <name val="Arial"/>
      <family val="2"/>
    </font>
    <font>
      <b/>
      <sz val="11"/>
      <color rgb="FF000000"/>
      <name val="Calibri"/>
      <family val="2"/>
    </font>
    <font>
      <b/>
      <sz val="14"/>
      <color rgb="FF000000"/>
      <name val="Calibri"/>
      <family val="2"/>
    </font>
    <font>
      <i/>
      <sz val="11"/>
      <color rgb="FF000000"/>
      <name val="Calibri"/>
      <family val="2"/>
    </font>
    <font>
      <b/>
      <sz val="11"/>
      <color rgb="FFFFFFFF"/>
      <name val="Calibri"/>
      <family val="2"/>
    </font>
    <font>
      <i/>
      <sz val="9"/>
      <color rgb="FF000000"/>
      <name val="Calibri"/>
      <family val="2"/>
    </font>
    <font>
      <sz val="12"/>
      <color rgb="FF000000"/>
      <name val="Aptos"/>
      <family val="2"/>
    </font>
    <font>
      <i/>
      <sz val="11"/>
      <color rgb="FF000000"/>
      <name val="Calibri"/>
      <family val="2"/>
    </font>
    <font>
      <b/>
      <sz val="24"/>
      <color rgb="FF000000"/>
      <name val="Calibri"/>
      <family val="2"/>
    </font>
    <font>
      <sz val="10"/>
      <color rgb="FF000000"/>
      <name val="Aptos"/>
      <family val="2"/>
    </font>
    <font>
      <b/>
      <sz val="10"/>
      <color rgb="FF000000"/>
      <name val="Aptos"/>
      <family val="2"/>
    </font>
    <font>
      <sz val="11"/>
      <color rgb="FF424242"/>
      <name val="Courier New"/>
      <family val="3"/>
    </font>
    <font>
      <sz val="11"/>
      <color theme="0"/>
      <name val="Aptos"/>
      <family val="2"/>
    </font>
    <font>
      <sz val="11"/>
      <name val="Aptos"/>
      <family val="2"/>
    </font>
    <font>
      <sz val="11"/>
      <color theme="1"/>
      <name val="Calibri"/>
      <family val="2"/>
    </font>
    <font>
      <sz val="8"/>
      <color rgb="FF000000"/>
      <name val="Calibri"/>
      <family val="2"/>
    </font>
    <font>
      <sz val="10"/>
      <color rgb="FF000000"/>
      <name val="Aptos Narrow"/>
      <family val="2"/>
    </font>
    <font>
      <b/>
      <sz val="14"/>
      <color theme="1"/>
      <name val="Calibri"/>
      <family val="2"/>
    </font>
    <font>
      <b/>
      <sz val="8"/>
      <color theme="1"/>
      <name val="Calibri"/>
      <family val="2"/>
    </font>
    <font>
      <sz val="8"/>
      <color theme="1"/>
      <name val="Calibri"/>
      <family val="2"/>
    </font>
    <font>
      <b/>
      <sz val="10"/>
      <color theme="1"/>
      <name val="Calibri"/>
      <family val="2"/>
    </font>
    <font>
      <sz val="8"/>
      <name val="Calibri"/>
      <family val="2"/>
    </font>
    <font>
      <b/>
      <sz val="22"/>
      <color theme="0"/>
      <name val="Calibri"/>
      <family val="2"/>
    </font>
    <font>
      <b/>
      <sz val="14"/>
      <color theme="0"/>
      <name val="Segoe UI Symbol"/>
      <family val="2"/>
    </font>
    <font>
      <sz val="10.5"/>
      <color rgb="FF000000"/>
      <name val="Calibri"/>
      <family val="2"/>
    </font>
    <font>
      <b/>
      <i/>
      <sz val="10.5"/>
      <color rgb="FF000000"/>
      <name val="Calibri"/>
      <family val="2"/>
    </font>
    <font>
      <i/>
      <sz val="10.5"/>
      <color rgb="FF000000"/>
      <name val="Calibri"/>
      <family val="2"/>
    </font>
    <font>
      <b/>
      <sz val="11"/>
      <color theme="0"/>
      <name val="Arial"/>
      <family val="2"/>
    </font>
    <font>
      <sz val="12"/>
      <name val="Calibri"/>
      <family val="2"/>
    </font>
    <font>
      <sz val="10"/>
      <color rgb="FF000000"/>
      <name val="Wingdings 3"/>
      <family val="1"/>
      <charset val="2"/>
    </font>
    <font>
      <b/>
      <sz val="14"/>
      <color rgb="FFFF0000"/>
      <name val="Calibri"/>
      <family val="2"/>
    </font>
    <font>
      <sz val="10"/>
      <color rgb="FF000000"/>
      <name val="Arial Unicode MS"/>
    </font>
    <font>
      <b/>
      <sz val="10"/>
      <color rgb="FF000000"/>
      <name val="Calibri"/>
      <family val="2"/>
    </font>
    <font>
      <b/>
      <sz val="11"/>
      <color theme="0"/>
      <name val="Calibri"/>
      <family val="2"/>
      <scheme val="minor"/>
    </font>
    <font>
      <sz val="11"/>
      <color theme="0"/>
      <name val="Calibri"/>
      <family val="2"/>
      <scheme val="minor"/>
    </font>
    <font>
      <sz val="9"/>
      <color theme="1"/>
      <name val="Calibri"/>
      <family val="2"/>
      <scheme val="minor"/>
    </font>
    <font>
      <b/>
      <sz val="16"/>
      <color theme="1"/>
      <name val="Calibri"/>
      <family val="2"/>
    </font>
    <font>
      <b/>
      <sz val="18"/>
      <color rgb="FF000000"/>
      <name val="Calibri"/>
      <family val="2"/>
    </font>
    <font>
      <b/>
      <sz val="22"/>
      <color theme="0"/>
      <name val="Calibri"/>
      <family val="2"/>
      <scheme val="minor"/>
    </font>
    <font>
      <b/>
      <sz val="18"/>
      <color theme="0"/>
      <name val="Calibri"/>
      <family val="2"/>
      <scheme val="minor"/>
    </font>
    <font>
      <u/>
      <sz val="11"/>
      <color rgb="FF0070C0"/>
      <name val="Calibri"/>
      <family val="2"/>
      <scheme val="minor"/>
    </font>
    <font>
      <u/>
      <sz val="10"/>
      <color rgb="FF0070C0"/>
      <name val="Arial Unicode MS"/>
    </font>
    <font>
      <b/>
      <u/>
      <sz val="10"/>
      <color rgb="FF0070C0"/>
      <name val="Calibri"/>
      <family val="2"/>
    </font>
    <font>
      <u/>
      <sz val="12"/>
      <color theme="0"/>
      <name val="Calibri"/>
      <family val="2"/>
    </font>
    <font>
      <u/>
      <sz val="14"/>
      <color theme="0"/>
      <name val="Calibri"/>
      <family val="2"/>
    </font>
    <font>
      <b/>
      <sz val="10"/>
      <name val="Arial"/>
      <family val="2"/>
    </font>
    <font>
      <b/>
      <i/>
      <sz val="10"/>
      <name val="Arial"/>
      <family val="2"/>
    </font>
    <font>
      <sz val="11"/>
      <name val="Arial"/>
      <family val="2"/>
    </font>
    <font>
      <i/>
      <sz val="10"/>
      <name val="Arial"/>
      <family val="2"/>
    </font>
    <font>
      <sz val="10"/>
      <color indexed="62"/>
      <name val="Arial"/>
      <family val="2"/>
    </font>
    <font>
      <sz val="10"/>
      <color theme="0"/>
      <name val="Calibri"/>
      <family val="2"/>
    </font>
    <font>
      <sz val="8"/>
      <color theme="0"/>
      <name val="Calibri"/>
      <family val="2"/>
    </font>
    <font>
      <b/>
      <u/>
      <sz val="10"/>
      <color theme="0"/>
      <name val="Calibri"/>
      <family val="2"/>
    </font>
    <font>
      <b/>
      <sz val="12"/>
      <color theme="1"/>
      <name val="Calibri"/>
      <family val="2"/>
    </font>
    <font>
      <b/>
      <u/>
      <sz val="20"/>
      <color theme="0"/>
      <name val="Calibri"/>
      <family val="2"/>
    </font>
    <font>
      <b/>
      <sz val="12"/>
      <color theme="0"/>
      <name val="Arial"/>
      <family val="2"/>
    </font>
    <font>
      <u/>
      <sz val="11"/>
      <color theme="1"/>
      <name val="Calibri"/>
      <family val="2"/>
    </font>
    <font>
      <sz val="9"/>
      <color theme="0"/>
      <name val="Calibri"/>
      <family val="2"/>
    </font>
    <font>
      <sz val="8"/>
      <color theme="0" tint="-0.499984740745262"/>
      <name val="Calibri"/>
      <family val="2"/>
    </font>
    <font>
      <sz val="8"/>
      <color theme="1" tint="0.499984740745262"/>
      <name val="Calibri"/>
      <family val="2"/>
    </font>
  </fonts>
  <fills count="33">
    <fill>
      <patternFill patternType="none"/>
    </fill>
    <fill>
      <patternFill patternType="gray125"/>
    </fill>
    <fill>
      <patternFill patternType="solid">
        <fgColor rgb="FFD8E592"/>
        <bgColor rgb="FF000000"/>
      </patternFill>
    </fill>
    <fill>
      <patternFill patternType="solid">
        <fgColor rgb="FFD8E592"/>
        <bgColor indexed="64"/>
      </patternFill>
    </fill>
    <fill>
      <patternFill patternType="solid">
        <fgColor rgb="FFFFFFFF"/>
        <bgColor indexed="64"/>
      </patternFill>
    </fill>
    <fill>
      <patternFill patternType="solid">
        <fgColor rgb="FF0070C0"/>
        <bgColor indexed="64"/>
      </patternFill>
    </fill>
    <fill>
      <patternFill patternType="solid">
        <fgColor rgb="FFFFFF00"/>
        <bgColor indexed="64"/>
      </patternFill>
    </fill>
    <fill>
      <patternFill patternType="solid">
        <fgColor rgb="FFD6E592"/>
        <bgColor rgb="FF000000"/>
      </patternFill>
    </fill>
    <fill>
      <patternFill patternType="solid">
        <fgColor theme="0" tint="-0.14999847407452621"/>
        <bgColor indexed="64"/>
      </patternFill>
    </fill>
    <fill>
      <patternFill patternType="solid">
        <fgColor rgb="FFFFFFFF"/>
        <bgColor rgb="FF000000"/>
      </patternFill>
    </fill>
    <fill>
      <patternFill patternType="solid">
        <fgColor rgb="FFFFFF00"/>
        <bgColor rgb="FF000000"/>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3" tint="0.249977111117893"/>
        <bgColor indexed="64"/>
      </patternFill>
    </fill>
    <fill>
      <patternFill patternType="solid">
        <fgColor theme="0"/>
        <bgColor indexed="64"/>
      </patternFill>
    </fill>
    <fill>
      <patternFill patternType="solid">
        <fgColor rgb="FF1F4E79"/>
      </patternFill>
    </fill>
    <fill>
      <patternFill patternType="solid">
        <fgColor rgb="FF002060"/>
        <bgColor indexed="64"/>
      </patternFill>
    </fill>
    <fill>
      <patternFill patternType="solid">
        <fgColor theme="8" tint="0.79998168889431442"/>
        <bgColor indexed="64"/>
      </patternFill>
    </fill>
    <fill>
      <patternFill patternType="solid">
        <fgColor rgb="FFEEF1F6"/>
        <bgColor indexed="64"/>
      </patternFill>
    </fill>
    <fill>
      <patternFill patternType="solid">
        <fgColor rgb="FFFFC000"/>
        <bgColor indexed="64"/>
      </patternFill>
    </fill>
    <fill>
      <patternFill patternType="solid">
        <fgColor rgb="FFD2DD43"/>
        <bgColor indexed="64"/>
      </patternFill>
    </fill>
    <fill>
      <patternFill patternType="solid">
        <fgColor rgb="FF4472C4"/>
        <bgColor indexed="64"/>
      </patternFill>
    </fill>
    <fill>
      <patternFill patternType="solid">
        <fgColor rgb="FF92D050"/>
        <bgColor indexed="64"/>
      </patternFill>
    </fill>
    <fill>
      <patternFill patternType="solid">
        <fgColor theme="6" tint="0.39997558519241921"/>
        <bgColor indexed="64"/>
      </patternFill>
    </fill>
    <fill>
      <patternFill patternType="solid">
        <fgColor rgb="FFC4D79B"/>
        <bgColor indexed="64"/>
      </patternFill>
    </fill>
    <fill>
      <patternFill patternType="solid">
        <fgColor theme="2"/>
        <bgColor indexed="64"/>
      </patternFill>
    </fill>
    <fill>
      <patternFill patternType="solid">
        <fgColor rgb="FF00B050"/>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rgb="FF98D4BA"/>
        <bgColor indexed="64"/>
      </patternFill>
    </fill>
    <fill>
      <patternFill patternType="solid">
        <fgColor theme="6" tint="0.79998168889431442"/>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n">
        <color indexed="64"/>
      </bottom>
      <diagonal/>
    </border>
    <border>
      <left/>
      <right style="thin">
        <color auto="1"/>
      </right>
      <top style="thin">
        <color auto="1"/>
      </top>
      <bottom style="thin">
        <color auto="1"/>
      </bottom>
      <diagonal/>
    </border>
    <border>
      <left style="thin">
        <color indexed="64"/>
      </left>
      <right/>
      <top/>
      <bottom/>
      <diagonal/>
    </border>
    <border>
      <left/>
      <right/>
      <top style="thin">
        <color indexed="64"/>
      </top>
      <bottom/>
      <diagonal/>
    </border>
    <border>
      <left/>
      <right style="thin">
        <color auto="1"/>
      </right>
      <top style="thin">
        <color auto="1"/>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right style="thin">
        <color auto="1"/>
      </right>
      <top/>
      <bottom style="thin">
        <color auto="1"/>
      </bottom>
      <diagonal/>
    </border>
    <border>
      <left/>
      <right style="thin">
        <color indexed="64"/>
      </right>
      <top/>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rgb="FF000000"/>
      </right>
      <top style="thin">
        <color rgb="FF000000"/>
      </top>
      <bottom/>
      <diagonal/>
    </border>
    <border>
      <left/>
      <right/>
      <top style="thin">
        <color rgb="FF000000"/>
      </top>
      <bottom/>
      <diagonal/>
    </border>
    <border>
      <left/>
      <right style="thin">
        <color rgb="FF000000"/>
      </right>
      <top/>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rgb="FFD1D1D1"/>
      </left>
      <right style="medium">
        <color rgb="FFD1D1D1"/>
      </right>
      <top style="medium">
        <color rgb="FFD1D1D1"/>
      </top>
      <bottom style="medium">
        <color rgb="FFD1D1D1"/>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auto="1"/>
      </right>
      <top style="thin">
        <color auto="1"/>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theme="0"/>
      </left>
      <right style="thin">
        <color theme="0"/>
      </right>
      <top style="thin">
        <color theme="0"/>
      </top>
      <bottom style="thin">
        <color theme="0"/>
      </bottom>
      <diagonal/>
    </border>
    <border>
      <left style="medium">
        <color rgb="FF00B050"/>
      </left>
      <right/>
      <top style="medium">
        <color rgb="FF00B050"/>
      </top>
      <bottom/>
      <diagonal/>
    </border>
    <border>
      <left/>
      <right/>
      <top style="medium">
        <color rgb="FF00B050"/>
      </top>
      <bottom/>
      <diagonal/>
    </border>
    <border>
      <left/>
      <right style="medium">
        <color rgb="FF00B050"/>
      </right>
      <top style="medium">
        <color rgb="FF00B050"/>
      </top>
      <bottom/>
      <diagonal/>
    </border>
    <border>
      <left style="medium">
        <color rgb="FF00B050"/>
      </left>
      <right/>
      <top/>
      <bottom/>
      <diagonal/>
    </border>
    <border>
      <left/>
      <right style="medium">
        <color rgb="FF00B050"/>
      </right>
      <top/>
      <bottom/>
      <diagonal/>
    </border>
    <border>
      <left style="medium">
        <color rgb="FF00B050"/>
      </left>
      <right/>
      <top/>
      <bottom style="medium">
        <color rgb="FF00B050"/>
      </bottom>
      <diagonal/>
    </border>
    <border>
      <left/>
      <right/>
      <top/>
      <bottom style="medium">
        <color rgb="FF00B050"/>
      </bottom>
      <diagonal/>
    </border>
    <border>
      <left/>
      <right style="medium">
        <color rgb="FF00B050"/>
      </right>
      <top/>
      <bottom style="medium">
        <color rgb="FF00B050"/>
      </bottom>
      <diagonal/>
    </border>
    <border>
      <left style="thin">
        <color rgb="FF00B050"/>
      </left>
      <right style="thin">
        <color indexed="64"/>
      </right>
      <top style="thin">
        <color rgb="FF00B050"/>
      </top>
      <bottom style="thin">
        <color indexed="64"/>
      </bottom>
      <diagonal/>
    </border>
    <border>
      <left style="thin">
        <color indexed="64"/>
      </left>
      <right style="thin">
        <color indexed="64"/>
      </right>
      <top style="thin">
        <color rgb="FF00B050"/>
      </top>
      <bottom style="thin">
        <color indexed="64"/>
      </bottom>
      <diagonal/>
    </border>
    <border>
      <left style="thin">
        <color indexed="64"/>
      </left>
      <right style="thin">
        <color rgb="FF00B050"/>
      </right>
      <top style="thin">
        <color rgb="FF00B050"/>
      </top>
      <bottom style="thin">
        <color indexed="64"/>
      </bottom>
      <diagonal/>
    </border>
    <border>
      <left style="thin">
        <color rgb="FF00B050"/>
      </left>
      <right style="thin">
        <color indexed="64"/>
      </right>
      <top style="thin">
        <color indexed="64"/>
      </top>
      <bottom style="thin">
        <color indexed="64"/>
      </bottom>
      <diagonal/>
    </border>
    <border>
      <left style="thin">
        <color indexed="64"/>
      </left>
      <right style="thin">
        <color rgb="FF00B050"/>
      </right>
      <top style="thin">
        <color indexed="64"/>
      </top>
      <bottom style="thin">
        <color indexed="64"/>
      </bottom>
      <diagonal/>
    </border>
    <border>
      <left style="thin">
        <color rgb="FF00B050"/>
      </left>
      <right style="thin">
        <color indexed="64"/>
      </right>
      <top style="thin">
        <color indexed="64"/>
      </top>
      <bottom style="thin">
        <color rgb="FF00B050"/>
      </bottom>
      <diagonal/>
    </border>
    <border>
      <left style="thin">
        <color indexed="64"/>
      </left>
      <right style="thin">
        <color indexed="64"/>
      </right>
      <top style="thin">
        <color indexed="64"/>
      </top>
      <bottom style="thin">
        <color rgb="FF00B050"/>
      </bottom>
      <diagonal/>
    </border>
    <border>
      <left style="thin">
        <color indexed="64"/>
      </left>
      <right style="thin">
        <color rgb="FF00B050"/>
      </right>
      <top style="thin">
        <color indexed="64"/>
      </top>
      <bottom style="thin">
        <color rgb="FF00B050"/>
      </bottom>
      <diagonal/>
    </border>
    <border>
      <left/>
      <right style="thin">
        <color indexed="64"/>
      </right>
      <top style="thin">
        <color rgb="FF00B050"/>
      </top>
      <bottom style="thin">
        <color indexed="64"/>
      </bottom>
      <diagonal/>
    </border>
    <border>
      <left/>
      <right style="thin">
        <color indexed="64"/>
      </right>
      <top style="thin">
        <color indexed="64"/>
      </top>
      <bottom style="thin">
        <color rgb="FF00B05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s>
  <cellStyleXfs count="7">
    <xf numFmtId="0" fontId="0" fillId="0" borderId="0"/>
    <xf numFmtId="0" fontId="13" fillId="0" borderId="0" applyNumberFormat="0" applyFill="0" applyBorder="0" applyAlignment="0" applyProtection="0"/>
    <xf numFmtId="9" fontId="14" fillId="0" borderId="0" applyFont="0" applyFill="0" applyBorder="0" applyAlignment="0" applyProtection="0"/>
    <xf numFmtId="164" fontId="27" fillId="0" borderId="0"/>
    <xf numFmtId="0" fontId="27" fillId="0" borderId="0"/>
    <xf numFmtId="164" fontId="27" fillId="0" borderId="0"/>
    <xf numFmtId="0" fontId="47" fillId="0" borderId="0"/>
  </cellStyleXfs>
  <cellXfs count="955">
    <xf numFmtId="0" fontId="0" fillId="0" borderId="0" xfId="0"/>
    <xf numFmtId="0" fontId="0" fillId="0" borderId="1" xfId="0" applyBorder="1"/>
    <xf numFmtId="0" fontId="8" fillId="2" borderId="1" xfId="0" applyFont="1" applyFill="1" applyBorder="1" applyAlignment="1">
      <alignment vertical="top" wrapText="1"/>
    </xf>
    <xf numFmtId="0" fontId="10" fillId="2" borderId="1" xfId="0" applyFont="1" applyFill="1" applyBorder="1" applyAlignment="1">
      <alignment vertical="top" wrapText="1"/>
    </xf>
    <xf numFmtId="0" fontId="7" fillId="2" borderId="1" xfId="0" applyFont="1" applyFill="1" applyBorder="1" applyAlignment="1">
      <alignment horizontal="center" vertical="center" textRotation="90" wrapText="1"/>
    </xf>
    <xf numFmtId="0" fontId="9" fillId="0" borderId="1" xfId="0" applyFont="1" applyBorder="1" applyAlignment="1">
      <alignment wrapText="1"/>
    </xf>
    <xf numFmtId="0" fontId="0" fillId="0" borderId="1" xfId="0" applyBorder="1" applyAlignment="1">
      <alignment vertical="top" wrapText="1"/>
    </xf>
    <xf numFmtId="0" fontId="4" fillId="0" borderId="1" xfId="0" applyFont="1" applyBorder="1" applyAlignment="1">
      <alignment vertical="top" wrapText="1"/>
    </xf>
    <xf numFmtId="0" fontId="5" fillId="3" borderId="2" xfId="0" applyFont="1" applyFill="1" applyBorder="1" applyAlignment="1">
      <alignment horizontal="center" vertical="center" textRotation="90" wrapText="1"/>
    </xf>
    <xf numFmtId="0" fontId="11" fillId="3" borderId="2" xfId="0" applyFont="1" applyFill="1" applyBorder="1" applyAlignment="1">
      <alignment horizontal="center" wrapText="1"/>
    </xf>
    <xf numFmtId="0" fontId="12" fillId="2" borderId="2" xfId="0" applyFont="1" applyFill="1" applyBorder="1" applyAlignment="1">
      <alignment horizontal="center" vertical="center"/>
    </xf>
    <xf numFmtId="0" fontId="3" fillId="2" borderId="2" xfId="0" applyFont="1" applyFill="1" applyBorder="1" applyAlignment="1">
      <alignment horizontal="center"/>
    </xf>
    <xf numFmtId="0" fontId="0" fillId="0" borderId="2" xfId="0" applyBorder="1"/>
    <xf numFmtId="0" fontId="6" fillId="0" borderId="1" xfId="0" applyFont="1" applyBorder="1" applyAlignment="1">
      <alignment vertical="top" wrapText="1"/>
    </xf>
    <xf numFmtId="0" fontId="6" fillId="0" borderId="0" xfId="0" applyFont="1" applyAlignment="1">
      <alignment horizontal="center"/>
    </xf>
    <xf numFmtId="0" fontId="0" fillId="0" borderId="0" xfId="0" applyAlignment="1">
      <alignment horizontal="center"/>
    </xf>
    <xf numFmtId="0" fontId="16" fillId="2" borderId="0" xfId="0" applyFont="1" applyFill="1" applyAlignment="1">
      <alignment horizontal="center" vertical="center"/>
    </xf>
    <xf numFmtId="0" fontId="0" fillId="0" borderId="1" xfId="0" applyBorder="1" applyAlignment="1">
      <alignment horizontal="center" vertical="center"/>
    </xf>
    <xf numFmtId="0" fontId="17" fillId="4" borderId="1" xfId="0" applyFont="1" applyFill="1" applyBorder="1" applyAlignment="1">
      <alignment horizontal="center" vertical="center" textRotation="90"/>
    </xf>
    <xf numFmtId="0" fontId="17" fillId="4" borderId="1" xfId="0" applyFont="1" applyFill="1" applyBorder="1" applyAlignment="1">
      <alignment horizontal="center" vertical="center" textRotation="90" wrapText="1"/>
    </xf>
    <xf numFmtId="0" fontId="6" fillId="0" borderId="0" xfId="0" applyFont="1" applyAlignment="1">
      <alignment horizontal="left" vertical="top" wrapText="1"/>
    </xf>
    <xf numFmtId="0" fontId="6" fillId="0" borderId="0" xfId="0" applyFont="1"/>
    <xf numFmtId="0" fontId="13" fillId="0" borderId="0" xfId="1" applyFill="1"/>
    <xf numFmtId="0" fontId="0" fillId="0" borderId="0" xfId="0" applyAlignment="1">
      <alignment vertical="center"/>
    </xf>
    <xf numFmtId="0" fontId="6" fillId="0" borderId="0" xfId="0" applyFont="1" applyAlignment="1">
      <alignment horizontal="center" vertical="center"/>
    </xf>
    <xf numFmtId="0" fontId="0" fillId="0" borderId="1" xfId="0" applyBorder="1" applyAlignment="1">
      <alignment vertical="center"/>
    </xf>
    <xf numFmtId="0" fontId="0" fillId="0" borderId="0" xfId="0" applyAlignment="1">
      <alignment horizontal="center" vertical="center"/>
    </xf>
    <xf numFmtId="0" fontId="19" fillId="5" borderId="0" xfId="0" applyFont="1" applyFill="1" applyAlignment="1">
      <alignment horizontal="center" vertical="center"/>
    </xf>
    <xf numFmtId="0" fontId="20" fillId="5" borderId="0" xfId="0" applyFont="1" applyFill="1" applyAlignment="1">
      <alignment horizontal="center" vertical="center"/>
    </xf>
    <xf numFmtId="10" fontId="0" fillId="0" borderId="1" xfId="2" applyNumberFormat="1" applyFont="1" applyBorder="1" applyAlignment="1">
      <alignment horizontal="center"/>
    </xf>
    <xf numFmtId="0" fontId="13" fillId="0" borderId="0" xfId="1" applyAlignment="1">
      <alignment horizontal="left" vertical="center"/>
    </xf>
    <xf numFmtId="0" fontId="24" fillId="7" borderId="1" xfId="0" applyFont="1" applyFill="1" applyBorder="1" applyAlignment="1">
      <alignment vertical="top" wrapText="1"/>
    </xf>
    <xf numFmtId="0" fontId="25" fillId="7" borderId="1" xfId="0" applyFont="1" applyFill="1" applyBorder="1" applyAlignment="1">
      <alignment vertical="top" wrapText="1"/>
    </xf>
    <xf numFmtId="0" fontId="26" fillId="7" borderId="1" xfId="0" applyFont="1" applyFill="1" applyBorder="1" applyAlignment="1">
      <alignment vertical="top" wrapText="1"/>
    </xf>
    <xf numFmtId="0" fontId="13" fillId="8" borderId="0" xfId="1" applyNumberFormat="1" applyFill="1" applyAlignment="1" applyProtection="1">
      <alignment horizontal="center"/>
    </xf>
    <xf numFmtId="0" fontId="28" fillId="8" borderId="0" xfId="3" applyNumberFormat="1" applyFont="1" applyFill="1" applyAlignment="1">
      <alignment horizontal="center"/>
    </xf>
    <xf numFmtId="0" fontId="0" fillId="8" borderId="0" xfId="0" applyFill="1"/>
    <xf numFmtId="0" fontId="29" fillId="8" borderId="0" xfId="3" applyNumberFormat="1" applyFont="1" applyFill="1" applyAlignment="1">
      <alignment horizontal="center"/>
    </xf>
    <xf numFmtId="4" fontId="30" fillId="0" borderId="0" xfId="4" applyNumberFormat="1" applyFont="1"/>
    <xf numFmtId="0" fontId="30" fillId="9" borderId="0" xfId="0" applyFont="1" applyFill="1"/>
    <xf numFmtId="0" fontId="30" fillId="10" borderId="0" xfId="0" applyFont="1" applyFill="1"/>
    <xf numFmtId="2" fontId="30" fillId="9" borderId="0" xfId="0" applyNumberFormat="1" applyFont="1" applyFill="1"/>
    <xf numFmtId="0" fontId="13" fillId="0" borderId="0" xfId="1" applyNumberFormat="1" applyAlignment="1" applyProtection="1"/>
    <xf numFmtId="0" fontId="0" fillId="6" borderId="0" xfId="0" applyFill="1"/>
    <xf numFmtId="0" fontId="29" fillId="8" borderId="0" xfId="5" applyNumberFormat="1" applyFont="1" applyFill="1" applyAlignment="1">
      <alignment horizontal="center"/>
    </xf>
    <xf numFmtId="0" fontId="31" fillId="0" borderId="0" xfId="3" applyNumberFormat="1" applyFont="1"/>
    <xf numFmtId="0" fontId="28" fillId="8" borderId="0" xfId="5" applyNumberFormat="1" applyFont="1" applyFill="1" applyAlignment="1">
      <alignment horizontal="center"/>
    </xf>
    <xf numFmtId="2" fontId="0" fillId="0" borderId="0" xfId="0" applyNumberFormat="1"/>
    <xf numFmtId="1" fontId="33" fillId="0" borderId="0" xfId="0" applyNumberFormat="1" applyFont="1" applyAlignment="1">
      <alignment horizontal="center"/>
    </xf>
    <xf numFmtId="1" fontId="34" fillId="0" borderId="0" xfId="0" applyNumberFormat="1" applyFont="1" applyAlignment="1">
      <alignment horizontal="center"/>
    </xf>
    <xf numFmtId="165" fontId="33" fillId="0" borderId="0" xfId="0" applyNumberFormat="1" applyFont="1"/>
    <xf numFmtId="0" fontId="33" fillId="0" borderId="0" xfId="0" applyFont="1"/>
    <xf numFmtId="165" fontId="29" fillId="0" borderId="0" xfId="0" applyNumberFormat="1" applyFont="1"/>
    <xf numFmtId="165" fontId="31" fillId="0" borderId="0" xfId="0" applyNumberFormat="1" applyFont="1"/>
    <xf numFmtId="166" fontId="28" fillId="0" borderId="0" xfId="0" applyNumberFormat="1" applyFont="1"/>
    <xf numFmtId="1" fontId="35" fillId="0" borderId="0" xfId="0" applyNumberFormat="1" applyFont="1" applyAlignment="1">
      <alignment horizontal="center" vertical="center"/>
    </xf>
    <xf numFmtId="0" fontId="32" fillId="0" borderId="0" xfId="0" applyFont="1"/>
    <xf numFmtId="0" fontId="36" fillId="11" borderId="5" xfId="0" applyFont="1" applyFill="1" applyBorder="1" applyAlignment="1">
      <alignment horizontal="center"/>
    </xf>
    <xf numFmtId="0" fontId="35" fillId="11" borderId="6" xfId="0" applyFont="1" applyFill="1" applyBorder="1" applyAlignment="1">
      <alignment horizontal="center" vertical="center" wrapText="1"/>
    </xf>
    <xf numFmtId="0" fontId="0" fillId="12" borderId="5" xfId="0" applyFill="1" applyBorder="1" applyAlignment="1">
      <alignment horizontal="center" vertical="center"/>
    </xf>
    <xf numFmtId="0" fontId="35" fillId="12" borderId="6" xfId="0" applyFont="1" applyFill="1" applyBorder="1" applyAlignment="1">
      <alignment horizontal="center" vertical="center" wrapText="1"/>
    </xf>
    <xf numFmtId="0" fontId="0" fillId="13" borderId="5" xfId="0" applyFill="1" applyBorder="1" applyAlignment="1">
      <alignment horizontal="center" vertical="center"/>
    </xf>
    <xf numFmtId="0" fontId="35" fillId="13" borderId="6" xfId="0" applyFont="1" applyFill="1" applyBorder="1" applyAlignment="1">
      <alignment horizontal="center" vertical="center" wrapText="1"/>
    </xf>
    <xf numFmtId="14" fontId="36" fillId="0" borderId="0" xfId="0" applyNumberFormat="1" applyFont="1"/>
    <xf numFmtId="0" fontId="36" fillId="11" borderId="8" xfId="0" applyFont="1" applyFill="1" applyBorder="1" applyAlignment="1">
      <alignment horizontal="center"/>
    </xf>
    <xf numFmtId="0" fontId="33" fillId="11" borderId="1" xfId="0" applyFont="1" applyFill="1" applyBorder="1" applyAlignment="1">
      <alignment horizontal="center"/>
    </xf>
    <xf numFmtId="0" fontId="33" fillId="11" borderId="1" xfId="0" applyFont="1" applyFill="1" applyBorder="1" applyAlignment="1">
      <alignment horizontal="center" vertical="center"/>
    </xf>
    <xf numFmtId="0" fontId="33" fillId="11" borderId="9" xfId="0" applyFont="1" applyFill="1" applyBorder="1" applyAlignment="1">
      <alignment horizontal="center" vertical="center"/>
    </xf>
    <xf numFmtId="0" fontId="33" fillId="12" borderId="8" xfId="0" applyFont="1" applyFill="1" applyBorder="1" applyAlignment="1">
      <alignment horizontal="center" vertical="center"/>
    </xf>
    <xf numFmtId="0" fontId="33" fillId="12" borderId="1" xfId="0" applyFont="1" applyFill="1" applyBorder="1" applyAlignment="1">
      <alignment horizontal="center" vertical="center"/>
    </xf>
    <xf numFmtId="0" fontId="33" fillId="12" borderId="9" xfId="0" applyFont="1" applyFill="1" applyBorder="1" applyAlignment="1">
      <alignment horizontal="center" vertical="center"/>
    </xf>
    <xf numFmtId="0" fontId="33" fillId="13" borderId="8" xfId="0" applyFont="1" applyFill="1" applyBorder="1" applyAlignment="1">
      <alignment horizontal="center" vertical="center"/>
    </xf>
    <xf numFmtId="0" fontId="33" fillId="13" borderId="1" xfId="0" applyFont="1" applyFill="1" applyBorder="1" applyAlignment="1">
      <alignment horizontal="center" vertical="center"/>
    </xf>
    <xf numFmtId="0" fontId="33" fillId="13" borderId="9" xfId="0" applyFont="1" applyFill="1" applyBorder="1" applyAlignment="1">
      <alignment horizontal="center" vertical="center"/>
    </xf>
    <xf numFmtId="0" fontId="36" fillId="0" borderId="0" xfId="0" applyFont="1"/>
    <xf numFmtId="0" fontId="0" fillId="14" borderId="8" xfId="0" applyFill="1" applyBorder="1" applyAlignment="1">
      <alignment horizontal="center"/>
    </xf>
    <xf numFmtId="167" fontId="0" fillId="14" borderId="1" xfId="0" applyNumberFormat="1" applyFill="1" applyBorder="1" applyAlignment="1">
      <alignment horizontal="center"/>
    </xf>
    <xf numFmtId="10" fontId="14" fillId="14" borderId="1" xfId="2" applyNumberFormat="1" applyFill="1" applyBorder="1" applyAlignment="1">
      <alignment horizontal="center"/>
    </xf>
    <xf numFmtId="10" fontId="14" fillId="14" borderId="9" xfId="2" applyNumberFormat="1" applyFill="1" applyBorder="1" applyAlignment="1">
      <alignment horizontal="center"/>
    </xf>
    <xf numFmtId="168" fontId="0" fillId="14" borderId="1" xfId="0" applyNumberFormat="1" applyFill="1" applyBorder="1" applyAlignment="1">
      <alignment horizontal="center" vertical="center" wrapText="1"/>
    </xf>
    <xf numFmtId="168" fontId="0" fillId="14" borderId="1" xfId="0" applyNumberFormat="1" applyFill="1" applyBorder="1" applyAlignment="1">
      <alignment horizontal="center"/>
    </xf>
    <xf numFmtId="10" fontId="0" fillId="14" borderId="1" xfId="2" applyNumberFormat="1" applyFont="1" applyFill="1" applyBorder="1" applyAlignment="1">
      <alignment horizontal="center"/>
    </xf>
    <xf numFmtId="10" fontId="0" fillId="14" borderId="9" xfId="2" applyNumberFormat="1" applyFont="1" applyFill="1" applyBorder="1" applyAlignment="1">
      <alignment horizontal="center"/>
    </xf>
    <xf numFmtId="0" fontId="0" fillId="0" borderId="8" xfId="0" applyBorder="1" applyAlignment="1">
      <alignment horizontal="center"/>
    </xf>
    <xf numFmtId="167" fontId="0" fillId="0" borderId="1" xfId="0" applyNumberFormat="1" applyBorder="1" applyAlignment="1">
      <alignment horizontal="center"/>
    </xf>
    <xf numFmtId="10" fontId="14" fillId="0" borderId="1" xfId="2" applyNumberFormat="1" applyFill="1" applyBorder="1" applyAlignment="1">
      <alignment horizontal="center"/>
    </xf>
    <xf numFmtId="168" fontId="0" fillId="0" borderId="1" xfId="0" applyNumberFormat="1" applyBorder="1" applyAlignment="1">
      <alignment horizontal="center" vertical="center" wrapText="1"/>
    </xf>
    <xf numFmtId="10" fontId="14" fillId="0" borderId="9" xfId="2" applyNumberFormat="1" applyFill="1" applyBorder="1" applyAlignment="1">
      <alignment horizontal="center"/>
    </xf>
    <xf numFmtId="168" fontId="0" fillId="0" borderId="1" xfId="0" applyNumberFormat="1" applyBorder="1" applyAlignment="1">
      <alignment horizontal="center"/>
    </xf>
    <xf numFmtId="10" fontId="0" fillId="0" borderId="9" xfId="2" applyNumberFormat="1" applyFont="1" applyBorder="1" applyAlignment="1">
      <alignment horizontal="center"/>
    </xf>
    <xf numFmtId="0" fontId="0" fillId="6" borderId="8" xfId="0" applyFill="1" applyBorder="1" applyAlignment="1">
      <alignment horizontal="center"/>
    </xf>
    <xf numFmtId="167" fontId="0" fillId="6" borderId="1" xfId="0" applyNumberFormat="1" applyFill="1" applyBorder="1" applyAlignment="1">
      <alignment horizontal="center"/>
    </xf>
    <xf numFmtId="10" fontId="14" fillId="6" borderId="1" xfId="2" applyNumberFormat="1" applyFill="1" applyBorder="1" applyAlignment="1">
      <alignment horizontal="center"/>
    </xf>
    <xf numFmtId="10" fontId="14" fillId="6" borderId="9" xfId="2" applyNumberFormat="1" applyFill="1" applyBorder="1" applyAlignment="1">
      <alignment horizontal="center"/>
    </xf>
    <xf numFmtId="168" fontId="0" fillId="6" borderId="1" xfId="0" applyNumberFormat="1" applyFill="1" applyBorder="1" applyAlignment="1">
      <alignment horizontal="center" vertical="center" wrapText="1"/>
    </xf>
    <xf numFmtId="168" fontId="0" fillId="6" borderId="1" xfId="0" applyNumberFormat="1" applyFill="1" applyBorder="1" applyAlignment="1">
      <alignment horizontal="center"/>
    </xf>
    <xf numFmtId="10" fontId="0" fillId="6" borderId="1" xfId="2" applyNumberFormat="1" applyFont="1" applyFill="1" applyBorder="1" applyAlignment="1">
      <alignment horizontal="center"/>
    </xf>
    <xf numFmtId="10" fontId="0" fillId="6" borderId="9" xfId="2" applyNumberFormat="1" applyFont="1" applyFill="1" applyBorder="1" applyAlignment="1">
      <alignment horizontal="center"/>
    </xf>
    <xf numFmtId="10" fontId="0" fillId="0" borderId="1" xfId="2" applyNumberFormat="1" applyFont="1" applyFill="1" applyBorder="1" applyAlignment="1">
      <alignment horizontal="center"/>
    </xf>
    <xf numFmtId="10" fontId="0" fillId="0" borderId="9" xfId="2" applyNumberFormat="1" applyFont="1" applyFill="1" applyBorder="1" applyAlignment="1">
      <alignment horizontal="center"/>
    </xf>
    <xf numFmtId="0" fontId="0" fillId="14" borderId="10" xfId="0" applyFill="1" applyBorder="1" applyAlignment="1">
      <alignment horizontal="center"/>
    </xf>
    <xf numFmtId="167" fontId="0" fillId="14" borderId="11" xfId="0" applyNumberFormat="1" applyFill="1" applyBorder="1" applyAlignment="1">
      <alignment horizontal="center"/>
    </xf>
    <xf numFmtId="10" fontId="14" fillId="14" borderId="11" xfId="2" applyNumberFormat="1" applyFill="1" applyBorder="1" applyAlignment="1">
      <alignment horizontal="center"/>
    </xf>
    <xf numFmtId="168" fontId="0" fillId="14" borderId="11" xfId="0" applyNumberFormat="1" applyFill="1" applyBorder="1" applyAlignment="1">
      <alignment horizontal="center" vertical="center" wrapText="1"/>
    </xf>
    <xf numFmtId="10" fontId="14" fillId="14" borderId="12" xfId="2" applyNumberFormat="1" applyFill="1" applyBorder="1" applyAlignment="1">
      <alignment horizontal="center"/>
    </xf>
    <xf numFmtId="168" fontId="0" fillId="14" borderId="11" xfId="0" applyNumberFormat="1" applyFill="1" applyBorder="1" applyAlignment="1">
      <alignment horizontal="center"/>
    </xf>
    <xf numFmtId="10" fontId="0" fillId="14" borderId="11" xfId="2" applyNumberFormat="1" applyFont="1" applyFill="1" applyBorder="1" applyAlignment="1">
      <alignment horizontal="center"/>
    </xf>
    <xf numFmtId="10" fontId="0" fillId="14" borderId="12" xfId="2" applyNumberFormat="1" applyFont="1" applyFill="1" applyBorder="1" applyAlignment="1">
      <alignment horizontal="center"/>
    </xf>
    <xf numFmtId="0" fontId="36" fillId="13" borderId="8" xfId="0" applyFont="1" applyFill="1" applyBorder="1" applyAlignment="1">
      <alignment horizontal="center" vertical="center"/>
    </xf>
    <xf numFmtId="0" fontId="36" fillId="13" borderId="1" xfId="0" applyFont="1" applyFill="1" applyBorder="1" applyAlignment="1">
      <alignment horizontal="center" vertical="center"/>
    </xf>
    <xf numFmtId="0" fontId="36" fillId="13" borderId="9" xfId="0" applyFont="1" applyFill="1" applyBorder="1" applyAlignment="1">
      <alignment horizontal="center" vertical="center"/>
    </xf>
    <xf numFmtId="0" fontId="35" fillId="11" borderId="0" xfId="0" applyFont="1" applyFill="1" applyAlignment="1">
      <alignment horizontal="center" vertical="center" wrapText="1"/>
    </xf>
    <xf numFmtId="0" fontId="0" fillId="12" borderId="0" xfId="0" applyFill="1" applyAlignment="1">
      <alignment horizontal="center" vertical="center"/>
    </xf>
    <xf numFmtId="0" fontId="35" fillId="12" borderId="0" xfId="0" applyFont="1" applyFill="1" applyAlignment="1">
      <alignment horizontal="center" vertical="center" wrapText="1"/>
    </xf>
    <xf numFmtId="0" fontId="0" fillId="13" borderId="0" xfId="0" applyFill="1" applyAlignment="1">
      <alignment horizontal="center" vertical="center"/>
    </xf>
    <xf numFmtId="0" fontId="0" fillId="13" borderId="0" xfId="0" applyFill="1" applyAlignment="1">
      <alignment horizontal="center" vertical="center" wrapText="1"/>
    </xf>
    <xf numFmtId="0" fontId="33" fillId="11" borderId="0" xfId="0" applyFont="1" applyFill="1" applyAlignment="1">
      <alignment horizontal="center"/>
    </xf>
    <xf numFmtId="0" fontId="33" fillId="12" borderId="0" xfId="0" applyFont="1" applyFill="1" applyAlignment="1">
      <alignment horizontal="center"/>
    </xf>
    <xf numFmtId="0" fontId="36" fillId="13" borderId="0" xfId="0" applyFont="1" applyFill="1" applyAlignment="1">
      <alignment horizontal="center"/>
    </xf>
    <xf numFmtId="167" fontId="0" fillId="0" borderId="0" xfId="0" applyNumberFormat="1" applyAlignment="1">
      <alignment horizontal="center"/>
    </xf>
    <xf numFmtId="10" fontId="14" fillId="0" borderId="0" xfId="2" applyNumberFormat="1" applyFill="1" applyBorder="1" applyAlignment="1">
      <alignment horizontal="center"/>
    </xf>
    <xf numFmtId="0" fontId="0" fillId="0" borderId="0" xfId="0" applyAlignment="1">
      <alignment horizontal="center" vertical="center" wrapText="1"/>
    </xf>
    <xf numFmtId="168" fontId="0" fillId="0" borderId="0" xfId="0" applyNumberFormat="1" applyAlignment="1">
      <alignment horizontal="center"/>
    </xf>
    <xf numFmtId="10" fontId="0" fillId="0" borderId="0" xfId="2" applyNumberFormat="1" applyFont="1" applyAlignment="1">
      <alignment horizontal="center"/>
    </xf>
    <xf numFmtId="0" fontId="0" fillId="6" borderId="0" xfId="0" applyFill="1" applyAlignment="1">
      <alignment horizontal="center"/>
    </xf>
    <xf numFmtId="167" fontId="0" fillId="6" borderId="0" xfId="0" applyNumberFormat="1" applyFill="1" applyAlignment="1">
      <alignment horizontal="center"/>
    </xf>
    <xf numFmtId="0" fontId="0" fillId="6" borderId="0" xfId="0" applyFill="1" applyAlignment="1">
      <alignment horizontal="center" vertical="center" wrapText="1"/>
    </xf>
    <xf numFmtId="0" fontId="46" fillId="15" borderId="0" xfId="0" applyFont="1" applyFill="1" applyAlignment="1">
      <alignment horizontal="center" vertical="center"/>
    </xf>
    <xf numFmtId="0" fontId="51" fillId="3" borderId="0" xfId="0" applyFont="1" applyFill="1" applyAlignment="1">
      <alignment horizontal="center" vertical="top" wrapText="1"/>
    </xf>
    <xf numFmtId="0" fontId="0" fillId="0" borderId="1" xfId="0" applyBorder="1" applyAlignment="1">
      <alignment wrapText="1"/>
    </xf>
    <xf numFmtId="0" fontId="0" fillId="0" borderId="0" xfId="0" applyAlignment="1">
      <alignment wrapText="1"/>
    </xf>
    <xf numFmtId="0" fontId="0" fillId="5" borderId="0" xfId="0" applyFill="1" applyAlignment="1">
      <alignment vertical="center"/>
    </xf>
    <xf numFmtId="0" fontId="0" fillId="5" borderId="0" xfId="0" applyFill="1"/>
    <xf numFmtId="0" fontId="13" fillId="0" borderId="0" xfId="1" quotePrefix="1" applyFill="1"/>
    <xf numFmtId="0" fontId="51" fillId="3" borderId="16" xfId="0" applyFont="1" applyFill="1" applyBorder="1" applyAlignment="1">
      <alignment vertical="top" wrapText="1"/>
    </xf>
    <xf numFmtId="0" fontId="15" fillId="0" borderId="0" xfId="0" applyFont="1" applyAlignment="1">
      <alignment vertical="top" textRotation="90" wrapText="1"/>
    </xf>
    <xf numFmtId="0" fontId="15" fillId="0" borderId="16" xfId="0" applyFont="1" applyBorder="1" applyAlignment="1">
      <alignment vertical="top" textRotation="90" wrapText="1"/>
    </xf>
    <xf numFmtId="0" fontId="15" fillId="0" borderId="0" xfId="0" applyFont="1" applyAlignment="1">
      <alignment vertical="top" textRotation="90"/>
    </xf>
    <xf numFmtId="0" fontId="0" fillId="0" borderId="16" xfId="0" applyBorder="1"/>
    <xf numFmtId="0" fontId="15" fillId="0" borderId="16" xfId="0" applyFont="1" applyBorder="1" applyAlignment="1">
      <alignment vertical="top" textRotation="90"/>
    </xf>
    <xf numFmtId="0" fontId="56" fillId="5" borderId="1" xfId="0" applyFont="1" applyFill="1" applyBorder="1" applyAlignment="1">
      <alignment horizontal="center" vertical="center" wrapText="1"/>
    </xf>
    <xf numFmtId="0" fontId="55" fillId="0" borderId="1" xfId="0" applyFont="1" applyBorder="1" applyAlignment="1">
      <alignment vertical="center" wrapText="1"/>
    </xf>
    <xf numFmtId="0" fontId="55" fillId="0" borderId="1" xfId="0" applyFont="1" applyBorder="1" applyAlignment="1">
      <alignment horizontal="center" vertical="center" wrapText="1"/>
    </xf>
    <xf numFmtId="0" fontId="0" fillId="0" borderId="1" xfId="0" applyBorder="1" applyAlignment="1">
      <alignment vertical="center" wrapText="1"/>
    </xf>
    <xf numFmtId="0" fontId="13" fillId="0" borderId="0" xfId="1" applyFill="1" applyAlignment="1">
      <alignment horizontal="center" vertical="center"/>
    </xf>
    <xf numFmtId="0" fontId="13" fillId="0" borderId="1" xfId="1" applyBorder="1" applyAlignment="1" applyProtection="1">
      <alignment horizontal="center" vertical="center" wrapText="1"/>
    </xf>
    <xf numFmtId="0" fontId="57" fillId="0" borderId="1" xfId="0" applyFont="1" applyBorder="1" applyAlignment="1">
      <alignment horizontal="center" vertical="center" wrapText="1"/>
    </xf>
    <xf numFmtId="0" fontId="53" fillId="0" borderId="0" xfId="0" applyFont="1"/>
    <xf numFmtId="0" fontId="0" fillId="11" borderId="0" xfId="0" applyFill="1" applyAlignment="1">
      <alignment vertical="center"/>
    </xf>
    <xf numFmtId="0" fontId="0" fillId="14" borderId="0" xfId="0" applyFill="1" applyAlignment="1">
      <alignment vertical="center"/>
    </xf>
    <xf numFmtId="0" fontId="13" fillId="14" borderId="0" xfId="1" applyFill="1" applyAlignment="1">
      <alignment horizontal="left" vertical="center"/>
    </xf>
    <xf numFmtId="0" fontId="0" fillId="14" borderId="0" xfId="0" applyFill="1"/>
    <xf numFmtId="0" fontId="58" fillId="5" borderId="0" xfId="1" applyFont="1" applyFill="1" applyAlignment="1">
      <alignment vertical="center"/>
    </xf>
    <xf numFmtId="0" fontId="0" fillId="0" borderId="1" xfId="0" applyBorder="1" applyAlignment="1">
      <alignment horizontal="left" vertical="center"/>
    </xf>
    <xf numFmtId="0" fontId="0" fillId="14" borderId="1" xfId="0" applyFill="1" applyBorder="1" applyAlignment="1">
      <alignment horizontal="center" vertical="center"/>
    </xf>
    <xf numFmtId="0" fontId="13" fillId="0" borderId="0" xfId="1"/>
    <xf numFmtId="0" fontId="23" fillId="0" borderId="0" xfId="0" applyFont="1" applyAlignment="1">
      <alignment horizontal="center" vertical="center" wrapText="1"/>
    </xf>
    <xf numFmtId="0" fontId="6" fillId="0" borderId="0" xfId="0" applyFont="1" applyAlignment="1">
      <alignment vertical="center" wrapText="1"/>
    </xf>
    <xf numFmtId="0" fontId="6" fillId="0" borderId="0" xfId="2" applyNumberFormat="1" applyFont="1" applyAlignment="1">
      <alignment horizontal="center" vertical="center" wrapText="1"/>
    </xf>
    <xf numFmtId="0" fontId="6" fillId="0" borderId="1" xfId="0" applyFont="1" applyBorder="1" applyAlignment="1">
      <alignment horizontal="left" vertical="center"/>
    </xf>
    <xf numFmtId="10" fontId="0" fillId="0" borderId="1" xfId="0" applyNumberFormat="1" applyBorder="1" applyAlignment="1">
      <alignment horizontal="left" vertical="center"/>
    </xf>
    <xf numFmtId="0" fontId="0" fillId="0" borderId="0" xfId="0" applyAlignment="1">
      <alignment horizontal="left" vertical="center"/>
    </xf>
    <xf numFmtId="0" fontId="13" fillId="14" borderId="0" xfId="1" applyFill="1" applyAlignment="1">
      <alignment vertical="center"/>
    </xf>
    <xf numFmtId="0" fontId="13" fillId="14" borderId="0" xfId="1" quotePrefix="1" applyFill="1" applyAlignment="1">
      <alignment vertical="center"/>
    </xf>
    <xf numFmtId="0" fontId="22" fillId="4" borderId="1" xfId="0" applyFont="1" applyFill="1" applyBorder="1" applyAlignment="1">
      <alignment horizontal="center" vertical="center" textRotation="90" wrapText="1"/>
    </xf>
    <xf numFmtId="0" fontId="22" fillId="0" borderId="1" xfId="0" applyFont="1" applyBorder="1" applyAlignment="1">
      <alignment wrapText="1"/>
    </xf>
    <xf numFmtId="0" fontId="22" fillId="0" borderId="0" xfId="0" applyFont="1" applyAlignment="1">
      <alignment wrapText="1"/>
    </xf>
    <xf numFmtId="0" fontId="6" fillId="0" borderId="0" xfId="0" applyFont="1" applyAlignment="1">
      <alignment vertical="center"/>
    </xf>
    <xf numFmtId="0" fontId="6" fillId="0" borderId="1" xfId="0" applyFont="1" applyBorder="1" applyAlignment="1">
      <alignment horizontal="center" vertical="center"/>
    </xf>
    <xf numFmtId="9" fontId="0" fillId="14" borderId="1" xfId="0" applyNumberFormat="1" applyFill="1" applyBorder="1" applyAlignment="1">
      <alignment horizontal="center" vertical="center"/>
    </xf>
    <xf numFmtId="0" fontId="13" fillId="0" borderId="0" xfId="1" applyAlignment="1">
      <alignment vertical="center" wrapText="1"/>
    </xf>
    <xf numFmtId="0" fontId="65" fillId="17" borderId="0" xfId="6" applyFont="1" applyFill="1" applyAlignment="1">
      <alignment horizontal="center" vertical="center" wrapText="1"/>
    </xf>
    <xf numFmtId="0" fontId="0" fillId="0" borderId="0" xfId="6" applyFont="1" applyAlignment="1">
      <alignment vertical="top" wrapText="1"/>
    </xf>
    <xf numFmtId="0" fontId="66" fillId="2" borderId="16" xfId="0" applyFont="1" applyFill="1" applyBorder="1" applyAlignment="1">
      <alignment vertical="center" wrapText="1"/>
    </xf>
    <xf numFmtId="0" fontId="67" fillId="2" borderId="16" xfId="0" applyFont="1" applyFill="1" applyBorder="1" applyAlignment="1">
      <alignment vertical="center" wrapText="1"/>
    </xf>
    <xf numFmtId="0" fontId="7" fillId="0" borderId="1" xfId="1" applyFont="1" applyBorder="1" applyAlignment="1">
      <alignment vertical="center" wrapText="1"/>
    </xf>
    <xf numFmtId="0" fontId="64" fillId="0" borderId="1" xfId="1" applyFont="1" applyBorder="1" applyAlignment="1">
      <alignment vertical="center" wrapText="1"/>
    </xf>
    <xf numFmtId="0" fontId="7" fillId="19" borderId="1" xfId="1" applyFont="1" applyFill="1" applyBorder="1" applyAlignment="1">
      <alignment vertical="center" wrapText="1"/>
    </xf>
    <xf numFmtId="0" fontId="9" fillId="11" borderId="1" xfId="0" applyFont="1" applyFill="1" applyBorder="1" applyAlignment="1">
      <alignment vertical="center" wrapText="1"/>
    </xf>
    <xf numFmtId="0" fontId="7" fillId="11" borderId="1" xfId="1" applyFont="1" applyFill="1" applyBorder="1" applyAlignment="1">
      <alignment vertical="center" wrapText="1"/>
    </xf>
    <xf numFmtId="0" fontId="64" fillId="11" borderId="1" xfId="1" applyFont="1" applyFill="1" applyBorder="1" applyAlignment="1">
      <alignment vertical="center" wrapText="1"/>
    </xf>
    <xf numFmtId="0" fontId="23" fillId="0" borderId="0" xfId="0" applyFont="1" applyAlignment="1">
      <alignment vertical="center" wrapText="1"/>
    </xf>
    <xf numFmtId="0" fontId="23" fillId="0" borderId="0" xfId="0" applyFont="1"/>
    <xf numFmtId="0" fontId="6" fillId="0" borderId="0" xfId="0" applyFont="1" applyAlignment="1">
      <alignment vertical="top" wrapText="1"/>
    </xf>
    <xf numFmtId="0" fontId="2" fillId="0" borderId="0" xfId="0" applyFont="1"/>
    <xf numFmtId="170" fontId="2" fillId="0" borderId="0" xfId="0" applyNumberFormat="1" applyFont="1" applyAlignment="1">
      <alignment horizontal="center"/>
    </xf>
    <xf numFmtId="0" fontId="2" fillId="0" borderId="0" xfId="0" applyFont="1" applyProtection="1">
      <protection hidden="1"/>
    </xf>
    <xf numFmtId="0" fontId="76" fillId="0" borderId="0" xfId="0" applyFont="1" applyAlignment="1">
      <alignment horizontal="center" vertical="center"/>
    </xf>
    <xf numFmtId="0" fontId="75" fillId="0" borderId="6" xfId="0" applyFont="1" applyBorder="1" applyAlignment="1">
      <alignment horizontal="center" wrapText="1"/>
    </xf>
    <xf numFmtId="0" fontId="2" fillId="0" borderId="0" xfId="0" applyFont="1" applyAlignment="1">
      <alignment horizontal="center" vertical="center" wrapText="1"/>
    </xf>
    <xf numFmtId="0" fontId="2" fillId="0" borderId="31" xfId="0" applyFont="1" applyBorder="1" applyAlignment="1">
      <alignment horizontal="center" vertical="center" wrapText="1"/>
    </xf>
    <xf numFmtId="9" fontId="2" fillId="0" borderId="0" xfId="0" applyNumberFormat="1" applyFont="1" applyAlignment="1">
      <alignment horizontal="center" vertical="center" wrapText="1"/>
    </xf>
    <xf numFmtId="9" fontId="2" fillId="0" borderId="32" xfId="0" applyNumberFormat="1" applyFont="1" applyBorder="1" applyAlignment="1">
      <alignment horizontal="center" vertical="center" wrapText="1"/>
    </xf>
    <xf numFmtId="0" fontId="2" fillId="0" borderId="33"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34" xfId="0" applyFont="1" applyBorder="1" applyAlignment="1">
      <alignment horizontal="center" vertical="center" wrapText="1"/>
    </xf>
    <xf numFmtId="170" fontId="2" fillId="0" borderId="26" xfId="0" applyNumberFormat="1" applyFont="1" applyBorder="1" applyAlignment="1">
      <alignment horizontal="center" vertical="center" wrapText="1"/>
    </xf>
    <xf numFmtId="170" fontId="2" fillId="0" borderId="35" xfId="0" applyNumberFormat="1" applyFont="1" applyBorder="1" applyAlignment="1">
      <alignment horizontal="center" vertical="center" wrapText="1"/>
    </xf>
    <xf numFmtId="170" fontId="2" fillId="0" borderId="10" xfId="0" applyNumberFormat="1" applyFont="1" applyBorder="1" applyAlignment="1">
      <alignment horizontal="center" vertical="center" wrapText="1"/>
    </xf>
    <xf numFmtId="170" fontId="2" fillId="0" borderId="12" xfId="0" applyNumberFormat="1" applyFont="1" applyBorder="1" applyAlignment="1">
      <alignment horizontal="center" vertical="center" wrapText="1"/>
    </xf>
    <xf numFmtId="0" fontId="2" fillId="0" borderId="0" xfId="0" applyFont="1" applyAlignment="1" applyProtection="1">
      <alignment horizontal="center" vertical="center" wrapText="1"/>
      <protection hidden="1"/>
    </xf>
    <xf numFmtId="0" fontId="2" fillId="0" borderId="28" xfId="0" applyFont="1" applyBorder="1" applyAlignment="1">
      <alignment horizontal="center"/>
    </xf>
    <xf numFmtId="4" fontId="2" fillId="0" borderId="29" xfId="0" applyNumberFormat="1" applyFont="1" applyBorder="1"/>
    <xf numFmtId="172" fontId="2" fillId="0" borderId="28" xfId="0" applyNumberFormat="1" applyFont="1" applyBorder="1" applyAlignment="1">
      <alignment horizontal="center"/>
    </xf>
    <xf numFmtId="173" fontId="2" fillId="0" borderId="29" xfId="0" applyNumberFormat="1" applyFont="1" applyBorder="1" applyAlignment="1">
      <alignment horizontal="center"/>
    </xf>
    <xf numFmtId="173" fontId="2" fillId="0" borderId="30" xfId="0" applyNumberFormat="1" applyFont="1" applyBorder="1" applyAlignment="1">
      <alignment horizontal="center"/>
    </xf>
    <xf numFmtId="0" fontId="2" fillId="0" borderId="0" xfId="0" applyFont="1" applyAlignment="1">
      <alignment horizontal="center"/>
    </xf>
    <xf numFmtId="4" fontId="2" fillId="0" borderId="0" xfId="0" applyNumberFormat="1" applyFont="1"/>
    <xf numFmtId="10" fontId="2" fillId="0" borderId="30" xfId="2" applyNumberFormat="1" applyFont="1" applyBorder="1" applyAlignment="1">
      <alignment horizontal="center"/>
    </xf>
    <xf numFmtId="168" fontId="2" fillId="0" borderId="29" xfId="0" applyNumberFormat="1" applyFont="1" applyBorder="1" applyAlignment="1">
      <alignment horizontal="center"/>
    </xf>
    <xf numFmtId="171" fontId="2" fillId="0" borderId="29" xfId="0" applyNumberFormat="1" applyFont="1" applyBorder="1" applyAlignment="1">
      <alignment horizontal="center"/>
    </xf>
    <xf numFmtId="8" fontId="2" fillId="0" borderId="29" xfId="0" applyNumberFormat="1" applyFont="1" applyBorder="1" applyAlignment="1">
      <alignment horizontal="center"/>
    </xf>
    <xf numFmtId="8" fontId="2" fillId="0" borderId="30" xfId="0" applyNumberFormat="1" applyFont="1" applyBorder="1" applyAlignment="1">
      <alignment horizontal="center"/>
    </xf>
    <xf numFmtId="8" fontId="2" fillId="0" borderId="31" xfId="0" applyNumberFormat="1" applyFont="1" applyBorder="1" applyAlignment="1">
      <alignment horizontal="center"/>
    </xf>
    <xf numFmtId="8" fontId="2" fillId="0" borderId="32" xfId="0" applyNumberFormat="1" applyFont="1" applyBorder="1" applyAlignment="1">
      <alignment horizontal="center"/>
    </xf>
    <xf numFmtId="0" fontId="0" fillId="0" borderId="1" xfId="0" applyBorder="1" applyProtection="1">
      <protection locked="0"/>
    </xf>
    <xf numFmtId="10" fontId="0" fillId="0" borderId="1" xfId="2" applyNumberFormat="1" applyFont="1" applyBorder="1" applyProtection="1">
      <protection locked="0"/>
    </xf>
    <xf numFmtId="0" fontId="2" fillId="0" borderId="0" xfId="0" applyFont="1" applyProtection="1">
      <protection locked="0"/>
    </xf>
    <xf numFmtId="0" fontId="2" fillId="14" borderId="31" xfId="0" applyFont="1" applyFill="1" applyBorder="1" applyAlignment="1">
      <alignment horizontal="center"/>
    </xf>
    <xf numFmtId="4" fontId="2" fillId="14" borderId="0" xfId="0" applyNumberFormat="1" applyFont="1" applyFill="1"/>
    <xf numFmtId="172" fontId="2" fillId="14" borderId="31" xfId="0" applyNumberFormat="1" applyFont="1" applyFill="1" applyBorder="1" applyAlignment="1">
      <alignment horizontal="center"/>
    </xf>
    <xf numFmtId="173" fontId="2" fillId="14" borderId="0" xfId="0" applyNumberFormat="1" applyFont="1" applyFill="1" applyAlignment="1">
      <alignment horizontal="center"/>
    </xf>
    <xf numFmtId="173" fontId="2" fillId="14" borderId="32" xfId="0" applyNumberFormat="1" applyFont="1" applyFill="1" applyBorder="1" applyAlignment="1">
      <alignment horizontal="center"/>
    </xf>
    <xf numFmtId="0" fontId="2" fillId="14" borderId="0" xfId="0" applyFont="1" applyFill="1" applyAlignment="1">
      <alignment horizontal="center"/>
    </xf>
    <xf numFmtId="10" fontId="2" fillId="14" borderId="32" xfId="2" applyNumberFormat="1" applyFont="1" applyFill="1" applyBorder="1" applyAlignment="1">
      <alignment horizontal="center"/>
    </xf>
    <xf numFmtId="168" fontId="2" fillId="14" borderId="0" xfId="0" applyNumberFormat="1" applyFont="1" applyFill="1" applyAlignment="1">
      <alignment horizontal="center"/>
    </xf>
    <xf numFmtId="171" fontId="2" fillId="14" borderId="0" xfId="0" applyNumberFormat="1" applyFont="1" applyFill="1" applyAlignment="1">
      <alignment horizontal="center"/>
    </xf>
    <xf numFmtId="8" fontId="2" fillId="14" borderId="0" xfId="0" applyNumberFormat="1" applyFont="1" applyFill="1" applyAlignment="1">
      <alignment horizontal="center"/>
    </xf>
    <xf numFmtId="8" fontId="2" fillId="14" borderId="32" xfId="0" applyNumberFormat="1" applyFont="1" applyFill="1" applyBorder="1" applyAlignment="1">
      <alignment horizontal="center"/>
    </xf>
    <xf numFmtId="8" fontId="2" fillId="14" borderId="31" xfId="0" applyNumberFormat="1" applyFont="1" applyFill="1" applyBorder="1" applyAlignment="1">
      <alignment horizontal="center"/>
    </xf>
    <xf numFmtId="0" fontId="2" fillId="0" borderId="31" xfId="0" applyFont="1" applyBorder="1" applyAlignment="1">
      <alignment horizontal="center"/>
    </xf>
    <xf numFmtId="172" fontId="2" fillId="0" borderId="31" xfId="0" applyNumberFormat="1" applyFont="1" applyBorder="1" applyAlignment="1">
      <alignment horizontal="center"/>
    </xf>
    <xf numFmtId="173" fontId="2" fillId="0" borderId="0" xfId="0" applyNumberFormat="1" applyFont="1" applyAlignment="1">
      <alignment horizontal="center"/>
    </xf>
    <xf numFmtId="173" fontId="2" fillId="0" borderId="32" xfId="0" applyNumberFormat="1" applyFont="1" applyBorder="1" applyAlignment="1">
      <alignment horizontal="center"/>
    </xf>
    <xf numFmtId="10" fontId="2" fillId="0" borderId="32" xfId="2" applyNumberFormat="1" applyFont="1" applyBorder="1" applyAlignment="1">
      <alignment horizontal="center"/>
    </xf>
    <xf numFmtId="168" fontId="2" fillId="0" borderId="0" xfId="0" applyNumberFormat="1" applyFont="1" applyAlignment="1">
      <alignment horizontal="center"/>
    </xf>
    <xf numFmtId="171" fontId="2" fillId="0" borderId="0" xfId="0" applyNumberFormat="1" applyFont="1" applyAlignment="1">
      <alignment horizontal="center"/>
    </xf>
    <xf numFmtId="8" fontId="2" fillId="0" borderId="0" xfId="0" applyNumberFormat="1" applyFont="1" applyAlignment="1">
      <alignment horizontal="center"/>
    </xf>
    <xf numFmtId="14" fontId="0" fillId="0" borderId="1" xfId="0" applyNumberFormat="1" applyBorder="1" applyProtection="1">
      <protection locked="0"/>
    </xf>
    <xf numFmtId="0" fontId="77" fillId="20" borderId="36" xfId="0" applyFont="1" applyFill="1" applyBorder="1" applyAlignment="1">
      <alignment horizontal="center" vertical="top" wrapText="1"/>
    </xf>
    <xf numFmtId="0" fontId="77" fillId="20" borderId="37" xfId="0" applyFont="1" applyFill="1" applyBorder="1" applyAlignment="1">
      <alignment horizontal="center" vertical="top" wrapText="1"/>
    </xf>
    <xf numFmtId="0" fontId="77" fillId="20" borderId="38" xfId="0" applyFont="1" applyFill="1" applyBorder="1" applyAlignment="1">
      <alignment horizontal="center" vertical="top" wrapText="1"/>
    </xf>
    <xf numFmtId="0" fontId="77" fillId="20" borderId="0" xfId="0" applyFont="1" applyFill="1" applyAlignment="1">
      <alignment horizontal="center" vertical="top" wrapText="1"/>
    </xf>
    <xf numFmtId="168" fontId="78" fillId="0" borderId="0" xfId="0" applyNumberFormat="1" applyFont="1" applyAlignment="1">
      <alignment horizontal="center"/>
    </xf>
    <xf numFmtId="10" fontId="0" fillId="6" borderId="1" xfId="2" applyNumberFormat="1" applyFont="1" applyFill="1" applyBorder="1" applyProtection="1">
      <protection locked="0"/>
    </xf>
    <xf numFmtId="168" fontId="79" fillId="0" borderId="0" xfId="0" applyNumberFormat="1" applyFont="1" applyAlignment="1">
      <alignment horizontal="center"/>
    </xf>
    <xf numFmtId="168" fontId="79" fillId="14" borderId="0" xfId="0" applyNumberFormat="1" applyFont="1" applyFill="1" applyAlignment="1">
      <alignment horizontal="center"/>
    </xf>
    <xf numFmtId="4" fontId="79" fillId="14" borderId="0" xfId="0" applyNumberFormat="1" applyFont="1" applyFill="1"/>
    <xf numFmtId="4" fontId="79" fillId="0" borderId="0" xfId="0" applyNumberFormat="1" applyFont="1"/>
    <xf numFmtId="174" fontId="2" fillId="14" borderId="0" xfId="0" applyNumberFormat="1" applyFont="1" applyFill="1" applyAlignment="1">
      <alignment horizontal="center"/>
    </xf>
    <xf numFmtId="10" fontId="0" fillId="0" borderId="1" xfId="2" applyNumberFormat="1" applyFont="1" applyBorder="1"/>
    <xf numFmtId="6" fontId="80" fillId="0" borderId="0" xfId="0" applyNumberFormat="1" applyFont="1"/>
    <xf numFmtId="0" fontId="7" fillId="0" borderId="0" xfId="1" applyFont="1" applyFill="1" applyBorder="1" applyAlignment="1">
      <alignment vertical="center" wrapText="1"/>
    </xf>
    <xf numFmtId="0" fontId="6" fillId="21" borderId="1" xfId="0" applyFont="1" applyFill="1" applyBorder="1" applyAlignment="1">
      <alignment horizontal="center" vertical="center" wrapText="1"/>
    </xf>
    <xf numFmtId="0" fontId="74" fillId="5" borderId="0" xfId="0" applyFont="1" applyFill="1"/>
    <xf numFmtId="8" fontId="0" fillId="0" borderId="0" xfId="0" applyNumberFormat="1"/>
    <xf numFmtId="8" fontId="0" fillId="0" borderId="1" xfId="0" applyNumberFormat="1" applyBorder="1" applyAlignment="1">
      <alignment horizontal="left" vertical="center"/>
    </xf>
    <xf numFmtId="8" fontId="0" fillId="0" borderId="0" xfId="0" applyNumberFormat="1" applyAlignment="1">
      <alignment vertical="center"/>
    </xf>
    <xf numFmtId="8" fontId="6" fillId="0" borderId="0" xfId="0" applyNumberFormat="1" applyFont="1"/>
    <xf numFmtId="164" fontId="31" fillId="0" borderId="8" xfId="0" applyNumberFormat="1" applyFont="1" applyBorder="1" applyAlignment="1">
      <alignment horizontal="center" vertical="center" wrapText="1"/>
    </xf>
    <xf numFmtId="164" fontId="31" fillId="0" borderId="1" xfId="0" applyNumberFormat="1" applyFont="1" applyBorder="1" applyAlignment="1">
      <alignment horizontal="center" vertical="center" wrapText="1"/>
    </xf>
    <xf numFmtId="1" fontId="0" fillId="0" borderId="1" xfId="0" applyNumberFormat="1" applyBorder="1" applyAlignment="1">
      <alignment horizontal="center"/>
    </xf>
    <xf numFmtId="2" fontId="0" fillId="0" borderId="1" xfId="0" applyNumberFormat="1" applyBorder="1" applyAlignment="1">
      <alignment horizontal="center"/>
    </xf>
    <xf numFmtId="0" fontId="0" fillId="0" borderId="10" xfId="0" applyBorder="1" applyAlignment="1">
      <alignment horizontal="center"/>
    </xf>
    <xf numFmtId="1" fontId="0" fillId="0" borderId="11" xfId="0" applyNumberFormat="1" applyBorder="1" applyAlignment="1">
      <alignment horizontal="center"/>
    </xf>
    <xf numFmtId="2" fontId="0" fillId="0" borderId="11" xfId="0" applyNumberFormat="1" applyBorder="1" applyAlignment="1">
      <alignment horizontal="center"/>
    </xf>
    <xf numFmtId="0" fontId="0" fillId="0" borderId="42" xfId="0" applyBorder="1" applyAlignment="1">
      <alignment horizontal="center"/>
    </xf>
    <xf numFmtId="1" fontId="0" fillId="0" borderId="43" xfId="0" applyNumberFormat="1" applyBorder="1" applyAlignment="1">
      <alignment horizontal="center"/>
    </xf>
    <xf numFmtId="2" fontId="0" fillId="0" borderId="43" xfId="0" applyNumberFormat="1" applyBorder="1" applyAlignment="1">
      <alignment horizontal="center"/>
    </xf>
    <xf numFmtId="2" fontId="0" fillId="0" borderId="0" xfId="0" applyNumberFormat="1" applyAlignment="1">
      <alignment horizontal="center"/>
    </xf>
    <xf numFmtId="0" fontId="86" fillId="0" borderId="0" xfId="0" applyFont="1"/>
    <xf numFmtId="0" fontId="0" fillId="0" borderId="0" xfId="0" applyAlignment="1">
      <alignment horizontal="left" vertical="center" indent="1"/>
    </xf>
    <xf numFmtId="0" fontId="13" fillId="0" borderId="0" xfId="1" applyAlignment="1">
      <alignment vertical="center"/>
    </xf>
    <xf numFmtId="0" fontId="87" fillId="0" borderId="0" xfId="0" applyFont="1"/>
    <xf numFmtId="0" fontId="88" fillId="0" borderId="0" xfId="0" applyFont="1"/>
    <xf numFmtId="0" fontId="89" fillId="23" borderId="0" xfId="0" applyFont="1" applyFill="1"/>
    <xf numFmtId="17" fontId="0" fillId="0" borderId="0" xfId="0" applyNumberFormat="1"/>
    <xf numFmtId="0" fontId="90" fillId="0" borderId="0" xfId="0" applyFont="1"/>
    <xf numFmtId="169" fontId="0" fillId="0" borderId="0" xfId="2" applyNumberFormat="1" applyFont="1"/>
    <xf numFmtId="10" fontId="0" fillId="0" borderId="0" xfId="2" applyNumberFormat="1" applyFont="1"/>
    <xf numFmtId="8" fontId="0" fillId="0" borderId="0" xfId="0" applyNumberFormat="1" applyAlignment="1">
      <alignment horizontal="center"/>
    </xf>
    <xf numFmtId="0" fontId="91" fillId="0" borderId="0" xfId="0" applyFont="1" applyAlignment="1">
      <alignment vertical="center"/>
    </xf>
    <xf numFmtId="10" fontId="91" fillId="0" borderId="0" xfId="0" applyNumberFormat="1" applyFont="1" applyAlignment="1">
      <alignment vertical="center"/>
    </xf>
    <xf numFmtId="0" fontId="91" fillId="0" borderId="0" xfId="0" applyFont="1" applyAlignment="1">
      <alignment vertical="center" wrapText="1"/>
    </xf>
    <xf numFmtId="0" fontId="91" fillId="0" borderId="0" xfId="0" applyFont="1" applyAlignment="1">
      <alignment horizontal="center" vertical="center" wrapText="1"/>
    </xf>
    <xf numFmtId="3" fontId="91" fillId="0" borderId="0" xfId="0" applyNumberFormat="1" applyFont="1" applyAlignment="1">
      <alignment horizontal="center" vertical="center" wrapText="1"/>
    </xf>
    <xf numFmtId="10" fontId="91" fillId="0" borderId="0" xfId="0" applyNumberFormat="1" applyFont="1" applyAlignment="1">
      <alignment horizontal="center" vertical="center" wrapText="1"/>
    </xf>
    <xf numFmtId="0" fontId="0" fillId="0" borderId="0" xfId="0" applyAlignment="1">
      <alignment horizontal="center" wrapText="1"/>
    </xf>
    <xf numFmtId="0" fontId="93" fillId="0" borderId="0" xfId="0" applyFont="1" applyAlignment="1">
      <alignment vertical="center"/>
    </xf>
    <xf numFmtId="0" fontId="92" fillId="0" borderId="0" xfId="0" applyFont="1"/>
    <xf numFmtId="0" fontId="23" fillId="0" borderId="0" xfId="0" applyFont="1" applyAlignment="1">
      <alignment horizontal="left" vertical="center" indent="1"/>
    </xf>
    <xf numFmtId="0" fontId="6" fillId="0" borderId="0" xfId="0" applyFont="1" applyAlignment="1">
      <alignment horizontal="left" vertical="center" indent="1"/>
    </xf>
    <xf numFmtId="8" fontId="91" fillId="0" borderId="0" xfId="0" applyNumberFormat="1" applyFont="1" applyAlignment="1">
      <alignment vertical="center"/>
    </xf>
    <xf numFmtId="10" fontId="96" fillId="0" borderId="46" xfId="2" applyNumberFormat="1" applyFont="1" applyBorder="1" applyAlignment="1">
      <alignment horizontal="left" vertical="center" indent="1"/>
    </xf>
    <xf numFmtId="0" fontId="46" fillId="15" borderId="1" xfId="0" applyFont="1" applyFill="1" applyBorder="1" applyAlignment="1">
      <alignment horizontal="center" vertical="center"/>
    </xf>
    <xf numFmtId="0" fontId="48" fillId="15" borderId="1" xfId="6" applyFont="1" applyFill="1" applyBorder="1" applyAlignment="1">
      <alignment horizontal="center" vertical="center" wrapText="1"/>
    </xf>
    <xf numFmtId="0" fontId="97" fillId="15" borderId="1" xfId="6" applyFont="1" applyFill="1" applyBorder="1" applyAlignment="1">
      <alignment horizontal="center" vertical="center" wrapText="1"/>
    </xf>
    <xf numFmtId="0" fontId="49" fillId="15" borderId="1" xfId="6" applyFont="1" applyFill="1" applyBorder="1" applyAlignment="1">
      <alignment horizontal="center" vertical="center" wrapText="1"/>
    </xf>
    <xf numFmtId="0" fontId="0" fillId="11" borderId="1" xfId="0" applyFill="1" applyBorder="1" applyAlignment="1">
      <alignment horizontal="center" vertical="center"/>
    </xf>
    <xf numFmtId="0" fontId="50" fillId="11" borderId="1" xfId="6" applyFont="1" applyFill="1" applyBorder="1" applyAlignment="1">
      <alignment horizontal="center" vertical="center" wrapText="1"/>
    </xf>
    <xf numFmtId="0" fontId="98" fillId="11" borderId="1" xfId="6" applyFont="1" applyFill="1" applyBorder="1" applyAlignment="1">
      <alignment horizontal="center" vertical="center" wrapText="1"/>
    </xf>
    <xf numFmtId="169" fontId="50" fillId="11" borderId="1" xfId="6" applyNumberFormat="1" applyFont="1" applyFill="1" applyBorder="1" applyAlignment="1">
      <alignment horizontal="center" vertical="center" wrapText="1"/>
    </xf>
    <xf numFmtId="0" fontId="50" fillId="11" borderId="1" xfId="6" applyFont="1" applyFill="1" applyBorder="1" applyAlignment="1">
      <alignment vertical="center" wrapText="1"/>
    </xf>
    <xf numFmtId="0" fontId="13" fillId="11" borderId="1" xfId="1" applyFill="1" applyBorder="1" applyAlignment="1">
      <alignment vertical="center" wrapText="1"/>
    </xf>
    <xf numFmtId="0" fontId="50" fillId="0" borderId="1" xfId="6" applyFont="1" applyBorder="1" applyAlignment="1">
      <alignment horizontal="center" vertical="center" wrapText="1"/>
    </xf>
    <xf numFmtId="0" fontId="98" fillId="0" borderId="1" xfId="6" applyFont="1" applyBorder="1" applyAlignment="1">
      <alignment horizontal="center" vertical="center" wrapText="1"/>
    </xf>
    <xf numFmtId="169" fontId="50" fillId="0" borderId="1" xfId="6" applyNumberFormat="1" applyFont="1" applyBorder="1" applyAlignment="1">
      <alignment horizontal="center" vertical="center" wrapText="1"/>
    </xf>
    <xf numFmtId="0" fontId="50" fillId="0" borderId="1" xfId="6" applyFont="1" applyBorder="1" applyAlignment="1">
      <alignment vertical="center" wrapText="1"/>
    </xf>
    <xf numFmtId="0" fontId="13" fillId="0" borderId="1" xfId="1" applyFill="1" applyBorder="1" applyAlignment="1">
      <alignment vertical="center" wrapText="1"/>
    </xf>
    <xf numFmtId="0" fontId="6" fillId="0" borderId="1" xfId="0" applyFont="1" applyBorder="1" applyAlignment="1">
      <alignment vertical="center" wrapText="1"/>
    </xf>
    <xf numFmtId="177" fontId="0" fillId="11" borderId="0" xfId="0" applyNumberFormat="1" applyFill="1" applyAlignment="1">
      <alignment vertical="center"/>
    </xf>
    <xf numFmtId="0" fontId="6" fillId="0" borderId="0" xfId="0" quotePrefix="1" applyFont="1"/>
    <xf numFmtId="10" fontId="0" fillId="14" borderId="1" xfId="0" applyNumberFormat="1" applyFill="1" applyBorder="1" applyAlignment="1">
      <alignment horizontal="center" vertical="center"/>
    </xf>
    <xf numFmtId="0" fontId="103" fillId="21" borderId="0" xfId="0" applyFont="1" applyFill="1" applyAlignment="1">
      <alignment horizontal="center" vertical="center"/>
    </xf>
    <xf numFmtId="0" fontId="104" fillId="21" borderId="0" xfId="0" applyFont="1" applyFill="1" applyAlignment="1">
      <alignment horizontal="center" vertical="center"/>
    </xf>
    <xf numFmtId="6" fontId="0" fillId="0" borderId="0" xfId="0" applyNumberFormat="1"/>
    <xf numFmtId="0" fontId="6" fillId="0" borderId="0" xfId="0" applyFont="1" applyAlignment="1">
      <alignment horizontal="right"/>
    </xf>
    <xf numFmtId="178" fontId="0" fillId="0" borderId="0" xfId="2" applyNumberFormat="1" applyFont="1"/>
    <xf numFmtId="14" fontId="0" fillId="0" borderId="0" xfId="0" applyNumberFormat="1"/>
    <xf numFmtId="0" fontId="0" fillId="24" borderId="0" xfId="0" applyFill="1"/>
    <xf numFmtId="10" fontId="0" fillId="0" borderId="0" xfId="2" applyNumberFormat="1" applyFont="1" applyAlignment="1">
      <alignment vertical="center"/>
    </xf>
    <xf numFmtId="0" fontId="70" fillId="25" borderId="0" xfId="0" applyFont="1" applyFill="1" applyAlignment="1">
      <alignment horizontal="center" wrapText="1"/>
    </xf>
    <xf numFmtId="0" fontId="70" fillId="25" borderId="0" xfId="0" applyFont="1" applyFill="1" applyAlignment="1">
      <alignment horizontal="center" vertical="center" wrapText="1"/>
    </xf>
    <xf numFmtId="0" fontId="0" fillId="26" borderId="0" xfId="0" applyFill="1"/>
    <xf numFmtId="0" fontId="0" fillId="26" borderId="0" xfId="0" applyFill="1" applyAlignment="1">
      <alignment vertical="center"/>
    </xf>
    <xf numFmtId="0" fontId="13" fillId="27" borderId="1" xfId="1" applyFill="1" applyBorder="1" applyAlignment="1">
      <alignment horizontal="center"/>
    </xf>
    <xf numFmtId="0" fontId="13" fillId="27" borderId="1" xfId="1" applyFill="1" applyBorder="1" applyAlignment="1">
      <alignment horizontal="center" wrapText="1"/>
    </xf>
    <xf numFmtId="0" fontId="13" fillId="27" borderId="1" xfId="1" quotePrefix="1" applyFill="1" applyBorder="1" applyAlignment="1">
      <alignment horizontal="center"/>
    </xf>
    <xf numFmtId="0" fontId="13" fillId="27" borderId="1" xfId="1" applyFill="1" applyBorder="1" applyAlignment="1">
      <alignment horizontal="center" vertical="center"/>
    </xf>
    <xf numFmtId="0" fontId="13" fillId="27" borderId="1" xfId="1" applyFill="1" applyBorder="1" applyAlignment="1">
      <alignment horizontal="center" vertical="center" wrapText="1"/>
    </xf>
    <xf numFmtId="0" fontId="0" fillId="27" borderId="1" xfId="0" applyFill="1" applyBorder="1"/>
    <xf numFmtId="0" fontId="0" fillId="27" borderId="1" xfId="0" applyFill="1" applyBorder="1" applyAlignment="1">
      <alignment horizontal="center"/>
    </xf>
    <xf numFmtId="0" fontId="100" fillId="26" borderId="0" xfId="0" applyFont="1" applyFill="1" applyAlignment="1">
      <alignment horizontal="center" vertical="center"/>
    </xf>
    <xf numFmtId="8" fontId="0" fillId="26" borderId="0" xfId="0" applyNumberFormat="1" applyFill="1"/>
    <xf numFmtId="0" fontId="6" fillId="0" borderId="1" xfId="0" applyFont="1" applyBorder="1" applyAlignment="1">
      <alignment vertical="center"/>
    </xf>
    <xf numFmtId="2" fontId="0" fillId="0" borderId="1" xfId="0" applyNumberFormat="1" applyBorder="1" applyAlignment="1">
      <alignment vertical="center"/>
    </xf>
    <xf numFmtId="176" fontId="0" fillId="0" borderId="1" xfId="0" applyNumberFormat="1" applyBorder="1" applyAlignment="1">
      <alignment vertical="center"/>
    </xf>
    <xf numFmtId="0" fontId="6" fillId="0" borderId="1" xfId="0" quotePrefix="1" applyFont="1" applyBorder="1" applyAlignment="1">
      <alignment vertical="center"/>
    </xf>
    <xf numFmtId="0" fontId="99" fillId="0" borderId="1" xfId="0" applyFont="1" applyBorder="1" applyAlignment="1">
      <alignment horizontal="center" vertical="center" wrapText="1"/>
    </xf>
    <xf numFmtId="0" fontId="53" fillId="0" borderId="0" xfId="0" applyFont="1" applyAlignment="1">
      <alignment vertical="center"/>
    </xf>
    <xf numFmtId="0" fontId="58" fillId="5" borderId="0" xfId="1" applyFont="1" applyFill="1" applyBorder="1" applyAlignment="1">
      <alignment vertical="center"/>
    </xf>
    <xf numFmtId="0" fontId="0" fillId="0" borderId="0" xfId="0" applyProtection="1">
      <protection locked="0"/>
    </xf>
    <xf numFmtId="0" fontId="0" fillId="0" borderId="0" xfId="0" applyAlignment="1" applyProtection="1">
      <alignment vertical="center"/>
      <protection locked="0"/>
    </xf>
    <xf numFmtId="0" fontId="53" fillId="0" borderId="0" xfId="0" applyFont="1" applyAlignment="1" applyProtection="1">
      <alignment vertical="center"/>
      <protection locked="0"/>
    </xf>
    <xf numFmtId="0" fontId="0" fillId="0" borderId="0" xfId="0" applyAlignment="1">
      <alignment horizontal="left"/>
    </xf>
    <xf numFmtId="168" fontId="0" fillId="0" borderId="0" xfId="0" applyNumberFormat="1" applyAlignment="1">
      <alignment vertical="center"/>
    </xf>
    <xf numFmtId="10" fontId="23" fillId="0" borderId="1" xfId="2" applyNumberFormat="1" applyFont="1" applyFill="1" applyBorder="1" applyAlignment="1" applyProtection="1">
      <alignment horizontal="center" vertical="center"/>
      <protection locked="0"/>
    </xf>
    <xf numFmtId="10" fontId="23" fillId="0" borderId="1" xfId="2" applyNumberFormat="1" applyFont="1" applyBorder="1" applyAlignment="1" applyProtection="1">
      <alignment horizontal="center" vertical="center"/>
      <protection locked="0"/>
    </xf>
    <xf numFmtId="8" fontId="0" fillId="0" borderId="1" xfId="0" applyNumberFormat="1" applyBorder="1" applyAlignment="1" applyProtection="1">
      <alignment horizontal="center" vertical="center"/>
      <protection locked="0"/>
    </xf>
    <xf numFmtId="9" fontId="0" fillId="0" borderId="3" xfId="0" applyNumberFormat="1" applyBorder="1" applyAlignment="1" applyProtection="1">
      <alignment horizontal="center" vertical="center"/>
      <protection locked="0"/>
    </xf>
    <xf numFmtId="10" fontId="23" fillId="0" borderId="26" xfId="2" applyNumberFormat="1" applyFont="1" applyBorder="1" applyAlignment="1" applyProtection="1">
      <alignment horizontal="center" vertical="center"/>
      <protection locked="0"/>
    </xf>
    <xf numFmtId="9" fontId="0" fillId="0" borderId="40" xfId="0" applyNumberFormat="1" applyBorder="1" applyAlignment="1" applyProtection="1">
      <alignment horizontal="center" vertical="center"/>
      <protection locked="0"/>
    </xf>
    <xf numFmtId="0" fontId="0" fillId="0" borderId="3" xfId="0" applyBorder="1" applyProtection="1">
      <protection locked="0"/>
    </xf>
    <xf numFmtId="0" fontId="6" fillId="14" borderId="1" xfId="0" applyFont="1" applyFill="1" applyBorder="1" applyAlignment="1" applyProtection="1">
      <alignment horizontal="right" vertical="center"/>
      <protection hidden="1"/>
    </xf>
    <xf numFmtId="10" fontId="0" fillId="14" borderId="1" xfId="2" applyNumberFormat="1" applyFont="1" applyFill="1" applyBorder="1" applyAlignment="1" applyProtection="1">
      <alignment horizontal="center" vertical="center"/>
      <protection hidden="1"/>
    </xf>
    <xf numFmtId="0" fontId="6" fillId="14" borderId="3" xfId="0" applyFont="1" applyFill="1" applyBorder="1" applyAlignment="1" applyProtection="1">
      <alignment vertical="center"/>
      <protection hidden="1"/>
    </xf>
    <xf numFmtId="0" fontId="6" fillId="14" borderId="17" xfId="0" applyFont="1" applyFill="1" applyBorder="1" applyAlignment="1" applyProtection="1">
      <alignment vertical="center"/>
      <protection hidden="1"/>
    </xf>
    <xf numFmtId="0" fontId="6" fillId="14" borderId="1" xfId="0" applyFont="1" applyFill="1" applyBorder="1" applyAlignment="1" applyProtection="1">
      <alignment vertical="center"/>
      <protection hidden="1"/>
    </xf>
    <xf numFmtId="0" fontId="13" fillId="14" borderId="1" xfId="1" applyFill="1" applyBorder="1" applyAlignment="1" applyProtection="1">
      <alignment horizontal="center" vertical="center"/>
      <protection hidden="1"/>
    </xf>
    <xf numFmtId="8" fontId="23" fillId="14" borderId="1" xfId="2" applyNumberFormat="1" applyFont="1" applyFill="1" applyBorder="1" applyAlignment="1" applyProtection="1">
      <alignment horizontal="center" vertical="center"/>
      <protection hidden="1"/>
    </xf>
    <xf numFmtId="10" fontId="6" fillId="14" borderId="1" xfId="2" quotePrefix="1" applyNumberFormat="1" applyFont="1" applyFill="1" applyBorder="1" applyAlignment="1" applyProtection="1">
      <alignment horizontal="center" vertical="center"/>
      <protection hidden="1"/>
    </xf>
    <xf numFmtId="14" fontId="23" fillId="0" borderId="2" xfId="0" applyNumberFormat="1" applyFont="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99" fillId="0" borderId="0" xfId="0" applyFont="1" applyAlignment="1">
      <alignment horizontal="center" vertical="center" wrapText="1"/>
    </xf>
    <xf numFmtId="0" fontId="100" fillId="5" borderId="0" xfId="0" applyFont="1" applyFill="1" applyAlignment="1">
      <alignment vertical="center"/>
    </xf>
    <xf numFmtId="0" fontId="100" fillId="0" borderId="0" xfId="0" applyFont="1" applyAlignment="1">
      <alignment vertical="center"/>
    </xf>
    <xf numFmtId="0" fontId="74" fillId="0" borderId="0" xfId="0" applyFont="1"/>
    <xf numFmtId="0" fontId="13" fillId="0" borderId="1" xfId="1" applyFill="1" applyBorder="1" applyAlignment="1">
      <alignment horizontal="center" vertical="center"/>
    </xf>
    <xf numFmtId="0" fontId="13" fillId="0" borderId="1" xfId="1" applyBorder="1" applyAlignment="1">
      <alignment horizontal="center" vertical="center" wrapText="1"/>
    </xf>
    <xf numFmtId="0" fontId="13" fillId="0" borderId="1" xfId="1" applyFill="1" applyBorder="1" applyAlignment="1">
      <alignment horizontal="center" vertical="center" wrapText="1"/>
    </xf>
    <xf numFmtId="0" fontId="13" fillId="0" borderId="1" xfId="1" applyBorder="1" applyAlignment="1">
      <alignment horizontal="center" vertical="center"/>
    </xf>
    <xf numFmtId="0" fontId="7" fillId="0" borderId="1" xfId="0" applyFont="1" applyBorder="1" applyAlignment="1">
      <alignment horizontal="center" vertical="center"/>
    </xf>
    <xf numFmtId="0" fontId="13" fillId="0" borderId="0" xfId="1" applyAlignment="1">
      <alignment horizontal="center"/>
    </xf>
    <xf numFmtId="0" fontId="59" fillId="5" borderId="1" xfId="0" applyFont="1" applyFill="1" applyBorder="1" applyAlignment="1">
      <alignment horizontal="center" vertical="center" wrapText="1"/>
    </xf>
    <xf numFmtId="6" fontId="0" fillId="0" borderId="0" xfId="0" applyNumberFormat="1" applyAlignment="1">
      <alignment horizontal="center"/>
    </xf>
    <xf numFmtId="14" fontId="0" fillId="0" borderId="0" xfId="0" applyNumberFormat="1" applyAlignment="1">
      <alignment horizontal="center"/>
    </xf>
    <xf numFmtId="0" fontId="6" fillId="0" borderId="23" xfId="0" applyFont="1" applyBorder="1" applyAlignment="1">
      <alignment vertical="center"/>
    </xf>
    <xf numFmtId="0" fontId="6" fillId="14" borderId="21" xfId="0" quotePrefix="1" applyFont="1" applyFill="1" applyBorder="1" applyAlignment="1">
      <alignment horizontal="right" vertical="center"/>
    </xf>
    <xf numFmtId="0" fontId="6" fillId="0" borderId="1" xfId="0" applyFont="1" applyBorder="1"/>
    <xf numFmtId="14" fontId="0" fillId="0" borderId="1" xfId="0" applyNumberFormat="1" applyBorder="1"/>
    <xf numFmtId="0" fontId="6" fillId="0" borderId="1" xfId="0" applyFont="1" applyBorder="1" applyAlignment="1">
      <alignment horizontal="center"/>
    </xf>
    <xf numFmtId="0" fontId="6" fillId="0" borderId="1" xfId="0" applyFont="1" applyBorder="1" applyAlignment="1" applyProtection="1">
      <alignment horizontal="center" vertical="center"/>
      <protection locked="0"/>
    </xf>
    <xf numFmtId="179" fontId="0" fillId="14" borderId="20" xfId="0" applyNumberFormat="1" applyFill="1" applyBorder="1" applyAlignment="1">
      <alignment horizontal="center" vertical="center"/>
    </xf>
    <xf numFmtId="2" fontId="6" fillId="0" borderId="1" xfId="0" applyNumberFormat="1" applyFont="1" applyBorder="1" applyAlignment="1">
      <alignment horizontal="center" vertical="center"/>
    </xf>
    <xf numFmtId="2" fontId="0" fillId="0" borderId="1" xfId="0" applyNumberFormat="1" applyBorder="1" applyAlignment="1">
      <alignment horizontal="center" vertical="center"/>
    </xf>
    <xf numFmtId="170" fontId="0" fillId="0" borderId="0" xfId="0" applyNumberFormat="1" applyAlignment="1">
      <alignment horizontal="center" vertical="center"/>
    </xf>
    <xf numFmtId="0" fontId="6" fillId="0" borderId="0" xfId="0" applyFont="1" applyAlignment="1">
      <alignment horizontal="left" vertical="center"/>
    </xf>
    <xf numFmtId="0" fontId="6" fillId="0" borderId="23" xfId="0" applyFont="1" applyBorder="1" applyAlignment="1">
      <alignment horizontal="left" vertical="center"/>
    </xf>
    <xf numFmtId="0" fontId="0" fillId="21" borderId="0" xfId="0" applyFill="1"/>
    <xf numFmtId="0" fontId="19" fillId="0" borderId="0" xfId="0" applyFont="1" applyAlignment="1">
      <alignment vertical="center"/>
    </xf>
    <xf numFmtId="0" fontId="19" fillId="0" borderId="25" xfId="0" applyFont="1" applyBorder="1" applyAlignment="1">
      <alignment vertical="center"/>
    </xf>
    <xf numFmtId="10" fontId="6" fillId="16" borderId="1" xfId="2" applyNumberFormat="1" applyFont="1" applyFill="1" applyBorder="1" applyAlignment="1" applyProtection="1">
      <alignment horizontal="center" vertical="center"/>
      <protection locked="0"/>
    </xf>
    <xf numFmtId="0" fontId="0" fillId="29" borderId="0" xfId="0" applyFill="1"/>
    <xf numFmtId="0" fontId="0" fillId="29" borderId="0" xfId="0" applyFill="1" applyAlignment="1">
      <alignment vertical="center"/>
    </xf>
    <xf numFmtId="168" fontId="0" fillId="14" borderId="1" xfId="2" applyNumberFormat="1" applyFont="1" applyFill="1" applyBorder="1" applyAlignment="1" applyProtection="1">
      <alignment horizontal="center" vertical="center"/>
      <protection hidden="1"/>
    </xf>
    <xf numFmtId="176" fontId="0" fillId="14" borderId="2" xfId="0" applyNumberFormat="1" applyFill="1" applyBorder="1" applyAlignment="1" applyProtection="1">
      <alignment horizontal="center" vertical="center"/>
      <protection hidden="1"/>
    </xf>
    <xf numFmtId="8" fontId="0" fillId="14" borderId="1" xfId="0" applyNumberFormat="1" applyFill="1" applyBorder="1" applyAlignment="1" applyProtection="1">
      <alignment horizontal="center" vertical="center"/>
      <protection hidden="1"/>
    </xf>
    <xf numFmtId="6" fontId="0" fillId="14" borderId="1" xfId="0" applyNumberFormat="1" applyFill="1" applyBorder="1" applyAlignment="1" applyProtection="1">
      <alignment horizontal="center" vertical="center"/>
      <protection hidden="1"/>
    </xf>
    <xf numFmtId="0" fontId="0" fillId="14" borderId="18" xfId="0" applyFill="1" applyBorder="1" applyAlignment="1" applyProtection="1">
      <alignment vertical="center"/>
      <protection hidden="1"/>
    </xf>
    <xf numFmtId="0" fontId="0" fillId="14" borderId="25" xfId="0" applyFill="1" applyBorder="1" applyAlignment="1" applyProtection="1">
      <alignment vertical="center"/>
      <protection hidden="1"/>
    </xf>
    <xf numFmtId="0" fontId="0" fillId="14" borderId="22" xfId="0" applyFill="1" applyBorder="1" applyAlignment="1" applyProtection="1">
      <alignment vertical="center"/>
      <protection hidden="1"/>
    </xf>
    <xf numFmtId="0" fontId="0" fillId="14" borderId="24" xfId="0" applyFill="1" applyBorder="1" applyAlignment="1" applyProtection="1">
      <alignment vertical="center"/>
      <protection hidden="1"/>
    </xf>
    <xf numFmtId="6" fontId="15" fillId="14" borderId="1" xfId="0" applyNumberFormat="1" applyFont="1" applyFill="1" applyBorder="1" applyAlignment="1" applyProtection="1">
      <alignment horizontal="center" vertical="center"/>
      <protection hidden="1"/>
    </xf>
    <xf numFmtId="6" fontId="102" fillId="14" borderId="1" xfId="0" applyNumberFormat="1" applyFont="1" applyFill="1" applyBorder="1" applyAlignment="1" applyProtection="1">
      <alignment horizontal="center" vertical="center"/>
      <protection hidden="1"/>
    </xf>
    <xf numFmtId="0" fontId="0" fillId="0" borderId="0" xfId="0" applyAlignment="1" applyProtection="1">
      <alignment horizontal="center" vertical="center"/>
      <protection locked="0"/>
    </xf>
    <xf numFmtId="0" fontId="116" fillId="0" borderId="0" xfId="0" applyFont="1" applyAlignment="1">
      <alignment vertical="center"/>
    </xf>
    <xf numFmtId="0" fontId="52" fillId="5" borderId="1" xfId="0" applyFont="1" applyFill="1" applyBorder="1" applyAlignment="1">
      <alignment vertical="center"/>
    </xf>
    <xf numFmtId="0" fontId="55" fillId="22" borderId="0" xfId="0" applyFont="1" applyFill="1" applyAlignment="1" applyProtection="1">
      <alignment horizontal="center"/>
      <protection hidden="1"/>
    </xf>
    <xf numFmtId="0" fontId="55" fillId="0" borderId="0" xfId="0" applyFont="1" applyProtection="1">
      <protection hidden="1"/>
    </xf>
    <xf numFmtId="0" fontId="99" fillId="27" borderId="0" xfId="0" applyFont="1" applyFill="1"/>
    <xf numFmtId="0" fontId="0" fillId="27" borderId="0" xfId="0" applyFill="1"/>
    <xf numFmtId="0" fontId="6" fillId="27" borderId="0" xfId="0" applyFont="1" applyFill="1" applyAlignment="1">
      <alignment vertical="top" wrapText="1"/>
    </xf>
    <xf numFmtId="0" fontId="0" fillId="0" borderId="0" xfId="0" applyProtection="1">
      <protection hidden="1"/>
    </xf>
    <xf numFmtId="0" fontId="13" fillId="0" borderId="0" xfId="1" applyAlignment="1">
      <alignment vertical="top" wrapText="1"/>
    </xf>
    <xf numFmtId="0" fontId="13" fillId="27" borderId="0" xfId="1" applyFill="1" applyAlignment="1">
      <alignment horizontal="center" vertical="center"/>
    </xf>
    <xf numFmtId="0" fontId="0" fillId="0" borderId="0" xfId="0" applyAlignment="1">
      <alignment textRotation="135"/>
    </xf>
    <xf numFmtId="9" fontId="6" fillId="0" borderId="3" xfId="0" applyNumberFormat="1" applyFont="1" applyBorder="1" applyAlignment="1" applyProtection="1">
      <alignment horizontal="center" vertical="center"/>
      <protection locked="0"/>
    </xf>
    <xf numFmtId="0" fontId="23" fillId="0" borderId="16" xfId="0" applyFont="1" applyBorder="1" applyAlignment="1">
      <alignment vertical="top" textRotation="90" wrapText="1"/>
    </xf>
    <xf numFmtId="0" fontId="6" fillId="4" borderId="1" xfId="0" applyFont="1" applyFill="1" applyBorder="1" applyAlignment="1">
      <alignment horizontal="center" vertical="center" textRotation="90"/>
    </xf>
    <xf numFmtId="0" fontId="117" fillId="0" borderId="16" xfId="0" applyFont="1" applyBorder="1" applyAlignment="1">
      <alignment vertical="top" textRotation="90" wrapText="1"/>
    </xf>
    <xf numFmtId="0" fontId="55" fillId="0" borderId="0" xfId="0" applyFont="1" applyAlignment="1">
      <alignment wrapText="1"/>
    </xf>
    <xf numFmtId="0" fontId="6" fillId="4" borderId="1" xfId="0" applyFont="1" applyFill="1" applyBorder="1" applyAlignment="1">
      <alignment horizontal="center" vertical="center" textRotation="90" wrapText="1"/>
    </xf>
    <xf numFmtId="0" fontId="6" fillId="0" borderId="1" xfId="0" applyFont="1" applyBorder="1" applyAlignment="1">
      <alignment wrapText="1"/>
    </xf>
    <xf numFmtId="14" fontId="6" fillId="0" borderId="2" xfId="0" applyNumberFormat="1" applyFont="1" applyBorder="1" applyAlignment="1" applyProtection="1">
      <alignment horizontal="center" vertical="center"/>
      <protection locked="0"/>
    </xf>
    <xf numFmtId="10" fontId="0" fillId="0" borderId="9" xfId="2" applyNumberFormat="1" applyFont="1" applyBorder="1" applyAlignment="1" applyProtection="1">
      <alignment horizontal="center" vertical="center"/>
      <protection locked="0"/>
    </xf>
    <xf numFmtId="9" fontId="0" fillId="14" borderId="1" xfId="0" applyNumberFormat="1" applyFill="1" applyBorder="1" applyAlignment="1" applyProtection="1">
      <alignment horizontal="center" vertical="center"/>
      <protection hidden="1"/>
    </xf>
    <xf numFmtId="0" fontId="75" fillId="0" borderId="8" xfId="0" applyFont="1" applyBorder="1" applyAlignment="1">
      <alignment horizontal="center" vertical="center" wrapText="1"/>
    </xf>
    <xf numFmtId="0" fontId="75" fillId="0" borderId="1" xfId="0" applyFont="1" applyBorder="1" applyAlignment="1">
      <alignment horizontal="center" vertical="center" wrapText="1"/>
    </xf>
    <xf numFmtId="0" fontId="75" fillId="0" borderId="9" xfId="0" applyFont="1" applyBorder="1" applyAlignment="1">
      <alignment horizontal="center" vertical="center" wrapText="1"/>
    </xf>
    <xf numFmtId="0" fontId="0" fillId="0" borderId="8" xfId="0" applyBorder="1" applyAlignment="1">
      <alignment horizontal="center" vertical="center" wrapText="1"/>
    </xf>
    <xf numFmtId="0" fontId="0" fillId="0" borderId="1" xfId="0" applyBorder="1" applyAlignment="1">
      <alignment horizontal="center" vertical="center" wrapText="1"/>
    </xf>
    <xf numFmtId="176" fontId="6" fillId="0" borderId="1" xfId="0" applyNumberFormat="1" applyFont="1" applyBorder="1" applyAlignment="1">
      <alignment horizontal="center" vertical="center" wrapText="1"/>
    </xf>
    <xf numFmtId="181" fontId="6" fillId="0" borderId="9" xfId="2" applyNumberFormat="1" applyFont="1" applyBorder="1" applyAlignment="1">
      <alignment horizontal="center"/>
    </xf>
    <xf numFmtId="0" fontId="23" fillId="0" borderId="1" xfId="0" applyFont="1" applyBorder="1" applyAlignment="1">
      <alignment horizontal="center" vertical="center" wrapText="1"/>
    </xf>
    <xf numFmtId="0" fontId="13" fillId="0" borderId="1" xfId="1" applyBorder="1" applyAlignment="1">
      <alignment horizontal="left" vertical="center" wrapText="1"/>
    </xf>
    <xf numFmtId="0" fontId="6" fillId="0" borderId="1" xfId="0" applyFont="1" applyBorder="1" applyAlignment="1">
      <alignment horizontal="left" vertical="center" wrapText="1"/>
    </xf>
    <xf numFmtId="0" fontId="0" fillId="18" borderId="0" xfId="0" applyFill="1"/>
    <xf numFmtId="0" fontId="0" fillId="18" borderId="0" xfId="0" applyFill="1" applyAlignment="1">
      <alignment horizontal="center"/>
    </xf>
    <xf numFmtId="0" fontId="0" fillId="18" borderId="0" xfId="0" applyFill="1" applyAlignment="1">
      <alignment horizontal="left"/>
    </xf>
    <xf numFmtId="0" fontId="19" fillId="18" borderId="2" xfId="0" applyFont="1" applyFill="1" applyBorder="1" applyAlignment="1">
      <alignment horizontal="center" vertical="center" wrapText="1"/>
    </xf>
    <xf numFmtId="0" fontId="23" fillId="14" borderId="1" xfId="0" applyFont="1" applyFill="1" applyBorder="1" applyAlignment="1">
      <alignment horizontal="center" vertical="center" wrapText="1"/>
    </xf>
    <xf numFmtId="0" fontId="13" fillId="14" borderId="1" xfId="1" applyFill="1" applyBorder="1" applyAlignment="1">
      <alignment horizontal="left" vertical="center" wrapText="1"/>
    </xf>
    <xf numFmtId="0" fontId="6" fillId="14" borderId="1" xfId="0" applyFont="1" applyFill="1" applyBorder="1" applyAlignment="1">
      <alignment horizontal="left" vertical="center" wrapText="1"/>
    </xf>
    <xf numFmtId="0" fontId="0" fillId="5" borderId="0" xfId="0" applyFill="1" applyAlignment="1">
      <alignment horizontal="left"/>
    </xf>
    <xf numFmtId="0" fontId="0" fillId="5" borderId="0" xfId="0" applyFill="1" applyAlignment="1">
      <alignment horizontal="center" wrapText="1"/>
    </xf>
    <xf numFmtId="0" fontId="124" fillId="5" borderId="1" xfId="0" applyFont="1" applyFill="1" applyBorder="1" applyAlignment="1">
      <alignment horizontal="center" vertical="center" wrapText="1"/>
    </xf>
    <xf numFmtId="0" fontId="118" fillId="5" borderId="1" xfId="0" applyFont="1" applyFill="1" applyBorder="1" applyAlignment="1">
      <alignment horizontal="center" vertical="center" wrapText="1"/>
    </xf>
    <xf numFmtId="0" fontId="125" fillId="0" borderId="1" xfId="1" applyFont="1" applyBorder="1" applyAlignment="1">
      <alignment vertical="center" wrapText="1"/>
    </xf>
    <xf numFmtId="0" fontId="0" fillId="0" borderId="1" xfId="0" applyBorder="1" applyAlignment="1">
      <alignment horizontal="left" vertical="center" wrapText="1"/>
    </xf>
    <xf numFmtId="0" fontId="126" fillId="0" borderId="1" xfId="0" applyFont="1" applyBorder="1" applyAlignment="1">
      <alignment vertical="center" wrapText="1"/>
    </xf>
    <xf numFmtId="0" fontId="0" fillId="5" borderId="0" xfId="0" applyFill="1" applyAlignment="1">
      <alignment horizontal="left" vertical="center"/>
    </xf>
    <xf numFmtId="0" fontId="13" fillId="0" borderId="1" xfId="1" applyBorder="1" applyAlignment="1">
      <alignment vertical="center" wrapText="1"/>
    </xf>
    <xf numFmtId="0" fontId="0" fillId="5" borderId="0" xfId="0" applyFill="1" applyAlignment="1">
      <alignment wrapText="1"/>
    </xf>
    <xf numFmtId="0" fontId="116" fillId="0" borderId="0" xfId="0" applyFont="1" applyAlignment="1">
      <alignment vertical="center" wrapText="1"/>
    </xf>
    <xf numFmtId="0" fontId="13" fillId="27" borderId="0" xfId="1" applyFill="1"/>
    <xf numFmtId="0" fontId="60" fillId="5" borderId="0" xfId="0" applyFont="1" applyFill="1" applyAlignment="1" applyProtection="1">
      <alignment wrapText="1"/>
      <protection hidden="1"/>
    </xf>
    <xf numFmtId="0" fontId="127" fillId="14" borderId="17" xfId="0" applyFont="1" applyFill="1" applyBorder="1" applyAlignment="1" applyProtection="1">
      <alignment horizontal="center" vertical="center" wrapText="1"/>
      <protection hidden="1"/>
    </xf>
    <xf numFmtId="14" fontId="6" fillId="14" borderId="1" xfId="0" quotePrefix="1" applyNumberFormat="1" applyFont="1" applyFill="1" applyBorder="1" applyAlignment="1" applyProtection="1">
      <alignment horizontal="center" vertical="center"/>
      <protection hidden="1"/>
    </xf>
    <xf numFmtId="0" fontId="23" fillId="14" borderId="1" xfId="0" applyFont="1" applyFill="1" applyBorder="1" applyAlignment="1" applyProtection="1">
      <alignment horizontal="right" vertical="center" wrapText="1"/>
      <protection hidden="1"/>
    </xf>
    <xf numFmtId="0" fontId="55" fillId="14" borderId="1" xfId="0" applyFont="1" applyFill="1" applyBorder="1" applyAlignment="1" applyProtection="1">
      <alignment horizontal="right" vertical="center"/>
      <protection hidden="1"/>
    </xf>
    <xf numFmtId="0" fontId="128" fillId="5" borderId="0" xfId="1" applyFont="1" applyFill="1" applyAlignment="1" applyProtection="1">
      <alignment horizontal="center" vertical="center" wrapText="1"/>
      <protection hidden="1"/>
    </xf>
    <xf numFmtId="0" fontId="0" fillId="0" borderId="1" xfId="0" applyBorder="1" applyAlignment="1" applyProtection="1">
      <alignment horizontal="left" vertical="center"/>
      <protection locked="0"/>
    </xf>
    <xf numFmtId="0" fontId="0" fillId="14" borderId="1" xfId="0" applyFill="1" applyBorder="1" applyAlignment="1" applyProtection="1">
      <alignment horizontal="center" vertical="center"/>
      <protection hidden="1"/>
    </xf>
    <xf numFmtId="14" fontId="0" fillId="14" borderId="1" xfId="0" applyNumberFormat="1" applyFill="1" applyBorder="1" applyAlignment="1" applyProtection="1">
      <alignment horizontal="center" vertical="center"/>
      <protection hidden="1"/>
    </xf>
    <xf numFmtId="176" fontId="0" fillId="14" borderId="1" xfId="0" applyNumberFormat="1" applyFill="1" applyBorder="1" applyAlignment="1" applyProtection="1">
      <alignment horizontal="center" vertical="center"/>
      <protection hidden="1"/>
    </xf>
    <xf numFmtId="14" fontId="23" fillId="14" borderId="1" xfId="0" applyNumberFormat="1" applyFont="1" applyFill="1" applyBorder="1" applyAlignment="1" applyProtection="1">
      <alignment horizontal="center" vertical="center"/>
      <protection hidden="1"/>
    </xf>
    <xf numFmtId="2" fontId="0" fillId="14" borderId="1" xfId="0" applyNumberFormat="1" applyFill="1" applyBorder="1" applyAlignment="1" applyProtection="1">
      <alignment horizontal="center" vertical="center"/>
      <protection hidden="1"/>
    </xf>
    <xf numFmtId="10" fontId="0" fillId="14" borderId="1" xfId="2" applyNumberFormat="1" applyFont="1" applyFill="1" applyBorder="1" applyAlignment="1" applyProtection="1">
      <alignment horizontal="center"/>
      <protection hidden="1"/>
    </xf>
    <xf numFmtId="10" fontId="6" fillId="14" borderId="1" xfId="2" applyNumberFormat="1" applyFont="1" applyFill="1" applyBorder="1" applyAlignment="1" applyProtection="1">
      <alignment horizontal="center" vertical="center"/>
      <protection hidden="1"/>
    </xf>
    <xf numFmtId="9" fontId="22" fillId="14" borderId="1" xfId="2" applyFont="1" applyFill="1" applyBorder="1" applyAlignment="1" applyProtection="1">
      <alignment horizontal="center" vertical="center"/>
      <protection hidden="1"/>
    </xf>
    <xf numFmtId="8" fontId="22" fillId="14" borderId="1" xfId="0" applyNumberFormat="1" applyFont="1" applyFill="1" applyBorder="1" applyAlignment="1" applyProtection="1">
      <alignment horizontal="center" vertical="center"/>
      <protection hidden="1"/>
    </xf>
    <xf numFmtId="10" fontId="0" fillId="14" borderId="1" xfId="0" applyNumberFormat="1" applyFill="1" applyBorder="1" applyAlignment="1" applyProtection="1">
      <alignment horizontal="center" vertical="center"/>
      <protection hidden="1"/>
    </xf>
    <xf numFmtId="6" fontId="23" fillId="14" borderId="1" xfId="0" applyNumberFormat="1" applyFont="1" applyFill="1" applyBorder="1" applyAlignment="1" applyProtection="1">
      <alignment horizontal="center" vertical="center"/>
      <protection hidden="1"/>
    </xf>
    <xf numFmtId="8" fontId="6" fillId="14" borderId="1" xfId="0" applyNumberFormat="1" applyFont="1" applyFill="1" applyBorder="1" applyAlignment="1" applyProtection="1">
      <alignment horizontal="center" vertical="center"/>
      <protection hidden="1"/>
    </xf>
    <xf numFmtId="6" fontId="102" fillId="21" borderId="1" xfId="0" applyNumberFormat="1" applyFont="1" applyFill="1" applyBorder="1" applyAlignment="1" applyProtection="1">
      <alignment horizontal="center" vertical="center"/>
      <protection hidden="1"/>
    </xf>
    <xf numFmtId="0" fontId="0" fillId="21" borderId="1" xfId="0" applyFill="1" applyBorder="1" applyProtection="1">
      <protection hidden="1"/>
    </xf>
    <xf numFmtId="0" fontId="0" fillId="26" borderId="1" xfId="0" applyFill="1" applyBorder="1" applyProtection="1">
      <protection hidden="1"/>
    </xf>
    <xf numFmtId="0" fontId="6" fillId="14" borderId="1" xfId="0" quotePrefix="1" applyFont="1" applyFill="1" applyBorder="1" applyAlignment="1" applyProtection="1">
      <alignment horizontal="center" vertical="center"/>
      <protection hidden="1"/>
    </xf>
    <xf numFmtId="6" fontId="102" fillId="29" borderId="1" xfId="0" applyNumberFormat="1" applyFont="1" applyFill="1" applyBorder="1" applyAlignment="1" applyProtection="1">
      <alignment horizontal="center" vertical="center"/>
      <protection hidden="1"/>
    </xf>
    <xf numFmtId="6" fontId="62" fillId="28" borderId="1" xfId="0" applyNumberFormat="1" applyFont="1" applyFill="1" applyBorder="1" applyAlignment="1" applyProtection="1">
      <alignment horizontal="center" vertical="center"/>
      <protection hidden="1"/>
    </xf>
    <xf numFmtId="6" fontId="113" fillId="21" borderId="1" xfId="0" applyNumberFormat="1" applyFont="1" applyFill="1" applyBorder="1" applyAlignment="1" applyProtection="1">
      <alignment horizontal="center" vertical="center"/>
      <protection hidden="1"/>
    </xf>
    <xf numFmtId="6" fontId="23" fillId="14" borderId="1" xfId="2" applyNumberFormat="1" applyFont="1" applyFill="1" applyBorder="1" applyAlignment="1" applyProtection="1">
      <alignment horizontal="center" vertical="center"/>
      <protection hidden="1"/>
    </xf>
    <xf numFmtId="6" fontId="55" fillId="11" borderId="2" xfId="0" applyNumberFormat="1" applyFont="1" applyFill="1" applyBorder="1" applyAlignment="1" applyProtection="1">
      <alignment horizontal="center" vertical="center"/>
      <protection hidden="1"/>
    </xf>
    <xf numFmtId="6" fontId="105" fillId="26" borderId="59" xfId="0" applyNumberFormat="1" applyFont="1" applyFill="1" applyBorder="1" applyAlignment="1" applyProtection="1">
      <alignment horizontal="center" vertical="center"/>
      <protection hidden="1"/>
    </xf>
    <xf numFmtId="10" fontId="82" fillId="16" borderId="59" xfId="2" applyNumberFormat="1" applyFont="1" applyFill="1" applyBorder="1" applyAlignment="1" applyProtection="1">
      <alignment horizontal="center" vertical="center"/>
      <protection locked="0"/>
    </xf>
    <xf numFmtId="6" fontId="82" fillId="22" borderId="59" xfId="0" applyNumberFormat="1" applyFont="1" applyFill="1" applyBorder="1" applyAlignment="1" applyProtection="1">
      <alignment horizontal="center" vertical="center"/>
      <protection hidden="1"/>
    </xf>
    <xf numFmtId="6" fontId="55" fillId="21" borderId="59" xfId="0" applyNumberFormat="1" applyFont="1" applyFill="1" applyBorder="1" applyAlignment="1" applyProtection="1">
      <alignment horizontal="center" vertical="center"/>
      <protection hidden="1"/>
    </xf>
    <xf numFmtId="0" fontId="55" fillId="22" borderId="59" xfId="0" applyFont="1" applyFill="1" applyBorder="1" applyAlignment="1" applyProtection="1">
      <alignment horizontal="center"/>
      <protection hidden="1"/>
    </xf>
    <xf numFmtId="0" fontId="129" fillId="5" borderId="0" xfId="0" applyFont="1" applyFill="1" applyAlignment="1" applyProtection="1">
      <alignment horizontal="center" wrapText="1"/>
      <protection hidden="1"/>
    </xf>
    <xf numFmtId="0" fontId="85" fillId="0" borderId="0" xfId="0" applyFont="1" applyAlignment="1">
      <alignment horizontal="left" vertical="center"/>
    </xf>
    <xf numFmtId="0" fontId="130" fillId="0" borderId="0" xfId="0" applyFont="1" applyAlignment="1">
      <alignment horizontal="left" vertical="center"/>
    </xf>
    <xf numFmtId="0" fontId="27" fillId="0" borderId="0" xfId="0" applyFont="1" applyAlignment="1">
      <alignment vertical="center"/>
    </xf>
    <xf numFmtId="0" fontId="132" fillId="0" borderId="0" xfId="0" applyFont="1" applyAlignment="1">
      <alignment horizontal="left" vertical="center"/>
    </xf>
    <xf numFmtId="0" fontId="27" fillId="0" borderId="0" xfId="0" applyFont="1" applyAlignment="1">
      <alignment horizontal="left" vertical="center"/>
    </xf>
    <xf numFmtId="183" fontId="27" fillId="0" borderId="0" xfId="0" applyNumberFormat="1" applyFont="1" applyAlignment="1">
      <alignment horizontal="right" vertical="center" indent="1"/>
    </xf>
    <xf numFmtId="184" fontId="27" fillId="0" borderId="0" xfId="0" applyNumberFormat="1" applyFont="1" applyAlignment="1">
      <alignment vertical="center"/>
    </xf>
    <xf numFmtId="0" fontId="27" fillId="0" borderId="0" xfId="0" applyFont="1" applyAlignment="1">
      <alignment horizontal="left"/>
    </xf>
    <xf numFmtId="0" fontId="133" fillId="0" borderId="0" xfId="0" applyFont="1"/>
    <xf numFmtId="0" fontId="130" fillId="0" borderId="0" xfId="0" applyFont="1" applyAlignment="1">
      <alignment vertical="center"/>
    </xf>
    <xf numFmtId="0" fontId="13" fillId="0" borderId="0" xfId="1" applyBorder="1" applyAlignment="1" applyProtection="1">
      <alignment vertical="center"/>
    </xf>
    <xf numFmtId="0" fontId="27" fillId="0" borderId="0" xfId="0" applyFont="1" applyAlignment="1">
      <alignment horizontal="center" vertical="center"/>
    </xf>
    <xf numFmtId="0" fontId="27" fillId="11" borderId="1" xfId="0" applyFont="1" applyFill="1" applyBorder="1" applyAlignment="1">
      <alignment vertical="center"/>
    </xf>
    <xf numFmtId="0" fontId="130" fillId="11" borderId="1" xfId="0" applyFont="1" applyFill="1" applyBorder="1" applyAlignment="1">
      <alignment horizontal="center" vertical="center"/>
    </xf>
    <xf numFmtId="0" fontId="130" fillId="30" borderId="1" xfId="0" applyFont="1" applyFill="1" applyBorder="1" applyAlignment="1">
      <alignment horizontal="left" vertical="center"/>
    </xf>
    <xf numFmtId="0" fontId="130" fillId="0" borderId="1" xfId="0" applyFont="1" applyBorder="1" applyAlignment="1">
      <alignment horizontal="left" vertical="center"/>
    </xf>
    <xf numFmtId="0" fontId="130" fillId="3" borderId="1" xfId="0" applyFont="1" applyFill="1" applyBorder="1" applyAlignment="1">
      <alignment horizontal="left" vertical="center"/>
    </xf>
    <xf numFmtId="0" fontId="130" fillId="0" borderId="0" xfId="0" applyFont="1" applyAlignment="1">
      <alignment horizontal="center" vertical="center"/>
    </xf>
    <xf numFmtId="0" fontId="131" fillId="0" borderId="0" xfId="0" applyFont="1" applyAlignment="1">
      <alignment horizontal="center" vertical="center"/>
    </xf>
    <xf numFmtId="0" fontId="133" fillId="0" borderId="0" xfId="0" applyFont="1" applyAlignment="1">
      <alignment horizontal="center" vertical="center"/>
    </xf>
    <xf numFmtId="183" fontId="27" fillId="30" borderId="1" xfId="0" applyNumberFormat="1" applyFont="1" applyFill="1" applyBorder="1" applyAlignment="1">
      <alignment horizontal="center" vertical="center"/>
    </xf>
    <xf numFmtId="183" fontId="27" fillId="0" borderId="1" xfId="0" applyNumberFormat="1" applyFont="1" applyBorder="1" applyAlignment="1">
      <alignment horizontal="center" vertical="center"/>
    </xf>
    <xf numFmtId="183" fontId="27" fillId="3" borderId="1" xfId="0" applyNumberFormat="1" applyFont="1" applyFill="1" applyBorder="1" applyAlignment="1">
      <alignment horizontal="center" vertical="center"/>
    </xf>
    <xf numFmtId="183" fontId="32" fillId="0" borderId="1" xfId="0" applyNumberFormat="1" applyFont="1" applyBorder="1" applyAlignment="1">
      <alignment horizontal="center" vertical="center"/>
    </xf>
    <xf numFmtId="183" fontId="134" fillId="0" borderId="1" xfId="0" applyNumberFormat="1" applyFont="1" applyBorder="1" applyAlignment="1">
      <alignment horizontal="center" vertical="center"/>
    </xf>
    <xf numFmtId="183" fontId="27" fillId="0" borderId="19" xfId="0" applyNumberFormat="1" applyFont="1" applyBorder="1" applyAlignment="1">
      <alignment horizontal="center" vertical="center"/>
    </xf>
    <xf numFmtId="182" fontId="27" fillId="0" borderId="0" xfId="0" applyNumberFormat="1" applyFont="1" applyAlignment="1">
      <alignment horizontal="center" vertical="center"/>
    </xf>
    <xf numFmtId="183" fontId="133" fillId="0" borderId="0" xfId="0" applyNumberFormat="1" applyFont="1" applyAlignment="1">
      <alignment horizontal="center" vertical="center"/>
    </xf>
    <xf numFmtId="0" fontId="6" fillId="3" borderId="1" xfId="0" applyFont="1" applyFill="1" applyBorder="1"/>
    <xf numFmtId="176" fontId="6" fillId="3" borderId="1" xfId="0" quotePrefix="1" applyNumberFormat="1" applyFont="1" applyFill="1" applyBorder="1" applyAlignment="1">
      <alignment horizontal="center" vertical="center"/>
    </xf>
    <xf numFmtId="176" fontId="0" fillId="3" borderId="1" xfId="0" applyNumberFormat="1" applyFill="1" applyBorder="1" applyAlignment="1">
      <alignment horizontal="center"/>
    </xf>
    <xf numFmtId="0" fontId="23" fillId="5" borderId="0" xfId="0" applyFont="1" applyFill="1" applyAlignment="1">
      <alignment vertical="center"/>
    </xf>
    <xf numFmtId="0" fontId="52" fillId="5" borderId="18" xfId="0" applyFont="1" applyFill="1" applyBorder="1" applyAlignment="1">
      <alignment vertical="center"/>
    </xf>
    <xf numFmtId="0" fontId="6" fillId="5" borderId="0" xfId="0" applyFont="1" applyFill="1" applyAlignment="1" applyProtection="1">
      <alignment horizontal="center" vertical="center" wrapText="1"/>
      <protection hidden="1"/>
    </xf>
    <xf numFmtId="0" fontId="6" fillId="5" borderId="18" xfId="0" applyFont="1" applyFill="1" applyBorder="1" applyAlignment="1" applyProtection="1">
      <alignment horizontal="center" vertical="center" wrapText="1"/>
      <protection hidden="1"/>
    </xf>
    <xf numFmtId="0" fontId="6" fillId="5" borderId="18"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14" fontId="6" fillId="5" borderId="18" xfId="0" quotePrefix="1" applyNumberFormat="1" applyFont="1" applyFill="1" applyBorder="1" applyAlignment="1" applyProtection="1">
      <alignment horizontal="center" vertical="center"/>
      <protection hidden="1"/>
    </xf>
    <xf numFmtId="0" fontId="6" fillId="5" borderId="18" xfId="0" applyFont="1" applyFill="1" applyBorder="1" applyAlignment="1" applyProtection="1">
      <alignment horizontal="left" vertical="center"/>
      <protection hidden="1"/>
    </xf>
    <xf numFmtId="10" fontId="0" fillId="5" borderId="0" xfId="2" applyNumberFormat="1" applyFont="1" applyFill="1" applyBorder="1" applyAlignment="1" applyProtection="1">
      <alignment horizontal="center" vertical="center"/>
      <protection hidden="1"/>
    </xf>
    <xf numFmtId="10" fontId="23" fillId="5" borderId="0" xfId="2" applyNumberFormat="1" applyFont="1" applyFill="1" applyBorder="1" applyAlignment="1" applyProtection="1">
      <alignment horizontal="center" vertical="center"/>
      <protection locked="0"/>
    </xf>
    <xf numFmtId="8" fontId="0" fillId="5" borderId="0" xfId="0" applyNumberFormat="1" applyFill="1" applyAlignment="1" applyProtection="1">
      <alignment horizontal="center" vertical="center"/>
      <protection locked="0"/>
    </xf>
    <xf numFmtId="0" fontId="23" fillId="5" borderId="0" xfId="0" applyFont="1" applyFill="1" applyAlignment="1" applyProtection="1">
      <alignment horizontal="center" vertical="center"/>
      <protection hidden="1"/>
    </xf>
    <xf numFmtId="10" fontId="0" fillId="5" borderId="0" xfId="2" applyNumberFormat="1" applyFont="1" applyFill="1" applyBorder="1" applyAlignment="1" applyProtection="1">
      <alignment horizontal="center" vertical="center"/>
      <protection locked="0"/>
    </xf>
    <xf numFmtId="0" fontId="100" fillId="5" borderId="0" xfId="0" applyFont="1" applyFill="1" applyAlignment="1" applyProtection="1">
      <alignment horizontal="center" vertical="center" wrapText="1"/>
      <protection hidden="1"/>
    </xf>
    <xf numFmtId="0" fontId="71" fillId="5" borderId="0" xfId="1" applyFont="1" applyFill="1" applyBorder="1" applyAlignment="1" applyProtection="1">
      <alignment horizontal="center" vertical="center" wrapText="1"/>
      <protection hidden="1"/>
    </xf>
    <xf numFmtId="0" fontId="0" fillId="5" borderId="0" xfId="0" applyFill="1" applyAlignment="1">
      <alignment horizontal="left" vertical="top" wrapText="1"/>
    </xf>
    <xf numFmtId="0" fontId="0" fillId="31" borderId="0" xfId="0" applyFill="1"/>
    <xf numFmtId="0" fontId="6" fillId="31" borderId="0" xfId="0" applyFont="1" applyFill="1"/>
    <xf numFmtId="0" fontId="6" fillId="31" borderId="0" xfId="0" applyFont="1" applyFill="1" applyAlignment="1">
      <alignment horizontal="center"/>
    </xf>
    <xf numFmtId="14" fontId="0" fillId="31" borderId="1" xfId="0" applyNumberFormat="1" applyFill="1" applyBorder="1" applyAlignment="1">
      <alignment horizontal="center" vertical="center"/>
    </xf>
    <xf numFmtId="14" fontId="0" fillId="31" borderId="1" xfId="0" applyNumberFormat="1" applyFill="1" applyBorder="1" applyAlignment="1">
      <alignment vertical="center"/>
    </xf>
    <xf numFmtId="0" fontId="0" fillId="31" borderId="1" xfId="0" applyFill="1" applyBorder="1" applyAlignment="1">
      <alignment horizontal="center" vertical="center"/>
    </xf>
    <xf numFmtId="176" fontId="0" fillId="31" borderId="1" xfId="0" applyNumberFormat="1" applyFill="1" applyBorder="1" applyAlignment="1">
      <alignment horizontal="center" vertical="center"/>
    </xf>
    <xf numFmtId="0" fontId="0" fillId="31" borderId="1" xfId="0" applyFill="1" applyBorder="1"/>
    <xf numFmtId="8" fontId="0" fillId="31" borderId="1" xfId="0" applyNumberFormat="1" applyFill="1" applyBorder="1" applyAlignment="1">
      <alignment horizontal="center" vertical="center"/>
    </xf>
    <xf numFmtId="0" fontId="6" fillId="31" borderId="1" xfId="0" applyFont="1" applyFill="1" applyBorder="1" applyAlignment="1">
      <alignment horizontal="center" vertical="center"/>
    </xf>
    <xf numFmtId="176" fontId="6" fillId="31" borderId="1" xfId="0" applyNumberFormat="1" applyFont="1" applyFill="1" applyBorder="1" applyAlignment="1">
      <alignment horizontal="center" vertical="center"/>
    </xf>
    <xf numFmtId="0" fontId="0" fillId="31" borderId="0" xfId="0" applyFill="1" applyAlignment="1">
      <alignment vertical="center"/>
    </xf>
    <xf numFmtId="0" fontId="6" fillId="31" borderId="0" xfId="0" applyFont="1" applyFill="1" applyAlignment="1">
      <alignment horizontal="center" vertical="center"/>
    </xf>
    <xf numFmtId="0" fontId="0" fillId="31" borderId="1" xfId="0" applyFill="1" applyBorder="1" applyAlignment="1">
      <alignment vertical="center"/>
    </xf>
    <xf numFmtId="0" fontId="0" fillId="31" borderId="0" xfId="0" applyFill="1" applyAlignment="1" applyProtection="1">
      <alignment vertical="center"/>
      <protection locked="0"/>
    </xf>
    <xf numFmtId="0" fontId="13" fillId="31" borderId="0" xfId="1" applyFill="1" applyAlignment="1">
      <alignment vertical="center"/>
    </xf>
    <xf numFmtId="0" fontId="6" fillId="31" borderId="0" xfId="0" applyFont="1" applyFill="1" applyAlignment="1">
      <alignment vertical="center"/>
    </xf>
    <xf numFmtId="0" fontId="20" fillId="5" borderId="0" xfId="0" applyFont="1" applyFill="1"/>
    <xf numFmtId="0" fontId="60" fillId="5" borderId="0" xfId="0" applyFont="1" applyFill="1" applyAlignment="1">
      <alignment vertical="center"/>
    </xf>
    <xf numFmtId="0" fontId="136" fillId="5" borderId="0" xfId="0" applyFont="1" applyFill="1" applyAlignment="1">
      <alignment vertical="center"/>
    </xf>
    <xf numFmtId="0" fontId="136" fillId="5" borderId="0" xfId="0" applyFont="1" applyFill="1"/>
    <xf numFmtId="0" fontId="135" fillId="5" borderId="0" xfId="0" applyFont="1" applyFill="1" applyAlignment="1">
      <alignment vertical="center"/>
    </xf>
    <xf numFmtId="0" fontId="137" fillId="5" borderId="0" xfId="1" applyFont="1" applyFill="1" applyAlignment="1">
      <alignment vertical="center"/>
    </xf>
    <xf numFmtId="0" fontId="137" fillId="5" borderId="0" xfId="1" quotePrefix="1" applyFont="1" applyFill="1" applyAlignment="1">
      <alignment vertical="center"/>
    </xf>
    <xf numFmtId="0" fontId="137" fillId="5" borderId="0" xfId="1" applyFont="1" applyFill="1" applyAlignment="1">
      <alignment horizontal="left" vertical="center"/>
    </xf>
    <xf numFmtId="0" fontId="56" fillId="5" borderId="0" xfId="0" applyFont="1" applyFill="1" applyAlignment="1">
      <alignment vertical="center"/>
    </xf>
    <xf numFmtId="0" fontId="6" fillId="6" borderId="1" xfId="0" applyFont="1" applyFill="1" applyBorder="1"/>
    <xf numFmtId="176" fontId="6" fillId="6" borderId="1" xfId="0" quotePrefix="1" applyNumberFormat="1" applyFont="1" applyFill="1" applyBorder="1" applyAlignment="1">
      <alignment horizontal="center" vertical="center"/>
    </xf>
    <xf numFmtId="176" fontId="0" fillId="6" borderId="1" xfId="0" applyNumberFormat="1" applyFill="1" applyBorder="1" applyAlignment="1">
      <alignment horizontal="center"/>
    </xf>
    <xf numFmtId="0" fontId="0" fillId="32" borderId="8" xfId="0" applyFill="1" applyBorder="1" applyAlignment="1">
      <alignment horizontal="center" vertical="center" wrapText="1"/>
    </xf>
    <xf numFmtId="0" fontId="0" fillId="32" borderId="1" xfId="0" applyFill="1" applyBorder="1" applyAlignment="1">
      <alignment vertical="center" wrapText="1"/>
    </xf>
    <xf numFmtId="0" fontId="0" fillId="32" borderId="1" xfId="0" applyFill="1" applyBorder="1" applyAlignment="1">
      <alignment horizontal="center" vertical="center" wrapText="1"/>
    </xf>
    <xf numFmtId="176" fontId="6" fillId="32" borderId="1" xfId="0" applyNumberFormat="1" applyFont="1" applyFill="1" applyBorder="1" applyAlignment="1">
      <alignment horizontal="center" vertical="center" wrapText="1"/>
    </xf>
    <xf numFmtId="181" fontId="23" fillId="32" borderId="9" xfId="2" applyNumberFormat="1" applyFont="1" applyFill="1" applyBorder="1" applyAlignment="1">
      <alignment horizontal="center"/>
    </xf>
    <xf numFmtId="176" fontId="23" fillId="32" borderId="1" xfId="0" applyNumberFormat="1" applyFont="1" applyFill="1" applyBorder="1" applyAlignment="1">
      <alignment horizontal="center" vertical="center" wrapText="1"/>
    </xf>
    <xf numFmtId="0" fontId="107" fillId="5" borderId="0" xfId="0" applyFont="1" applyFill="1" applyAlignment="1" applyProtection="1">
      <alignment vertical="center"/>
      <protection hidden="1"/>
    </xf>
    <xf numFmtId="0" fontId="55" fillId="26" borderId="0" xfId="0" applyFont="1" applyFill="1"/>
    <xf numFmtId="0" fontId="6" fillId="14" borderId="17" xfId="0" applyFont="1" applyFill="1" applyBorder="1" applyAlignment="1" applyProtection="1">
      <alignment horizontal="center" vertical="center"/>
      <protection hidden="1"/>
    </xf>
    <xf numFmtId="0" fontId="60" fillId="5" borderId="0" xfId="0" applyFont="1" applyFill="1" applyAlignment="1" applyProtection="1">
      <alignment horizontal="center" wrapText="1"/>
      <protection hidden="1"/>
    </xf>
    <xf numFmtId="0" fontId="0" fillId="14" borderId="1" xfId="0" applyFill="1" applyBorder="1" applyAlignment="1" applyProtection="1">
      <alignment horizontal="left" vertical="center"/>
      <protection hidden="1"/>
    </xf>
    <xf numFmtId="0" fontId="6" fillId="14" borderId="4" xfId="0" applyFont="1" applyFill="1" applyBorder="1" applyAlignment="1" applyProtection="1">
      <alignment vertical="center"/>
      <protection hidden="1"/>
    </xf>
    <xf numFmtId="0" fontId="6" fillId="14" borderId="0" xfId="0" applyFont="1" applyFill="1" applyAlignment="1">
      <alignment horizontal="center" vertical="center"/>
    </xf>
    <xf numFmtId="0" fontId="6" fillId="14" borderId="1" xfId="0" applyFont="1" applyFill="1" applyBorder="1" applyAlignment="1" applyProtection="1">
      <alignment horizontal="center" wrapText="1"/>
      <protection hidden="1"/>
    </xf>
    <xf numFmtId="14" fontId="23" fillId="14" borderId="1" xfId="0" applyNumberFormat="1" applyFont="1" applyFill="1" applyBorder="1" applyAlignment="1" applyProtection="1">
      <alignment horizontal="center" vertical="center" wrapText="1"/>
      <protection hidden="1"/>
    </xf>
    <xf numFmtId="176" fontId="6" fillId="0" borderId="0" xfId="0" applyNumberFormat="1" applyFont="1" applyAlignment="1">
      <alignment vertical="center"/>
    </xf>
    <xf numFmtId="176" fontId="6" fillId="14" borderId="1" xfId="0" applyNumberFormat="1" applyFont="1" applyFill="1" applyBorder="1" applyAlignment="1" applyProtection="1">
      <alignment horizontal="center" vertical="center" wrapText="1"/>
      <protection hidden="1"/>
    </xf>
    <xf numFmtId="0" fontId="0" fillId="0" borderId="1" xfId="0" applyBorder="1" applyAlignment="1">
      <alignment horizontal="center"/>
    </xf>
    <xf numFmtId="0" fontId="73" fillId="5" borderId="5" xfId="0" applyFont="1" applyFill="1" applyBorder="1" applyAlignment="1" applyProtection="1">
      <alignment vertical="center"/>
      <protection hidden="1"/>
    </xf>
    <xf numFmtId="0" fontId="73" fillId="5" borderId="29" xfId="0" applyFont="1" applyFill="1" applyBorder="1" applyAlignment="1" applyProtection="1">
      <alignment vertical="center"/>
      <protection hidden="1"/>
    </xf>
    <xf numFmtId="0" fontId="73" fillId="5" borderId="7" xfId="0" applyFont="1" applyFill="1" applyBorder="1" applyAlignment="1" applyProtection="1">
      <alignment horizontal="center" vertical="center"/>
      <protection hidden="1"/>
    </xf>
    <xf numFmtId="176" fontId="23"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horizontal="center" wrapText="1"/>
      <protection hidden="1"/>
    </xf>
    <xf numFmtId="14" fontId="23" fillId="8" borderId="1" xfId="0" applyNumberFormat="1" applyFont="1" applyFill="1" applyBorder="1" applyAlignment="1" applyProtection="1">
      <alignment horizontal="center" vertical="center" wrapText="1"/>
      <protection hidden="1"/>
    </xf>
    <xf numFmtId="176" fontId="0" fillId="8" borderId="1" xfId="0" applyNumberFormat="1" applyFill="1" applyBorder="1" applyAlignment="1" applyProtection="1">
      <alignment horizontal="center" vertical="center"/>
      <protection hidden="1"/>
    </xf>
    <xf numFmtId="14" fontId="6" fillId="8" borderId="1" xfId="0" quotePrefix="1" applyNumberFormat="1" applyFont="1" applyFill="1" applyBorder="1" applyAlignment="1" applyProtection="1">
      <alignment horizontal="center" vertical="center"/>
      <protection hidden="1"/>
    </xf>
    <xf numFmtId="176" fontId="6" fillId="8" borderId="1" xfId="0" applyNumberFormat="1" applyFont="1" applyFill="1" applyBorder="1" applyAlignment="1" applyProtection="1">
      <alignment horizontal="center" vertical="center" wrapText="1"/>
      <protection hidden="1"/>
    </xf>
    <xf numFmtId="0" fontId="70" fillId="8" borderId="1" xfId="0" applyFont="1" applyFill="1" applyBorder="1" applyAlignment="1" applyProtection="1">
      <alignment horizontal="right" vertical="center"/>
      <protection hidden="1"/>
    </xf>
    <xf numFmtId="0" fontId="6" fillId="8" borderId="1" xfId="0" applyFont="1" applyFill="1" applyBorder="1" applyAlignment="1" applyProtection="1">
      <alignment vertical="center"/>
      <protection hidden="1"/>
    </xf>
    <xf numFmtId="0" fontId="6" fillId="8" borderId="1" xfId="0" applyFont="1" applyFill="1" applyBorder="1" applyAlignment="1" applyProtection="1">
      <alignment horizontal="center" vertical="center"/>
      <protection hidden="1"/>
    </xf>
    <xf numFmtId="0" fontId="0" fillId="8" borderId="1" xfId="0" applyFill="1" applyBorder="1" applyAlignment="1" applyProtection="1">
      <alignment horizontal="center" vertical="center"/>
      <protection hidden="1"/>
    </xf>
    <xf numFmtId="0" fontId="102" fillId="26" borderId="0" xfId="0" applyFont="1" applyFill="1" applyAlignment="1">
      <alignment vertical="center"/>
    </xf>
    <xf numFmtId="0" fontId="0" fillId="26" borderId="0" xfId="0" applyFill="1" applyAlignment="1">
      <alignment wrapText="1"/>
    </xf>
    <xf numFmtId="14" fontId="5" fillId="8" borderId="1" xfId="0" applyNumberFormat="1" applyFont="1" applyFill="1" applyBorder="1" applyAlignment="1" applyProtection="1">
      <alignment horizontal="center" vertical="center"/>
      <protection hidden="1"/>
    </xf>
    <xf numFmtId="0" fontId="0" fillId="8" borderId="1" xfId="0" applyFill="1" applyBorder="1" applyAlignment="1" applyProtection="1">
      <alignment wrapText="1"/>
      <protection hidden="1"/>
    </xf>
    <xf numFmtId="14" fontId="23" fillId="8" borderId="1" xfId="0" applyNumberFormat="1" applyFont="1" applyFill="1" applyBorder="1" applyAlignment="1" applyProtection="1">
      <alignment horizontal="center" vertical="center"/>
      <protection hidden="1"/>
    </xf>
    <xf numFmtId="14" fontId="6" fillId="8" borderId="1" xfId="0" applyNumberFormat="1" applyFont="1" applyFill="1" applyBorder="1" applyAlignment="1" applyProtection="1">
      <alignment horizontal="center" vertical="center"/>
      <protection hidden="1"/>
    </xf>
    <xf numFmtId="0" fontId="0" fillId="8" borderId="26" xfId="0" applyFill="1" applyBorder="1" applyAlignment="1" applyProtection="1">
      <alignment wrapText="1"/>
      <protection hidden="1"/>
    </xf>
    <xf numFmtId="0" fontId="23" fillId="8" borderId="79" xfId="0" applyFont="1" applyFill="1" applyBorder="1" applyAlignment="1" applyProtection="1">
      <alignment horizontal="right" vertical="center"/>
      <protection hidden="1"/>
    </xf>
    <xf numFmtId="0" fontId="23" fillId="8" borderId="79" xfId="0" applyFont="1" applyFill="1" applyBorder="1" applyAlignment="1" applyProtection="1">
      <alignment horizontal="center" vertical="center"/>
      <protection hidden="1"/>
    </xf>
    <xf numFmtId="176" fontId="23" fillId="8" borderId="80" xfId="0" applyNumberFormat="1" applyFont="1" applyFill="1" applyBorder="1" applyAlignment="1" applyProtection="1">
      <alignment horizontal="center" vertical="center"/>
      <protection hidden="1"/>
    </xf>
    <xf numFmtId="8" fontId="0" fillId="14" borderId="1" xfId="0" applyNumberFormat="1" applyFill="1" applyBorder="1" applyAlignment="1">
      <alignment vertical="center"/>
    </xf>
    <xf numFmtId="2" fontId="0" fillId="14" borderId="1" xfId="0" applyNumberFormat="1" applyFill="1" applyBorder="1" applyAlignment="1">
      <alignment vertical="center"/>
    </xf>
    <xf numFmtId="8" fontId="0" fillId="0" borderId="1" xfId="0" applyNumberFormat="1" applyBorder="1"/>
    <xf numFmtId="0" fontId="55" fillId="0" borderId="1" xfId="0" applyFont="1" applyBorder="1" applyAlignment="1">
      <alignment horizontal="center" vertical="center"/>
    </xf>
    <xf numFmtId="0" fontId="101" fillId="0" borderId="1" xfId="0" applyFont="1" applyBorder="1" applyAlignment="1">
      <alignment horizontal="center" vertical="center"/>
    </xf>
    <xf numFmtId="0" fontId="84" fillId="0" borderId="1" xfId="0" applyFont="1" applyBorder="1"/>
    <xf numFmtId="169" fontId="0" fillId="0" borderId="1" xfId="2" applyNumberFormat="1" applyFont="1" applyBorder="1" applyAlignment="1">
      <alignment horizontal="center"/>
    </xf>
    <xf numFmtId="175" fontId="0" fillId="0" borderId="0" xfId="0" applyNumberFormat="1" applyAlignment="1">
      <alignment vertical="center"/>
    </xf>
    <xf numFmtId="14" fontId="6" fillId="0" borderId="1" xfId="0" applyNumberFormat="1" applyFont="1" applyBorder="1" applyAlignment="1">
      <alignment horizontal="center"/>
    </xf>
    <xf numFmtId="10" fontId="6" fillId="0" borderId="1" xfId="2" applyNumberFormat="1" applyFont="1" applyBorder="1" applyAlignment="1">
      <alignment horizontal="center" vertical="center"/>
    </xf>
    <xf numFmtId="8" fontId="0" fillId="0" borderId="1" xfId="0" applyNumberFormat="1" applyBorder="1" applyAlignment="1">
      <alignment horizontal="center"/>
    </xf>
    <xf numFmtId="180" fontId="0" fillId="0" borderId="1" xfId="0" applyNumberFormat="1" applyBorder="1"/>
    <xf numFmtId="2" fontId="0" fillId="0" borderId="1" xfId="0" applyNumberFormat="1" applyBorder="1"/>
    <xf numFmtId="14" fontId="15" fillId="21" borderId="0" xfId="0" applyNumberFormat="1" applyFont="1" applyFill="1" applyAlignment="1" applyProtection="1">
      <alignment horizontal="center" vertical="center"/>
      <protection hidden="1"/>
    </xf>
    <xf numFmtId="0" fontId="0" fillId="21" borderId="0" xfId="0" applyFill="1" applyAlignment="1">
      <alignment wrapText="1"/>
    </xf>
    <xf numFmtId="9" fontId="22" fillId="14" borderId="2" xfId="2" applyFont="1" applyFill="1" applyBorder="1" applyAlignment="1" applyProtection="1">
      <alignment horizontal="center" vertical="center"/>
      <protection hidden="1"/>
    </xf>
    <xf numFmtId="10" fontId="0" fillId="14" borderId="2" xfId="2" applyNumberFormat="1" applyFont="1" applyFill="1" applyBorder="1" applyAlignment="1" applyProtection="1">
      <alignment horizontal="center" vertical="center"/>
      <protection hidden="1"/>
    </xf>
    <xf numFmtId="0" fontId="104" fillId="21" borderId="1" xfId="0" applyFont="1" applyFill="1" applyBorder="1" applyAlignment="1">
      <alignment horizontal="center" vertical="center"/>
    </xf>
    <xf numFmtId="0" fontId="0" fillId="0" borderId="1" xfId="0" applyBorder="1" applyProtection="1">
      <protection hidden="1"/>
    </xf>
    <xf numFmtId="6" fontId="0" fillId="21" borderId="1" xfId="0" applyNumberFormat="1" applyFill="1" applyBorder="1" applyAlignment="1" applyProtection="1">
      <alignment horizontal="center" vertical="center"/>
      <protection hidden="1"/>
    </xf>
    <xf numFmtId="6" fontId="0" fillId="26" borderId="1" xfId="0" applyNumberFormat="1" applyFill="1" applyBorder="1" applyAlignment="1" applyProtection="1">
      <alignment horizontal="center" vertical="center"/>
      <protection hidden="1"/>
    </xf>
    <xf numFmtId="2" fontId="0" fillId="14" borderId="1" xfId="0" applyNumberFormat="1" applyFill="1" applyBorder="1" applyAlignment="1">
      <alignment horizontal="left" vertical="center"/>
    </xf>
    <xf numFmtId="8" fontId="99" fillId="8" borderId="1" xfId="0" applyNumberFormat="1" applyFont="1" applyFill="1" applyBorder="1" applyAlignment="1" applyProtection="1">
      <alignment horizontal="center"/>
      <protection hidden="1"/>
    </xf>
    <xf numFmtId="8" fontId="7" fillId="26" borderId="1" xfId="0" applyNumberFormat="1" applyFont="1" applyFill="1" applyBorder="1" applyAlignment="1" applyProtection="1">
      <alignment horizontal="center" vertical="center"/>
      <protection hidden="1"/>
    </xf>
    <xf numFmtId="0" fontId="73" fillId="5" borderId="0" xfId="0" applyFont="1" applyFill="1" applyProtection="1">
      <protection hidden="1"/>
    </xf>
    <xf numFmtId="0" fontId="73" fillId="5" borderId="0" xfId="0" applyFont="1" applyFill="1" applyAlignment="1" applyProtection="1">
      <alignment horizontal="left"/>
      <protection hidden="1"/>
    </xf>
    <xf numFmtId="0" fontId="56" fillId="5" borderId="0" xfId="0" applyFont="1" applyFill="1" applyAlignment="1" applyProtection="1">
      <alignment vertical="center" wrapText="1"/>
      <protection hidden="1"/>
    </xf>
    <xf numFmtId="0" fontId="141" fillId="8" borderId="1" xfId="1" applyFont="1" applyFill="1" applyBorder="1" applyAlignment="1" applyProtection="1">
      <alignment horizontal="center" vertical="center"/>
      <protection hidden="1"/>
    </xf>
    <xf numFmtId="8" fontId="141" fillId="8" borderId="26" xfId="1" applyNumberFormat="1" applyFont="1" applyFill="1" applyBorder="1" applyAlignment="1" applyProtection="1">
      <alignment horizontal="center" vertical="center"/>
      <protection hidden="1"/>
    </xf>
    <xf numFmtId="8" fontId="141" fillId="14" borderId="1" xfId="1" applyNumberFormat="1" applyFont="1" applyFill="1" applyBorder="1" applyAlignment="1" applyProtection="1">
      <alignment horizontal="center" vertical="center"/>
      <protection hidden="1"/>
    </xf>
    <xf numFmtId="0" fontId="141" fillId="8" borderId="26" xfId="1" applyFont="1" applyFill="1" applyBorder="1" applyAlignment="1" applyProtection="1">
      <alignment horizontal="center" vertical="center"/>
      <protection hidden="1"/>
    </xf>
    <xf numFmtId="8" fontId="141" fillId="8" borderId="79" xfId="1" applyNumberFormat="1" applyFont="1" applyFill="1" applyBorder="1" applyAlignment="1" applyProtection="1">
      <alignment horizontal="center" vertical="center"/>
      <protection hidden="1"/>
    </xf>
    <xf numFmtId="8" fontId="0" fillId="14" borderId="1" xfId="0" applyNumberFormat="1" applyFill="1" applyBorder="1"/>
    <xf numFmtId="176" fontId="141" fillId="8" borderId="1" xfId="1" applyNumberFormat="1" applyFont="1" applyFill="1" applyBorder="1" applyAlignment="1" applyProtection="1">
      <alignment horizontal="center" vertical="center"/>
      <protection hidden="1"/>
    </xf>
    <xf numFmtId="10" fontId="141" fillId="14" borderId="2" xfId="1" applyNumberFormat="1" applyFont="1" applyFill="1" applyBorder="1" applyAlignment="1" applyProtection="1">
      <alignment horizontal="center" vertical="center"/>
      <protection hidden="1"/>
    </xf>
    <xf numFmtId="10" fontId="141" fillId="14" borderId="1" xfId="1" applyNumberFormat="1" applyFont="1" applyFill="1" applyBorder="1" applyAlignment="1" applyProtection="1">
      <alignment horizontal="center" vertical="center"/>
      <protection hidden="1"/>
    </xf>
    <xf numFmtId="169" fontId="141" fillId="14" borderId="1" xfId="1" applyNumberFormat="1" applyFont="1" applyFill="1" applyBorder="1" applyAlignment="1" applyProtection="1">
      <alignment horizontal="center" vertical="center"/>
      <protection hidden="1"/>
    </xf>
    <xf numFmtId="0" fontId="104" fillId="29" borderId="0" xfId="0" applyFont="1" applyFill="1" applyAlignment="1">
      <alignment horizontal="center" vertical="center"/>
    </xf>
    <xf numFmtId="0" fontId="0" fillId="26" borderId="1" xfId="0" applyFill="1" applyBorder="1"/>
    <xf numFmtId="0" fontId="0" fillId="8" borderId="1" xfId="0" applyFill="1" applyBorder="1"/>
    <xf numFmtId="0" fontId="143" fillId="21" borderId="0" xfId="0" applyFont="1" applyFill="1" applyAlignment="1">
      <alignment horizontal="center" vertical="center"/>
    </xf>
    <xf numFmtId="0" fontId="104" fillId="21" borderId="25" xfId="0" applyFont="1" applyFill="1" applyBorder="1" applyAlignment="1">
      <alignment vertical="center"/>
    </xf>
    <xf numFmtId="0" fontId="142" fillId="5" borderId="0" xfId="0" applyFont="1" applyFill="1" applyAlignment="1">
      <alignment horizontal="center" vertical="center"/>
    </xf>
    <xf numFmtId="0" fontId="144" fillId="26" borderId="0" xfId="0" applyFont="1" applyFill="1" applyAlignment="1">
      <alignment vertical="top" wrapText="1"/>
    </xf>
    <xf numFmtId="0" fontId="55" fillId="27" borderId="0" xfId="0" applyFont="1" applyFill="1" applyAlignment="1" applyProtection="1">
      <alignment horizontal="left" vertical="top" wrapText="1"/>
      <protection hidden="1"/>
    </xf>
    <xf numFmtId="0" fontId="55" fillId="26" borderId="0" xfId="0" applyFont="1" applyFill="1" applyAlignment="1">
      <alignment horizontal="center" vertical="center"/>
    </xf>
    <xf numFmtId="0" fontId="13" fillId="27" borderId="51" xfId="1" applyFill="1" applyBorder="1" applyAlignment="1" applyProtection="1">
      <alignment horizontal="center" vertical="top" wrapText="1"/>
      <protection hidden="1"/>
    </xf>
    <xf numFmtId="0" fontId="13" fillId="27" borderId="52" xfId="1" applyFill="1" applyBorder="1" applyAlignment="1" applyProtection="1">
      <alignment horizontal="center" vertical="top" wrapText="1"/>
      <protection hidden="1"/>
    </xf>
    <xf numFmtId="0" fontId="13" fillId="27" borderId="53" xfId="1" applyFill="1" applyBorder="1" applyAlignment="1" applyProtection="1">
      <alignment horizontal="center" vertical="top" wrapText="1"/>
      <protection hidden="1"/>
    </xf>
    <xf numFmtId="0" fontId="138" fillId="26" borderId="0" xfId="0" applyFont="1" applyFill="1" applyAlignment="1">
      <alignment horizontal="center" vertical="center" wrapText="1"/>
    </xf>
    <xf numFmtId="0" fontId="138" fillId="26" borderId="0" xfId="0" applyFont="1" applyFill="1" applyAlignment="1">
      <alignment horizontal="center" vertical="center"/>
    </xf>
    <xf numFmtId="0" fontId="13" fillId="27" borderId="1" xfId="1" applyFill="1" applyBorder="1" applyAlignment="1">
      <alignment horizontal="center" wrapText="1"/>
    </xf>
    <xf numFmtId="0" fontId="121" fillId="26" borderId="0" xfId="0" applyFont="1" applyFill="1" applyAlignment="1" applyProtection="1">
      <alignment horizontal="center" vertical="center" wrapText="1"/>
      <protection hidden="1"/>
    </xf>
    <xf numFmtId="0" fontId="55" fillId="27" borderId="27" xfId="0" applyFont="1" applyFill="1" applyBorder="1" applyAlignment="1" applyProtection="1">
      <alignment horizontal="left" vertical="top" wrapText="1"/>
      <protection hidden="1"/>
    </xf>
    <xf numFmtId="0" fontId="13" fillId="27" borderId="21" xfId="1" applyFill="1" applyBorder="1" applyAlignment="1">
      <alignment horizontal="center" vertical="center" wrapText="1"/>
    </xf>
    <xf numFmtId="0" fontId="13" fillId="27" borderId="22" xfId="1" applyFill="1" applyBorder="1" applyAlignment="1">
      <alignment horizontal="center" vertical="center"/>
    </xf>
    <xf numFmtId="0" fontId="55" fillId="26" borderId="0" xfId="0" applyFont="1" applyFill="1" applyAlignment="1">
      <alignment horizontal="center"/>
    </xf>
    <xf numFmtId="0" fontId="6" fillId="14" borderId="47" xfId="0" applyFont="1" applyFill="1" applyBorder="1" applyAlignment="1" applyProtection="1">
      <alignment horizontal="left" vertical="center"/>
      <protection hidden="1"/>
    </xf>
    <xf numFmtId="0" fontId="6" fillId="14" borderId="4" xfId="0" applyFont="1" applyFill="1" applyBorder="1" applyAlignment="1" applyProtection="1">
      <alignment horizontal="left" vertical="center"/>
      <protection hidden="1"/>
    </xf>
    <xf numFmtId="0" fontId="6" fillId="14" borderId="17" xfId="0" applyFont="1" applyFill="1" applyBorder="1" applyAlignment="1" applyProtection="1">
      <alignment horizontal="left" vertical="center"/>
      <protection hidden="1"/>
    </xf>
    <xf numFmtId="0" fontId="73" fillId="5" borderId="13" xfId="0" applyFont="1" applyFill="1" applyBorder="1" applyAlignment="1" applyProtection="1">
      <alignment horizontal="center" vertical="center"/>
      <protection hidden="1"/>
    </xf>
    <xf numFmtId="0" fontId="73" fillId="5" borderId="54" xfId="0" applyFont="1" applyFill="1" applyBorder="1" applyAlignment="1" applyProtection="1">
      <alignment horizontal="center" vertical="center"/>
      <protection hidden="1"/>
    </xf>
    <xf numFmtId="0" fontId="6" fillId="14" borderId="48" xfId="0" applyFont="1" applyFill="1" applyBorder="1" applyAlignment="1" applyProtection="1">
      <alignment horizontal="left" vertical="center" wrapText="1"/>
      <protection hidden="1"/>
    </xf>
    <xf numFmtId="0" fontId="6" fillId="14" borderId="50" xfId="0" applyFont="1" applyFill="1" applyBorder="1" applyAlignment="1" applyProtection="1">
      <alignment horizontal="left" vertical="center" wrapText="1"/>
      <protection hidden="1"/>
    </xf>
    <xf numFmtId="0" fontId="6" fillId="14" borderId="49" xfId="0" applyFont="1" applyFill="1" applyBorder="1" applyAlignment="1" applyProtection="1">
      <alignment horizontal="left" vertical="center" wrapText="1"/>
      <protection hidden="1"/>
    </xf>
    <xf numFmtId="0" fontId="23" fillId="14" borderId="26" xfId="0" applyFont="1" applyFill="1" applyBorder="1" applyAlignment="1" applyProtection="1">
      <alignment horizontal="left" vertical="center" wrapText="1"/>
      <protection hidden="1"/>
    </xf>
    <xf numFmtId="0" fontId="6" fillId="14" borderId="1" xfId="0" applyFont="1" applyFill="1" applyBorder="1" applyAlignment="1" applyProtection="1">
      <alignment horizontal="left" vertical="center"/>
      <protection hidden="1"/>
    </xf>
    <xf numFmtId="0" fontId="100" fillId="14" borderId="3" xfId="0" applyFont="1" applyFill="1" applyBorder="1" applyAlignment="1" applyProtection="1">
      <alignment horizontal="center" vertical="center" wrapText="1"/>
      <protection hidden="1"/>
    </xf>
    <xf numFmtId="0" fontId="100" fillId="14" borderId="4" xfId="0" applyFont="1" applyFill="1" applyBorder="1" applyAlignment="1" applyProtection="1">
      <alignment horizontal="center" vertical="center" wrapText="1"/>
      <protection hidden="1"/>
    </xf>
    <xf numFmtId="0" fontId="100" fillId="14" borderId="39" xfId="0" applyFont="1" applyFill="1" applyBorder="1" applyAlignment="1" applyProtection="1">
      <alignment horizontal="center" vertical="center" wrapText="1"/>
      <protection hidden="1"/>
    </xf>
    <xf numFmtId="0" fontId="71" fillId="14" borderId="40" xfId="1" applyFont="1" applyFill="1" applyBorder="1" applyAlignment="1" applyProtection="1">
      <alignment horizontal="center" vertical="center" wrapText="1"/>
      <protection hidden="1"/>
    </xf>
    <xf numFmtId="0" fontId="71" fillId="14" borderId="50" xfId="1" applyFont="1" applyFill="1" applyBorder="1" applyAlignment="1" applyProtection="1">
      <alignment horizontal="center" vertical="center" wrapText="1"/>
      <protection hidden="1"/>
    </xf>
    <xf numFmtId="0" fontId="71" fillId="14" borderId="41" xfId="1" applyFont="1" applyFill="1" applyBorder="1" applyAlignment="1" applyProtection="1">
      <alignment horizontal="center" vertical="center" wrapText="1"/>
      <protection hidden="1"/>
    </xf>
    <xf numFmtId="0" fontId="23" fillId="14" borderId="3" xfId="0" applyFont="1" applyFill="1" applyBorder="1" applyAlignment="1" applyProtection="1">
      <alignment horizontal="left" vertical="center" wrapText="1"/>
      <protection hidden="1"/>
    </xf>
    <xf numFmtId="0" fontId="23" fillId="14" borderId="4" xfId="0" applyFont="1" applyFill="1" applyBorder="1" applyAlignment="1" applyProtection="1">
      <alignment horizontal="left" vertical="center" wrapText="1"/>
      <protection hidden="1"/>
    </xf>
    <xf numFmtId="0" fontId="6" fillId="14" borderId="3" xfId="0" applyFont="1" applyFill="1" applyBorder="1" applyAlignment="1" applyProtection="1">
      <alignment horizontal="left" vertical="center"/>
      <protection hidden="1"/>
    </xf>
    <xf numFmtId="0" fontId="19" fillId="5" borderId="3" xfId="0" applyFont="1" applyFill="1" applyBorder="1" applyAlignment="1" applyProtection="1">
      <alignment horizontal="center" vertical="center"/>
      <protection hidden="1"/>
    </xf>
    <xf numFmtId="0" fontId="19" fillId="5" borderId="4" xfId="0" applyFont="1" applyFill="1" applyBorder="1" applyAlignment="1" applyProtection="1">
      <alignment horizontal="center" vertical="center"/>
      <protection hidden="1"/>
    </xf>
    <xf numFmtId="0" fontId="19" fillId="5" borderId="17" xfId="0" applyFont="1" applyFill="1" applyBorder="1" applyAlignment="1" applyProtection="1">
      <alignment horizontal="center" vertical="center"/>
      <protection hidden="1"/>
    </xf>
    <xf numFmtId="0" fontId="6" fillId="0" borderId="1" xfId="0" applyFont="1" applyBorder="1" applyAlignment="1">
      <alignment horizontal="center" vertical="center" wrapText="1"/>
    </xf>
    <xf numFmtId="0" fontId="60" fillId="5" borderId="0" xfId="0" applyFont="1" applyFill="1" applyAlignment="1" applyProtection="1">
      <alignment horizontal="center" wrapText="1"/>
      <protection hidden="1"/>
    </xf>
    <xf numFmtId="0" fontId="19" fillId="5" borderId="0" xfId="0" applyFont="1" applyFill="1" applyAlignment="1" applyProtection="1">
      <alignment horizontal="center" vertical="center"/>
      <protection hidden="1"/>
    </xf>
    <xf numFmtId="0" fontId="19" fillId="5" borderId="0" xfId="0" applyFont="1" applyFill="1" applyAlignment="1" applyProtection="1">
      <alignment horizontal="right" vertical="center"/>
      <protection hidden="1"/>
    </xf>
    <xf numFmtId="8" fontId="0" fillId="31" borderId="1" xfId="0" applyNumberFormat="1" applyFill="1" applyBorder="1" applyAlignment="1">
      <alignment horizontal="center" vertical="center"/>
    </xf>
    <xf numFmtId="0" fontId="0" fillId="31" borderId="1" xfId="0" applyFill="1" applyBorder="1" applyAlignment="1">
      <alignment horizontal="center" vertical="center"/>
    </xf>
    <xf numFmtId="0" fontId="0" fillId="0" borderId="1" xfId="0" applyBorder="1" applyAlignment="1">
      <alignment horizontal="center" wrapText="1"/>
    </xf>
    <xf numFmtId="0" fontId="52" fillId="5" borderId="0" xfId="0" applyFont="1" applyFill="1" applyAlignment="1" applyProtection="1">
      <alignment horizontal="center" wrapText="1"/>
      <protection hidden="1"/>
    </xf>
    <xf numFmtId="0" fontId="107" fillId="5" borderId="0" xfId="0" applyFont="1" applyFill="1" applyAlignment="1" applyProtection="1">
      <alignment horizontal="right" vertical="center"/>
      <protection hidden="1"/>
    </xf>
    <xf numFmtId="0" fontId="116" fillId="0" borderId="0" xfId="0" applyFont="1" applyAlignment="1">
      <alignment horizontal="left" vertical="center" wrapText="1"/>
    </xf>
    <xf numFmtId="0" fontId="107" fillId="5" borderId="0" xfId="0" applyFont="1" applyFill="1" applyAlignment="1" applyProtection="1">
      <alignment horizontal="center" vertical="center"/>
      <protection hidden="1"/>
    </xf>
    <xf numFmtId="0" fontId="6" fillId="14" borderId="1" xfId="0" applyFont="1" applyFill="1" applyBorder="1" applyAlignment="1" applyProtection="1">
      <alignment horizontal="center" vertical="center"/>
      <protection hidden="1"/>
    </xf>
    <xf numFmtId="0" fontId="68" fillId="5" borderId="0" xfId="1" applyFont="1" applyFill="1" applyAlignment="1" applyProtection="1">
      <alignment horizontal="right" vertical="center"/>
      <protection hidden="1"/>
    </xf>
    <xf numFmtId="0" fontId="68" fillId="5" borderId="0" xfId="1" applyFont="1" applyFill="1" applyAlignment="1" applyProtection="1">
      <alignment horizontal="left" vertical="center"/>
      <protection hidden="1"/>
    </xf>
    <xf numFmtId="0" fontId="19" fillId="5" borderId="1" xfId="0" applyFont="1" applyFill="1" applyBorder="1" applyAlignment="1">
      <alignment horizontal="center" vertical="center"/>
    </xf>
    <xf numFmtId="0" fontId="6" fillId="14" borderId="26" xfId="0" applyFont="1" applyFill="1" applyBorder="1" applyAlignment="1" applyProtection="1">
      <alignment horizontal="left" vertical="top" wrapText="1"/>
      <protection hidden="1"/>
    </xf>
    <xf numFmtId="0" fontId="6" fillId="14" borderId="2" xfId="0" applyFont="1" applyFill="1" applyBorder="1" applyAlignment="1" applyProtection="1">
      <alignment horizontal="left" vertical="top" wrapText="1"/>
      <protection hidden="1"/>
    </xf>
    <xf numFmtId="0" fontId="23" fillId="14" borderId="4" xfId="0" applyFont="1" applyFill="1" applyBorder="1" applyAlignment="1" applyProtection="1">
      <alignment horizontal="right" vertical="center" wrapText="1"/>
      <protection hidden="1"/>
    </xf>
    <xf numFmtId="0" fontId="23" fillId="14" borderId="17" xfId="0" applyFont="1" applyFill="1" applyBorder="1" applyAlignment="1" applyProtection="1">
      <alignment horizontal="right" vertical="center" wrapText="1"/>
      <protection hidden="1"/>
    </xf>
    <xf numFmtId="0" fontId="6" fillId="5" borderId="0" xfId="0" applyFont="1" applyFill="1" applyAlignment="1">
      <alignment horizontal="center"/>
    </xf>
    <xf numFmtId="0" fontId="0" fillId="5" borderId="0" xfId="0" applyFill="1" applyAlignment="1">
      <alignment horizontal="center"/>
    </xf>
    <xf numFmtId="0" fontId="70" fillId="14" borderId="22" xfId="0" applyFont="1" applyFill="1" applyBorder="1" applyAlignment="1" applyProtection="1">
      <alignment horizontal="right" vertical="center"/>
      <protection hidden="1"/>
    </xf>
    <xf numFmtId="0" fontId="70" fillId="14" borderId="16" xfId="0" applyFont="1" applyFill="1" applyBorder="1" applyAlignment="1" applyProtection="1">
      <alignment horizontal="right" vertical="center"/>
      <protection hidden="1"/>
    </xf>
    <xf numFmtId="0" fontId="70" fillId="14" borderId="24" xfId="0" applyFont="1" applyFill="1" applyBorder="1" applyAlignment="1" applyProtection="1">
      <alignment horizontal="right" vertical="center"/>
      <protection hidden="1"/>
    </xf>
    <xf numFmtId="0" fontId="0" fillId="14" borderId="60" xfId="0" applyFill="1" applyBorder="1" applyAlignment="1">
      <alignment horizontal="left" vertical="top" wrapText="1"/>
    </xf>
    <xf numFmtId="0" fontId="0" fillId="14" borderId="61" xfId="0" applyFill="1" applyBorder="1" applyAlignment="1">
      <alignment horizontal="left" vertical="top" wrapText="1"/>
    </xf>
    <xf numFmtId="0" fontId="0" fillId="14" borderId="62" xfId="0" applyFill="1" applyBorder="1" applyAlignment="1">
      <alignment horizontal="left" vertical="top" wrapText="1"/>
    </xf>
    <xf numFmtId="0" fontId="0" fillId="14" borderId="63" xfId="0" applyFill="1" applyBorder="1" applyAlignment="1">
      <alignment horizontal="left" vertical="top" wrapText="1"/>
    </xf>
    <xf numFmtId="0" fontId="0" fillId="14" borderId="0" xfId="0" applyFill="1" applyAlignment="1">
      <alignment horizontal="left" vertical="top" wrapText="1"/>
    </xf>
    <xf numFmtId="0" fontId="0" fillId="14" borderId="64" xfId="0" applyFill="1" applyBorder="1" applyAlignment="1">
      <alignment horizontal="left" vertical="top" wrapText="1"/>
    </xf>
    <xf numFmtId="0" fontId="0" fillId="14" borderId="65" xfId="0" applyFill="1" applyBorder="1" applyAlignment="1">
      <alignment horizontal="left" vertical="top" wrapText="1"/>
    </xf>
    <xf numFmtId="0" fontId="0" fillId="14" borderId="66" xfId="0" applyFill="1" applyBorder="1" applyAlignment="1">
      <alignment horizontal="left" vertical="top" wrapText="1"/>
    </xf>
    <xf numFmtId="0" fontId="0" fillId="14" borderId="67" xfId="0" applyFill="1" applyBorder="1" applyAlignment="1">
      <alignment horizontal="left" vertical="top" wrapText="1"/>
    </xf>
    <xf numFmtId="14" fontId="73" fillId="5" borderId="0" xfId="0" applyNumberFormat="1" applyFont="1" applyFill="1" applyAlignment="1" applyProtection="1">
      <alignment horizontal="left" vertical="center"/>
      <protection hidden="1"/>
    </xf>
    <xf numFmtId="0" fontId="73" fillId="5" borderId="0" xfId="0" applyFont="1" applyFill="1" applyAlignment="1">
      <alignment horizontal="left" vertical="center" wrapText="1"/>
    </xf>
    <xf numFmtId="0" fontId="58" fillId="5" borderId="0" xfId="0" applyFont="1" applyFill="1" applyAlignment="1" applyProtection="1">
      <alignment horizontal="center" vertical="center" wrapText="1"/>
      <protection hidden="1"/>
    </xf>
    <xf numFmtId="0" fontId="19" fillId="5" borderId="0" xfId="0" applyFont="1" applyFill="1" applyAlignment="1">
      <alignment horizontal="center" vertical="center"/>
    </xf>
    <xf numFmtId="0" fontId="6" fillId="14" borderId="68" xfId="0" applyFont="1" applyFill="1" applyBorder="1" applyAlignment="1">
      <alignment horizontal="left" vertical="top" wrapText="1"/>
    </xf>
    <xf numFmtId="0" fontId="6" fillId="14" borderId="76" xfId="0" applyFont="1" applyFill="1" applyBorder="1" applyAlignment="1">
      <alignment horizontal="left" vertical="top" wrapText="1"/>
    </xf>
    <xf numFmtId="0" fontId="6" fillId="14" borderId="69" xfId="0" applyFont="1" applyFill="1" applyBorder="1" applyAlignment="1">
      <alignment horizontal="left" vertical="top" wrapText="1"/>
    </xf>
    <xf numFmtId="0" fontId="0" fillId="14" borderId="69" xfId="0" applyFill="1" applyBorder="1" applyAlignment="1">
      <alignment horizontal="left" vertical="top" wrapText="1"/>
    </xf>
    <xf numFmtId="0" fontId="0" fillId="14" borderId="70" xfId="0" applyFill="1" applyBorder="1" applyAlignment="1">
      <alignment horizontal="left" vertical="top" wrapText="1"/>
    </xf>
    <xf numFmtId="0" fontId="0" fillId="14" borderId="71" xfId="0" applyFill="1" applyBorder="1" applyAlignment="1">
      <alignment horizontal="left" vertical="top" wrapText="1"/>
    </xf>
    <xf numFmtId="0" fontId="0" fillId="14" borderId="17" xfId="0" applyFill="1" applyBorder="1" applyAlignment="1">
      <alignment horizontal="left" vertical="top" wrapText="1"/>
    </xf>
    <xf numFmtId="0" fontId="0" fillId="14" borderId="1" xfId="0" applyFill="1" applyBorder="1" applyAlignment="1">
      <alignment horizontal="left" vertical="top" wrapText="1"/>
    </xf>
    <xf numFmtId="0" fontId="0" fillId="14" borderId="72" xfId="0" applyFill="1" applyBorder="1" applyAlignment="1">
      <alignment horizontal="left" vertical="top" wrapText="1"/>
    </xf>
    <xf numFmtId="0" fontId="0" fillId="14" borderId="73" xfId="0" applyFill="1" applyBorder="1" applyAlignment="1">
      <alignment horizontal="left" vertical="top" wrapText="1"/>
    </xf>
    <xf numFmtId="0" fontId="0" fillId="14" borderId="77" xfId="0" applyFill="1" applyBorder="1" applyAlignment="1">
      <alignment horizontal="left" vertical="top" wrapText="1"/>
    </xf>
    <xf numFmtId="0" fontId="0" fillId="14" borderId="74" xfId="0" applyFill="1" applyBorder="1" applyAlignment="1">
      <alignment horizontal="left" vertical="top" wrapText="1"/>
    </xf>
    <xf numFmtId="0" fontId="0" fillId="14" borderId="75" xfId="0" applyFill="1" applyBorder="1" applyAlignment="1">
      <alignment horizontal="left" vertical="top" wrapText="1"/>
    </xf>
    <xf numFmtId="0" fontId="0" fillId="0" borderId="1" xfId="0" applyBorder="1" applyAlignment="1">
      <alignment horizontal="center" vertical="center"/>
    </xf>
    <xf numFmtId="0" fontId="6" fillId="14" borderId="23" xfId="0" applyFont="1" applyFill="1" applyBorder="1" applyAlignment="1" applyProtection="1">
      <alignment horizontal="center" wrapText="1"/>
      <protection hidden="1"/>
    </xf>
    <xf numFmtId="0" fontId="6" fillId="14" borderId="2" xfId="0" applyFont="1" applyFill="1" applyBorder="1" applyAlignment="1" applyProtection="1">
      <alignment horizontal="center" wrapText="1"/>
      <protection hidden="1"/>
    </xf>
    <xf numFmtId="0" fontId="102" fillId="26" borderId="0" xfId="0" applyFont="1" applyFill="1" applyAlignment="1">
      <alignment horizontal="center" vertical="center"/>
    </xf>
    <xf numFmtId="0" fontId="102" fillId="26" borderId="16" xfId="0" applyFont="1" applyFill="1" applyBorder="1" applyAlignment="1">
      <alignment horizontal="center" vertical="center"/>
    </xf>
    <xf numFmtId="0" fontId="6" fillId="0" borderId="1" xfId="0" applyFont="1" applyBorder="1" applyAlignment="1">
      <alignment horizontal="center"/>
    </xf>
    <xf numFmtId="0" fontId="0" fillId="0" borderId="1" xfId="0" applyBorder="1" applyAlignment="1">
      <alignment horizontal="center"/>
    </xf>
    <xf numFmtId="0" fontId="102" fillId="26" borderId="51" xfId="0" applyFont="1" applyFill="1" applyBorder="1" applyAlignment="1" applyProtection="1">
      <alignment horizontal="center" vertical="center"/>
      <protection hidden="1"/>
    </xf>
    <xf numFmtId="0" fontId="102" fillId="26" borderId="52" xfId="0" applyFont="1" applyFill="1" applyBorder="1" applyAlignment="1" applyProtection="1">
      <alignment horizontal="center" vertical="center"/>
      <protection hidden="1"/>
    </xf>
    <xf numFmtId="0" fontId="102" fillId="26" borderId="53" xfId="0" applyFont="1" applyFill="1" applyBorder="1" applyAlignment="1" applyProtection="1">
      <alignment horizontal="center" vertical="center"/>
      <protection hidden="1"/>
    </xf>
    <xf numFmtId="0" fontId="6" fillId="8" borderId="26" xfId="0" applyFont="1" applyFill="1" applyBorder="1" applyAlignment="1" applyProtection="1">
      <alignment horizontal="center" wrapText="1"/>
      <protection hidden="1"/>
    </xf>
    <xf numFmtId="0" fontId="6" fillId="8" borderId="2" xfId="0" applyFont="1" applyFill="1" applyBorder="1" applyAlignment="1" applyProtection="1">
      <alignment horizontal="center" wrapText="1"/>
      <protection hidden="1"/>
    </xf>
    <xf numFmtId="0" fontId="23" fillId="8" borderId="78" xfId="0" applyFont="1" applyFill="1" applyBorder="1" applyAlignment="1" applyProtection="1">
      <alignment horizontal="right" vertical="center"/>
      <protection hidden="1"/>
    </xf>
    <xf numFmtId="0" fontId="23" fillId="8" borderId="79" xfId="0" applyFont="1" applyFill="1" applyBorder="1" applyAlignment="1" applyProtection="1">
      <alignment horizontal="right" vertical="center"/>
      <protection hidden="1"/>
    </xf>
    <xf numFmtId="0" fontId="127" fillId="8" borderId="21" xfId="0" applyFont="1" applyFill="1" applyBorder="1" applyAlignment="1" applyProtection="1">
      <alignment horizontal="center" vertical="center" wrapText="1"/>
      <protection hidden="1"/>
    </xf>
    <xf numFmtId="0" fontId="127" fillId="8" borderId="20" xfId="0" applyFont="1" applyFill="1" applyBorder="1" applyAlignment="1" applyProtection="1">
      <alignment horizontal="center" vertical="center" wrapText="1"/>
      <protection hidden="1"/>
    </xf>
    <xf numFmtId="0" fontId="70" fillId="8" borderId="1" xfId="0" applyFont="1" applyFill="1" applyBorder="1" applyAlignment="1" applyProtection="1">
      <alignment horizontal="right" vertical="center"/>
      <protection hidden="1"/>
    </xf>
    <xf numFmtId="0" fontId="6" fillId="8" borderId="1" xfId="0" applyFont="1" applyFill="1" applyBorder="1" applyAlignment="1" applyProtection="1">
      <alignment horizontal="center" wrapText="1"/>
      <protection hidden="1"/>
    </xf>
    <xf numFmtId="0" fontId="6" fillId="8" borderId="26" xfId="0" applyFont="1" applyFill="1" applyBorder="1" applyAlignment="1" applyProtection="1">
      <alignment horizontal="left" vertical="center"/>
      <protection hidden="1"/>
    </xf>
    <xf numFmtId="0" fontId="6" fillId="8" borderId="26" xfId="0" applyFont="1" applyFill="1" applyBorder="1" applyAlignment="1" applyProtection="1">
      <alignment horizontal="center" vertical="center"/>
      <protection hidden="1"/>
    </xf>
    <xf numFmtId="14" fontId="0" fillId="0" borderId="3" xfId="0" applyNumberFormat="1" applyBorder="1" applyAlignment="1">
      <alignment horizontal="center"/>
    </xf>
    <xf numFmtId="14" fontId="0" fillId="0" borderId="17" xfId="0" applyNumberFormat="1" applyBorder="1" applyAlignment="1">
      <alignment horizontal="center"/>
    </xf>
    <xf numFmtId="0" fontId="6" fillId="27" borderId="0" xfId="0" applyFont="1" applyFill="1" applyAlignment="1">
      <alignment horizontal="left" vertical="top" wrapText="1"/>
    </xf>
    <xf numFmtId="0" fontId="105" fillId="26" borderId="59" xfId="0" applyFont="1" applyFill="1" applyBorder="1" applyAlignment="1" applyProtection="1">
      <alignment horizontal="right" vertical="center"/>
      <protection hidden="1"/>
    </xf>
    <xf numFmtId="0" fontId="82" fillId="21" borderId="59" xfId="0" applyFont="1" applyFill="1" applyBorder="1" applyAlignment="1" applyProtection="1">
      <alignment horizontal="right"/>
      <protection hidden="1"/>
    </xf>
    <xf numFmtId="0" fontId="81" fillId="11" borderId="2" xfId="0" applyFont="1" applyFill="1" applyBorder="1" applyAlignment="1" applyProtection="1">
      <alignment horizontal="right" vertical="center"/>
      <protection hidden="1"/>
    </xf>
    <xf numFmtId="0" fontId="102" fillId="27" borderId="0" xfId="0" applyFont="1" applyFill="1" applyAlignment="1">
      <alignment horizontal="left"/>
    </xf>
    <xf numFmtId="0" fontId="55" fillId="22" borderId="59" xfId="0" applyFont="1" applyFill="1" applyBorder="1" applyAlignment="1" applyProtection="1">
      <alignment horizontal="left"/>
      <protection hidden="1"/>
    </xf>
    <xf numFmtId="0" fontId="82" fillId="26" borderId="0" xfId="0" applyFont="1" applyFill="1" applyAlignment="1" applyProtection="1">
      <alignment horizontal="center" vertical="center"/>
      <protection hidden="1"/>
    </xf>
    <xf numFmtId="0" fontId="82" fillId="22" borderId="81" xfId="0" applyFont="1" applyFill="1" applyBorder="1" applyAlignment="1" applyProtection="1">
      <alignment horizontal="right" vertical="center"/>
      <protection hidden="1"/>
    </xf>
    <xf numFmtId="0" fontId="82" fillId="22" borderId="82" xfId="0" applyFont="1" applyFill="1" applyBorder="1" applyAlignment="1" applyProtection="1">
      <alignment horizontal="right" vertical="center"/>
      <protection hidden="1"/>
    </xf>
    <xf numFmtId="0" fontId="82" fillId="22" borderId="83" xfId="0" applyFont="1" applyFill="1" applyBorder="1" applyAlignment="1" applyProtection="1">
      <alignment horizontal="right" vertical="center"/>
      <protection hidden="1"/>
    </xf>
    <xf numFmtId="0" fontId="102" fillId="14" borderId="1" xfId="0" applyFont="1" applyFill="1" applyBorder="1" applyAlignment="1" applyProtection="1">
      <alignment horizontal="right" vertical="center"/>
      <protection hidden="1"/>
    </xf>
    <xf numFmtId="0" fontId="15" fillId="14" borderId="3" xfId="0" applyFont="1" applyFill="1" applyBorder="1" applyAlignment="1" applyProtection="1">
      <alignment horizontal="right" vertical="center"/>
      <protection hidden="1"/>
    </xf>
    <xf numFmtId="0" fontId="15" fillId="14" borderId="4" xfId="0" applyFont="1" applyFill="1" applyBorder="1" applyAlignment="1" applyProtection="1">
      <alignment horizontal="right" vertical="center"/>
      <protection hidden="1"/>
    </xf>
    <xf numFmtId="0" fontId="15" fillId="14" borderId="17" xfId="0" applyFont="1" applyFill="1" applyBorder="1" applyAlignment="1" applyProtection="1">
      <alignment horizontal="right" vertical="center"/>
      <protection hidden="1"/>
    </xf>
    <xf numFmtId="0" fontId="6" fillId="14" borderId="3" xfId="0" applyFont="1" applyFill="1" applyBorder="1" applyAlignment="1" applyProtection="1">
      <alignment horizontal="right" vertical="center"/>
      <protection hidden="1"/>
    </xf>
    <xf numFmtId="0" fontId="6" fillId="14" borderId="4" xfId="0" applyFont="1" applyFill="1" applyBorder="1" applyAlignment="1" applyProtection="1">
      <alignment horizontal="right" vertical="center"/>
      <protection hidden="1"/>
    </xf>
    <xf numFmtId="0" fontId="6" fillId="14" borderId="17" xfId="0" applyFont="1" applyFill="1" applyBorder="1" applyAlignment="1" applyProtection="1">
      <alignment horizontal="right" vertical="center"/>
      <protection hidden="1"/>
    </xf>
    <xf numFmtId="0" fontId="6" fillId="14" borderId="1" xfId="0" applyFont="1" applyFill="1" applyBorder="1" applyAlignment="1" applyProtection="1">
      <alignment horizontal="right" vertical="center"/>
      <protection hidden="1"/>
    </xf>
    <xf numFmtId="9" fontId="141" fillId="14" borderId="1" xfId="1" applyNumberFormat="1" applyFont="1" applyFill="1" applyBorder="1" applyAlignment="1" applyProtection="1">
      <alignment horizontal="center" vertical="center"/>
      <protection hidden="1"/>
    </xf>
    <xf numFmtId="0" fontId="99" fillId="14" borderId="1" xfId="0" applyFont="1" applyFill="1" applyBorder="1" applyAlignment="1" applyProtection="1">
      <alignment horizontal="center" vertical="center"/>
      <protection hidden="1"/>
    </xf>
    <xf numFmtId="0" fontId="0" fillId="14" borderId="3" xfId="0" applyFill="1" applyBorder="1" applyAlignment="1" applyProtection="1">
      <alignment horizontal="center" vertical="center"/>
      <protection hidden="1"/>
    </xf>
    <xf numFmtId="0" fontId="0" fillId="14" borderId="17" xfId="0" applyFill="1" applyBorder="1" applyAlignment="1" applyProtection="1">
      <alignment horizontal="center" vertical="center"/>
      <protection hidden="1"/>
    </xf>
    <xf numFmtId="9" fontId="141" fillId="14" borderId="3" xfId="1" applyNumberFormat="1" applyFont="1" applyFill="1" applyBorder="1" applyAlignment="1" applyProtection="1">
      <alignment horizontal="center" vertical="center"/>
      <protection hidden="1"/>
    </xf>
    <xf numFmtId="9" fontId="141" fillId="14" borderId="17" xfId="1" applyNumberFormat="1" applyFont="1" applyFill="1" applyBorder="1" applyAlignment="1" applyProtection="1">
      <alignment horizontal="center" vertical="center"/>
      <protection hidden="1"/>
    </xf>
    <xf numFmtId="10" fontId="0" fillId="14" borderId="3" xfId="2" applyNumberFormat="1" applyFont="1" applyFill="1" applyBorder="1" applyAlignment="1" applyProtection="1">
      <alignment horizontal="center" vertical="center"/>
      <protection hidden="1"/>
    </xf>
    <xf numFmtId="10" fontId="0" fillId="14" borderId="17" xfId="2" applyNumberFormat="1" applyFont="1" applyFill="1" applyBorder="1" applyAlignment="1" applyProtection="1">
      <alignment horizontal="center" vertical="center"/>
      <protection hidden="1"/>
    </xf>
    <xf numFmtId="0" fontId="6" fillId="14" borderId="13" xfId="0" applyFont="1" applyFill="1" applyBorder="1" applyAlignment="1" applyProtection="1">
      <alignment horizontal="right" vertical="center"/>
      <protection hidden="1"/>
    </xf>
    <xf numFmtId="0" fontId="6" fillId="14" borderId="54" xfId="0" applyFont="1" applyFill="1" applyBorder="1" applyAlignment="1" applyProtection="1">
      <alignment horizontal="right" vertical="center"/>
      <protection hidden="1"/>
    </xf>
    <xf numFmtId="0" fontId="23" fillId="14" borderId="3" xfId="0" applyFont="1" applyFill="1" applyBorder="1" applyAlignment="1" applyProtection="1">
      <alignment horizontal="right" vertical="center"/>
      <protection hidden="1"/>
    </xf>
    <xf numFmtId="0" fontId="23" fillId="14" borderId="4" xfId="0" applyFont="1" applyFill="1" applyBorder="1" applyAlignment="1" applyProtection="1">
      <alignment horizontal="right" vertical="center"/>
      <protection hidden="1"/>
    </xf>
    <xf numFmtId="0" fontId="23" fillId="14" borderId="17" xfId="0" applyFont="1" applyFill="1" applyBorder="1" applyAlignment="1" applyProtection="1">
      <alignment horizontal="right" vertical="center"/>
      <protection hidden="1"/>
    </xf>
    <xf numFmtId="8" fontId="80" fillId="14" borderId="21" xfId="0" applyNumberFormat="1" applyFont="1" applyFill="1" applyBorder="1" applyAlignment="1" applyProtection="1">
      <alignment horizontal="center"/>
      <protection hidden="1"/>
    </xf>
    <xf numFmtId="8" fontId="80" fillId="14" borderId="20" xfId="0" applyNumberFormat="1" applyFont="1" applyFill="1" applyBorder="1" applyAlignment="1" applyProtection="1">
      <alignment horizontal="center"/>
      <protection hidden="1"/>
    </xf>
    <xf numFmtId="0" fontId="6" fillId="14" borderId="14" xfId="0" quotePrefix="1" applyFont="1" applyFill="1" applyBorder="1" applyAlignment="1" applyProtection="1">
      <alignment horizontal="right" vertical="center"/>
      <protection hidden="1"/>
    </xf>
    <xf numFmtId="0" fontId="6" fillId="14" borderId="54" xfId="0" quotePrefix="1" applyFont="1" applyFill="1" applyBorder="1" applyAlignment="1" applyProtection="1">
      <alignment horizontal="right" vertical="center"/>
      <protection hidden="1"/>
    </xf>
    <xf numFmtId="0" fontId="6" fillId="14" borderId="3" xfId="0" applyFont="1" applyFill="1" applyBorder="1" applyAlignment="1" applyProtection="1">
      <alignment horizontal="center" vertical="center"/>
      <protection hidden="1"/>
    </xf>
    <xf numFmtId="0" fontId="6" fillId="14" borderId="17" xfId="0" applyFont="1" applyFill="1" applyBorder="1" applyAlignment="1" applyProtection="1">
      <alignment horizontal="center" vertical="center"/>
      <protection hidden="1"/>
    </xf>
    <xf numFmtId="0" fontId="80" fillId="21" borderId="0" xfId="0" applyFont="1" applyFill="1" applyAlignment="1">
      <alignment horizontal="center" vertical="center"/>
    </xf>
    <xf numFmtId="0" fontId="99" fillId="8" borderId="1" xfId="0" applyFont="1" applyFill="1" applyBorder="1" applyAlignment="1" applyProtection="1">
      <alignment horizontal="left"/>
      <protection hidden="1"/>
    </xf>
    <xf numFmtId="0" fontId="102" fillId="21" borderId="0" xfId="0" applyFont="1" applyFill="1" applyAlignment="1">
      <alignment horizontal="center" vertical="center"/>
    </xf>
    <xf numFmtId="0" fontId="102" fillId="21" borderId="16" xfId="0" applyFont="1" applyFill="1" applyBorder="1" applyAlignment="1">
      <alignment horizontal="center" vertical="center"/>
    </xf>
    <xf numFmtId="0" fontId="104" fillId="21" borderId="0" xfId="0" applyFont="1" applyFill="1" applyAlignment="1">
      <alignment horizontal="center" vertical="center"/>
    </xf>
    <xf numFmtId="0" fontId="8" fillId="21" borderId="1" xfId="0" applyFont="1" applyFill="1" applyBorder="1" applyAlignment="1" applyProtection="1">
      <alignment horizontal="right" vertical="center"/>
      <protection hidden="1"/>
    </xf>
    <xf numFmtId="0" fontId="6" fillId="21" borderId="1" xfId="0" applyFont="1" applyFill="1" applyBorder="1" applyAlignment="1" applyProtection="1">
      <alignment horizontal="left" vertical="center"/>
      <protection hidden="1"/>
    </xf>
    <xf numFmtId="0" fontId="6" fillId="26" borderId="1" xfId="0" applyFont="1" applyFill="1" applyBorder="1" applyAlignment="1" applyProtection="1">
      <alignment horizontal="left" vertical="center"/>
      <protection hidden="1"/>
    </xf>
    <xf numFmtId="0" fontId="7" fillId="26" borderId="1" xfId="0" applyFont="1" applyFill="1" applyBorder="1" applyAlignment="1" applyProtection="1">
      <alignment horizontal="left" vertical="center"/>
      <protection hidden="1"/>
    </xf>
    <xf numFmtId="0" fontId="23" fillId="14" borderId="1" xfId="0" applyFont="1" applyFill="1" applyBorder="1" applyAlignment="1" applyProtection="1">
      <alignment horizontal="left" vertical="center"/>
      <protection hidden="1"/>
    </xf>
    <xf numFmtId="0" fontId="23" fillId="14" borderId="1" xfId="0" applyFont="1" applyFill="1" applyBorder="1" applyAlignment="1" applyProtection="1">
      <alignment horizontal="right" vertical="center"/>
      <protection hidden="1"/>
    </xf>
    <xf numFmtId="0" fontId="5" fillId="21" borderId="16" xfId="0" applyFont="1" applyFill="1" applyBorder="1" applyAlignment="1" applyProtection="1">
      <alignment horizontal="center" vertical="center"/>
      <protection hidden="1"/>
    </xf>
    <xf numFmtId="0" fontId="115" fillId="21" borderId="0" xfId="0" applyFont="1" applyFill="1" applyAlignment="1">
      <alignment horizontal="center" vertical="center"/>
    </xf>
    <xf numFmtId="0" fontId="6" fillId="14" borderId="21" xfId="0" applyFont="1" applyFill="1" applyBorder="1" applyAlignment="1" applyProtection="1">
      <alignment horizontal="left" vertical="center"/>
      <protection hidden="1"/>
    </xf>
    <xf numFmtId="0" fontId="6" fillId="14" borderId="19" xfId="0" applyFont="1" applyFill="1" applyBorder="1" applyAlignment="1" applyProtection="1">
      <alignment horizontal="left" vertical="center"/>
      <protection hidden="1"/>
    </xf>
    <xf numFmtId="0" fontId="6" fillId="14" borderId="20" xfId="0" applyFont="1" applyFill="1" applyBorder="1" applyAlignment="1" applyProtection="1">
      <alignment horizontal="left" vertical="center"/>
      <protection hidden="1"/>
    </xf>
    <xf numFmtId="0" fontId="36" fillId="11" borderId="5" xfId="0" applyFont="1" applyFill="1" applyBorder="1" applyAlignment="1">
      <alignment horizontal="center"/>
    </xf>
    <xf numFmtId="0" fontId="36" fillId="11" borderId="8" xfId="0" applyFont="1" applyFill="1" applyBorder="1" applyAlignment="1">
      <alignment horizontal="center"/>
    </xf>
    <xf numFmtId="0" fontId="0" fillId="11" borderId="6" xfId="0" applyFill="1" applyBorder="1" applyAlignment="1">
      <alignment horizontal="center" vertical="center" wrapText="1"/>
    </xf>
    <xf numFmtId="0" fontId="0" fillId="11" borderId="7" xfId="0" applyFill="1" applyBorder="1" applyAlignment="1">
      <alignment horizontal="center" vertical="center" wrapText="1"/>
    </xf>
    <xf numFmtId="0" fontId="0" fillId="12" borderId="6" xfId="0" applyFill="1" applyBorder="1" applyAlignment="1">
      <alignment horizontal="center" vertical="center" wrapText="1"/>
    </xf>
    <xf numFmtId="0" fontId="0" fillId="12" borderId="7" xfId="0" applyFill="1" applyBorder="1" applyAlignment="1">
      <alignment horizontal="center" vertical="center" wrapText="1"/>
    </xf>
    <xf numFmtId="0" fontId="0" fillId="13" borderId="6" xfId="0" applyFill="1" applyBorder="1" applyAlignment="1">
      <alignment horizontal="center" vertical="center" wrapText="1"/>
    </xf>
    <xf numFmtId="0" fontId="0" fillId="13" borderId="7" xfId="0" applyFill="1" applyBorder="1" applyAlignment="1">
      <alignment horizontal="center" vertical="center" wrapText="1"/>
    </xf>
    <xf numFmtId="0" fontId="0" fillId="11" borderId="13" xfId="0" applyFill="1" applyBorder="1" applyAlignment="1">
      <alignment horizontal="center" vertical="center" wrapText="1"/>
    </xf>
    <xf numFmtId="0" fontId="0" fillId="11" borderId="14" xfId="0" applyFill="1" applyBorder="1" applyAlignment="1">
      <alignment horizontal="center" vertical="center" wrapText="1"/>
    </xf>
    <xf numFmtId="0" fontId="0" fillId="11" borderId="15" xfId="0" applyFill="1" applyBorder="1" applyAlignment="1">
      <alignment horizontal="center" vertical="center" wrapText="1"/>
    </xf>
    <xf numFmtId="0" fontId="0" fillId="12" borderId="13" xfId="0" applyFill="1" applyBorder="1" applyAlignment="1">
      <alignment horizontal="center" vertical="center" wrapText="1"/>
    </xf>
    <xf numFmtId="0" fontId="0" fillId="12" borderId="14" xfId="0" applyFill="1" applyBorder="1" applyAlignment="1">
      <alignment horizontal="center" vertical="center" wrapText="1"/>
    </xf>
    <xf numFmtId="0" fontId="0" fillId="12" borderId="15" xfId="0" applyFill="1" applyBorder="1" applyAlignment="1">
      <alignment horizontal="center" vertical="center" wrapText="1"/>
    </xf>
    <xf numFmtId="0" fontId="0" fillId="13" borderId="13" xfId="0" applyFill="1" applyBorder="1" applyAlignment="1">
      <alignment horizontal="center" vertical="center" wrapText="1"/>
    </xf>
    <xf numFmtId="0" fontId="0" fillId="13" borderId="14" xfId="0" applyFill="1" applyBorder="1" applyAlignment="1">
      <alignment horizontal="center" vertical="center" wrapText="1"/>
    </xf>
    <xf numFmtId="0" fontId="0" fillId="13" borderId="15" xfId="0" applyFill="1" applyBorder="1" applyAlignment="1">
      <alignment horizontal="center" vertical="center" wrapText="1"/>
    </xf>
    <xf numFmtId="0" fontId="0" fillId="11" borderId="0" xfId="0" applyFill="1" applyAlignment="1">
      <alignment horizontal="center"/>
    </xf>
    <xf numFmtId="0" fontId="0" fillId="12" borderId="0" xfId="0" applyFill="1" applyAlignment="1">
      <alignment horizontal="center"/>
    </xf>
    <xf numFmtId="0" fontId="0" fillId="13" borderId="0" xfId="0" applyFill="1" applyAlignment="1">
      <alignment horizontal="center"/>
    </xf>
    <xf numFmtId="0" fontId="36" fillId="11" borderId="0" xfId="0" applyFont="1" applyFill="1" applyAlignment="1">
      <alignment horizontal="center"/>
    </xf>
    <xf numFmtId="0" fontId="0" fillId="11" borderId="0" xfId="0" applyFill="1" applyAlignment="1">
      <alignment horizontal="center" vertical="center" wrapText="1"/>
    </xf>
    <xf numFmtId="0" fontId="0" fillId="12" borderId="0" xfId="0" applyFill="1" applyAlignment="1">
      <alignment horizontal="center" vertical="center" wrapText="1"/>
    </xf>
    <xf numFmtId="0" fontId="0" fillId="13" borderId="0" xfId="0" applyFill="1" applyAlignment="1">
      <alignment horizontal="center" vertical="center" wrapText="1"/>
    </xf>
    <xf numFmtId="0" fontId="6" fillId="14" borderId="4" xfId="0" applyFont="1" applyFill="1" applyBorder="1" applyAlignment="1">
      <alignment horizontal="right" vertical="center"/>
    </xf>
    <xf numFmtId="0" fontId="6" fillId="14" borderId="17" xfId="0" applyFont="1" applyFill="1" applyBorder="1" applyAlignment="1">
      <alignment horizontal="right" vertical="center"/>
    </xf>
    <xf numFmtId="0" fontId="6" fillId="14" borderId="3" xfId="0" applyFont="1" applyFill="1" applyBorder="1" applyAlignment="1">
      <alignment horizontal="left" vertical="center"/>
    </xf>
    <xf numFmtId="0" fontId="6" fillId="14" borderId="4" xfId="0" applyFont="1" applyFill="1" applyBorder="1" applyAlignment="1">
      <alignment horizontal="left" vertical="center"/>
    </xf>
    <xf numFmtId="0" fontId="102" fillId="29" borderId="0" xfId="0" applyFont="1" applyFill="1" applyAlignment="1">
      <alignment horizontal="center" vertical="center"/>
    </xf>
    <xf numFmtId="0" fontId="102" fillId="29" borderId="16" xfId="0" applyFont="1" applyFill="1" applyBorder="1" applyAlignment="1">
      <alignment horizontal="center" vertical="center"/>
    </xf>
    <xf numFmtId="0" fontId="0" fillId="0" borderId="0" xfId="0" applyAlignment="1">
      <alignment horizontal="center" vertical="center"/>
    </xf>
    <xf numFmtId="0" fontId="5" fillId="29" borderId="16" xfId="0" applyFont="1" applyFill="1" applyBorder="1" applyAlignment="1">
      <alignment horizontal="center"/>
    </xf>
    <xf numFmtId="0" fontId="6" fillId="14" borderId="3" xfId="0" applyFont="1" applyFill="1" applyBorder="1" applyAlignment="1" applyProtection="1">
      <alignment horizontal="left"/>
      <protection hidden="1"/>
    </xf>
    <xf numFmtId="0" fontId="6" fillId="14" borderId="4" xfId="0" applyFont="1" applyFill="1" applyBorder="1" applyAlignment="1" applyProtection="1">
      <alignment horizontal="left"/>
      <protection hidden="1"/>
    </xf>
    <xf numFmtId="0" fontId="6" fillId="14" borderId="17" xfId="0" applyFont="1" applyFill="1" applyBorder="1" applyAlignment="1" applyProtection="1">
      <alignment horizontal="left"/>
      <protection hidden="1"/>
    </xf>
    <xf numFmtId="0" fontId="23" fillId="14" borderId="3" xfId="0" applyFont="1" applyFill="1" applyBorder="1" applyAlignment="1" applyProtection="1">
      <alignment horizontal="left"/>
      <protection hidden="1"/>
    </xf>
    <xf numFmtId="0" fontId="23" fillId="14" borderId="4" xfId="0" applyFont="1" applyFill="1" applyBorder="1" applyAlignment="1" applyProtection="1">
      <alignment horizontal="left"/>
      <protection hidden="1"/>
    </xf>
    <xf numFmtId="0" fontId="23" fillId="14" borderId="17" xfId="0" applyFont="1" applyFill="1" applyBorder="1" applyAlignment="1" applyProtection="1">
      <alignment horizontal="left"/>
      <protection hidden="1"/>
    </xf>
    <xf numFmtId="0" fontId="0" fillId="14" borderId="1" xfId="0" applyFill="1" applyBorder="1" applyProtection="1">
      <protection hidden="1"/>
    </xf>
    <xf numFmtId="0" fontId="102" fillId="29" borderId="3" xfId="0" applyFont="1" applyFill="1" applyBorder="1" applyAlignment="1" applyProtection="1">
      <alignment horizontal="left" vertical="center"/>
      <protection hidden="1"/>
    </xf>
    <xf numFmtId="0" fontId="102" fillId="29" borderId="4" xfId="0" applyFont="1" applyFill="1" applyBorder="1" applyAlignment="1" applyProtection="1">
      <alignment horizontal="left" vertical="center"/>
      <protection hidden="1"/>
    </xf>
    <xf numFmtId="0" fontId="102" fillId="29" borderId="17" xfId="0" applyFont="1" applyFill="1" applyBorder="1" applyAlignment="1" applyProtection="1">
      <alignment horizontal="left" vertical="center"/>
      <protection hidden="1"/>
    </xf>
    <xf numFmtId="0" fontId="62" fillId="28" borderId="3" xfId="0" applyFont="1" applyFill="1" applyBorder="1" applyAlignment="1" applyProtection="1">
      <alignment horizontal="left" vertical="center"/>
      <protection hidden="1"/>
    </xf>
    <xf numFmtId="0" fontId="62" fillId="28" borderId="4" xfId="0" applyFont="1" applyFill="1" applyBorder="1" applyAlignment="1" applyProtection="1">
      <alignment horizontal="left" vertical="center"/>
      <protection hidden="1"/>
    </xf>
    <xf numFmtId="0" fontId="62" fillId="28" borderId="17" xfId="0" applyFont="1" applyFill="1" applyBorder="1" applyAlignment="1" applyProtection="1">
      <alignment horizontal="left" vertical="center"/>
      <protection hidden="1"/>
    </xf>
    <xf numFmtId="0" fontId="113" fillId="21" borderId="3" xfId="0" applyFont="1" applyFill="1" applyBorder="1" applyAlignment="1" applyProtection="1">
      <alignment horizontal="left" vertical="center"/>
      <protection hidden="1"/>
    </xf>
    <xf numFmtId="0" fontId="113" fillId="21" borderId="4" xfId="0" applyFont="1" applyFill="1" applyBorder="1" applyAlignment="1" applyProtection="1">
      <alignment horizontal="left" vertical="center"/>
      <protection hidden="1"/>
    </xf>
    <xf numFmtId="0" fontId="113" fillId="21" borderId="17" xfId="0" applyFont="1" applyFill="1" applyBorder="1" applyAlignment="1" applyProtection="1">
      <alignment horizontal="left" vertical="center"/>
      <protection hidden="1"/>
    </xf>
    <xf numFmtId="0" fontId="6" fillId="14" borderId="17" xfId="0" applyFont="1" applyFill="1" applyBorder="1" applyAlignment="1">
      <alignment horizontal="left" vertical="center"/>
    </xf>
    <xf numFmtId="0" fontId="23" fillId="14" borderId="3" xfId="0" applyFont="1" applyFill="1" applyBorder="1" applyAlignment="1" applyProtection="1">
      <alignment horizontal="left" vertical="center"/>
      <protection hidden="1"/>
    </xf>
    <xf numFmtId="0" fontId="23" fillId="14" borderId="4" xfId="0" applyFont="1" applyFill="1" applyBorder="1" applyAlignment="1" applyProtection="1">
      <alignment horizontal="left" vertical="center"/>
      <protection hidden="1"/>
    </xf>
    <xf numFmtId="0" fontId="23" fillId="14" borderId="17" xfId="0" applyFont="1" applyFill="1" applyBorder="1" applyAlignment="1" applyProtection="1">
      <alignment horizontal="left" vertical="center"/>
      <protection hidden="1"/>
    </xf>
    <xf numFmtId="0" fontId="73" fillId="5" borderId="1" xfId="0" applyFont="1" applyFill="1" applyBorder="1" applyAlignment="1">
      <alignment vertical="center" wrapText="1"/>
    </xf>
    <xf numFmtId="0" fontId="139" fillId="5" borderId="1" xfId="1" applyFont="1" applyFill="1" applyBorder="1" applyAlignment="1">
      <alignment horizontal="center" vertical="center" wrapText="1"/>
    </xf>
    <xf numFmtId="0" fontId="72" fillId="5" borderId="0" xfId="0" applyFont="1" applyFill="1" applyAlignment="1">
      <alignment horizontal="left" vertical="center"/>
    </xf>
    <xf numFmtId="0" fontId="72" fillId="5" borderId="0" xfId="0" applyFont="1" applyFill="1" applyAlignment="1">
      <alignment horizontal="center" vertical="center"/>
    </xf>
    <xf numFmtId="0" fontId="7" fillId="21" borderId="1" xfId="1" applyFont="1" applyFill="1" applyBorder="1" applyAlignment="1">
      <alignment horizontal="center"/>
    </xf>
    <xf numFmtId="0" fontId="19" fillId="5" borderId="0" xfId="0" applyFont="1" applyFill="1" applyAlignment="1">
      <alignment horizontal="center" vertical="center" wrapText="1"/>
    </xf>
    <xf numFmtId="0" fontId="22" fillId="0" borderId="21" xfId="0" applyFont="1" applyBorder="1" applyAlignment="1">
      <alignment horizontal="left" vertical="center" wrapText="1"/>
    </xf>
    <xf numFmtId="0" fontId="22" fillId="0" borderId="20" xfId="0" applyFont="1" applyBorder="1" applyAlignment="1">
      <alignment horizontal="left" vertical="center" wrapText="1"/>
    </xf>
    <xf numFmtId="0" fontId="22" fillId="0" borderId="18" xfId="0" applyFont="1" applyBorder="1" applyAlignment="1">
      <alignment horizontal="left" vertical="center" wrapText="1"/>
    </xf>
    <xf numFmtId="0" fontId="22" fillId="0" borderId="25" xfId="0" applyFont="1" applyBorder="1" applyAlignment="1">
      <alignment horizontal="left" vertical="center" wrapText="1"/>
    </xf>
    <xf numFmtId="0" fontId="22" fillId="0" borderId="22" xfId="0" applyFont="1" applyBorder="1" applyAlignment="1">
      <alignment horizontal="left" vertical="center" wrapText="1"/>
    </xf>
    <xf numFmtId="0" fontId="22" fillId="0" borderId="24" xfId="0" applyFont="1" applyBorder="1" applyAlignment="1">
      <alignment horizontal="left" vertical="center" wrapText="1"/>
    </xf>
    <xf numFmtId="0" fontId="109" fillId="0" borderId="21" xfId="0" applyFont="1" applyBorder="1" applyAlignment="1">
      <alignment horizontal="left" vertical="center" wrapText="1"/>
    </xf>
    <xf numFmtId="0" fontId="109" fillId="0" borderId="19" xfId="0" applyFont="1" applyBorder="1" applyAlignment="1">
      <alignment horizontal="left" vertical="center" wrapText="1"/>
    </xf>
    <xf numFmtId="0" fontId="109" fillId="0" borderId="20" xfId="0" applyFont="1" applyBorder="1" applyAlignment="1">
      <alignment horizontal="left" vertical="center" wrapText="1"/>
    </xf>
    <xf numFmtId="0" fontId="109" fillId="0" borderId="18" xfId="0" applyFont="1" applyBorder="1" applyAlignment="1">
      <alignment horizontal="left" vertical="center" wrapText="1"/>
    </xf>
    <xf numFmtId="0" fontId="109" fillId="0" borderId="0" xfId="0" applyFont="1" applyAlignment="1">
      <alignment horizontal="left" vertical="center" wrapText="1"/>
    </xf>
    <xf numFmtId="0" fontId="109" fillId="0" borderId="25" xfId="0" applyFont="1" applyBorder="1" applyAlignment="1">
      <alignment horizontal="left" vertical="center" wrapText="1"/>
    </xf>
    <xf numFmtId="0" fontId="109" fillId="0" borderId="22" xfId="0" applyFont="1" applyBorder="1" applyAlignment="1">
      <alignment horizontal="left" vertical="center" wrapText="1"/>
    </xf>
    <xf numFmtId="0" fontId="109" fillId="0" borderId="16" xfId="0" applyFont="1" applyBorder="1" applyAlignment="1">
      <alignment horizontal="left" vertical="center" wrapText="1"/>
    </xf>
    <xf numFmtId="0" fontId="109" fillId="0" borderId="24" xfId="0" applyFont="1" applyBorder="1" applyAlignment="1">
      <alignment horizontal="left" vertical="center" wrapText="1"/>
    </xf>
    <xf numFmtId="0" fontId="73" fillId="5" borderId="3" xfId="0" applyFont="1" applyFill="1" applyBorder="1" applyAlignment="1">
      <alignment vertical="center" wrapText="1"/>
    </xf>
    <xf numFmtId="0" fontId="73" fillId="5" borderId="17" xfId="0" applyFont="1" applyFill="1" applyBorder="1" applyAlignment="1">
      <alignment vertical="center" wrapText="1"/>
    </xf>
    <xf numFmtId="0" fontId="15" fillId="0" borderId="0" xfId="0" applyFont="1" applyAlignment="1">
      <alignment horizontal="center" vertical="top" textRotation="90"/>
    </xf>
    <xf numFmtId="0" fontId="15" fillId="0" borderId="16" xfId="0" applyFont="1" applyBorder="1" applyAlignment="1">
      <alignment horizontal="center" vertical="top" textRotation="90"/>
    </xf>
    <xf numFmtId="0" fontId="15" fillId="0" borderId="0" xfId="0" applyFont="1" applyAlignment="1">
      <alignment horizontal="center" vertical="top" textRotation="90" wrapText="1"/>
    </xf>
    <xf numFmtId="0" fontId="15" fillId="0" borderId="16" xfId="0" applyFont="1" applyBorder="1" applyAlignment="1">
      <alignment horizontal="center" vertical="top" textRotation="90" wrapText="1"/>
    </xf>
    <xf numFmtId="0" fontId="6" fillId="0" borderId="0" xfId="0" applyFont="1" applyAlignment="1">
      <alignment horizontal="center" vertical="center"/>
    </xf>
    <xf numFmtId="0" fontId="52" fillId="16" borderId="0" xfId="0" applyFont="1" applyFill="1" applyAlignment="1">
      <alignment horizontal="center" wrapText="1"/>
    </xf>
    <xf numFmtId="0" fontId="6" fillId="0" borderId="0" xfId="0" applyFont="1" applyAlignment="1">
      <alignment horizontal="center"/>
    </xf>
    <xf numFmtId="0" fontId="13" fillId="0" borderId="1" xfId="1" applyBorder="1" applyAlignment="1">
      <alignment horizontal="left" vertical="center" wrapText="1"/>
    </xf>
    <xf numFmtId="0" fontId="54" fillId="18" borderId="1" xfId="0" applyFont="1" applyFill="1" applyBorder="1" applyAlignment="1">
      <alignment horizontal="center" vertical="center" wrapText="1"/>
    </xf>
    <xf numFmtId="0" fontId="54" fillId="18" borderId="1" xfId="0" applyFont="1" applyFill="1" applyBorder="1" applyAlignment="1">
      <alignment horizontal="center" vertical="center"/>
    </xf>
    <xf numFmtId="0" fontId="6" fillId="14" borderId="0" xfId="0" applyFont="1" applyFill="1" applyAlignment="1">
      <alignment horizontal="left" vertical="center" wrapText="1"/>
    </xf>
    <xf numFmtId="0" fontId="0" fillId="14" borderId="0" xfId="0" applyFill="1" applyAlignment="1">
      <alignment horizontal="left" vertical="center" wrapText="1"/>
    </xf>
    <xf numFmtId="0" fontId="123" fillId="5" borderId="16" xfId="0" applyFont="1" applyFill="1" applyBorder="1" applyAlignment="1">
      <alignment horizontal="center" wrapText="1"/>
    </xf>
    <xf numFmtId="0" fontId="119" fillId="5" borderId="1" xfId="0" applyFont="1" applyFill="1" applyBorder="1" applyAlignment="1">
      <alignment horizontal="left" vertical="center" wrapText="1"/>
    </xf>
    <xf numFmtId="0" fontId="76" fillId="0" borderId="5" xfId="0" applyFont="1" applyBorder="1" applyAlignment="1">
      <alignment horizontal="center"/>
    </xf>
    <xf numFmtId="0" fontId="76" fillId="0" borderId="6" xfId="0" applyFont="1" applyBorder="1" applyAlignment="1">
      <alignment horizontal="center"/>
    </xf>
    <xf numFmtId="0" fontId="76" fillId="0" borderId="7" xfId="0" applyFont="1" applyBorder="1" applyAlignment="1">
      <alignment horizontal="center"/>
    </xf>
    <xf numFmtId="0" fontId="0" fillId="0" borderId="55" xfId="0" applyBorder="1" applyAlignment="1">
      <alignment horizontal="center" wrapText="1"/>
    </xf>
    <xf numFmtId="0" fontId="0" fillId="0" borderId="19" xfId="0" applyBorder="1" applyAlignment="1">
      <alignment horizontal="center" wrapText="1"/>
    </xf>
    <xf numFmtId="0" fontId="0" fillId="0" borderId="56" xfId="0" applyBorder="1" applyAlignment="1">
      <alignment horizontal="center" wrapText="1"/>
    </xf>
    <xf numFmtId="0" fontId="0" fillId="0" borderId="31" xfId="0" applyBorder="1" applyAlignment="1">
      <alignment horizontal="center" wrapText="1"/>
    </xf>
    <xf numFmtId="0" fontId="0" fillId="0" borderId="0" xfId="0" applyAlignment="1">
      <alignment horizontal="center" wrapText="1"/>
    </xf>
    <xf numFmtId="0" fontId="0" fillId="0" borderId="32" xfId="0" applyBorder="1" applyAlignment="1">
      <alignment horizontal="center" wrapText="1"/>
    </xf>
    <xf numFmtId="0" fontId="0" fillId="0" borderId="57" xfId="0" applyBorder="1" applyAlignment="1">
      <alignment horizontal="center" wrapText="1"/>
    </xf>
    <xf numFmtId="0" fontId="0" fillId="0" borderId="16" xfId="0" applyBorder="1" applyAlignment="1">
      <alignment horizontal="center" wrapText="1"/>
    </xf>
    <xf numFmtId="0" fontId="0" fillId="0" borderId="58" xfId="0" applyBorder="1" applyAlignment="1">
      <alignment horizontal="center" wrapText="1"/>
    </xf>
    <xf numFmtId="0" fontId="13" fillId="0" borderId="8" xfId="1" applyBorder="1" applyAlignment="1">
      <alignment horizontal="left" wrapText="1"/>
    </xf>
    <xf numFmtId="0" fontId="13" fillId="0" borderId="1" xfId="1" applyBorder="1" applyAlignment="1">
      <alignment horizontal="left" wrapText="1"/>
    </xf>
    <xf numFmtId="0" fontId="13" fillId="0" borderId="9" xfId="1" applyBorder="1" applyAlignment="1">
      <alignment horizontal="left" wrapText="1"/>
    </xf>
    <xf numFmtId="0" fontId="75" fillId="0" borderId="8" xfId="0" applyFont="1" applyBorder="1" applyAlignment="1">
      <alignment horizontal="left" vertical="top" wrapText="1"/>
    </xf>
    <xf numFmtId="0" fontId="75" fillId="0" borderId="1" xfId="0" applyFont="1" applyBorder="1" applyAlignment="1">
      <alignment horizontal="left" vertical="top" wrapText="1"/>
    </xf>
    <xf numFmtId="0" fontId="75" fillId="0" borderId="9" xfId="0" applyFont="1" applyBorder="1" applyAlignment="1">
      <alignment horizontal="left" vertical="top" wrapText="1"/>
    </xf>
    <xf numFmtId="0" fontId="69" fillId="0" borderId="8" xfId="0" applyFont="1" applyBorder="1" applyAlignment="1">
      <alignment horizontal="left" wrapText="1"/>
    </xf>
    <xf numFmtId="0" fontId="69" fillId="0" borderId="1" xfId="0" applyFont="1" applyBorder="1" applyAlignment="1">
      <alignment horizontal="left" wrapText="1"/>
    </xf>
    <xf numFmtId="0" fontId="69" fillId="0" borderId="9" xfId="0" applyFont="1" applyBorder="1" applyAlignment="1">
      <alignment horizontal="left" wrapText="1"/>
    </xf>
    <xf numFmtId="0" fontId="69" fillId="0" borderId="10" xfId="0" applyFont="1" applyBorder="1" applyAlignment="1">
      <alignment horizontal="left" wrapText="1"/>
    </xf>
    <xf numFmtId="0" fontId="69" fillId="0" borderId="11" xfId="0" applyFont="1" applyBorder="1" applyAlignment="1">
      <alignment horizontal="left" wrapText="1"/>
    </xf>
    <xf numFmtId="0" fontId="69" fillId="0" borderId="12" xfId="0" applyFont="1" applyBorder="1" applyAlignment="1">
      <alignment horizontal="left" wrapText="1"/>
    </xf>
    <xf numFmtId="0" fontId="27" fillId="11" borderId="1" xfId="0" applyFont="1" applyFill="1" applyBorder="1" applyAlignment="1">
      <alignment horizontal="center" vertical="center"/>
    </xf>
    <xf numFmtId="0" fontId="130" fillId="11" borderId="1" xfId="0" applyFont="1" applyFill="1" applyBorder="1" applyAlignment="1">
      <alignment horizontal="left" vertical="center"/>
    </xf>
    <xf numFmtId="0" fontId="6" fillId="3" borderId="1" xfId="0" applyFont="1" applyFill="1" applyBorder="1" applyAlignment="1">
      <alignment horizontal="center"/>
    </xf>
    <xf numFmtId="0" fontId="0" fillId="3" borderId="1" xfId="0" applyFill="1" applyBorder="1" applyAlignment="1">
      <alignment horizontal="center"/>
    </xf>
    <xf numFmtId="10" fontId="0" fillId="0" borderId="1" xfId="2" applyNumberFormat="1" applyFont="1" applyBorder="1" applyAlignment="1">
      <alignment horizontal="center" vertical="center"/>
    </xf>
    <xf numFmtId="171" fontId="75" fillId="0" borderId="5" xfId="0" applyNumberFormat="1" applyFont="1" applyBorder="1" applyAlignment="1">
      <alignment horizontal="center" vertical="center" wrapText="1"/>
    </xf>
    <xf numFmtId="171" fontId="75" fillId="0" borderId="7" xfId="0" applyNumberFormat="1" applyFont="1" applyBorder="1" applyAlignment="1">
      <alignment horizontal="center" vertical="center" wrapText="1"/>
    </xf>
    <xf numFmtId="0" fontId="0" fillId="0" borderId="3" xfId="0" applyBorder="1" applyAlignment="1">
      <alignment horizontal="center"/>
    </xf>
    <xf numFmtId="0" fontId="0" fillId="0" borderId="17" xfId="0" applyBorder="1" applyAlignment="1">
      <alignment horizontal="center"/>
    </xf>
    <xf numFmtId="170" fontId="2" fillId="0" borderId="0" xfId="0" applyNumberFormat="1" applyFont="1" applyAlignment="1">
      <alignment horizontal="center"/>
    </xf>
    <xf numFmtId="0" fontId="76" fillId="0" borderId="27" xfId="0" applyFont="1" applyBorder="1" applyAlignment="1">
      <alignment horizontal="center" vertical="center"/>
    </xf>
    <xf numFmtId="0" fontId="75" fillId="0" borderId="28" xfId="0" applyFont="1" applyBorder="1" applyAlignment="1">
      <alignment horizontal="center" wrapText="1"/>
    </xf>
    <xf numFmtId="0" fontId="75" fillId="0" borderId="29" xfId="0" applyFont="1" applyBorder="1" applyAlignment="1">
      <alignment horizontal="center" wrapText="1"/>
    </xf>
    <xf numFmtId="0" fontId="75" fillId="0" borderId="30" xfId="0" applyFont="1" applyBorder="1" applyAlignment="1">
      <alignment horizontal="center" wrapText="1"/>
    </xf>
    <xf numFmtId="0" fontId="75" fillId="0" borderId="28" xfId="0" applyFont="1" applyBorder="1" applyAlignment="1">
      <alignment horizontal="center" vertical="center"/>
    </xf>
    <xf numFmtId="0" fontId="75" fillId="0" borderId="29" xfId="0" applyFont="1" applyBorder="1" applyAlignment="1">
      <alignment horizontal="center" vertical="center"/>
    </xf>
    <xf numFmtId="0" fontId="13" fillId="0" borderId="0" xfId="1" applyNumberFormat="1" applyFill="1" applyAlignment="1" applyProtection="1">
      <alignment horizontal="center" wrapText="1"/>
    </xf>
    <xf numFmtId="0" fontId="13" fillId="0" borderId="29" xfId="1" applyNumberFormat="1" applyBorder="1" applyAlignment="1" applyProtection="1">
      <alignment horizontal="center" vertical="center" wrapText="1"/>
    </xf>
    <xf numFmtId="0" fontId="75" fillId="0" borderId="5" xfId="0" applyFont="1" applyBorder="1" applyAlignment="1">
      <alignment horizontal="center" wrapText="1"/>
    </xf>
    <xf numFmtId="0" fontId="75" fillId="0" borderId="6" xfId="0" applyFont="1" applyBorder="1" applyAlignment="1">
      <alignment horizontal="center" wrapText="1"/>
    </xf>
    <xf numFmtId="171" fontId="75" fillId="0" borderId="6" xfId="0" applyNumberFormat="1" applyFont="1" applyBorder="1" applyAlignment="1">
      <alignment horizontal="center" vertical="center" wrapText="1"/>
    </xf>
    <xf numFmtId="164" fontId="27" fillId="0" borderId="3" xfId="0" applyNumberFormat="1" applyFont="1" applyBorder="1"/>
    <xf numFmtId="164" fontId="27" fillId="0" borderId="39" xfId="0" applyNumberFormat="1" applyFont="1" applyBorder="1"/>
    <xf numFmtId="164" fontId="27" fillId="0" borderId="40" xfId="0" applyNumberFormat="1" applyFont="1" applyBorder="1"/>
    <xf numFmtId="164" fontId="27" fillId="0" borderId="41" xfId="0" applyNumberFormat="1" applyFont="1" applyBorder="1"/>
    <xf numFmtId="164" fontId="27" fillId="0" borderId="44" xfId="0" applyNumberFormat="1" applyFont="1" applyBorder="1"/>
    <xf numFmtId="164" fontId="27" fillId="0" borderId="45" xfId="0" applyNumberFormat="1" applyFont="1" applyBorder="1"/>
    <xf numFmtId="164" fontId="85" fillId="0" borderId="5" xfId="0" applyNumberFormat="1" applyFont="1" applyBorder="1" applyAlignment="1">
      <alignment horizontal="center"/>
    </xf>
    <xf numFmtId="164" fontId="85" fillId="0" borderId="6" xfId="0" applyNumberFormat="1" applyFont="1" applyBorder="1" applyAlignment="1">
      <alignment horizontal="center"/>
    </xf>
    <xf numFmtId="164" fontId="85" fillId="0" borderId="7" xfId="0" applyNumberFormat="1" applyFont="1" applyBorder="1" applyAlignment="1">
      <alignment horizontal="center"/>
    </xf>
    <xf numFmtId="164" fontId="31" fillId="0" borderId="3" xfId="0" applyNumberFormat="1" applyFont="1" applyBorder="1" applyAlignment="1">
      <alignment vertical="center"/>
    </xf>
    <xf numFmtId="164" fontId="31" fillId="0" borderId="39" xfId="0" applyNumberFormat="1" applyFont="1" applyBorder="1" applyAlignment="1">
      <alignment vertical="center"/>
    </xf>
  </cellXfs>
  <cellStyles count="7">
    <cellStyle name="Link" xfId="1" builtinId="8"/>
    <cellStyle name="Normal" xfId="6" xr:uid="{832A8976-ED72-4CD8-9395-E9EE80FA76DA}"/>
    <cellStyle name="Prozent" xfId="2" builtinId="5"/>
    <cellStyle name="Standard" xfId="0" builtinId="0"/>
    <cellStyle name="Standard_G_Sterbetafel_FV2" xfId="5" xr:uid="{2FFD93BA-856B-4B15-A61A-493654008D48}"/>
    <cellStyle name="Standard_Sterbetafel_2009_11_D" xfId="4" xr:uid="{5B4C529F-5EB2-4B6A-B50F-A53D2CA4ACFF}"/>
    <cellStyle name="Standard_Tabelle3" xfId="3" xr:uid="{26D96B04-8A7D-45DB-B256-48B1126D06C5}"/>
  </cellStyles>
  <dxfs count="3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font>
      <fill>
        <patternFill>
          <bgColor rgb="FFFFFF00"/>
        </patternFill>
      </fill>
    </dxf>
    <dxf>
      <font>
        <b/>
        <i val="0"/>
        <color theme="1"/>
      </font>
      <fill>
        <patternFill>
          <bgColor rgb="FFFFFF00"/>
        </patternFill>
      </fill>
    </dxf>
    <dxf>
      <fill>
        <patternFill>
          <bgColor rgb="FFFFFF00"/>
        </patternFill>
      </fill>
    </dxf>
    <dxf>
      <font>
        <b/>
        <i val="0"/>
        <color theme="1"/>
      </font>
      <fill>
        <patternFill>
          <bgColor rgb="FFFFFF00"/>
        </patternFill>
      </fill>
    </dxf>
    <dxf>
      <font>
        <b/>
        <i val="0"/>
      </font>
      <fill>
        <patternFill>
          <bgColor rgb="FFFFFF00"/>
        </patternFill>
      </fill>
    </dxf>
    <dxf>
      <fill>
        <patternFill>
          <bgColor rgb="FFFFFF00"/>
        </patternFill>
      </fill>
    </dxf>
    <dxf>
      <fill>
        <patternFill>
          <bgColor rgb="FFFFFF00"/>
        </patternFill>
      </fill>
    </dxf>
    <dxf>
      <fill>
        <patternFill>
          <bgColor rgb="FFFFFF00"/>
        </patternFill>
      </fill>
    </dxf>
    <dxf>
      <font>
        <color theme="0" tint="-4.9989318521683403E-2"/>
      </font>
    </dxf>
    <dxf>
      <fill>
        <patternFill>
          <bgColor rgb="FFFFFF00"/>
        </patternFill>
      </fill>
    </dxf>
    <dxf>
      <font>
        <b/>
        <i val="0"/>
        <color theme="1"/>
      </font>
      <fill>
        <patternFill>
          <bgColor rgb="FF92D050"/>
        </patternFill>
      </fill>
    </dxf>
    <dxf>
      <font>
        <b/>
        <i val="0"/>
        <color theme="0"/>
      </font>
      <fill>
        <patternFill>
          <bgColor rgb="FFC00000"/>
        </patternFill>
      </fill>
    </dxf>
    <dxf>
      <font>
        <color theme="1"/>
      </font>
      <fill>
        <patternFill>
          <bgColor rgb="FFFFC000"/>
        </patternFill>
      </fill>
    </dxf>
    <dxf>
      <font>
        <color theme="1"/>
      </font>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79998168889431442"/>
        </patternFill>
      </fill>
    </dxf>
    <dxf>
      <fill>
        <patternFill>
          <bgColor theme="5" tint="0.79998168889431442"/>
        </patternFill>
      </fill>
    </dxf>
    <dxf>
      <fill>
        <patternFill>
          <bgColor rgb="FFFFFF00"/>
        </patternFill>
      </fill>
    </dxf>
    <dxf>
      <font>
        <b/>
        <i val="0"/>
        <strike val="0"/>
        <condense val="0"/>
        <extend val="0"/>
        <outline val="0"/>
        <shadow val="0"/>
        <u val="none"/>
        <vertAlign val="baseline"/>
        <sz val="11"/>
        <color rgb="FF000000"/>
        <name val="Calibri"/>
        <family val="2"/>
        <scheme val="none"/>
      </font>
      <alignment horizontal="left" vertical="top" textRotation="0" wrapText="1" indent="0" justifyLastLine="0" shrinkToFit="0" readingOrder="0"/>
    </dxf>
    <dxf>
      <font>
        <b/>
        <i val="0"/>
        <strike val="0"/>
        <condense val="0"/>
        <extend val="0"/>
        <outline val="0"/>
        <shadow val="0"/>
        <u val="none"/>
        <vertAlign val="baseline"/>
        <sz val="11"/>
        <color rgb="FF000000"/>
        <name val="Calibri"/>
        <family val="2"/>
        <scheme val="none"/>
      </font>
      <alignment horizontal="left" vertical="top" textRotation="0" wrapText="1" indent="0" justifyLastLine="0" shrinkToFit="0" readingOrder="0"/>
    </dxf>
    <dxf>
      <font>
        <b/>
        <i val="0"/>
        <strike val="0"/>
        <condense val="0"/>
        <extend val="0"/>
        <outline val="0"/>
        <shadow val="0"/>
        <u val="none"/>
        <vertAlign val="baseline"/>
        <sz val="11"/>
        <color rgb="FF000000"/>
        <name val="Calibri"/>
        <family val="2"/>
        <scheme val="none"/>
      </font>
      <alignment horizontal="left" vertical="top" textRotation="0" wrapText="1" indent="0" justifyLastLine="0" shrinkToFit="0" readingOrder="0"/>
    </dxf>
    <dxf>
      <font>
        <b/>
        <i val="0"/>
        <strike val="0"/>
        <condense val="0"/>
        <extend val="0"/>
        <outline val="0"/>
        <shadow val="0"/>
        <u val="none"/>
        <vertAlign val="baseline"/>
        <sz val="11"/>
        <color rgb="FF000000"/>
        <name val="Calibri"/>
        <family val="2"/>
        <scheme val="none"/>
      </font>
      <alignment horizontal="left" vertical="top" textRotation="0" wrapText="1" indent="0" justifyLastLine="0" shrinkToFit="0" readingOrder="0"/>
    </dxf>
    <dxf>
      <border outline="0">
        <top style="thin">
          <color indexed="64"/>
        </top>
      </border>
    </dxf>
    <dxf>
      <font>
        <b/>
        <i val="0"/>
        <strike val="0"/>
        <condense val="0"/>
        <extend val="0"/>
        <outline val="0"/>
        <shadow val="0"/>
        <u val="none"/>
        <vertAlign val="baseline"/>
        <sz val="11"/>
        <color rgb="FF000000"/>
        <name val="Calibri"/>
        <family val="2"/>
        <scheme val="none"/>
      </font>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4"/>
        <color theme="0"/>
        <name val="Calibri"/>
        <family val="2"/>
        <scheme val="none"/>
      </font>
      <fill>
        <patternFill patternType="solid">
          <fgColor indexed="64"/>
          <bgColor rgb="FF002060"/>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9"/>
  <colors>
    <mruColors>
      <color rgb="FFD8E592"/>
      <color rgb="FFC4D79B"/>
      <color rgb="FFD2DD43"/>
      <color rgb="FF98D4BA"/>
      <color rgb="FFFF7C80"/>
      <color rgb="FFFF9933"/>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microsoft.com/office/2017/06/relationships/rdRichValue" Target="richData/rdrichvalu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microsoft.com/office/2022/10/relationships/richValueRel" Target="richData/richValueRel.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75"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Radio" checked="Checked" firstButton="1" lockText="1" noThreeD="1"/>
</file>

<file path=xl/ctrlProps/ctrlProp10.xml><?xml version="1.0" encoding="utf-8"?>
<formControlPr xmlns="http://schemas.microsoft.com/office/spreadsheetml/2009/9/main" objectType="Radio" checked="Checked" firstButton="1" fmlaLink="Info_Thema"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GBox" noThreeD="1"/>
</file>

<file path=xl/ctrlProps/ctrlProp19.xml><?xml version="1.0" encoding="utf-8"?>
<formControlPr xmlns="http://schemas.microsoft.com/office/spreadsheetml/2009/9/main" objectType="Radio" checked="Checked" firstButton="1" fmlaLink="InfoBereich" lockText="1" noThreeD="1"/>
</file>

<file path=xl/ctrlProps/ctrlProp2.xml><?xml version="1.0" encoding="utf-8"?>
<formControlPr xmlns="http://schemas.microsoft.com/office/spreadsheetml/2009/9/main" objectType="Drop" dropStyle="combo" dx="31" fmlaLink="AB2" fmlaRange="B4:B34" noThreeD="1" sel="11" val="8"/>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checked="Checked" lockText="1" noThreeD="1"/>
</file>

<file path=xl/ctrlProps/ctrlProp22.xml><?xml version="1.0" encoding="utf-8"?>
<formControlPr xmlns="http://schemas.microsoft.com/office/spreadsheetml/2009/9/main" objectType="CheckBox" fmlaLink="Kurzinfo" lockText="1" noThreeD="1"/>
</file>

<file path=xl/ctrlProps/ctrlProp23.xml><?xml version="1.0" encoding="utf-8"?>
<formControlPr xmlns="http://schemas.microsoft.com/office/spreadsheetml/2009/9/main" objectType="CheckBox" checked="Checked" fmlaLink="info_IRZuschlag" lockText="1" noThreeD="1"/>
</file>

<file path=xl/ctrlProps/ctrlProp24.xml><?xml version="1.0" encoding="utf-8"?>
<formControlPr xmlns="http://schemas.microsoft.com/office/spreadsheetml/2009/9/main" objectType="CheckBox" fmlaLink="info_HRZuschlag" lockText="1" noThreeD="1"/>
</file>

<file path=xl/ctrlProps/ctrlProp25.xml><?xml version="1.0" encoding="utf-8"?>
<formControlPr xmlns="http://schemas.microsoft.com/office/spreadsheetml/2009/9/main" objectType="CheckBox" fmlaLink="info_SozAbgaben" lockText="1" noThreeD="1"/>
</file>

<file path=xl/ctrlProps/ctrlProp26.xml><?xml version="1.0" encoding="utf-8"?>
<formControlPr xmlns="http://schemas.microsoft.com/office/spreadsheetml/2009/9/main" objectType="CheckBox" fmlaLink="Info_Steuern" lockText="1" noThreeD="1"/>
</file>

<file path=xl/ctrlProps/ctrlProp27.xml><?xml version="1.0" encoding="utf-8"?>
<formControlPr xmlns="http://schemas.microsoft.com/office/spreadsheetml/2009/9/main" objectType="CheckBox" checked="Checked" fmlaLink="info_IRZuschlag" lockText="1" noThreeD="1"/>
</file>

<file path=xl/ctrlProps/ctrlProp28.xml><?xml version="1.0" encoding="utf-8"?>
<formControlPr xmlns="http://schemas.microsoft.com/office/spreadsheetml/2009/9/main" objectType="CheckBox" fmlaLink="info_HRZuschlag" lockText="1" noThreeD="1"/>
</file>

<file path=xl/ctrlProps/ctrlProp29.xml><?xml version="1.0" encoding="utf-8"?>
<formControlPr xmlns="http://schemas.microsoft.com/office/spreadsheetml/2009/9/main" objectType="CheckBox" fmlaLink="N25" lockText="1" noThreeD="1"/>
</file>

<file path=xl/ctrlProps/ctrlProp3.xml><?xml version="1.0" encoding="utf-8"?>
<formControlPr xmlns="http://schemas.microsoft.com/office/spreadsheetml/2009/9/main" objectType="Drop" dropLines="3" dropStyle="combo" dx="31" fmlaLink="$AA$6" fmlaRange="$Y$4:$Y$6" noThreeD="1" sel="1" val="0"/>
</file>

<file path=xl/ctrlProps/ctrlProp30.xml><?xml version="1.0" encoding="utf-8"?>
<formControlPr xmlns="http://schemas.microsoft.com/office/spreadsheetml/2009/9/main" objectType="CheckBox" fmlaLink="N26" lockText="1" noThreeD="1"/>
</file>

<file path=xl/ctrlProps/ctrlProp31.xml><?xml version="1.0" encoding="utf-8"?>
<formControlPr xmlns="http://schemas.microsoft.com/office/spreadsheetml/2009/9/main" objectType="CheckBox" fmlaLink="info_SozAbgaben" lockText="1" noThreeD="1"/>
</file>

<file path=xl/ctrlProps/ctrlProp32.xml><?xml version="1.0" encoding="utf-8"?>
<formControlPr xmlns="http://schemas.microsoft.com/office/spreadsheetml/2009/9/main" objectType="CheckBox" fmlaLink="Info_Steuern" lockText="1" noThreeD="1"/>
</file>

<file path=xl/ctrlProps/ctrlProp33.xml><?xml version="1.0" encoding="utf-8"?>
<formControlPr xmlns="http://schemas.microsoft.com/office/spreadsheetml/2009/9/main" objectType="CheckBox" fmlaLink="L27" lockText="1" noThreeD="1"/>
</file>

<file path=xl/ctrlProps/ctrlProp34.xml><?xml version="1.0" encoding="utf-8"?>
<formControlPr xmlns="http://schemas.microsoft.com/office/spreadsheetml/2009/9/main" objectType="CheckBox" fmlaLink="L28" lockText="1" noThreeD="1"/>
</file>

<file path=xl/ctrlProps/ctrlProp35.xml><?xml version="1.0" encoding="utf-8"?>
<formControlPr xmlns="http://schemas.microsoft.com/office/spreadsheetml/2009/9/main" objectType="CheckBox" checked="Checked" fmlaLink="info_IRZuschlag" lockText="1" noThreeD="1"/>
</file>

<file path=xl/ctrlProps/ctrlProp36.xml><?xml version="1.0" encoding="utf-8"?>
<formControlPr xmlns="http://schemas.microsoft.com/office/spreadsheetml/2009/9/main" objectType="CheckBox" fmlaLink="info_HRZuschlag" lockText="1" noThreeD="1"/>
</file>

<file path=xl/ctrlProps/ctrlProp4.xml><?xml version="1.0" encoding="utf-8"?>
<formControlPr xmlns="http://schemas.microsoft.com/office/spreadsheetml/2009/9/main" objectType="Drop" dropLines="3" dropStyle="combo" dx="31" fmlaLink="$AA$7" fmlaRange="$Y$4:$Y$6" noThreeD="1" sel="2" val="0"/>
</file>

<file path=xl/ctrlProps/ctrlProp5.xml><?xml version="1.0" encoding="utf-8"?>
<formControlPr xmlns="http://schemas.microsoft.com/office/spreadsheetml/2009/9/main" objectType="CheckBox" checked="Checked" fmlaLink="info_IRZuschlag" lockText="1" noThreeD="1"/>
</file>

<file path=xl/ctrlProps/ctrlProp6.xml><?xml version="1.0" encoding="utf-8"?>
<formControlPr xmlns="http://schemas.microsoft.com/office/spreadsheetml/2009/9/main" objectType="CheckBox" fmlaLink="info_HRZuschlag" lockText="1" noThreeD="1"/>
</file>

<file path=xl/ctrlProps/ctrlProp7.xml><?xml version="1.0" encoding="utf-8"?>
<formControlPr xmlns="http://schemas.microsoft.com/office/spreadsheetml/2009/9/main" objectType="Radio" firstButton="1" fmlaLink="AJ23"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3" Type="http://schemas.openxmlformats.org/officeDocument/2006/relationships/image" Target="../media/image33.svg"/><Relationship Id="rId7" Type="http://schemas.openxmlformats.org/officeDocument/2006/relationships/hyperlink" Target="#Start!B3"/><Relationship Id="rId2" Type="http://schemas.openxmlformats.org/officeDocument/2006/relationships/image" Target="../media/image32.png"/><Relationship Id="rId1" Type="http://schemas.openxmlformats.org/officeDocument/2006/relationships/hyperlink" Target="#Info"/><Relationship Id="rId6" Type="http://schemas.openxmlformats.org/officeDocument/2006/relationships/hyperlink" Target="#Start!M1"/><Relationship Id="rId5" Type="http://schemas.openxmlformats.org/officeDocument/2006/relationships/image" Target="../media/image35.png"/><Relationship Id="rId4" Type="http://schemas.openxmlformats.org/officeDocument/2006/relationships/image" Target="../media/image3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11.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12.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13.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14.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15.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16.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17.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18.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19.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2.xml.rels><?xml version="1.0" encoding="UTF-8" standalone="yes"?>
<Relationships xmlns="http://schemas.openxmlformats.org/package/2006/relationships"><Relationship Id="rId3" Type="http://schemas.openxmlformats.org/officeDocument/2006/relationships/hyperlink" Target="#Lebenserwartung"/><Relationship Id="rId2" Type="http://schemas.openxmlformats.org/officeDocument/2006/relationships/hyperlink" Target="#Inflation"/><Relationship Id="rId1" Type="http://schemas.openxmlformats.org/officeDocument/2006/relationships/hyperlink" Target="#'Dynamik EU-Renten'!A1"/><Relationship Id="rId5" Type="http://schemas.openxmlformats.org/officeDocument/2006/relationships/hyperlink" Target="#Links"/><Relationship Id="rId4" Type="http://schemas.openxmlformats.org/officeDocument/2006/relationships/hyperlink" Target="#Rechts"/></Relationships>
</file>

<file path=xl/drawings/_rels/drawing20.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21.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22.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23.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24.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25.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26.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27.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28.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29.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3.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hyperlink" Target="#Abfindungsberechnung!A1"/></Relationships>
</file>

<file path=xl/drawings/_rels/drawing30.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31.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32.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33.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34.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35.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36.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37.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38.xml.rels><?xml version="1.0" encoding="UTF-8" standalone="yes"?>
<Relationships xmlns="http://schemas.openxmlformats.org/package/2006/relationships"><Relationship Id="rId8" Type="http://schemas.openxmlformats.org/officeDocument/2006/relationships/image" Target="../media/image40.svg"/><Relationship Id="rId7" Type="http://schemas.openxmlformats.org/officeDocument/2006/relationships/image" Target="../media/image39.png"/><Relationship Id="rId1" Type="http://schemas.openxmlformats.org/officeDocument/2006/relationships/customXml" Target="../ink/ink1.xml"/><Relationship Id="rId6" Type="http://schemas.openxmlformats.org/officeDocument/2006/relationships/hyperlink" Target="#Info"/><Relationship Id="rId5" Type="http://schemas.openxmlformats.org/officeDocument/2006/relationships/image" Target="../media/image140.png"/></Relationships>
</file>

<file path=xl/drawings/_rels/drawing39.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4.xml.rels><?xml version="1.0" encoding="UTF-8" standalone="yes"?>
<Relationships xmlns="http://schemas.openxmlformats.org/package/2006/relationships"><Relationship Id="rId3" Type="http://schemas.openxmlformats.org/officeDocument/2006/relationships/hyperlink" Target="#DRVDynamik"/><Relationship Id="rId2" Type="http://schemas.openxmlformats.org/officeDocument/2006/relationships/hyperlink" Target="#ReH&#246;he_Berdat"/><Relationship Id="rId1" Type="http://schemas.openxmlformats.org/officeDocument/2006/relationships/hyperlink" Target="#RentenalterBer"/><Relationship Id="rId5" Type="http://schemas.openxmlformats.org/officeDocument/2006/relationships/image" Target="../media/image36.png"/><Relationship Id="rId4" Type="http://schemas.openxmlformats.org/officeDocument/2006/relationships/hyperlink" Target="#Abfindungsberechnung!A1"/></Relationships>
</file>

<file path=xl/drawings/_rels/drawing40.xml.rels><?xml version="1.0" encoding="UTF-8" standalone="yes"?>
<Relationships xmlns="http://schemas.openxmlformats.org/package/2006/relationships"><Relationship Id="rId8" Type="http://schemas.openxmlformats.org/officeDocument/2006/relationships/image" Target="../media/image300.png"/><Relationship Id="rId13" Type="http://schemas.openxmlformats.org/officeDocument/2006/relationships/customXml" Target="../ink/ink6.xml"/><Relationship Id="rId3" Type="http://schemas.openxmlformats.org/officeDocument/2006/relationships/image" Target="../media/image33.svg"/><Relationship Id="rId7" Type="http://schemas.openxmlformats.org/officeDocument/2006/relationships/customXml" Target="../ink/ink3.xml"/><Relationship Id="rId12" Type="http://schemas.openxmlformats.org/officeDocument/2006/relationships/image" Target="../media/image320.png"/><Relationship Id="rId2" Type="http://schemas.openxmlformats.org/officeDocument/2006/relationships/image" Target="../media/image32.png"/><Relationship Id="rId1" Type="http://schemas.openxmlformats.org/officeDocument/2006/relationships/hyperlink" Target="#Info"/><Relationship Id="rId6" Type="http://schemas.openxmlformats.org/officeDocument/2006/relationships/image" Target="../media/image290.png"/><Relationship Id="rId11" Type="http://schemas.openxmlformats.org/officeDocument/2006/relationships/customXml" Target="../ink/ink5.xml"/><Relationship Id="rId10" Type="http://schemas.openxmlformats.org/officeDocument/2006/relationships/image" Target="../media/image310.png"/><Relationship Id="rId4" Type="http://schemas.openxmlformats.org/officeDocument/2006/relationships/customXml" Target="../ink/ink2.xml"/><Relationship Id="rId9" Type="http://schemas.openxmlformats.org/officeDocument/2006/relationships/customXml" Target="../ink/ink4.xml"/><Relationship Id="rId14" Type="http://schemas.openxmlformats.org/officeDocument/2006/relationships/image" Target="../media/image33.png"/></Relationships>
</file>

<file path=xl/drawings/_rels/drawing41.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42.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43.xml.rels><?xml version="1.0" encoding="UTF-8" standalone="yes"?>
<Relationships xmlns="http://schemas.openxmlformats.org/package/2006/relationships"><Relationship Id="rId3" Type="http://schemas.openxmlformats.org/officeDocument/2006/relationships/image" Target="../media/image40.svg"/><Relationship Id="rId2" Type="http://schemas.openxmlformats.org/officeDocument/2006/relationships/image" Target="../media/image39.png"/><Relationship Id="rId1" Type="http://schemas.openxmlformats.org/officeDocument/2006/relationships/hyperlink" Target="#Info"/></Relationships>
</file>

<file path=xl/drawings/_rels/drawing44.xml.rels><?xml version="1.0" encoding="UTF-8" standalone="yes"?>
<Relationships xmlns="http://schemas.openxmlformats.org/package/2006/relationships"><Relationship Id="rId3" Type="http://schemas.openxmlformats.org/officeDocument/2006/relationships/image" Target="../media/image40.svg"/><Relationship Id="rId2" Type="http://schemas.openxmlformats.org/officeDocument/2006/relationships/image" Target="../media/image39.png"/><Relationship Id="rId1" Type="http://schemas.openxmlformats.org/officeDocument/2006/relationships/hyperlink" Target="#Info"/></Relationships>
</file>

<file path=xl/drawings/_rels/drawing45.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46.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47.xml.rels><?xml version="1.0" encoding="UTF-8" standalone="yes"?>
<Relationships xmlns="http://schemas.openxmlformats.org/package/2006/relationships"><Relationship Id="rId1" Type="http://schemas.openxmlformats.org/officeDocument/2006/relationships/hyperlink" Target="#Inhalt"/></Relationships>
</file>

<file path=xl/drawings/_rels/drawing5.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hyperlink" Target="#Abfindungsberechnung!A1"/><Relationship Id="rId1" Type="http://schemas.openxmlformats.org/officeDocument/2006/relationships/hyperlink" Target="#RentenalterBer"/></Relationships>
</file>

<file path=xl/drawings/_rels/drawing6.xml.rels><?xml version="1.0" encoding="UTF-8" standalone="yes"?>
<Relationships xmlns="http://schemas.openxmlformats.org/package/2006/relationships"><Relationship Id="rId3" Type="http://schemas.openxmlformats.org/officeDocument/2006/relationships/image" Target="../media/image40.svg"/><Relationship Id="rId2" Type="http://schemas.openxmlformats.org/officeDocument/2006/relationships/image" Target="../media/image39.png"/><Relationship Id="rId1" Type="http://schemas.openxmlformats.org/officeDocument/2006/relationships/hyperlink" Target="#Info"/></Relationships>
</file>

<file path=xl/drawings/_rels/drawing7.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8.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9.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drawing1.xml><?xml version="1.0" encoding="utf-8"?>
<xdr:wsDr xmlns:xdr="http://schemas.openxmlformats.org/drawingml/2006/spreadsheetDrawing" xmlns:a="http://schemas.openxmlformats.org/drawingml/2006/main">
  <xdr:twoCellAnchor editAs="oneCell">
    <xdr:from>
      <xdr:col>9</xdr:col>
      <xdr:colOff>28575</xdr:colOff>
      <xdr:row>8</xdr:row>
      <xdr:rowOff>139700</xdr:rowOff>
    </xdr:from>
    <xdr:to>
      <xdr:col>9</xdr:col>
      <xdr:colOff>462308</xdr:colOff>
      <xdr:row>10</xdr:row>
      <xdr:rowOff>130664</xdr:rowOff>
    </xdr:to>
    <xdr:pic>
      <xdr:nvPicPr>
        <xdr:cNvPr id="3" name="Grafik 2" descr="Zurück zurAbfindungsberechnung">
          <a:hlinkClick xmlns:r="http://schemas.openxmlformats.org/officeDocument/2006/relationships" r:id="rId1"/>
          <a:extLst>
            <a:ext uri="{FF2B5EF4-FFF2-40B4-BE49-F238E27FC236}">
              <a16:creationId xmlns:a16="http://schemas.microsoft.com/office/drawing/2014/main" id="{EC1BFEFD-A139-4DB4-9E23-41F99D977130}"/>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0106025" y="2216150"/>
          <a:ext cx="433733" cy="410064"/>
        </a:xfrm>
        <a:prstGeom prst="rect">
          <a:avLst/>
        </a:prstGeom>
      </xdr:spPr>
    </xdr:pic>
    <xdr:clientData/>
  </xdr:twoCellAnchor>
  <xdr:twoCellAnchor editAs="oneCell">
    <xdr:from>
      <xdr:col>9</xdr:col>
      <xdr:colOff>123825</xdr:colOff>
      <xdr:row>13</xdr:row>
      <xdr:rowOff>3175</xdr:rowOff>
    </xdr:from>
    <xdr:to>
      <xdr:col>9</xdr:col>
      <xdr:colOff>314352</xdr:colOff>
      <xdr:row>13</xdr:row>
      <xdr:rowOff>187352</xdr:rowOff>
    </xdr:to>
    <xdr:pic>
      <xdr:nvPicPr>
        <xdr:cNvPr id="4" name="Grafik 3">
          <a:extLst>
            <a:ext uri="{FF2B5EF4-FFF2-40B4-BE49-F238E27FC236}">
              <a16:creationId xmlns:a16="http://schemas.microsoft.com/office/drawing/2014/main" id="{4EC1ADBB-CDD5-B62B-F14D-2A40A8055BE7}"/>
            </a:ext>
          </a:extLst>
        </xdr:cNvPr>
        <xdr:cNvPicPr>
          <a:picLocks noChangeAspect="1"/>
        </xdr:cNvPicPr>
      </xdr:nvPicPr>
      <xdr:blipFill>
        <a:blip xmlns:r="http://schemas.openxmlformats.org/officeDocument/2006/relationships" r:embed="rId4"/>
        <a:stretch>
          <a:fillRect/>
        </a:stretch>
      </xdr:blipFill>
      <xdr:spPr>
        <a:xfrm>
          <a:off x="10201275" y="3127375"/>
          <a:ext cx="190527" cy="18417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16</xdr:row>
          <xdr:rowOff>114300</xdr:rowOff>
        </xdr:from>
        <xdr:to>
          <xdr:col>9</xdr:col>
          <xdr:colOff>390525</xdr:colOff>
          <xdr:row>17</xdr:row>
          <xdr:rowOff>114300</xdr:rowOff>
        </xdr:to>
        <xdr:sp macro="" textlink="">
          <xdr:nvSpPr>
            <xdr:cNvPr id="34817" name="Option Button 1" hidden="1">
              <a:extLst>
                <a:ext uri="{63B3BB69-23CF-44E3-9099-C40C66FF867C}">
                  <a14:compatExt spid="_x0000_s34817"/>
                </a:ext>
                <a:ext uri="{FF2B5EF4-FFF2-40B4-BE49-F238E27FC236}">
                  <a16:creationId xmlns:a16="http://schemas.microsoft.com/office/drawing/2014/main" id="{00000000-0008-0000-0700-00000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Info</a:t>
              </a:r>
            </a:p>
          </xdr:txBody>
        </xdr:sp>
        <xdr:clientData/>
      </xdr:twoCellAnchor>
    </mc:Choice>
    <mc:Fallback/>
  </mc:AlternateContent>
  <xdr:twoCellAnchor>
    <xdr:from>
      <xdr:col>9</xdr:col>
      <xdr:colOff>0</xdr:colOff>
      <xdr:row>18</xdr:row>
      <xdr:rowOff>85725</xdr:rowOff>
    </xdr:from>
    <xdr:to>
      <xdr:col>10</xdr:col>
      <xdr:colOff>6350</xdr:colOff>
      <xdr:row>19</xdr:row>
      <xdr:rowOff>133350</xdr:rowOff>
    </xdr:to>
    <xdr:sp macro="" textlink="">
      <xdr:nvSpPr>
        <xdr:cNvPr id="2" name="Pfeil: gestreift nach rechts 1">
          <a:extLst>
            <a:ext uri="{FF2B5EF4-FFF2-40B4-BE49-F238E27FC236}">
              <a16:creationId xmlns:a16="http://schemas.microsoft.com/office/drawing/2014/main" id="{F87CCB1E-E274-46E2-9CA7-6A5F1D1EE159}"/>
            </a:ext>
          </a:extLst>
        </xdr:cNvPr>
        <xdr:cNvSpPr/>
      </xdr:nvSpPr>
      <xdr:spPr>
        <a:xfrm>
          <a:off x="10077450" y="4257675"/>
          <a:ext cx="482600" cy="257175"/>
        </a:xfrm>
        <a:prstGeom prst="stripedRightArrow">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1</xdr:col>
      <xdr:colOff>62279</xdr:colOff>
      <xdr:row>0</xdr:row>
      <xdr:rowOff>108658</xdr:rowOff>
    </xdr:from>
    <xdr:to>
      <xdr:col>2</xdr:col>
      <xdr:colOff>291354</xdr:colOff>
      <xdr:row>2</xdr:row>
      <xdr:rowOff>6897</xdr:rowOff>
    </xdr:to>
    <xdr:pic>
      <xdr:nvPicPr>
        <xdr:cNvPr id="17" name="Grafik 16">
          <a:extLst>
            <a:ext uri="{FF2B5EF4-FFF2-40B4-BE49-F238E27FC236}">
              <a16:creationId xmlns:a16="http://schemas.microsoft.com/office/drawing/2014/main" id="{0BBA36A4-28B6-99BA-8EA0-9131A058938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37539" y="108658"/>
          <a:ext cx="1471135" cy="721199"/>
        </a:xfrm>
        <a:prstGeom prst="rect">
          <a:avLst/>
        </a:prstGeom>
      </xdr:spPr>
    </xdr:pic>
    <xdr:clientData/>
  </xdr:twoCellAnchor>
  <xdr:twoCellAnchor editAs="oneCell">
    <xdr:from>
      <xdr:col>7</xdr:col>
      <xdr:colOff>980599</xdr:colOff>
      <xdr:row>0</xdr:row>
      <xdr:rowOff>135493</xdr:rowOff>
    </xdr:from>
    <xdr:to>
      <xdr:col>9</xdr:col>
      <xdr:colOff>78270</xdr:colOff>
      <xdr:row>2</xdr:row>
      <xdr:rowOff>6510</xdr:rowOff>
    </xdr:to>
    <xdr:pic>
      <xdr:nvPicPr>
        <xdr:cNvPr id="35037" name="Grafik 17">
          <a:extLst>
            <a:ext uri="{FF2B5EF4-FFF2-40B4-BE49-F238E27FC236}">
              <a16:creationId xmlns:a16="http://schemas.microsoft.com/office/drawing/2014/main" id="{2B29E730-FBEE-4703-9C53-0448532BED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608219" y="135493"/>
          <a:ext cx="1581791" cy="693977"/>
        </a:xfrm>
        <a:prstGeom prst="rect">
          <a:avLst/>
        </a:prstGeom>
      </xdr:spPr>
    </xdr:pic>
    <xdr:clientData/>
  </xdr:twoCellAnchor>
  <xdr:twoCellAnchor>
    <xdr:from>
      <xdr:col>8</xdr:col>
      <xdr:colOff>1289050</xdr:colOff>
      <xdr:row>4</xdr:row>
      <xdr:rowOff>31754</xdr:rowOff>
    </xdr:from>
    <xdr:to>
      <xdr:col>10</xdr:col>
      <xdr:colOff>38100</xdr:colOff>
      <xdr:row>5</xdr:row>
      <xdr:rowOff>204324</xdr:rowOff>
    </xdr:to>
    <xdr:sp macro="" textlink="">
      <xdr:nvSpPr>
        <xdr:cNvPr id="35125" name="Pfeil: nach rechts 7">
          <a:hlinkClick xmlns:r="http://schemas.openxmlformats.org/officeDocument/2006/relationships" r:id="rId6"/>
          <a:extLst>
            <a:ext uri="{FF2B5EF4-FFF2-40B4-BE49-F238E27FC236}">
              <a16:creationId xmlns:a16="http://schemas.microsoft.com/office/drawing/2014/main" id="{C46E0BBC-E25C-4231-A29C-A976EDF928B9}"/>
            </a:ext>
          </a:extLst>
        </xdr:cNvPr>
        <xdr:cNvSpPr/>
      </xdr:nvSpPr>
      <xdr:spPr>
        <a:xfrm>
          <a:off x="10534650" y="1276354"/>
          <a:ext cx="660400" cy="388470"/>
        </a:xfrm>
        <a:prstGeom prst="rightArrow">
          <a:avLst/>
        </a:prstGeom>
        <a:solidFill>
          <a:srgbClr val="FFFF00">
            <a:alpha val="50000"/>
          </a:srgbClr>
        </a:solidFill>
        <a:ln w="63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u="sng">
              <a:solidFill>
                <a:sysClr val="windowText" lastClr="000000"/>
              </a:solidFill>
            </a:rPr>
            <a:t>rechts</a:t>
          </a:r>
        </a:p>
      </xdr:txBody>
    </xdr:sp>
    <xdr:clientData/>
  </xdr:twoCellAnchor>
  <xdr:twoCellAnchor>
    <xdr:from>
      <xdr:col>8</xdr:col>
      <xdr:colOff>1289049</xdr:colOff>
      <xdr:row>2</xdr:row>
      <xdr:rowOff>146050</xdr:rowOff>
    </xdr:from>
    <xdr:to>
      <xdr:col>9</xdr:col>
      <xdr:colOff>590550</xdr:colOff>
      <xdr:row>4</xdr:row>
      <xdr:rowOff>103050</xdr:rowOff>
    </xdr:to>
    <xdr:sp macro="" textlink="">
      <xdr:nvSpPr>
        <xdr:cNvPr id="35128" name="Pfeil: nach links 8">
          <a:hlinkClick xmlns:r="http://schemas.openxmlformats.org/officeDocument/2006/relationships" r:id="rId7"/>
          <a:extLst>
            <a:ext uri="{FF2B5EF4-FFF2-40B4-BE49-F238E27FC236}">
              <a16:creationId xmlns:a16="http://schemas.microsoft.com/office/drawing/2014/main" id="{D3D128F9-1D29-48A1-80E0-D25775E966CE}"/>
            </a:ext>
          </a:extLst>
        </xdr:cNvPr>
        <xdr:cNvSpPr/>
      </xdr:nvSpPr>
      <xdr:spPr>
        <a:xfrm>
          <a:off x="10534649" y="958850"/>
          <a:ext cx="596901" cy="388800"/>
        </a:xfrm>
        <a:prstGeom prst="leftArrow">
          <a:avLst/>
        </a:prstGeom>
        <a:solidFill>
          <a:srgbClr val="FFFF00">
            <a:alpha val="50000"/>
          </a:srgbClr>
        </a:solidFill>
        <a:ln w="6350"/>
      </xdr:spPr>
      <xdr:style>
        <a:lnRef idx="2">
          <a:schemeClr val="accent1">
            <a:shade val="15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de-DE" sz="1100" u="sng">
              <a:solidFill>
                <a:sysClr val="windowText" lastClr="000000"/>
              </a:solidFill>
              <a:latin typeface="+mn-lt"/>
              <a:ea typeface="+mn-ea"/>
              <a:cs typeface="+mn-cs"/>
            </a:rPr>
            <a:t>links</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428626</xdr:colOff>
      <xdr:row>1</xdr:row>
      <xdr:rowOff>133349</xdr:rowOff>
    </xdr:from>
    <xdr:to>
      <xdr:col>4</xdr:col>
      <xdr:colOff>968376</xdr:colOff>
      <xdr:row>25</xdr:row>
      <xdr:rowOff>19050</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ADD0B817-DAD5-40F1-9454-3C5DDA8E938B}"/>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58976" y="952499"/>
          <a:ext cx="539750" cy="38735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371476</xdr:colOff>
      <xdr:row>1</xdr:row>
      <xdr:rowOff>152399</xdr:rowOff>
    </xdr:from>
    <xdr:to>
      <xdr:col>4</xdr:col>
      <xdr:colOff>911226</xdr:colOff>
      <xdr:row>2</xdr:row>
      <xdr:rowOff>38100</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08F5D923-E087-4B88-AF55-E281E7D97C0B}"/>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01826" y="971549"/>
          <a:ext cx="539750" cy="38735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422276</xdr:colOff>
      <xdr:row>1</xdr:row>
      <xdr:rowOff>101599</xdr:rowOff>
    </xdr:from>
    <xdr:to>
      <xdr:col>4</xdr:col>
      <xdr:colOff>962026</xdr:colOff>
      <xdr:row>1</xdr:row>
      <xdr:rowOff>488950</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3558E746-F87C-4A6C-8122-D7A49453A2E7}"/>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52626" y="920749"/>
          <a:ext cx="539750" cy="38735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428626</xdr:colOff>
      <xdr:row>1</xdr:row>
      <xdr:rowOff>133349</xdr:rowOff>
    </xdr:from>
    <xdr:to>
      <xdr:col>4</xdr:col>
      <xdr:colOff>968376</xdr:colOff>
      <xdr:row>2</xdr:row>
      <xdr:rowOff>22224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CE659719-B836-4D3B-AE3D-ADE2E2D1CCB3}"/>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58976" y="952499"/>
          <a:ext cx="539750" cy="3905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447676</xdr:colOff>
      <xdr:row>1</xdr:row>
      <xdr:rowOff>95249</xdr:rowOff>
    </xdr:from>
    <xdr:to>
      <xdr:col>4</xdr:col>
      <xdr:colOff>987426</xdr:colOff>
      <xdr:row>1</xdr:row>
      <xdr:rowOff>485774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0361D1A6-48B8-4FFC-963C-7549D5036BD5}"/>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78026" y="914399"/>
          <a:ext cx="539750" cy="3905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428626</xdr:colOff>
      <xdr:row>1</xdr:row>
      <xdr:rowOff>114299</xdr:rowOff>
    </xdr:from>
    <xdr:to>
      <xdr:col>4</xdr:col>
      <xdr:colOff>968376</xdr:colOff>
      <xdr:row>2</xdr:row>
      <xdr:rowOff>3174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63264759-CD02-48A3-AA1E-80C3A792EE0B}"/>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58976" y="933449"/>
          <a:ext cx="539750" cy="3905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422275</xdr:colOff>
      <xdr:row>1</xdr:row>
      <xdr:rowOff>111125</xdr:rowOff>
    </xdr:from>
    <xdr:to>
      <xdr:col>4</xdr:col>
      <xdr:colOff>962025</xdr:colOff>
      <xdr:row>1</xdr:row>
      <xdr:rowOff>488950</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AD0F2A2E-79BF-46C6-91D1-0909AFC7C047}"/>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870075" y="930275"/>
          <a:ext cx="539750" cy="3778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422276</xdr:colOff>
      <xdr:row>1</xdr:row>
      <xdr:rowOff>88899</xdr:rowOff>
    </xdr:from>
    <xdr:to>
      <xdr:col>4</xdr:col>
      <xdr:colOff>962026</xdr:colOff>
      <xdr:row>1</xdr:row>
      <xdr:rowOff>479424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A7936FDC-E764-4090-A937-0FEE7FA01B05}"/>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52626" y="908049"/>
          <a:ext cx="539750" cy="3905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454026</xdr:colOff>
      <xdr:row>1</xdr:row>
      <xdr:rowOff>120649</xdr:rowOff>
    </xdr:from>
    <xdr:to>
      <xdr:col>4</xdr:col>
      <xdr:colOff>993776</xdr:colOff>
      <xdr:row>2</xdr:row>
      <xdr:rowOff>9524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7E060DE5-B65A-4402-9831-7C3823029EB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84376" y="939799"/>
          <a:ext cx="539750" cy="3905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4</xdr:col>
      <xdr:colOff>441326</xdr:colOff>
      <xdr:row>1</xdr:row>
      <xdr:rowOff>120649</xdr:rowOff>
    </xdr:from>
    <xdr:to>
      <xdr:col>4</xdr:col>
      <xdr:colOff>981076</xdr:colOff>
      <xdr:row>2</xdr:row>
      <xdr:rowOff>9524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D7E25282-BF0A-47CC-A371-DBF53B2EAB9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71676" y="939799"/>
          <a:ext cx="539750" cy="3905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4210050</xdr:colOff>
          <xdr:row>2</xdr:row>
          <xdr:rowOff>19050</xdr:rowOff>
        </xdr:from>
        <xdr:to>
          <xdr:col>4</xdr:col>
          <xdr:colOff>76200</xdr:colOff>
          <xdr:row>2</xdr:row>
          <xdr:rowOff>247650</xdr:rowOff>
        </xdr:to>
        <xdr:sp macro="" textlink="">
          <xdr:nvSpPr>
            <xdr:cNvPr id="33793" name="Drop Down 1" hidden="1">
              <a:extLst>
                <a:ext uri="{63B3BB69-23CF-44E3-9099-C40C66FF867C}">
                  <a14:compatExt spid="_x0000_s33793"/>
                </a:ext>
                <a:ext uri="{FF2B5EF4-FFF2-40B4-BE49-F238E27FC236}">
                  <a16:creationId xmlns:a16="http://schemas.microsoft.com/office/drawing/2014/main" id="{00000000-0008-0000-0900-000001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5</xdr:row>
          <xdr:rowOff>38100</xdr:rowOff>
        </xdr:from>
        <xdr:to>
          <xdr:col>4</xdr:col>
          <xdr:colOff>914400</xdr:colOff>
          <xdr:row>5</xdr:row>
          <xdr:rowOff>257175</xdr:rowOff>
        </xdr:to>
        <xdr:sp macro="" textlink="">
          <xdr:nvSpPr>
            <xdr:cNvPr id="33802" name="Drop Down 10" hidden="1">
              <a:extLst>
                <a:ext uri="{63B3BB69-23CF-44E3-9099-C40C66FF867C}">
                  <a14:compatExt spid="_x0000_s33802"/>
                </a:ext>
                <a:ext uri="{FF2B5EF4-FFF2-40B4-BE49-F238E27FC236}">
                  <a16:creationId xmlns:a16="http://schemas.microsoft.com/office/drawing/2014/main" id="{00000000-0008-0000-0900-00000A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6</xdr:row>
          <xdr:rowOff>38100</xdr:rowOff>
        </xdr:from>
        <xdr:to>
          <xdr:col>4</xdr:col>
          <xdr:colOff>914400</xdr:colOff>
          <xdr:row>6</xdr:row>
          <xdr:rowOff>257175</xdr:rowOff>
        </xdr:to>
        <xdr:sp macro="" textlink="">
          <xdr:nvSpPr>
            <xdr:cNvPr id="33803" name="Drop Down 11" hidden="1">
              <a:extLst>
                <a:ext uri="{63B3BB69-23CF-44E3-9099-C40C66FF867C}">
                  <a14:compatExt spid="_x0000_s33803"/>
                </a:ext>
                <a:ext uri="{FF2B5EF4-FFF2-40B4-BE49-F238E27FC236}">
                  <a16:creationId xmlns:a16="http://schemas.microsoft.com/office/drawing/2014/main" id="{00000000-0008-0000-0900-00000B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3773425</xdr:colOff>
      <xdr:row>12</xdr:row>
      <xdr:rowOff>257175</xdr:rowOff>
    </xdr:from>
    <xdr:to>
      <xdr:col>2</xdr:col>
      <xdr:colOff>4667251</xdr:colOff>
      <xdr:row>14</xdr:row>
      <xdr:rowOff>38101</xdr:rowOff>
    </xdr:to>
    <xdr:sp macro="" textlink="">
      <xdr:nvSpPr>
        <xdr:cNvPr id="3" name="Pfeil: gestreift nach rechts 2">
          <a:hlinkClick xmlns:r="http://schemas.openxmlformats.org/officeDocument/2006/relationships" r:id="rId1"/>
          <a:extLst>
            <a:ext uri="{FF2B5EF4-FFF2-40B4-BE49-F238E27FC236}">
              <a16:creationId xmlns:a16="http://schemas.microsoft.com/office/drawing/2014/main" id="{3E5F764C-E1BC-95B5-1762-533D787677F0}"/>
            </a:ext>
          </a:extLst>
        </xdr:cNvPr>
        <xdr:cNvSpPr/>
      </xdr:nvSpPr>
      <xdr:spPr>
        <a:xfrm>
          <a:off x="4868800" y="4000500"/>
          <a:ext cx="893826" cy="352426"/>
        </a:xfrm>
        <a:prstGeom prst="stripedRightArrow">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mc:AlternateContent xmlns:mc="http://schemas.openxmlformats.org/markup-compatibility/2006">
    <mc:Choice xmlns:a14="http://schemas.microsoft.com/office/drawing/2010/main" Requires="a14">
      <xdr:twoCellAnchor editAs="oneCell">
        <xdr:from>
          <xdr:col>2</xdr:col>
          <xdr:colOff>19050</xdr:colOff>
          <xdr:row>18</xdr:row>
          <xdr:rowOff>28575</xdr:rowOff>
        </xdr:from>
        <xdr:to>
          <xdr:col>5</xdr:col>
          <xdr:colOff>9525</xdr:colOff>
          <xdr:row>18</xdr:row>
          <xdr:rowOff>238125</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0900-00001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19</xdr:row>
          <xdr:rowOff>38100</xdr:rowOff>
        </xdr:from>
        <xdr:to>
          <xdr:col>5</xdr:col>
          <xdr:colOff>9525</xdr:colOff>
          <xdr:row>19</xdr:row>
          <xdr:rowOff>247650</xdr:rowOff>
        </xdr:to>
        <xdr:sp macro="" textlink="">
          <xdr:nvSpPr>
            <xdr:cNvPr id="33809" name="Check Box 17" hidden="1">
              <a:extLst>
                <a:ext uri="{63B3BB69-23CF-44E3-9099-C40C66FF867C}">
                  <a14:compatExt spid="_x0000_s33809"/>
                </a:ext>
                <a:ext uri="{FF2B5EF4-FFF2-40B4-BE49-F238E27FC236}">
                  <a16:creationId xmlns:a16="http://schemas.microsoft.com/office/drawing/2014/main" id="{00000000-0008-0000-0900-00001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417640</xdr:colOff>
      <xdr:row>16</xdr:row>
      <xdr:rowOff>57150</xdr:rowOff>
    </xdr:from>
    <xdr:to>
      <xdr:col>8</xdr:col>
      <xdr:colOff>1</xdr:colOff>
      <xdr:row>16</xdr:row>
      <xdr:rowOff>447676</xdr:rowOff>
    </xdr:to>
    <xdr:sp macro="" textlink="">
      <xdr:nvSpPr>
        <xdr:cNvPr id="4" name="Pfeil: gestreift nach rechts 3">
          <a:hlinkClick xmlns:r="http://schemas.openxmlformats.org/officeDocument/2006/relationships" r:id="rId2"/>
          <a:extLst>
            <a:ext uri="{FF2B5EF4-FFF2-40B4-BE49-F238E27FC236}">
              <a16:creationId xmlns:a16="http://schemas.microsoft.com/office/drawing/2014/main" id="{7502E59A-3FD8-4D73-A9C7-E0352A84710F}"/>
            </a:ext>
          </a:extLst>
        </xdr:cNvPr>
        <xdr:cNvSpPr/>
      </xdr:nvSpPr>
      <xdr:spPr>
        <a:xfrm>
          <a:off x="8637715" y="4943475"/>
          <a:ext cx="677736" cy="390526"/>
        </a:xfrm>
        <a:prstGeom prst="stripedRightArrow">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mc:AlternateContent xmlns:mc="http://schemas.openxmlformats.org/markup-compatibility/2006">
    <mc:Choice xmlns:a14="http://schemas.microsoft.com/office/drawing/2010/main" Requires="a14">
      <xdr:twoCellAnchor editAs="oneCell">
        <xdr:from>
          <xdr:col>12</xdr:col>
          <xdr:colOff>200025</xdr:colOff>
          <xdr:row>3</xdr:row>
          <xdr:rowOff>9525</xdr:rowOff>
        </xdr:from>
        <xdr:to>
          <xdr:col>15</xdr:col>
          <xdr:colOff>9525</xdr:colOff>
          <xdr:row>3</xdr:row>
          <xdr:rowOff>333375</xdr:rowOff>
        </xdr:to>
        <xdr:sp macro="" textlink="">
          <xdr:nvSpPr>
            <xdr:cNvPr id="33828" name="Option Button 36" hidden="1">
              <a:extLst>
                <a:ext uri="{63B3BB69-23CF-44E3-9099-C40C66FF867C}">
                  <a14:compatExt spid="_x0000_s33828"/>
                </a:ext>
                <a:ext uri="{FF2B5EF4-FFF2-40B4-BE49-F238E27FC236}">
                  <a16:creationId xmlns:a16="http://schemas.microsoft.com/office/drawing/2014/main" id="{00000000-0008-0000-0900-00002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xdr:row>
          <xdr:rowOff>9525</xdr:rowOff>
        </xdr:from>
        <xdr:to>
          <xdr:col>17</xdr:col>
          <xdr:colOff>295275</xdr:colOff>
          <xdr:row>3</xdr:row>
          <xdr:rowOff>285750</xdr:rowOff>
        </xdr:to>
        <xdr:sp macro="" textlink="">
          <xdr:nvSpPr>
            <xdr:cNvPr id="33832" name="Option Button 40" hidden="1">
              <a:extLst>
                <a:ext uri="{63B3BB69-23CF-44E3-9099-C40C66FF867C}">
                  <a14:compatExt spid="_x0000_s33832"/>
                </a:ext>
                <a:ext uri="{FF2B5EF4-FFF2-40B4-BE49-F238E27FC236}">
                  <a16:creationId xmlns:a16="http://schemas.microsoft.com/office/drawing/2014/main" id="{00000000-0008-0000-0900-00002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819150</xdr:colOff>
          <xdr:row>3</xdr:row>
          <xdr:rowOff>0</xdr:rowOff>
        </xdr:from>
        <xdr:to>
          <xdr:col>9</xdr:col>
          <xdr:colOff>0</xdr:colOff>
          <xdr:row>21</xdr:row>
          <xdr:rowOff>266700</xdr:rowOff>
        </xdr:to>
        <xdr:sp macro="" textlink="">
          <xdr:nvSpPr>
            <xdr:cNvPr id="33835" name="Group Box 43" hidden="1">
              <a:extLst>
                <a:ext uri="{63B3BB69-23CF-44E3-9099-C40C66FF867C}">
                  <a14:compatExt spid="_x0000_s33835"/>
                </a:ext>
                <a:ext uri="{FF2B5EF4-FFF2-40B4-BE49-F238E27FC236}">
                  <a16:creationId xmlns:a16="http://schemas.microsoft.com/office/drawing/2014/main" id="{00000000-0008-0000-0900-00002B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857250</xdr:colOff>
          <xdr:row>7</xdr:row>
          <xdr:rowOff>0</xdr:rowOff>
        </xdr:from>
        <xdr:to>
          <xdr:col>8</xdr:col>
          <xdr:colOff>857250</xdr:colOff>
          <xdr:row>8</xdr:row>
          <xdr:rowOff>0</xdr:rowOff>
        </xdr:to>
        <xdr:sp macro="" textlink="">
          <xdr:nvSpPr>
            <xdr:cNvPr id="33837" name="Option Button 45" hidden="1">
              <a:extLst>
                <a:ext uri="{63B3BB69-23CF-44E3-9099-C40C66FF867C}">
                  <a14:compatExt spid="_x0000_s33837"/>
                </a:ext>
                <a:ext uri="{FF2B5EF4-FFF2-40B4-BE49-F238E27FC236}">
                  <a16:creationId xmlns:a16="http://schemas.microsoft.com/office/drawing/2014/main" id="{00000000-0008-0000-0900-00002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314325</xdr:colOff>
          <xdr:row>4</xdr:row>
          <xdr:rowOff>38100</xdr:rowOff>
        </xdr:from>
        <xdr:to>
          <xdr:col>6</xdr:col>
          <xdr:colOff>866775</xdr:colOff>
          <xdr:row>5</xdr:row>
          <xdr:rowOff>0</xdr:rowOff>
        </xdr:to>
        <xdr:sp macro="" textlink="">
          <xdr:nvSpPr>
            <xdr:cNvPr id="33845" name="Option Button 53" hidden="1">
              <a:extLst>
                <a:ext uri="{63B3BB69-23CF-44E3-9099-C40C66FF867C}">
                  <a14:compatExt spid="_x0000_s33845"/>
                </a:ext>
                <a:ext uri="{FF2B5EF4-FFF2-40B4-BE49-F238E27FC236}">
                  <a16:creationId xmlns:a16="http://schemas.microsoft.com/office/drawing/2014/main" id="{00000000-0008-0000-0900-00003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Info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10</xdr:row>
          <xdr:rowOff>28575</xdr:rowOff>
        </xdr:from>
        <xdr:to>
          <xdr:col>4</xdr:col>
          <xdr:colOff>914400</xdr:colOff>
          <xdr:row>10</xdr:row>
          <xdr:rowOff>266700</xdr:rowOff>
        </xdr:to>
        <xdr:sp macro="" textlink="">
          <xdr:nvSpPr>
            <xdr:cNvPr id="33846" name="Option Button 54" hidden="1">
              <a:extLst>
                <a:ext uri="{63B3BB69-23CF-44E3-9099-C40C66FF867C}">
                  <a14:compatExt spid="_x0000_s33846"/>
                </a:ext>
                <a:ext uri="{FF2B5EF4-FFF2-40B4-BE49-F238E27FC236}">
                  <a16:creationId xmlns:a16="http://schemas.microsoft.com/office/drawing/2014/main" id="{00000000-0008-0000-0900-00003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Info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9</xdr:row>
          <xdr:rowOff>276225</xdr:rowOff>
        </xdr:from>
        <xdr:to>
          <xdr:col>8</xdr:col>
          <xdr:colOff>923925</xdr:colOff>
          <xdr:row>11</xdr:row>
          <xdr:rowOff>9525</xdr:rowOff>
        </xdr:to>
        <xdr:sp macro="" textlink="">
          <xdr:nvSpPr>
            <xdr:cNvPr id="33847" name="Option Button 55" hidden="1">
              <a:extLst>
                <a:ext uri="{63B3BB69-23CF-44E3-9099-C40C66FF867C}">
                  <a14:compatExt spid="_x0000_s33847"/>
                </a:ext>
                <a:ext uri="{FF2B5EF4-FFF2-40B4-BE49-F238E27FC236}">
                  <a16:creationId xmlns:a16="http://schemas.microsoft.com/office/drawing/2014/main" id="{00000000-0008-0000-0900-00003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Info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11</xdr:row>
          <xdr:rowOff>28575</xdr:rowOff>
        </xdr:from>
        <xdr:to>
          <xdr:col>4</xdr:col>
          <xdr:colOff>914400</xdr:colOff>
          <xdr:row>11</xdr:row>
          <xdr:rowOff>266700</xdr:rowOff>
        </xdr:to>
        <xdr:sp macro="" textlink="">
          <xdr:nvSpPr>
            <xdr:cNvPr id="33848" name="Option Button 56" hidden="1">
              <a:extLst>
                <a:ext uri="{63B3BB69-23CF-44E3-9099-C40C66FF867C}">
                  <a14:compatExt spid="_x0000_s33848"/>
                </a:ext>
                <a:ext uri="{FF2B5EF4-FFF2-40B4-BE49-F238E27FC236}">
                  <a16:creationId xmlns:a16="http://schemas.microsoft.com/office/drawing/2014/main" id="{00000000-0008-0000-0900-00003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Info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10</xdr:row>
          <xdr:rowOff>266700</xdr:rowOff>
        </xdr:from>
        <xdr:to>
          <xdr:col>8</xdr:col>
          <xdr:colOff>923925</xdr:colOff>
          <xdr:row>12</xdr:row>
          <xdr:rowOff>0</xdr:rowOff>
        </xdr:to>
        <xdr:sp macro="" textlink="">
          <xdr:nvSpPr>
            <xdr:cNvPr id="33849" name="Option Button 57" hidden="1">
              <a:extLst>
                <a:ext uri="{63B3BB69-23CF-44E3-9099-C40C66FF867C}">
                  <a14:compatExt spid="_x0000_s33849"/>
                </a:ext>
                <a:ext uri="{FF2B5EF4-FFF2-40B4-BE49-F238E27FC236}">
                  <a16:creationId xmlns:a16="http://schemas.microsoft.com/office/drawing/2014/main" id="{00000000-0008-0000-0900-00003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Info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12</xdr:row>
          <xdr:rowOff>28575</xdr:rowOff>
        </xdr:from>
        <xdr:to>
          <xdr:col>4</xdr:col>
          <xdr:colOff>923925</xdr:colOff>
          <xdr:row>12</xdr:row>
          <xdr:rowOff>266700</xdr:rowOff>
        </xdr:to>
        <xdr:sp macro="" textlink="">
          <xdr:nvSpPr>
            <xdr:cNvPr id="33850" name="Option Button 58" hidden="1">
              <a:extLst>
                <a:ext uri="{63B3BB69-23CF-44E3-9099-C40C66FF867C}">
                  <a14:compatExt spid="_x0000_s33850"/>
                </a:ext>
                <a:ext uri="{FF2B5EF4-FFF2-40B4-BE49-F238E27FC236}">
                  <a16:creationId xmlns:a16="http://schemas.microsoft.com/office/drawing/2014/main" id="{00000000-0008-0000-0900-00003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Info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11</xdr:row>
          <xdr:rowOff>266700</xdr:rowOff>
        </xdr:from>
        <xdr:to>
          <xdr:col>8</xdr:col>
          <xdr:colOff>923925</xdr:colOff>
          <xdr:row>13</xdr:row>
          <xdr:rowOff>0</xdr:rowOff>
        </xdr:to>
        <xdr:sp macro="" textlink="">
          <xdr:nvSpPr>
            <xdr:cNvPr id="33851" name="Option Button 59" hidden="1">
              <a:extLst>
                <a:ext uri="{63B3BB69-23CF-44E3-9099-C40C66FF867C}">
                  <a14:compatExt spid="_x0000_s33851"/>
                </a:ext>
                <a:ext uri="{FF2B5EF4-FFF2-40B4-BE49-F238E27FC236}">
                  <a16:creationId xmlns:a16="http://schemas.microsoft.com/office/drawing/2014/main" id="{00000000-0008-0000-0900-00003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Info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19050</xdr:rowOff>
        </xdr:from>
        <xdr:to>
          <xdr:col>22</xdr:col>
          <xdr:colOff>400050</xdr:colOff>
          <xdr:row>2</xdr:row>
          <xdr:rowOff>19050</xdr:rowOff>
        </xdr:to>
        <xdr:sp macro="" textlink="">
          <xdr:nvSpPr>
            <xdr:cNvPr id="33852" name="Group Box 60" hidden="1">
              <a:extLst>
                <a:ext uri="{63B3BB69-23CF-44E3-9099-C40C66FF867C}">
                  <a14:compatExt spid="_x0000_s33852"/>
                </a:ext>
                <a:ext uri="{FF2B5EF4-FFF2-40B4-BE49-F238E27FC236}">
                  <a16:creationId xmlns:a16="http://schemas.microsoft.com/office/drawing/2014/main" id="{00000000-0008-0000-0900-00003C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2257425</xdr:colOff>
          <xdr:row>0</xdr:row>
          <xdr:rowOff>66675</xdr:rowOff>
        </xdr:from>
        <xdr:to>
          <xdr:col>7</xdr:col>
          <xdr:colOff>133350</xdr:colOff>
          <xdr:row>0</xdr:row>
          <xdr:rowOff>390525</xdr:rowOff>
        </xdr:to>
        <xdr:sp macro="" textlink="">
          <xdr:nvSpPr>
            <xdr:cNvPr id="33853" name="Option Button 61" hidden="1">
              <a:extLst>
                <a:ext uri="{63B3BB69-23CF-44E3-9099-C40C66FF867C}">
                  <a14:compatExt spid="_x0000_s33853"/>
                </a:ext>
                <a:ext uri="{FF2B5EF4-FFF2-40B4-BE49-F238E27FC236}">
                  <a16:creationId xmlns:a16="http://schemas.microsoft.com/office/drawing/2014/main" id="{00000000-0008-0000-0900-00003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438150</xdr:colOff>
          <xdr:row>0</xdr:row>
          <xdr:rowOff>76200</xdr:rowOff>
        </xdr:from>
        <xdr:to>
          <xdr:col>17</xdr:col>
          <xdr:colOff>390525</xdr:colOff>
          <xdr:row>0</xdr:row>
          <xdr:rowOff>381000</xdr:rowOff>
        </xdr:to>
        <xdr:sp macro="" textlink="">
          <xdr:nvSpPr>
            <xdr:cNvPr id="33854" name="Option Button 62" hidden="1">
              <a:extLst>
                <a:ext uri="{63B3BB69-23CF-44E3-9099-C40C66FF867C}">
                  <a14:compatExt spid="_x0000_s33854"/>
                </a:ext>
                <a:ext uri="{FF2B5EF4-FFF2-40B4-BE49-F238E27FC236}">
                  <a16:creationId xmlns:a16="http://schemas.microsoft.com/office/drawing/2014/main" id="{00000000-0008-0000-0900-00003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714375</xdr:colOff>
          <xdr:row>3</xdr:row>
          <xdr:rowOff>28575</xdr:rowOff>
        </xdr:from>
        <xdr:to>
          <xdr:col>22</xdr:col>
          <xdr:colOff>219075</xdr:colOff>
          <xdr:row>3</xdr:row>
          <xdr:rowOff>314325</xdr:rowOff>
        </xdr:to>
        <xdr:sp macro="" textlink="">
          <xdr:nvSpPr>
            <xdr:cNvPr id="33860" name="Option Button 68" hidden="1">
              <a:extLst>
                <a:ext uri="{63B3BB69-23CF-44E3-9099-C40C66FF867C}">
                  <a14:compatExt spid="_x0000_s33860"/>
                </a:ext>
                <a:ext uri="{FF2B5EF4-FFF2-40B4-BE49-F238E27FC236}">
                  <a16:creationId xmlns:a16="http://schemas.microsoft.com/office/drawing/2014/main" id="{00000000-0008-0000-0900-00004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41413</xdr:colOff>
      <xdr:row>3</xdr:row>
      <xdr:rowOff>281609</xdr:rowOff>
    </xdr:from>
    <xdr:to>
      <xdr:col>19</xdr:col>
      <xdr:colOff>49696</xdr:colOff>
      <xdr:row>5</xdr:row>
      <xdr:rowOff>82827</xdr:rowOff>
    </xdr:to>
    <xdr:sp macro="" textlink="">
      <xdr:nvSpPr>
        <xdr:cNvPr id="2" name="Pfeil: gestreift nach rechts 1">
          <a:hlinkClick xmlns:r="http://schemas.openxmlformats.org/officeDocument/2006/relationships" r:id="rId2"/>
          <a:extLst>
            <a:ext uri="{FF2B5EF4-FFF2-40B4-BE49-F238E27FC236}">
              <a16:creationId xmlns:a16="http://schemas.microsoft.com/office/drawing/2014/main" id="{E925208B-FF48-4F21-9579-200F39BE314F}"/>
            </a:ext>
          </a:extLst>
        </xdr:cNvPr>
        <xdr:cNvSpPr/>
      </xdr:nvSpPr>
      <xdr:spPr>
        <a:xfrm>
          <a:off x="15389087" y="1250674"/>
          <a:ext cx="1217544" cy="430696"/>
        </a:xfrm>
        <a:prstGeom prst="stripedRightArrow">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1100" b="1"/>
            <a:t>Zum</a:t>
          </a:r>
          <a:r>
            <a:rPr lang="de-DE" sz="1100" b="1" baseline="0"/>
            <a:t> Infoblatt</a:t>
          </a:r>
        </a:p>
        <a:p>
          <a:pPr algn="l"/>
          <a:endParaRPr lang="de-DE" sz="1100" b="1"/>
        </a:p>
      </xdr:txBody>
    </xdr:sp>
    <xdr:clientData/>
  </xdr:twoCellAnchor>
  <xdr:twoCellAnchor>
    <xdr:from>
      <xdr:col>21</xdr:col>
      <xdr:colOff>161507</xdr:colOff>
      <xdr:row>4</xdr:row>
      <xdr:rowOff>173936</xdr:rowOff>
    </xdr:from>
    <xdr:to>
      <xdr:col>22</xdr:col>
      <xdr:colOff>409990</xdr:colOff>
      <xdr:row>6</xdr:row>
      <xdr:rowOff>49695</xdr:rowOff>
    </xdr:to>
    <xdr:sp macro="" textlink="">
      <xdr:nvSpPr>
        <xdr:cNvPr id="5" name="Pfeil: gestreift nach rechts 4">
          <a:hlinkClick xmlns:r="http://schemas.openxmlformats.org/officeDocument/2006/relationships" r:id="rId3"/>
          <a:extLst>
            <a:ext uri="{FF2B5EF4-FFF2-40B4-BE49-F238E27FC236}">
              <a16:creationId xmlns:a16="http://schemas.microsoft.com/office/drawing/2014/main" id="{BF98A3A0-32F3-4505-A176-3D22AC0A28FE}"/>
            </a:ext>
          </a:extLst>
        </xdr:cNvPr>
        <xdr:cNvSpPr/>
      </xdr:nvSpPr>
      <xdr:spPr>
        <a:xfrm>
          <a:off x="17411282" y="1488386"/>
          <a:ext cx="648533" cy="447259"/>
        </a:xfrm>
        <a:prstGeom prst="stripedRightArrow">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b="1"/>
            <a:t>Infos</a:t>
          </a:r>
        </a:p>
      </xdr:txBody>
    </xdr:sp>
    <xdr:clientData/>
  </xdr:twoCellAnchor>
  <mc:AlternateContent xmlns:mc="http://schemas.openxmlformats.org/markup-compatibility/2006">
    <mc:Choice xmlns:a14="http://schemas.microsoft.com/office/drawing/2010/main" Requires="a14">
      <xdr:twoCellAnchor editAs="oneCell">
        <xdr:from>
          <xdr:col>2</xdr:col>
          <xdr:colOff>2324100</xdr:colOff>
          <xdr:row>22</xdr:row>
          <xdr:rowOff>28575</xdr:rowOff>
        </xdr:from>
        <xdr:to>
          <xdr:col>6</xdr:col>
          <xdr:colOff>714375</xdr:colOff>
          <xdr:row>23</xdr:row>
          <xdr:rowOff>0</xdr:rowOff>
        </xdr:to>
        <xdr:sp macro="" textlink="">
          <xdr:nvSpPr>
            <xdr:cNvPr id="33864" name="Check Box 72" hidden="1">
              <a:extLst>
                <a:ext uri="{63B3BB69-23CF-44E3-9099-C40C66FF867C}">
                  <a14:compatExt spid="_x0000_s33864"/>
                </a:ext>
                <a:ext uri="{FF2B5EF4-FFF2-40B4-BE49-F238E27FC236}">
                  <a16:creationId xmlns:a16="http://schemas.microsoft.com/office/drawing/2014/main" id="{00000000-0008-0000-0900-00004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142802</xdr:colOff>
      <xdr:row>0</xdr:row>
      <xdr:rowOff>67233</xdr:rowOff>
    </xdr:from>
    <xdr:to>
      <xdr:col>11</xdr:col>
      <xdr:colOff>290541</xdr:colOff>
      <xdr:row>1</xdr:row>
      <xdr:rowOff>14938</xdr:rowOff>
    </xdr:to>
    <xdr:sp macro="" textlink="">
      <xdr:nvSpPr>
        <xdr:cNvPr id="33796" name="Pfeil: nach rechts 7">
          <a:hlinkClick xmlns:r="http://schemas.openxmlformats.org/officeDocument/2006/relationships" r:id="rId4"/>
          <a:extLst>
            <a:ext uri="{FF2B5EF4-FFF2-40B4-BE49-F238E27FC236}">
              <a16:creationId xmlns:a16="http://schemas.microsoft.com/office/drawing/2014/main" id="{F6005A4E-4D1C-EF9F-379A-E5073B748BCD}"/>
            </a:ext>
          </a:extLst>
        </xdr:cNvPr>
        <xdr:cNvSpPr/>
      </xdr:nvSpPr>
      <xdr:spPr>
        <a:xfrm>
          <a:off x="10437129" y="67233"/>
          <a:ext cx="763200" cy="387320"/>
        </a:xfrm>
        <a:prstGeom prst="rightArrow">
          <a:avLst/>
        </a:prstGeom>
        <a:solidFill>
          <a:srgbClr val="FFFF00">
            <a:alpha val="90000"/>
          </a:srgbClr>
        </a:solidFill>
        <a:ln w="63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u="sng">
              <a:solidFill>
                <a:sysClr val="windowText" lastClr="000000"/>
              </a:solidFill>
            </a:rPr>
            <a:t>rechts</a:t>
          </a:r>
        </a:p>
      </xdr:txBody>
    </xdr:sp>
    <xdr:clientData/>
  </xdr:twoCellAnchor>
  <xdr:twoCellAnchor>
    <xdr:from>
      <xdr:col>8</xdr:col>
      <xdr:colOff>183235</xdr:colOff>
      <xdr:row>0</xdr:row>
      <xdr:rowOff>67229</xdr:rowOff>
    </xdr:from>
    <xdr:to>
      <xdr:col>9</xdr:col>
      <xdr:colOff>825</xdr:colOff>
      <xdr:row>1</xdr:row>
      <xdr:rowOff>15264</xdr:rowOff>
    </xdr:to>
    <xdr:sp macro="" textlink="">
      <xdr:nvSpPr>
        <xdr:cNvPr id="33795" name="Pfeil: nach links 8">
          <a:hlinkClick xmlns:r="http://schemas.openxmlformats.org/officeDocument/2006/relationships" r:id="rId5"/>
          <a:extLst>
            <a:ext uri="{FF2B5EF4-FFF2-40B4-BE49-F238E27FC236}">
              <a16:creationId xmlns:a16="http://schemas.microsoft.com/office/drawing/2014/main" id="{823F68DC-0956-F6D7-083A-A1604CA9353A}"/>
            </a:ext>
          </a:extLst>
        </xdr:cNvPr>
        <xdr:cNvSpPr/>
      </xdr:nvSpPr>
      <xdr:spPr>
        <a:xfrm>
          <a:off x="9532389" y="67229"/>
          <a:ext cx="762763" cy="387650"/>
        </a:xfrm>
        <a:prstGeom prst="leftArrow">
          <a:avLst/>
        </a:prstGeom>
        <a:solidFill>
          <a:srgbClr val="FFFF00">
            <a:alpha val="90000"/>
          </a:srgbClr>
        </a:solidFill>
        <a:ln w="6350"/>
      </xdr:spPr>
      <xdr:style>
        <a:lnRef idx="2">
          <a:schemeClr val="accent1">
            <a:shade val="15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de-DE" sz="1100" u="sng">
              <a:solidFill>
                <a:sysClr val="windowText" lastClr="000000"/>
              </a:solidFill>
              <a:latin typeface="+mn-lt"/>
              <a:ea typeface="+mn-ea"/>
              <a:cs typeface="+mn-cs"/>
            </a:rPr>
            <a:t>links</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4</xdr:col>
      <xdr:colOff>447676</xdr:colOff>
      <xdr:row>1</xdr:row>
      <xdr:rowOff>82549</xdr:rowOff>
    </xdr:from>
    <xdr:to>
      <xdr:col>4</xdr:col>
      <xdr:colOff>987426</xdr:colOff>
      <xdr:row>1</xdr:row>
      <xdr:rowOff>473074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2DCFB993-9F04-490E-88D1-3BE73134A8A4}"/>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78026" y="901699"/>
          <a:ext cx="539750" cy="3905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428626</xdr:colOff>
      <xdr:row>1</xdr:row>
      <xdr:rowOff>114299</xdr:rowOff>
    </xdr:from>
    <xdr:to>
      <xdr:col>4</xdr:col>
      <xdr:colOff>968376</xdr:colOff>
      <xdr:row>2</xdr:row>
      <xdr:rowOff>3174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192B6F8A-9C0B-49B5-BCF1-A4802E747782}"/>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58976" y="933449"/>
          <a:ext cx="539750" cy="3905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384175</xdr:colOff>
      <xdr:row>1</xdr:row>
      <xdr:rowOff>123825</xdr:rowOff>
    </xdr:from>
    <xdr:to>
      <xdr:col>4</xdr:col>
      <xdr:colOff>923925</xdr:colOff>
      <xdr:row>2</xdr:row>
      <xdr:rowOff>0</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05A614DB-8D80-49A9-BBFB-2637815AB93A}"/>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14525" y="942975"/>
          <a:ext cx="539750" cy="3778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4</xdr:col>
      <xdr:colOff>415926</xdr:colOff>
      <xdr:row>1</xdr:row>
      <xdr:rowOff>120649</xdr:rowOff>
    </xdr:from>
    <xdr:to>
      <xdr:col>4</xdr:col>
      <xdr:colOff>955676</xdr:colOff>
      <xdr:row>2</xdr:row>
      <xdr:rowOff>9524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DA9A184F-642F-4FAF-825D-FB154BD28155}"/>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46276" y="939799"/>
          <a:ext cx="539750" cy="3905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4</xdr:col>
      <xdr:colOff>434976</xdr:colOff>
      <xdr:row>1</xdr:row>
      <xdr:rowOff>114299</xdr:rowOff>
    </xdr:from>
    <xdr:to>
      <xdr:col>4</xdr:col>
      <xdr:colOff>974726</xdr:colOff>
      <xdr:row>2</xdr:row>
      <xdr:rowOff>3174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19F70ABC-871D-4939-9765-D7CABE4814B1}"/>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65326" y="933449"/>
          <a:ext cx="539750" cy="3905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4</xdr:col>
      <xdr:colOff>403226</xdr:colOff>
      <xdr:row>1</xdr:row>
      <xdr:rowOff>133349</xdr:rowOff>
    </xdr:from>
    <xdr:to>
      <xdr:col>4</xdr:col>
      <xdr:colOff>942976</xdr:colOff>
      <xdr:row>2</xdr:row>
      <xdr:rowOff>22224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9AE23F59-120B-4BE8-BC9D-CCE6B8DEDB76}"/>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33576" y="952499"/>
          <a:ext cx="539750" cy="3905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4</xdr:col>
      <xdr:colOff>365126</xdr:colOff>
      <xdr:row>1</xdr:row>
      <xdr:rowOff>69849</xdr:rowOff>
    </xdr:from>
    <xdr:to>
      <xdr:col>4</xdr:col>
      <xdr:colOff>904876</xdr:colOff>
      <xdr:row>1</xdr:row>
      <xdr:rowOff>460374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B849ACC8-D16B-48D6-B04E-568E48822C3A}"/>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895476" y="888999"/>
          <a:ext cx="539750" cy="3905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4</xdr:col>
      <xdr:colOff>460376</xdr:colOff>
      <xdr:row>1</xdr:row>
      <xdr:rowOff>101599</xdr:rowOff>
    </xdr:from>
    <xdr:to>
      <xdr:col>4</xdr:col>
      <xdr:colOff>1000126</xdr:colOff>
      <xdr:row>1</xdr:row>
      <xdr:rowOff>492124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90DBD741-EC04-4AE8-BC65-6B6AB87CEA02}"/>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90726" y="920749"/>
          <a:ext cx="539750" cy="3905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4</xdr:col>
      <xdr:colOff>447676</xdr:colOff>
      <xdr:row>1</xdr:row>
      <xdr:rowOff>107949</xdr:rowOff>
    </xdr:from>
    <xdr:to>
      <xdr:col>4</xdr:col>
      <xdr:colOff>987426</xdr:colOff>
      <xdr:row>1</xdr:row>
      <xdr:rowOff>498474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2F2F45A6-768C-4A6D-A434-3A087BAF3E7D}"/>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78026" y="927099"/>
          <a:ext cx="539750" cy="3905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4</xdr:col>
      <xdr:colOff>434976</xdr:colOff>
      <xdr:row>1</xdr:row>
      <xdr:rowOff>120649</xdr:rowOff>
    </xdr:from>
    <xdr:to>
      <xdr:col>4</xdr:col>
      <xdr:colOff>974726</xdr:colOff>
      <xdr:row>2</xdr:row>
      <xdr:rowOff>9524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E401B242-025C-4F43-9891-479DAAF5326B}"/>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65326" y="939799"/>
          <a:ext cx="539750" cy="390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15</xdr:row>
          <xdr:rowOff>9525</xdr:rowOff>
        </xdr:from>
        <xdr:to>
          <xdr:col>2</xdr:col>
          <xdr:colOff>504825</xdr:colOff>
          <xdr:row>15</xdr:row>
          <xdr:rowOff>228600</xdr:rowOff>
        </xdr:to>
        <xdr:sp macro="" textlink="">
          <xdr:nvSpPr>
            <xdr:cNvPr id="157697" name="Check Box 1" hidden="1">
              <a:extLst>
                <a:ext uri="{63B3BB69-23CF-44E3-9099-C40C66FF867C}">
                  <a14:compatExt spid="_x0000_s157697"/>
                </a:ext>
                <a:ext uri="{FF2B5EF4-FFF2-40B4-BE49-F238E27FC236}">
                  <a16:creationId xmlns:a16="http://schemas.microsoft.com/office/drawing/2014/main" id="{00000000-0008-0000-0A00-000001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xdr:row>
          <xdr:rowOff>9525</xdr:rowOff>
        </xdr:from>
        <xdr:to>
          <xdr:col>2</xdr:col>
          <xdr:colOff>523875</xdr:colOff>
          <xdr:row>16</xdr:row>
          <xdr:rowOff>228600</xdr:rowOff>
        </xdr:to>
        <xdr:sp macro="" textlink="">
          <xdr:nvSpPr>
            <xdr:cNvPr id="157700" name="Check Box 4" hidden="1">
              <a:extLst>
                <a:ext uri="{63B3BB69-23CF-44E3-9099-C40C66FF867C}">
                  <a14:compatExt spid="_x0000_s157700"/>
                </a:ext>
                <a:ext uri="{FF2B5EF4-FFF2-40B4-BE49-F238E27FC236}">
                  <a16:creationId xmlns:a16="http://schemas.microsoft.com/office/drawing/2014/main" id="{00000000-0008-0000-0A00-000004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790575</xdr:colOff>
          <xdr:row>18</xdr:row>
          <xdr:rowOff>19050</xdr:rowOff>
        </xdr:from>
        <xdr:to>
          <xdr:col>6</xdr:col>
          <xdr:colOff>866775</xdr:colOff>
          <xdr:row>18</xdr:row>
          <xdr:rowOff>209550</xdr:rowOff>
        </xdr:to>
        <xdr:sp macro="" textlink="">
          <xdr:nvSpPr>
            <xdr:cNvPr id="157701" name="Check Box 5" hidden="1">
              <a:extLst>
                <a:ext uri="{63B3BB69-23CF-44E3-9099-C40C66FF867C}">
                  <a14:compatExt spid="_x0000_s157701"/>
                </a:ext>
                <a:ext uri="{FF2B5EF4-FFF2-40B4-BE49-F238E27FC236}">
                  <a16:creationId xmlns:a16="http://schemas.microsoft.com/office/drawing/2014/main" id="{00000000-0008-0000-0A00-000005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790575</xdr:colOff>
          <xdr:row>19</xdr:row>
          <xdr:rowOff>19050</xdr:rowOff>
        </xdr:from>
        <xdr:to>
          <xdr:col>7</xdr:col>
          <xdr:colOff>0</xdr:colOff>
          <xdr:row>19</xdr:row>
          <xdr:rowOff>219075</xdr:rowOff>
        </xdr:to>
        <xdr:sp macro="" textlink="">
          <xdr:nvSpPr>
            <xdr:cNvPr id="157702" name="Check Box 6" hidden="1">
              <a:extLst>
                <a:ext uri="{63B3BB69-23CF-44E3-9099-C40C66FF867C}">
                  <a14:compatExt spid="_x0000_s157702"/>
                </a:ext>
                <a:ext uri="{FF2B5EF4-FFF2-40B4-BE49-F238E27FC236}">
                  <a16:creationId xmlns:a16="http://schemas.microsoft.com/office/drawing/2014/main" id="{00000000-0008-0000-0A00-000006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5954</xdr:colOff>
      <xdr:row>1</xdr:row>
      <xdr:rowOff>203639</xdr:rowOff>
    </xdr:from>
    <xdr:to>
      <xdr:col>9</xdr:col>
      <xdr:colOff>1012031</xdr:colOff>
      <xdr:row>2</xdr:row>
      <xdr:rowOff>360061</xdr:rowOff>
    </xdr:to>
    <xdr:sp macro="" textlink="">
      <xdr:nvSpPr>
        <xdr:cNvPr id="2" name="Pfeil: nach links 1">
          <a:hlinkClick xmlns:r="http://schemas.openxmlformats.org/officeDocument/2006/relationships" r:id="rId1"/>
          <a:extLst>
            <a:ext uri="{FF2B5EF4-FFF2-40B4-BE49-F238E27FC236}">
              <a16:creationId xmlns:a16="http://schemas.microsoft.com/office/drawing/2014/main" id="{17C37FC4-74DE-8C5E-8C44-F9F2792FB344}"/>
            </a:ext>
          </a:extLst>
        </xdr:cNvPr>
        <xdr:cNvSpPr/>
      </xdr:nvSpPr>
      <xdr:spPr>
        <a:xfrm>
          <a:off x="9747730" y="394139"/>
          <a:ext cx="1006077" cy="392905"/>
        </a:xfrm>
        <a:prstGeom prst="leftArrow">
          <a:avLst>
            <a:gd name="adj1" fmla="val 50000"/>
            <a:gd name="adj2" fmla="val 37880"/>
          </a:avLst>
        </a:prstGeom>
        <a:solidFill>
          <a:srgbClr val="FFFF00"/>
        </a:solidFill>
        <a:ln w="63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600" b="1" u="sng">
              <a:solidFill>
                <a:schemeClr val="tx1"/>
              </a:solidFill>
            </a:rPr>
            <a:t>Zur Dateneingabe</a:t>
          </a:r>
        </a:p>
      </xdr:txBody>
    </xdr:sp>
    <xdr:clientData/>
  </xdr:twoCellAnchor>
  <xdr:twoCellAnchor editAs="oneCell">
    <xdr:from>
      <xdr:col>1</xdr:col>
      <xdr:colOff>1</xdr:colOff>
      <xdr:row>0</xdr:row>
      <xdr:rowOff>25401</xdr:rowOff>
    </xdr:from>
    <xdr:to>
      <xdr:col>1</xdr:col>
      <xdr:colOff>952500</xdr:colOff>
      <xdr:row>2</xdr:row>
      <xdr:rowOff>11490</xdr:rowOff>
    </xdr:to>
    <xdr:pic>
      <xdr:nvPicPr>
        <xdr:cNvPr id="3" name="Grafik 17">
          <a:extLst>
            <a:ext uri="{FF2B5EF4-FFF2-40B4-BE49-F238E27FC236}">
              <a16:creationId xmlns:a16="http://schemas.microsoft.com/office/drawing/2014/main" id="{3B6760F8-AD42-4C52-8295-F9DACF14539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 y="25401"/>
          <a:ext cx="952499" cy="417889"/>
        </a:xfrm>
        <a:prstGeom prst="rect">
          <a:avLst/>
        </a:prstGeom>
      </xdr:spPr>
    </xdr:pic>
    <xdr:clientData/>
  </xdr:twoCellAnchor>
  <xdr:twoCellAnchor editAs="oneCell">
    <xdr:from>
      <xdr:col>9</xdr:col>
      <xdr:colOff>82551</xdr:colOff>
      <xdr:row>0</xdr:row>
      <xdr:rowOff>0</xdr:rowOff>
    </xdr:from>
    <xdr:to>
      <xdr:col>10</xdr:col>
      <xdr:colOff>12700</xdr:colOff>
      <xdr:row>1</xdr:row>
      <xdr:rowOff>227389</xdr:rowOff>
    </xdr:to>
    <xdr:pic>
      <xdr:nvPicPr>
        <xdr:cNvPr id="4" name="Grafik 17">
          <a:extLst>
            <a:ext uri="{FF2B5EF4-FFF2-40B4-BE49-F238E27FC236}">
              <a16:creationId xmlns:a16="http://schemas.microsoft.com/office/drawing/2014/main" id="{976978ED-5C46-48F5-803C-BEF88C25F06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36151" y="0"/>
          <a:ext cx="952499" cy="41788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4</xdr:col>
      <xdr:colOff>454026</xdr:colOff>
      <xdr:row>1</xdr:row>
      <xdr:rowOff>139699</xdr:rowOff>
    </xdr:from>
    <xdr:to>
      <xdr:col>4</xdr:col>
      <xdr:colOff>993776</xdr:colOff>
      <xdr:row>2</xdr:row>
      <xdr:rowOff>28574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712C5779-14BB-4BE4-854D-CEDDDDDBC5FF}"/>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84376" y="958849"/>
          <a:ext cx="539750" cy="3905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4</xdr:col>
      <xdr:colOff>473075</xdr:colOff>
      <xdr:row>1</xdr:row>
      <xdr:rowOff>174625</xdr:rowOff>
    </xdr:from>
    <xdr:to>
      <xdr:col>4</xdr:col>
      <xdr:colOff>1012825</xdr:colOff>
      <xdr:row>2</xdr:row>
      <xdr:rowOff>50800</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E10E0A0A-EA16-444E-A93D-9609D941C92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003425" y="993775"/>
          <a:ext cx="539750" cy="3778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4</xdr:col>
      <xdr:colOff>428625</xdr:colOff>
      <xdr:row>1</xdr:row>
      <xdr:rowOff>130175</xdr:rowOff>
    </xdr:from>
    <xdr:to>
      <xdr:col>4</xdr:col>
      <xdr:colOff>968375</xdr:colOff>
      <xdr:row>34</xdr:row>
      <xdr:rowOff>6350</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FA000BA4-8504-4106-AC80-A1745CAEE17C}"/>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58975" y="949325"/>
          <a:ext cx="539750" cy="3778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4</xdr:col>
      <xdr:colOff>454026</xdr:colOff>
      <xdr:row>1</xdr:row>
      <xdr:rowOff>107949</xdr:rowOff>
    </xdr:from>
    <xdr:to>
      <xdr:col>4</xdr:col>
      <xdr:colOff>993776</xdr:colOff>
      <xdr:row>1</xdr:row>
      <xdr:rowOff>498474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943F702D-39C4-4577-986C-5A0DA698B976}"/>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84376" y="927099"/>
          <a:ext cx="539750" cy="3905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4</xdr:col>
      <xdr:colOff>454026</xdr:colOff>
      <xdr:row>1</xdr:row>
      <xdr:rowOff>107949</xdr:rowOff>
    </xdr:from>
    <xdr:to>
      <xdr:col>4</xdr:col>
      <xdr:colOff>993776</xdr:colOff>
      <xdr:row>1</xdr:row>
      <xdr:rowOff>498474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40E81B3A-EBD1-48B3-AAD9-068F68F7D995}"/>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84376" y="927099"/>
          <a:ext cx="539750" cy="3905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xdr:col>
      <xdr:colOff>447676</xdr:colOff>
      <xdr:row>1</xdr:row>
      <xdr:rowOff>107949</xdr:rowOff>
    </xdr:from>
    <xdr:to>
      <xdr:col>4</xdr:col>
      <xdr:colOff>987426</xdr:colOff>
      <xdr:row>1</xdr:row>
      <xdr:rowOff>495300</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494FFA98-34A7-4D07-83AD-05D007783E7F}"/>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78026" y="927099"/>
          <a:ext cx="539750" cy="38735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4</xdr:col>
      <xdr:colOff>447676</xdr:colOff>
      <xdr:row>1</xdr:row>
      <xdr:rowOff>107949</xdr:rowOff>
    </xdr:from>
    <xdr:to>
      <xdr:col>4</xdr:col>
      <xdr:colOff>987426</xdr:colOff>
      <xdr:row>1</xdr:row>
      <xdr:rowOff>498474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A9883708-8D3E-4351-8F4B-616D4C115C72}"/>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78026" y="927099"/>
          <a:ext cx="539750" cy="3905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4</xdr:col>
      <xdr:colOff>454026</xdr:colOff>
      <xdr:row>1</xdr:row>
      <xdr:rowOff>114299</xdr:rowOff>
    </xdr:from>
    <xdr:to>
      <xdr:col>4</xdr:col>
      <xdr:colOff>993776</xdr:colOff>
      <xdr:row>2</xdr:row>
      <xdr:rowOff>3174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57A87885-1E36-4A80-8C1E-2558E0CDCF77}"/>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84376" y="933449"/>
          <a:ext cx="539750" cy="3905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25</xdr:col>
      <xdr:colOff>0</xdr:colOff>
      <xdr:row>0</xdr:row>
      <xdr:rowOff>264240</xdr:rowOff>
    </xdr:from>
    <xdr:to>
      <xdr:col>25</xdr:col>
      <xdr:colOff>72720</xdr:colOff>
      <xdr:row>0</xdr:row>
      <xdr:rowOff>292680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3" name="Freihand 2">
              <a:extLst>
                <a:ext uri="{FF2B5EF4-FFF2-40B4-BE49-F238E27FC236}">
                  <a16:creationId xmlns:a16="http://schemas.microsoft.com/office/drawing/2014/main" id="{2F555115-097F-07E6-304E-5C06B2D18540}"/>
                </a:ext>
              </a:extLst>
            </xdr14:cNvPr>
            <xdr14:cNvContentPartPr/>
          </xdr14:nvContentPartPr>
          <xdr14:nvPr macro=""/>
          <xdr14:xfrm>
            <a:off x="15868900" y="264240"/>
            <a:ext cx="72720" cy="28440"/>
          </xdr14:xfrm>
        </xdr:contentPart>
      </mc:Choice>
      <mc:Fallback xmlns="">
        <xdr:pic>
          <xdr:nvPicPr>
            <xdr:cNvPr id="3" name="Freihand 2">
              <a:extLst>
                <a:ext uri="{FF2B5EF4-FFF2-40B4-BE49-F238E27FC236}">
                  <a16:creationId xmlns:a16="http://schemas.microsoft.com/office/drawing/2014/main" id="{2F555115-097F-07E6-304E-5C06B2D18540}"/>
                </a:ext>
              </a:extLst>
            </xdr:cNvPr>
            <xdr:cNvPicPr/>
          </xdr:nvPicPr>
          <xdr:blipFill>
            <a:blip xmlns:r="http://schemas.openxmlformats.org/officeDocument/2006/relationships" r:embed="rId5"/>
            <a:stretch>
              <a:fillRect/>
            </a:stretch>
          </xdr:blipFill>
          <xdr:spPr>
            <a:xfrm>
              <a:off x="15862780" y="258120"/>
              <a:ext cx="84960" cy="40680"/>
            </a:xfrm>
            <a:prstGeom prst="rect">
              <a:avLst/>
            </a:prstGeom>
          </xdr:spPr>
        </xdr:pic>
      </mc:Fallback>
    </mc:AlternateContent>
    <xdr:clientData/>
  </xdr:twoCellAnchor>
  <xdr:twoCellAnchor editAs="oneCell">
    <xdr:from>
      <xdr:col>15</xdr:col>
      <xdr:colOff>88900</xdr:colOff>
      <xdr:row>0</xdr:row>
      <xdr:rowOff>98425</xdr:rowOff>
    </xdr:from>
    <xdr:to>
      <xdr:col>15</xdr:col>
      <xdr:colOff>628650</xdr:colOff>
      <xdr:row>0</xdr:row>
      <xdr:rowOff>492125</xdr:rowOff>
    </xdr:to>
    <xdr:pic>
      <xdr:nvPicPr>
        <xdr:cNvPr id="5" name="Grafik 4" descr="Anfangen mit einfarbiger Füllung">
          <a:hlinkClick xmlns:r="http://schemas.openxmlformats.org/officeDocument/2006/relationships" r:id="rId6"/>
          <a:extLst>
            <a:ext uri="{FF2B5EF4-FFF2-40B4-BE49-F238E27FC236}">
              <a16:creationId xmlns:a16="http://schemas.microsoft.com/office/drawing/2014/main" id="{27A6E56C-5EAD-4F2C-87CA-5447FE7F341D}"/>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6546850" y="98425"/>
          <a:ext cx="539750" cy="3937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5</xdr:col>
      <xdr:colOff>476250</xdr:colOff>
      <xdr:row>0</xdr:row>
      <xdr:rowOff>390525</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567A8156-5F93-4A3D-B6A3-4FFBDEE68FB2}"/>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601200" y="0"/>
          <a:ext cx="476250" cy="3905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26</xdr:row>
          <xdr:rowOff>19050</xdr:rowOff>
        </xdr:from>
        <xdr:to>
          <xdr:col>1</xdr:col>
          <xdr:colOff>2095500</xdr:colOff>
          <xdr:row>27</xdr:row>
          <xdr:rowOff>9525</xdr:rowOff>
        </xdr:to>
        <xdr:sp macro="" textlink="">
          <xdr:nvSpPr>
            <xdr:cNvPr id="72709" name="Check Box 5" hidden="1">
              <a:extLst>
                <a:ext uri="{63B3BB69-23CF-44E3-9099-C40C66FF867C}">
                  <a14:compatExt spid="_x0000_s72709"/>
                </a:ext>
                <a:ext uri="{FF2B5EF4-FFF2-40B4-BE49-F238E27FC236}">
                  <a16:creationId xmlns:a16="http://schemas.microsoft.com/office/drawing/2014/main" id="{00000000-0008-0000-0B00-000005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Zuschlag f. Invaliditätsabsicherung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27</xdr:row>
          <xdr:rowOff>28575</xdr:rowOff>
        </xdr:from>
        <xdr:to>
          <xdr:col>1</xdr:col>
          <xdr:colOff>2857500</xdr:colOff>
          <xdr:row>27</xdr:row>
          <xdr:rowOff>180975</xdr:rowOff>
        </xdr:to>
        <xdr:sp macro="" textlink="">
          <xdr:nvSpPr>
            <xdr:cNvPr id="72710" name="Check Box 6" hidden="1">
              <a:extLst>
                <a:ext uri="{63B3BB69-23CF-44E3-9099-C40C66FF867C}">
                  <a14:compatExt spid="_x0000_s72710"/>
                </a:ext>
                <a:ext uri="{FF2B5EF4-FFF2-40B4-BE49-F238E27FC236}">
                  <a16:creationId xmlns:a16="http://schemas.microsoft.com/office/drawing/2014/main" id="{00000000-0008-0000-0B00-000006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Zuschlag f. Hinterbliebenenversorgung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23</xdr:row>
          <xdr:rowOff>19050</xdr:rowOff>
        </xdr:from>
        <xdr:to>
          <xdr:col>5</xdr:col>
          <xdr:colOff>819150</xdr:colOff>
          <xdr:row>24</xdr:row>
          <xdr:rowOff>9525</xdr:rowOff>
        </xdr:to>
        <xdr:sp macro="" textlink="">
          <xdr:nvSpPr>
            <xdr:cNvPr id="72715" name="Check Box 11" hidden="1">
              <a:extLst>
                <a:ext uri="{63B3BB69-23CF-44E3-9099-C40C66FF867C}">
                  <a14:compatExt spid="_x0000_s72715"/>
                </a:ext>
                <a:ext uri="{FF2B5EF4-FFF2-40B4-BE49-F238E27FC236}">
                  <a16:creationId xmlns:a16="http://schemas.microsoft.com/office/drawing/2014/main" id="{00000000-0008-0000-0B00-00000B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24</xdr:row>
          <xdr:rowOff>9525</xdr:rowOff>
        </xdr:from>
        <xdr:to>
          <xdr:col>6</xdr:col>
          <xdr:colOff>161925</xdr:colOff>
          <xdr:row>24</xdr:row>
          <xdr:rowOff>180975</xdr:rowOff>
        </xdr:to>
        <xdr:sp macro="" textlink="">
          <xdr:nvSpPr>
            <xdr:cNvPr id="72716" name="Check Box 12" hidden="1">
              <a:extLst>
                <a:ext uri="{63B3BB69-23CF-44E3-9099-C40C66FF867C}">
                  <a14:compatExt spid="_x0000_s72716"/>
                </a:ext>
                <a:ext uri="{FF2B5EF4-FFF2-40B4-BE49-F238E27FC236}">
                  <a16:creationId xmlns:a16="http://schemas.microsoft.com/office/drawing/2014/main" id="{00000000-0008-0000-0B00-00000C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333375</xdr:colOff>
      <xdr:row>9</xdr:row>
      <xdr:rowOff>12700</xdr:rowOff>
    </xdr:from>
    <xdr:to>
      <xdr:col>8</xdr:col>
      <xdr:colOff>542925</xdr:colOff>
      <xdr:row>9</xdr:row>
      <xdr:rowOff>196850</xdr:rowOff>
    </xdr:to>
    <xdr:sp macro="" textlink="">
      <xdr:nvSpPr>
        <xdr:cNvPr id="2" name="Pfeil: nach oben 1">
          <a:hlinkClick xmlns:r="http://schemas.openxmlformats.org/officeDocument/2006/relationships" r:id="rId1"/>
          <a:extLst>
            <a:ext uri="{FF2B5EF4-FFF2-40B4-BE49-F238E27FC236}">
              <a16:creationId xmlns:a16="http://schemas.microsoft.com/office/drawing/2014/main" id="{E30EF8D8-4B50-16D6-4DBE-13E8E455130C}"/>
            </a:ext>
          </a:extLst>
        </xdr:cNvPr>
        <xdr:cNvSpPr/>
      </xdr:nvSpPr>
      <xdr:spPr>
        <a:xfrm>
          <a:off x="9344025" y="2451100"/>
          <a:ext cx="209550" cy="184150"/>
        </a:xfrm>
        <a:prstGeom prst="upArrow">
          <a:avLst/>
        </a:prstGeom>
        <a:solidFill>
          <a:srgbClr val="FFC000"/>
        </a:solidFill>
        <a:ln w="1270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8</xdr:col>
      <xdr:colOff>657226</xdr:colOff>
      <xdr:row>20</xdr:row>
      <xdr:rowOff>21431</xdr:rowOff>
    </xdr:from>
    <xdr:to>
      <xdr:col>8</xdr:col>
      <xdr:colOff>866776</xdr:colOff>
      <xdr:row>20</xdr:row>
      <xdr:rowOff>177006</xdr:rowOff>
    </xdr:to>
    <xdr:sp macro="" textlink="">
      <xdr:nvSpPr>
        <xdr:cNvPr id="3" name="Pfeil: nach oben 2">
          <a:hlinkClick xmlns:r="http://schemas.openxmlformats.org/officeDocument/2006/relationships" r:id="rId2"/>
          <a:extLst>
            <a:ext uri="{FF2B5EF4-FFF2-40B4-BE49-F238E27FC236}">
              <a16:creationId xmlns:a16="http://schemas.microsoft.com/office/drawing/2014/main" id="{69663F6B-6F13-47D0-8797-EFD9170A27E3}"/>
            </a:ext>
          </a:extLst>
        </xdr:cNvPr>
        <xdr:cNvSpPr/>
      </xdr:nvSpPr>
      <xdr:spPr>
        <a:xfrm>
          <a:off x="9664304" y="4224337"/>
          <a:ext cx="209550" cy="155575"/>
        </a:xfrm>
        <a:prstGeom prst="upArrow">
          <a:avLst/>
        </a:prstGeom>
        <a:solidFill>
          <a:srgbClr val="FFC000"/>
        </a:solidFill>
        <a:ln w="1270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6</xdr:col>
      <xdr:colOff>357179</xdr:colOff>
      <xdr:row>33</xdr:row>
      <xdr:rowOff>5953</xdr:rowOff>
    </xdr:from>
    <xdr:to>
      <xdr:col>6</xdr:col>
      <xdr:colOff>494101</xdr:colOff>
      <xdr:row>33</xdr:row>
      <xdr:rowOff>190103</xdr:rowOff>
    </xdr:to>
    <xdr:sp macro="" textlink="">
      <xdr:nvSpPr>
        <xdr:cNvPr id="4" name="Pfeil: nach oben 3">
          <a:hlinkClick xmlns:r="http://schemas.openxmlformats.org/officeDocument/2006/relationships" r:id="rId3"/>
          <a:extLst>
            <a:ext uri="{FF2B5EF4-FFF2-40B4-BE49-F238E27FC236}">
              <a16:creationId xmlns:a16="http://schemas.microsoft.com/office/drawing/2014/main" id="{E056AF25-2D2A-44C5-A63F-FC01565E6E4C}"/>
            </a:ext>
          </a:extLst>
        </xdr:cNvPr>
        <xdr:cNvSpPr/>
      </xdr:nvSpPr>
      <xdr:spPr>
        <a:xfrm>
          <a:off x="8114101" y="5066109"/>
          <a:ext cx="136922" cy="184150"/>
        </a:xfrm>
        <a:prstGeom prst="upArrow">
          <a:avLst/>
        </a:prstGeom>
        <a:solidFill>
          <a:srgbClr val="FFC000"/>
        </a:solidFill>
        <a:ln w="1270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mc:AlternateContent xmlns:mc="http://schemas.openxmlformats.org/markup-compatibility/2006">
    <mc:Choice xmlns:a14="http://schemas.microsoft.com/office/drawing/2010/main" Requires="a14">
      <xdr:twoCellAnchor editAs="oneCell">
        <xdr:from>
          <xdr:col>0</xdr:col>
          <xdr:colOff>257175</xdr:colOff>
          <xdr:row>29</xdr:row>
          <xdr:rowOff>28575</xdr:rowOff>
        </xdr:from>
        <xdr:to>
          <xdr:col>1</xdr:col>
          <xdr:colOff>2857500</xdr:colOff>
          <xdr:row>30</xdr:row>
          <xdr:rowOff>28575</xdr:rowOff>
        </xdr:to>
        <xdr:sp macro="" textlink="">
          <xdr:nvSpPr>
            <xdr:cNvPr id="72717" name="Check Box 13" hidden="1">
              <a:extLst>
                <a:ext uri="{63B3BB69-23CF-44E3-9099-C40C66FF867C}">
                  <a14:compatExt spid="_x0000_s72717"/>
                </a:ext>
                <a:ext uri="{FF2B5EF4-FFF2-40B4-BE49-F238E27FC236}">
                  <a16:creationId xmlns:a16="http://schemas.microsoft.com/office/drawing/2014/main" id="{00000000-0008-0000-0B00-00000D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30</xdr:row>
          <xdr:rowOff>19050</xdr:rowOff>
        </xdr:from>
        <xdr:to>
          <xdr:col>1</xdr:col>
          <xdr:colOff>2857500</xdr:colOff>
          <xdr:row>30</xdr:row>
          <xdr:rowOff>171450</xdr:rowOff>
        </xdr:to>
        <xdr:sp macro="" textlink="">
          <xdr:nvSpPr>
            <xdr:cNvPr id="72718" name="Check Box 14" hidden="1">
              <a:extLst>
                <a:ext uri="{63B3BB69-23CF-44E3-9099-C40C66FF867C}">
                  <a14:compatExt spid="_x0000_s72718"/>
                </a:ext>
                <a:ext uri="{FF2B5EF4-FFF2-40B4-BE49-F238E27FC236}">
                  <a16:creationId xmlns:a16="http://schemas.microsoft.com/office/drawing/2014/main" id="{00000000-0008-0000-0B00-00000E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5954</xdr:colOff>
      <xdr:row>2</xdr:row>
      <xdr:rowOff>2</xdr:rowOff>
    </xdr:from>
    <xdr:to>
      <xdr:col>9</xdr:col>
      <xdr:colOff>1012031</xdr:colOff>
      <xdr:row>2</xdr:row>
      <xdr:rowOff>542194</xdr:rowOff>
    </xdr:to>
    <xdr:sp macro="" textlink="">
      <xdr:nvSpPr>
        <xdr:cNvPr id="6" name="Pfeil: nach links 5">
          <a:hlinkClick xmlns:r="http://schemas.openxmlformats.org/officeDocument/2006/relationships" r:id="rId4"/>
          <a:extLst>
            <a:ext uri="{FF2B5EF4-FFF2-40B4-BE49-F238E27FC236}">
              <a16:creationId xmlns:a16="http://schemas.microsoft.com/office/drawing/2014/main" id="{9F9670F9-7631-462D-AB06-A95F888B0BA5}"/>
            </a:ext>
          </a:extLst>
        </xdr:cNvPr>
        <xdr:cNvSpPr/>
      </xdr:nvSpPr>
      <xdr:spPr>
        <a:xfrm>
          <a:off x="9889973" y="432290"/>
          <a:ext cx="1006077" cy="542192"/>
        </a:xfrm>
        <a:prstGeom prst="leftArrow">
          <a:avLst>
            <a:gd name="adj1" fmla="val 50000"/>
            <a:gd name="adj2" fmla="val 37880"/>
          </a:avLst>
        </a:prstGeom>
        <a:solidFill>
          <a:srgbClr val="FFFF00"/>
        </a:solidFill>
        <a:ln w="63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600" b="1" u="sng">
              <a:solidFill>
                <a:schemeClr val="tx1"/>
              </a:solidFill>
            </a:rPr>
            <a:t>Zur Dateneingabe</a:t>
          </a:r>
        </a:p>
      </xdr:txBody>
    </xdr:sp>
    <xdr:clientData/>
  </xdr:twoCellAnchor>
  <xdr:twoCellAnchor editAs="oneCell">
    <xdr:from>
      <xdr:col>0</xdr:col>
      <xdr:colOff>256442</xdr:colOff>
      <xdr:row>0</xdr:row>
      <xdr:rowOff>0</xdr:rowOff>
    </xdr:from>
    <xdr:to>
      <xdr:col>1</xdr:col>
      <xdr:colOff>945172</xdr:colOff>
      <xdr:row>1</xdr:row>
      <xdr:rowOff>227389</xdr:rowOff>
    </xdr:to>
    <xdr:pic>
      <xdr:nvPicPr>
        <xdr:cNvPr id="9" name="Grafik 17">
          <a:extLst>
            <a:ext uri="{FF2B5EF4-FFF2-40B4-BE49-F238E27FC236}">
              <a16:creationId xmlns:a16="http://schemas.microsoft.com/office/drawing/2014/main" id="{376B3DEF-67AF-4064-8840-F93095C4B2A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56442" y="0"/>
          <a:ext cx="952499" cy="417889"/>
        </a:xfrm>
        <a:prstGeom prst="rect">
          <a:avLst/>
        </a:prstGeom>
      </xdr:spPr>
    </xdr:pic>
    <xdr:clientData/>
  </xdr:twoCellAnchor>
  <xdr:twoCellAnchor editAs="oneCell">
    <xdr:from>
      <xdr:col>9</xdr:col>
      <xdr:colOff>104531</xdr:colOff>
      <xdr:row>0</xdr:row>
      <xdr:rowOff>0</xdr:rowOff>
    </xdr:from>
    <xdr:to>
      <xdr:col>10</xdr:col>
      <xdr:colOff>38587</xdr:colOff>
      <xdr:row>1</xdr:row>
      <xdr:rowOff>227389</xdr:rowOff>
    </xdr:to>
    <xdr:pic>
      <xdr:nvPicPr>
        <xdr:cNvPr id="10" name="Grafik 17">
          <a:extLst>
            <a:ext uri="{FF2B5EF4-FFF2-40B4-BE49-F238E27FC236}">
              <a16:creationId xmlns:a16="http://schemas.microsoft.com/office/drawing/2014/main" id="{3CC318C3-C68E-4609-886D-CB56712519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988550" y="0"/>
          <a:ext cx="952499" cy="41788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5</xdr:col>
      <xdr:colOff>476250</xdr:colOff>
      <xdr:row>0</xdr:row>
      <xdr:rowOff>390525</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5A2902AA-0195-4729-A56A-CB1CB0828A9F}"/>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906000" y="0"/>
          <a:ext cx="476250" cy="390525"/>
        </a:xfrm>
        <a:prstGeom prst="rect">
          <a:avLst/>
        </a:prstGeom>
      </xdr:spPr>
    </xdr:pic>
    <xdr:clientData/>
  </xdr:twoCellAnchor>
  <xdr:twoCellAnchor editAs="oneCell">
    <xdr:from>
      <xdr:col>5</xdr:col>
      <xdr:colOff>328196</xdr:colOff>
      <xdr:row>0</xdr:row>
      <xdr:rowOff>275760</xdr:rowOff>
    </xdr:from>
    <xdr:to>
      <xdr:col>5</xdr:col>
      <xdr:colOff>340436</xdr:colOff>
      <xdr:row>0</xdr:row>
      <xdr:rowOff>282240</xdr:rowOff>
    </xdr:to>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Freihand 3">
              <a:extLst>
                <a:ext uri="{FF2B5EF4-FFF2-40B4-BE49-F238E27FC236}">
                  <a16:creationId xmlns:a16="http://schemas.microsoft.com/office/drawing/2014/main" id="{12721F17-825C-02E5-115D-4D269F4B5964}"/>
                </a:ext>
              </a:extLst>
            </xdr14:cNvPr>
            <xdr14:cNvContentPartPr/>
          </xdr14:nvContentPartPr>
          <xdr14:nvPr macro=""/>
          <xdr14:xfrm>
            <a:off x="9905748" y="275760"/>
            <a:ext cx="12240" cy="6480"/>
          </xdr14:xfrm>
        </xdr:contentPart>
      </mc:Choice>
      <mc:Fallback xmlns="">
        <xdr:pic>
          <xdr:nvPicPr>
            <xdr:cNvPr id="4" name="Freihand 3">
              <a:extLst>
                <a:ext uri="{FF2B5EF4-FFF2-40B4-BE49-F238E27FC236}">
                  <a16:creationId xmlns:a16="http://schemas.microsoft.com/office/drawing/2014/main" id="{12721F17-825C-02E5-115D-4D269F4B5964}"/>
                </a:ext>
              </a:extLst>
            </xdr:cNvPr>
            <xdr:cNvPicPr/>
          </xdr:nvPicPr>
          <xdr:blipFill>
            <a:blip xmlns:r="http://schemas.openxmlformats.org/officeDocument/2006/relationships" r:embed="rId6"/>
            <a:stretch>
              <a:fillRect/>
            </a:stretch>
          </xdr:blipFill>
          <xdr:spPr>
            <a:xfrm>
              <a:off x="9899628" y="269640"/>
              <a:ext cx="24480" cy="18720"/>
            </a:xfrm>
            <a:prstGeom prst="rect">
              <a:avLst/>
            </a:prstGeom>
          </xdr:spPr>
        </xdr:pic>
      </mc:Fallback>
    </mc:AlternateContent>
    <xdr:clientData/>
  </xdr:twoCellAnchor>
  <xdr:twoCellAnchor editAs="oneCell">
    <xdr:from>
      <xdr:col>5</xdr:col>
      <xdr:colOff>372116</xdr:colOff>
      <xdr:row>0</xdr:row>
      <xdr:rowOff>128160</xdr:rowOff>
    </xdr:from>
    <xdr:to>
      <xdr:col>5</xdr:col>
      <xdr:colOff>392636</xdr:colOff>
      <xdr:row>0</xdr:row>
      <xdr:rowOff>147600</xdr:rowOff>
    </xdr:to>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5" name="Freihand 4">
              <a:extLst>
                <a:ext uri="{FF2B5EF4-FFF2-40B4-BE49-F238E27FC236}">
                  <a16:creationId xmlns:a16="http://schemas.microsoft.com/office/drawing/2014/main" id="{206559AB-104C-FB2F-6192-EDB662DCA1AB}"/>
                </a:ext>
              </a:extLst>
            </xdr14:cNvPr>
            <xdr14:cNvContentPartPr/>
          </xdr14:nvContentPartPr>
          <xdr14:nvPr macro=""/>
          <xdr14:xfrm>
            <a:off x="9949668" y="128160"/>
            <a:ext cx="20520" cy="19440"/>
          </xdr14:xfrm>
        </xdr:contentPart>
      </mc:Choice>
      <mc:Fallback xmlns="">
        <xdr:pic>
          <xdr:nvPicPr>
            <xdr:cNvPr id="5" name="Freihand 4">
              <a:extLst>
                <a:ext uri="{FF2B5EF4-FFF2-40B4-BE49-F238E27FC236}">
                  <a16:creationId xmlns:a16="http://schemas.microsoft.com/office/drawing/2014/main" id="{206559AB-104C-FB2F-6192-EDB662DCA1AB}"/>
                </a:ext>
              </a:extLst>
            </xdr:cNvPr>
            <xdr:cNvPicPr/>
          </xdr:nvPicPr>
          <xdr:blipFill>
            <a:blip xmlns:r="http://schemas.openxmlformats.org/officeDocument/2006/relationships" r:embed="rId8"/>
            <a:stretch>
              <a:fillRect/>
            </a:stretch>
          </xdr:blipFill>
          <xdr:spPr>
            <a:xfrm>
              <a:off x="9943548" y="122040"/>
              <a:ext cx="32760" cy="31680"/>
            </a:xfrm>
            <a:prstGeom prst="rect">
              <a:avLst/>
            </a:prstGeom>
          </xdr:spPr>
        </xdr:pic>
      </mc:Fallback>
    </mc:AlternateContent>
    <xdr:clientData/>
  </xdr:twoCellAnchor>
  <xdr:twoCellAnchor editAs="oneCell">
    <xdr:from>
      <xdr:col>5</xdr:col>
      <xdr:colOff>246836</xdr:colOff>
      <xdr:row>0</xdr:row>
      <xdr:rowOff>236880</xdr:rowOff>
    </xdr:from>
    <xdr:to>
      <xdr:col>5</xdr:col>
      <xdr:colOff>267716</xdr:colOff>
      <xdr:row>0</xdr:row>
      <xdr:rowOff>252000</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6" name="Freihand 5">
              <a:extLst>
                <a:ext uri="{FF2B5EF4-FFF2-40B4-BE49-F238E27FC236}">
                  <a16:creationId xmlns:a16="http://schemas.microsoft.com/office/drawing/2014/main" id="{CAF3A3F8-9E94-0C5B-E362-D261C4C2B345}"/>
                </a:ext>
              </a:extLst>
            </xdr14:cNvPr>
            <xdr14:cNvContentPartPr/>
          </xdr14:nvContentPartPr>
          <xdr14:nvPr macro=""/>
          <xdr14:xfrm>
            <a:off x="9824388" y="236880"/>
            <a:ext cx="20880" cy="15120"/>
          </xdr14:xfrm>
        </xdr:contentPart>
      </mc:Choice>
      <mc:Fallback xmlns="">
        <xdr:pic>
          <xdr:nvPicPr>
            <xdr:cNvPr id="6" name="Freihand 5">
              <a:extLst>
                <a:ext uri="{FF2B5EF4-FFF2-40B4-BE49-F238E27FC236}">
                  <a16:creationId xmlns:a16="http://schemas.microsoft.com/office/drawing/2014/main" id="{CAF3A3F8-9E94-0C5B-E362-D261C4C2B345}"/>
                </a:ext>
              </a:extLst>
            </xdr:cNvPr>
            <xdr:cNvPicPr/>
          </xdr:nvPicPr>
          <xdr:blipFill>
            <a:blip xmlns:r="http://schemas.openxmlformats.org/officeDocument/2006/relationships" r:embed="rId10"/>
            <a:stretch>
              <a:fillRect/>
            </a:stretch>
          </xdr:blipFill>
          <xdr:spPr>
            <a:xfrm>
              <a:off x="9818268" y="230760"/>
              <a:ext cx="33120" cy="27360"/>
            </a:xfrm>
            <a:prstGeom prst="rect">
              <a:avLst/>
            </a:prstGeom>
          </xdr:spPr>
        </xdr:pic>
      </mc:Fallback>
    </mc:AlternateContent>
    <xdr:clientData/>
  </xdr:twoCellAnchor>
  <xdr:twoCellAnchor editAs="oneCell">
    <xdr:from>
      <xdr:col>5</xdr:col>
      <xdr:colOff>160436</xdr:colOff>
      <xdr:row>0</xdr:row>
      <xdr:rowOff>192240</xdr:rowOff>
    </xdr:from>
    <xdr:to>
      <xdr:col>5</xdr:col>
      <xdr:colOff>185276</xdr:colOff>
      <xdr:row>0</xdr:row>
      <xdr:rowOff>201240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7" name="Freihand 6">
              <a:extLst>
                <a:ext uri="{FF2B5EF4-FFF2-40B4-BE49-F238E27FC236}">
                  <a16:creationId xmlns:a16="http://schemas.microsoft.com/office/drawing/2014/main" id="{F33B1A6F-9C23-FFE0-15F1-8C74B023D438}"/>
                </a:ext>
              </a:extLst>
            </xdr14:cNvPr>
            <xdr14:cNvContentPartPr/>
          </xdr14:nvContentPartPr>
          <xdr14:nvPr macro=""/>
          <xdr14:xfrm>
            <a:off x="9737988" y="192240"/>
            <a:ext cx="24840" cy="9000"/>
          </xdr14:xfrm>
        </xdr:contentPart>
      </mc:Choice>
      <mc:Fallback xmlns="">
        <xdr:pic>
          <xdr:nvPicPr>
            <xdr:cNvPr id="7" name="Freihand 6">
              <a:extLst>
                <a:ext uri="{FF2B5EF4-FFF2-40B4-BE49-F238E27FC236}">
                  <a16:creationId xmlns:a16="http://schemas.microsoft.com/office/drawing/2014/main" id="{F33B1A6F-9C23-FFE0-15F1-8C74B023D438}"/>
                </a:ext>
              </a:extLst>
            </xdr:cNvPr>
            <xdr:cNvPicPr/>
          </xdr:nvPicPr>
          <xdr:blipFill>
            <a:blip xmlns:r="http://schemas.openxmlformats.org/officeDocument/2006/relationships" r:embed="rId12"/>
            <a:stretch>
              <a:fillRect/>
            </a:stretch>
          </xdr:blipFill>
          <xdr:spPr>
            <a:xfrm>
              <a:off x="9731868" y="186120"/>
              <a:ext cx="37080" cy="21240"/>
            </a:xfrm>
            <a:prstGeom prst="rect">
              <a:avLst/>
            </a:prstGeom>
          </xdr:spPr>
        </xdr:pic>
      </mc:Fallback>
    </mc:AlternateContent>
    <xdr:clientData/>
  </xdr:twoCellAnchor>
  <xdr:twoCellAnchor editAs="oneCell">
    <xdr:from>
      <xdr:col>5</xdr:col>
      <xdr:colOff>247196</xdr:colOff>
      <xdr:row>0</xdr:row>
      <xdr:rowOff>154800</xdr:rowOff>
    </xdr:from>
    <xdr:to>
      <xdr:col>5</xdr:col>
      <xdr:colOff>256916</xdr:colOff>
      <xdr:row>0</xdr:row>
      <xdr:rowOff>162360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8" name="Freihand 7">
              <a:extLst>
                <a:ext uri="{FF2B5EF4-FFF2-40B4-BE49-F238E27FC236}">
                  <a16:creationId xmlns:a16="http://schemas.microsoft.com/office/drawing/2014/main" id="{8056BF04-45FD-763C-1F1F-2EF2799F8221}"/>
                </a:ext>
              </a:extLst>
            </xdr14:cNvPr>
            <xdr14:cNvContentPartPr/>
          </xdr14:nvContentPartPr>
          <xdr14:nvPr macro=""/>
          <xdr14:xfrm>
            <a:off x="9824748" y="154800"/>
            <a:ext cx="9720" cy="7560"/>
          </xdr14:xfrm>
        </xdr:contentPart>
      </mc:Choice>
      <mc:Fallback xmlns="">
        <xdr:pic>
          <xdr:nvPicPr>
            <xdr:cNvPr id="8" name="Freihand 7">
              <a:extLst>
                <a:ext uri="{FF2B5EF4-FFF2-40B4-BE49-F238E27FC236}">
                  <a16:creationId xmlns:a16="http://schemas.microsoft.com/office/drawing/2014/main" id="{8056BF04-45FD-763C-1F1F-2EF2799F8221}"/>
                </a:ext>
              </a:extLst>
            </xdr:cNvPr>
            <xdr:cNvPicPr/>
          </xdr:nvPicPr>
          <xdr:blipFill>
            <a:blip xmlns:r="http://schemas.openxmlformats.org/officeDocument/2006/relationships" r:embed="rId14"/>
            <a:stretch>
              <a:fillRect/>
            </a:stretch>
          </xdr:blipFill>
          <xdr:spPr>
            <a:xfrm>
              <a:off x="9818628" y="148680"/>
              <a:ext cx="21960" cy="19800"/>
            </a:xfrm>
            <a:prstGeom prst="rect">
              <a:avLst/>
            </a:prstGeom>
          </xdr:spPr>
        </xdr:pic>
      </mc:Fallback>
    </mc:AlternateContent>
    <xdr:clientData/>
  </xdr:twoCellAnchor>
</xdr:wsDr>
</file>

<file path=xl/drawings/drawing41.xml><?xml version="1.0" encoding="utf-8"?>
<xdr:wsDr xmlns:xdr="http://schemas.openxmlformats.org/drawingml/2006/spreadsheetDrawing" xmlns:a="http://schemas.openxmlformats.org/drawingml/2006/main">
  <xdr:twoCellAnchor editAs="oneCell">
    <xdr:from>
      <xdr:col>16</xdr:col>
      <xdr:colOff>114300</xdr:colOff>
      <xdr:row>1</xdr:row>
      <xdr:rowOff>104775</xdr:rowOff>
    </xdr:from>
    <xdr:to>
      <xdr:col>16</xdr:col>
      <xdr:colOff>590550</xdr:colOff>
      <xdr:row>3</xdr:row>
      <xdr:rowOff>114300</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8A990251-729B-4AE9-8277-6ED2CC9028C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0791825" y="295275"/>
          <a:ext cx="476250" cy="3905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2</xdr:col>
      <xdr:colOff>3689349</xdr:colOff>
      <xdr:row>0</xdr:row>
      <xdr:rowOff>0</xdr:rowOff>
    </xdr:from>
    <xdr:to>
      <xdr:col>3</xdr:col>
      <xdr:colOff>605572</xdr:colOff>
      <xdr:row>1</xdr:row>
      <xdr:rowOff>12700</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122FF90E-704B-47DC-A201-1DDC16541AF8}"/>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7308849" y="0"/>
          <a:ext cx="605573" cy="43815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5</xdr:col>
      <xdr:colOff>602398</xdr:colOff>
      <xdr:row>0</xdr:row>
      <xdr:rowOff>431800</xdr:rowOff>
    </xdr:to>
    <xdr:pic>
      <xdr:nvPicPr>
        <xdr:cNvPr id="5" name="Grafik 4" descr="Anfangen mit einfarbiger Füllung">
          <a:hlinkClick xmlns:r="http://schemas.openxmlformats.org/officeDocument/2006/relationships" r:id="rId1"/>
          <a:extLst>
            <a:ext uri="{FF2B5EF4-FFF2-40B4-BE49-F238E27FC236}">
              <a16:creationId xmlns:a16="http://schemas.microsoft.com/office/drawing/2014/main" id="{EA715E2E-CAA4-45B6-AB36-5B14E149FC06}"/>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72850" y="0"/>
          <a:ext cx="602398" cy="431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6</xdr:col>
      <xdr:colOff>9524</xdr:colOff>
      <xdr:row>2</xdr:row>
      <xdr:rowOff>6828</xdr:rowOff>
    </xdr:from>
    <xdr:to>
      <xdr:col>7</xdr:col>
      <xdr:colOff>0</xdr:colOff>
      <xdr:row>2</xdr:row>
      <xdr:rowOff>438150</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52B9BB18-CC7F-4BF1-9557-B279B5BBC30D}"/>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8162924" y="559278"/>
          <a:ext cx="533401" cy="43132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7</xdr:col>
      <xdr:colOff>0</xdr:colOff>
      <xdr:row>8</xdr:row>
      <xdr:rowOff>0</xdr:rowOff>
    </xdr:from>
    <xdr:to>
      <xdr:col>16384</xdr:col>
      <xdr:colOff>49948</xdr:colOff>
      <xdr:row>8</xdr:row>
      <xdr:rowOff>431800</xdr:rowOff>
    </xdr:to>
    <xdr:pic>
      <xdr:nvPicPr>
        <xdr:cNvPr id="8" name="Grafik 7" descr="Anfangen mit einfarbiger Füllung">
          <a:hlinkClick xmlns:r="http://schemas.openxmlformats.org/officeDocument/2006/relationships" r:id="rId1"/>
          <a:extLst>
            <a:ext uri="{FF2B5EF4-FFF2-40B4-BE49-F238E27FC236}">
              <a16:creationId xmlns:a16="http://schemas.microsoft.com/office/drawing/2014/main" id="{098D5A01-8208-4150-80FD-4D213805F196}"/>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8077200" y="2000250"/>
          <a:ext cx="602398" cy="431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8</xdr:col>
      <xdr:colOff>76200</xdr:colOff>
      <xdr:row>4</xdr:row>
      <xdr:rowOff>0</xdr:rowOff>
    </xdr:from>
    <xdr:to>
      <xdr:col>8</xdr:col>
      <xdr:colOff>678598</xdr:colOff>
      <xdr:row>6</xdr:row>
      <xdr:rowOff>50800</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CC1DA486-35F0-4747-A6D2-E576C16506CC}"/>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5972175" y="771525"/>
          <a:ext cx="602398" cy="431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25</xdr:col>
      <xdr:colOff>567581</xdr:colOff>
      <xdr:row>0</xdr:row>
      <xdr:rowOff>41460</xdr:rowOff>
    </xdr:from>
    <xdr:to>
      <xdr:col>26</xdr:col>
      <xdr:colOff>440956</xdr:colOff>
      <xdr:row>2</xdr:row>
      <xdr:rowOff>257174</xdr:rowOff>
    </xdr:to>
    <xdr:sp macro="" textlink="">
      <xdr:nvSpPr>
        <xdr:cNvPr id="2" name="Pfeil: gestreift nach rechts 1">
          <a:hlinkClick xmlns:r="http://schemas.openxmlformats.org/officeDocument/2006/relationships" r:id="rId1"/>
          <a:extLst>
            <a:ext uri="{FF2B5EF4-FFF2-40B4-BE49-F238E27FC236}">
              <a16:creationId xmlns:a16="http://schemas.microsoft.com/office/drawing/2014/main" id="{FEC8B6CE-8772-49C0-B099-FB9DBE6B844F}"/>
            </a:ext>
          </a:extLst>
        </xdr:cNvPr>
        <xdr:cNvSpPr/>
      </xdr:nvSpPr>
      <xdr:spPr>
        <a:xfrm rot="16200000">
          <a:off x="17106437" y="190404"/>
          <a:ext cx="749114" cy="451225"/>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chemeClr val="tx1"/>
              </a:solidFill>
            </a:rPr>
            <a:t>Inhalt</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26</xdr:row>
          <xdr:rowOff>9525</xdr:rowOff>
        </xdr:from>
        <xdr:to>
          <xdr:col>1</xdr:col>
          <xdr:colOff>1590675</xdr:colOff>
          <xdr:row>26</xdr:row>
          <xdr:rowOff>200025</xdr:rowOff>
        </xdr:to>
        <xdr:sp macro="" textlink="">
          <xdr:nvSpPr>
            <xdr:cNvPr id="109569" name="Check Box 1" hidden="1">
              <a:extLst>
                <a:ext uri="{63B3BB69-23CF-44E3-9099-C40C66FF867C}">
                  <a14:compatExt spid="_x0000_s109569"/>
                </a:ext>
                <a:ext uri="{FF2B5EF4-FFF2-40B4-BE49-F238E27FC236}">
                  <a16:creationId xmlns:a16="http://schemas.microsoft.com/office/drawing/2014/main" id="{00000000-0008-0000-1400-000001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238125</xdr:rowOff>
        </xdr:from>
        <xdr:to>
          <xdr:col>1</xdr:col>
          <xdr:colOff>1600200</xdr:colOff>
          <xdr:row>28</xdr:row>
          <xdr:rowOff>9525</xdr:rowOff>
        </xdr:to>
        <xdr:sp macro="" textlink="">
          <xdr:nvSpPr>
            <xdr:cNvPr id="109570" name="Check Box 2" hidden="1">
              <a:extLst>
                <a:ext uri="{63B3BB69-23CF-44E3-9099-C40C66FF867C}">
                  <a14:compatExt spid="_x0000_s109570"/>
                </a:ext>
                <a:ext uri="{FF2B5EF4-FFF2-40B4-BE49-F238E27FC236}">
                  <a16:creationId xmlns:a16="http://schemas.microsoft.com/office/drawing/2014/main" id="{00000000-0008-0000-1400-000002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xdr:row>
          <xdr:rowOff>0</xdr:rowOff>
        </xdr:from>
        <xdr:to>
          <xdr:col>1</xdr:col>
          <xdr:colOff>2105025</xdr:colOff>
          <xdr:row>20</xdr:row>
          <xdr:rowOff>180975</xdr:rowOff>
        </xdr:to>
        <xdr:sp macro="" textlink="">
          <xdr:nvSpPr>
            <xdr:cNvPr id="109574" name="Check Box 6" hidden="1">
              <a:extLst>
                <a:ext uri="{63B3BB69-23CF-44E3-9099-C40C66FF867C}">
                  <a14:compatExt spid="_x0000_s109574"/>
                </a:ext>
                <a:ext uri="{FF2B5EF4-FFF2-40B4-BE49-F238E27FC236}">
                  <a16:creationId xmlns:a16="http://schemas.microsoft.com/office/drawing/2014/main" id="{00000000-0008-0000-1400-000006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Zuschlag f. Invaliditätsabsicherung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0</xdr:rowOff>
        </xdr:from>
        <xdr:to>
          <xdr:col>1</xdr:col>
          <xdr:colOff>2876550</xdr:colOff>
          <xdr:row>22</xdr:row>
          <xdr:rowOff>0</xdr:rowOff>
        </xdr:to>
        <xdr:sp macro="" textlink="">
          <xdr:nvSpPr>
            <xdr:cNvPr id="109575" name="Check Box 7" hidden="1">
              <a:extLst>
                <a:ext uri="{63B3BB69-23CF-44E3-9099-C40C66FF867C}">
                  <a14:compatExt spid="_x0000_s109575"/>
                </a:ext>
                <a:ext uri="{FF2B5EF4-FFF2-40B4-BE49-F238E27FC236}">
                  <a16:creationId xmlns:a16="http://schemas.microsoft.com/office/drawing/2014/main" id="{00000000-0008-0000-1400-000007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Zuschlag f. Hinterbliebenenversorgung</a:t>
              </a:r>
            </a:p>
          </xdr:txBody>
        </xdr:sp>
        <xdr:clientData/>
      </xdr:twoCellAnchor>
    </mc:Choice>
    <mc:Fallback/>
  </mc:AlternateContent>
  <xdr:twoCellAnchor>
    <xdr:from>
      <xdr:col>10</xdr:col>
      <xdr:colOff>32845</xdr:colOff>
      <xdr:row>15</xdr:row>
      <xdr:rowOff>0</xdr:rowOff>
    </xdr:from>
    <xdr:to>
      <xdr:col>10</xdr:col>
      <xdr:colOff>183931</xdr:colOff>
      <xdr:row>16</xdr:row>
      <xdr:rowOff>26276</xdr:rowOff>
    </xdr:to>
    <xdr:sp macro="" textlink="">
      <xdr:nvSpPr>
        <xdr:cNvPr id="2" name="Pfeil: nach oben 1">
          <a:hlinkClick xmlns:r="http://schemas.openxmlformats.org/officeDocument/2006/relationships" r:id="rId1"/>
          <a:extLst>
            <a:ext uri="{FF2B5EF4-FFF2-40B4-BE49-F238E27FC236}">
              <a16:creationId xmlns:a16="http://schemas.microsoft.com/office/drawing/2014/main" id="{C0DCBBC7-E55B-8DED-C914-594775AAF88C}"/>
            </a:ext>
          </a:extLst>
        </xdr:cNvPr>
        <xdr:cNvSpPr/>
      </xdr:nvSpPr>
      <xdr:spPr>
        <a:xfrm>
          <a:off x="8539655" y="1760483"/>
          <a:ext cx="151086" cy="216776"/>
        </a:xfrm>
        <a:prstGeom prst="upArrow">
          <a:avLst/>
        </a:prstGeom>
        <a:solidFill>
          <a:schemeClr val="tx1"/>
        </a:solidFill>
        <a:ln w="1270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9</xdr:col>
      <xdr:colOff>5954</xdr:colOff>
      <xdr:row>2</xdr:row>
      <xdr:rowOff>2</xdr:rowOff>
    </xdr:from>
    <xdr:to>
      <xdr:col>9</xdr:col>
      <xdr:colOff>1012031</xdr:colOff>
      <xdr:row>4</xdr:row>
      <xdr:rowOff>5953</xdr:rowOff>
    </xdr:to>
    <xdr:sp macro="" textlink="">
      <xdr:nvSpPr>
        <xdr:cNvPr id="4" name="Pfeil: nach links 3">
          <a:hlinkClick xmlns:r="http://schemas.openxmlformats.org/officeDocument/2006/relationships" r:id="rId2"/>
          <a:extLst>
            <a:ext uri="{FF2B5EF4-FFF2-40B4-BE49-F238E27FC236}">
              <a16:creationId xmlns:a16="http://schemas.microsoft.com/office/drawing/2014/main" id="{EE7BD3D2-FDCD-48B2-A749-DB973D7D4DE0}"/>
            </a:ext>
          </a:extLst>
        </xdr:cNvPr>
        <xdr:cNvSpPr/>
      </xdr:nvSpPr>
      <xdr:spPr>
        <a:xfrm>
          <a:off x="9786938" y="428627"/>
          <a:ext cx="1006077" cy="386951"/>
        </a:xfrm>
        <a:prstGeom prst="leftArrow">
          <a:avLst>
            <a:gd name="adj1" fmla="val 50000"/>
            <a:gd name="adj2" fmla="val 37880"/>
          </a:avLst>
        </a:prstGeom>
        <a:solidFill>
          <a:srgbClr val="FFFF00"/>
        </a:solidFill>
        <a:ln w="63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600" b="1" u="sng">
              <a:solidFill>
                <a:schemeClr val="tx1"/>
              </a:solidFill>
            </a:rPr>
            <a:t>Zur Dateneingabe</a:t>
          </a:r>
        </a:p>
      </xdr:txBody>
    </xdr:sp>
    <xdr:clientData/>
  </xdr:twoCellAnchor>
  <xdr:twoCellAnchor editAs="oneCell">
    <xdr:from>
      <xdr:col>1</xdr:col>
      <xdr:colOff>0</xdr:colOff>
      <xdr:row>0</xdr:row>
      <xdr:rowOff>0</xdr:rowOff>
    </xdr:from>
    <xdr:to>
      <xdr:col>1</xdr:col>
      <xdr:colOff>951058</xdr:colOff>
      <xdr:row>1</xdr:row>
      <xdr:rowOff>230160</xdr:rowOff>
    </xdr:to>
    <xdr:pic>
      <xdr:nvPicPr>
        <xdr:cNvPr id="7" name="Grafik 6">
          <a:extLst>
            <a:ext uri="{FF2B5EF4-FFF2-40B4-BE49-F238E27FC236}">
              <a16:creationId xmlns:a16="http://schemas.microsoft.com/office/drawing/2014/main" id="{07E3884C-0B24-973E-9A10-3165E53A77AA}"/>
            </a:ext>
          </a:extLst>
        </xdr:cNvPr>
        <xdr:cNvPicPr>
          <a:picLocks noChangeAspect="1"/>
        </xdr:cNvPicPr>
      </xdr:nvPicPr>
      <xdr:blipFill>
        <a:blip xmlns:r="http://schemas.openxmlformats.org/officeDocument/2006/relationships" r:embed="rId3"/>
        <a:stretch>
          <a:fillRect/>
        </a:stretch>
      </xdr:blipFill>
      <xdr:spPr>
        <a:xfrm>
          <a:off x="256190" y="0"/>
          <a:ext cx="951058" cy="420660"/>
        </a:xfrm>
        <a:prstGeom prst="rect">
          <a:avLst/>
        </a:prstGeom>
      </xdr:spPr>
    </xdr:pic>
    <xdr:clientData/>
  </xdr:twoCellAnchor>
  <xdr:twoCellAnchor editAs="oneCell">
    <xdr:from>
      <xdr:col>9</xdr:col>
      <xdr:colOff>93280</xdr:colOff>
      <xdr:row>0</xdr:row>
      <xdr:rowOff>7883</xdr:rowOff>
    </xdr:from>
    <xdr:to>
      <xdr:col>10</xdr:col>
      <xdr:colOff>26149</xdr:colOff>
      <xdr:row>2</xdr:row>
      <xdr:rowOff>1560</xdr:rowOff>
    </xdr:to>
    <xdr:pic>
      <xdr:nvPicPr>
        <xdr:cNvPr id="8" name="Grafik 7">
          <a:extLst>
            <a:ext uri="{FF2B5EF4-FFF2-40B4-BE49-F238E27FC236}">
              <a16:creationId xmlns:a16="http://schemas.microsoft.com/office/drawing/2014/main" id="{FF7072A8-070C-44B3-A9EF-6B94D132369F}"/>
            </a:ext>
          </a:extLst>
        </xdr:cNvPr>
        <xdr:cNvPicPr>
          <a:picLocks noChangeAspect="1"/>
        </xdr:cNvPicPr>
      </xdr:nvPicPr>
      <xdr:blipFill>
        <a:blip xmlns:r="http://schemas.openxmlformats.org/officeDocument/2006/relationships" r:embed="rId3"/>
        <a:stretch>
          <a:fillRect/>
        </a:stretch>
      </xdr:blipFill>
      <xdr:spPr>
        <a:xfrm>
          <a:off x="9874470" y="7883"/>
          <a:ext cx="951058" cy="4206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238815</xdr:colOff>
      <xdr:row>18</xdr:row>
      <xdr:rowOff>149088</xdr:rowOff>
    </xdr:from>
    <xdr:to>
      <xdr:col>1</xdr:col>
      <xdr:colOff>481771</xdr:colOff>
      <xdr:row>20</xdr:row>
      <xdr:rowOff>49696</xdr:rowOff>
    </xdr:to>
    <xdr:pic>
      <xdr:nvPicPr>
        <xdr:cNvPr id="4" name="Grafik 3" descr="Anfangen mit einfarbiger Füllung">
          <a:hlinkClick xmlns:r="http://schemas.openxmlformats.org/officeDocument/2006/relationships" r:id="rId1"/>
          <a:extLst>
            <a:ext uri="{FF2B5EF4-FFF2-40B4-BE49-F238E27FC236}">
              <a16:creationId xmlns:a16="http://schemas.microsoft.com/office/drawing/2014/main" id="{CE13B820-78AA-4754-BC6D-74BA0D709376}"/>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38815" y="3420718"/>
          <a:ext cx="516282" cy="4555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441326</xdr:colOff>
      <xdr:row>1</xdr:row>
      <xdr:rowOff>88899</xdr:rowOff>
    </xdr:from>
    <xdr:to>
      <xdr:col>4</xdr:col>
      <xdr:colOff>981076</xdr:colOff>
      <xdr:row>2</xdr:row>
      <xdr:rowOff>60324</xdr:rowOff>
    </xdr:to>
    <xdr:pic>
      <xdr:nvPicPr>
        <xdr:cNvPr id="4" name="Grafik 3" descr="Anfangen mit einfarbiger Füllung">
          <a:hlinkClick xmlns:r="http://schemas.openxmlformats.org/officeDocument/2006/relationships" r:id="rId1"/>
          <a:extLst>
            <a:ext uri="{FF2B5EF4-FFF2-40B4-BE49-F238E27FC236}">
              <a16:creationId xmlns:a16="http://schemas.microsoft.com/office/drawing/2014/main" id="{A651BDF4-FDD9-2B2B-80AC-56535C32FF6D}"/>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71676" y="908049"/>
          <a:ext cx="539750" cy="4730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409576</xdr:colOff>
      <xdr:row>1</xdr:row>
      <xdr:rowOff>126999</xdr:rowOff>
    </xdr:from>
    <xdr:to>
      <xdr:col>4</xdr:col>
      <xdr:colOff>949326</xdr:colOff>
      <xdr:row>2</xdr:row>
      <xdr:rowOff>98424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1CB6635E-9E63-47F2-92AB-818DE4616BE5}"/>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39926" y="946149"/>
          <a:ext cx="539750" cy="4730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396876</xdr:colOff>
      <xdr:row>1</xdr:row>
      <xdr:rowOff>177799</xdr:rowOff>
    </xdr:from>
    <xdr:to>
      <xdr:col>4</xdr:col>
      <xdr:colOff>936626</xdr:colOff>
      <xdr:row>70</xdr:row>
      <xdr:rowOff>66674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423DCEED-91C0-439A-9D9B-5EF7483B14EE}"/>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27226" y="996949"/>
          <a:ext cx="539750" cy="390525"/>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5-16T07:45:50.334"/>
    </inkml:context>
    <inkml:brush xml:id="br0">
      <inkml:brushProperty name="width" value="0.035" units="cm"/>
      <inkml:brushProperty name="height" value="0.035" units="cm"/>
    </inkml:brush>
  </inkml:definitions>
  <inkml:trace contextRef="#ctx0" brushRef="#br0">77 79 3689 0 0,'-19'-5'300'0'0,"14"5"-296"0"0,0-1 0 0 0,0 0-1 0 0,0-1 1 0 0,0 1 0 0 0,0-1-1 0 0,0 0 1 0 0,0-1 0 0 0,1 1 0 0 0,-9-6-1 0 0,13 7-67 0 0,8 1 49 0 0,0-1 1 0 0,1-1-1 0 0,-1 0 0 0 0,0 0 0 0 0,0 0 0 0 0,0-1 0 0 0,-1-1 1 0 0,10-4-1 0 0,-8 4 2 0 0,0-1 0 0 0,0 2 0 0 0,1-1 0 0 0,0 1 0 0 0,13-2 0 0 0,9 3-457 0 0,-15 2-1603 0 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5-16T10:13:05.597"/>
    </inkml:context>
    <inkml:brush xml:id="br0">
      <inkml:brushProperty name="width" value="0.035" units="cm"/>
      <inkml:brushProperty name="height" value="0.035" units="cm"/>
    </inkml:brush>
  </inkml:definitions>
  <inkml:trace contextRef="#ctx0" brushRef="#br0">33 17 2120 0 0,'-6'-2'1009'0'0,"2"0"-929"0"0,-3-2-104 0 0,2 1-88 0 0,1 2-32 0 0,1-1 8 0 0,0 0 56 0 0,2 2 24 0 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5-16T10:13:07.138"/>
    </inkml:context>
    <inkml:brush xml:id="br0">
      <inkml:brushProperty name="width" value="0.035" units="cm"/>
      <inkml:brushProperty name="height" value="0.035" units="cm"/>
    </inkml:brush>
  </inkml:definitions>
  <inkml:trace contextRef="#ctx0" brushRef="#br0">56 54 3713 0 0,'-17'-7'879'0'0,"13"5"-916"0"0,-1 0 1 0 0,1 1 0 0 0,-1-1-1 0 0,0 1 1 0 0,1 0-1 0 0,-7-1 1 0 0,23-30-1924 0 0,-9 28 295 0 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5-16T10:13:08.010"/>
    </inkml:context>
    <inkml:brush xml:id="br0">
      <inkml:brushProperty name="width" value="0.035" units="cm"/>
      <inkml:brushProperty name="height" value="0.035" units="cm"/>
    </inkml:brush>
  </inkml:definitions>
  <inkml:trace contextRef="#ctx0" brushRef="#br0">58 42 5553 0 0,'-10'-6'1063'0'0,"7"3"-1168"0"0,-1 1 1 0 0,0-1-1 0 0,0 1 1 0 0,0 0 0 0 0,0 0-1 0 0,0 0 1 0 0,0 1-1 0 0,-9-2 1 0 0,13 3 77 0 0,0-1 1 0 0,0 1-1 0 0,0 0 0 0 0,0 0 1 0 0,0 0-1 0 0,0 0 1 0 0,1 0-1 0 0,-1 0 0 0 0,0 0 1 0 0,0 0-1 0 0,0 0 1 0 0,0-1-1 0 0,0 1 0 0 0,0 0 1 0 0,0 0-1 0 0,0 0 1 0 0,0 0-1 0 0,0 0 0 0 0,0 0 1 0 0,0-1-1 0 0,0 1 1 0 0,0 0-1 0 0,0 0 0 0 0,0 0 1 0 0,0 0-1 0 0,0 0 0 0 0,0 0 1 0 0,0-1-1 0 0,0 1 1 0 0,0 0-1 0 0,0 0 0 0 0,0 0 1 0 0,0 0-1 0 0,0 0 1 0 0,0 0-1 0 0,0-1 0 0 0,0 1 1 0 0,0 0-1 0 0,0 0 1 0 0,0 0-1 0 0,-1 0 0 0 0,1 0 1 0 0,0 0-1 0 0,0 0 1 0 0,0 0-1 0 0,0-1 0 0 0,0 1 1 0 0,0 0-1 0 0,0 0 1 0 0,0 0-1 0 0,-1 0 0 0 0,1 0 1 0 0,0 0-1 0 0,0 0 0 0 0,0 0 1 0 0,0 0-1 0 0,0 0 1 0 0,-1 0-1 0 0,1 0 0 0 0,0 0 1 0 0,0 0-1 0 0,0 0 1 0 0,0 0-1 0 0,0 0 0 0 0,0 0 1 0 0,-1 0-1 0 0,1 0 1 0 0,0 0-1 0 0,8-7-1318 0 0,-7 6 1385 0 0,1 0-1775 0 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5-16T10:13:08.821"/>
    </inkml:context>
    <inkml:brush xml:id="br0">
      <inkml:brushProperty name="width" value="0.035" units="cm"/>
      <inkml:brushProperty name="height" value="0.035" units="cm"/>
    </inkml:brush>
  </inkml:definitions>
  <inkml:trace contextRef="#ctx0" brushRef="#br0">25 24 5849 0 0,'-22'-8'1260'0'0,"20"5"-2192"0"0,14 4-471 0 0,-8-1 1229 0 0,0 0 0 0 0,0 0 0 0 0,0 0 0 0 0,-1 0 0 0 0,1-1 0 0 0,0 1 0 0 0,0-1 0 0 0,-1 0 0 0 0,1 0 0 0 0,0-1 1 0 0,-1 1-1 0 0,5-3 0 0 0,-5 2-1539 0 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5-16T10:13:09.041"/>
    </inkml:context>
    <inkml:brush xml:id="br0">
      <inkml:brushProperty name="width" value="0.035" units="cm"/>
      <inkml:brushProperty name="height" value="0.035" units="cm"/>
    </inkml:brush>
  </inkml:definitions>
  <inkml:trace contextRef="#ctx0" brushRef="#br0">24 10 4257 0 0,'-16'-2'1524'0'0,"16"1"-1552"0"0,-1 1 1 0 0,1 0-1 0 0,0 0 1 0 0,0 0-1 0 0,-1 0 0 0 0,1 0 1 0 0,0 0-1 0 0,0 0 1 0 0,-1 0-1 0 0,1 1 1 0 0,0-1-1 0 0,0 0 0 0 0,-1 0 1 0 0,1 0-1 0 0,0 0 1 0 0,0 0-1 0 0,0 0 1 0 0,-1 0-1 0 0,1 0 0 0 0,0 1 1 0 0,0-1-1 0 0,0 0 1 0 0,-1 0-1 0 0,1 0 0 0 0,0 0 1 0 0,0 1-1 0 0,0-1 1 0 0,0 0-1 0 0,0 0 1 0 0,-1 1-1 0 0,1-1 0 0 0,0 0 1 0 0,0 0-1 0 0,0 0 1 0 0,0 1-1 0 0,0-1 1 0 0,0 0-1 0 0,0 0 0 0 0,0 1 1 0 0,0-1-1 0 0,0 0 1 0 0,0 0-1 0 0,0 1 0 0 0,0-1 1 0 0,0 0-1 0 0,0 0 1 0 0,0 1-1 0 0,0-1 1 0 0,0 0-1 0 0,0 0 0 0 0,0 0 1 0 0,1 1-1 0 0,-1-1 1 0 0,0 0-1 0 0,0 0 1 0 0,0 1-1 0 0,0-1 0 0 0,0 0 1 0 0,1 0-1 0 0,-1 0 1 0 0,0 0-1 0 0,1 1 1 0 0,-1-1 8 0 0,0 0 1 0 0,0 0 0 0 0,0 1 0 0 0,0-1 0 0 0,1 0 0 0 0,-1 0-1 0 0,0 0 1 0 0,0 0 0 0 0,0 1 0 0 0,1-1 0 0 0,-1 0 0 0 0,0 0-1 0 0,0 0 1 0 0,1 0 0 0 0,-1 0 0 0 0,0 0 0 0 0,1 0 0 0 0,-1 0-1 0 0,0 0 1 0 0,0 0 0 0 0,1 0 0 0 0,-1 0 0 0 0,0 0 0 0 0,0 0-1 0 0,1 0 1 0 0,-1 0 0 0 0,0 0 0 0 0,0 0 0 0 0,1 0-1 0 0,-1 0 1 0 0,0 0 0 0 0,0 0 0 0 0,1 0 0 0 0,-1-1 0 0 0,0 1-1 0 0,0 0 1 0 0,1 0 0 0 0,-1 0 0 0 0,0 0 0 0 0,0-1 0 0 0,0 1-1 0 0,1 0 1 0 0,8-12-584 0 0,-7 10 427 0 0,0-2-1542 0 0</inkml:trace>
</inkml:ink>
</file>

<file path=xl/richData/_rels/richValueRel.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2">
  <rv s="0">
    <v>0</v>
    <v>4</v>
  </rv>
  <rv s="0">
    <v>1</v>
    <v>5</v>
  </rv>
  <rv s="0">
    <v>2</v>
    <v>5</v>
  </rv>
  <rv s="0">
    <v>3</v>
    <v>5</v>
  </rv>
  <rv s="0">
    <v>4</v>
    <v>5</v>
  </rv>
  <rv s="0">
    <v>5</v>
    <v>5</v>
  </rv>
  <rv s="0">
    <v>6</v>
    <v>5</v>
  </rv>
  <rv s="0">
    <v>7</v>
    <v>5</v>
  </rv>
  <rv s="0">
    <v>8</v>
    <v>5</v>
  </rv>
  <rv s="0">
    <v>9</v>
    <v>5</v>
  </rv>
  <rv s="0">
    <v>10</v>
    <v>5</v>
  </rv>
  <rv s="0">
    <v>0</v>
    <v>5</v>
  </rv>
  <rv s="0">
    <v>11</v>
    <v>5</v>
  </rv>
  <rv s="0">
    <v>12</v>
    <v>5</v>
  </rv>
  <rv s="0">
    <v>13</v>
    <v>5</v>
  </rv>
  <rv s="0">
    <v>14</v>
    <v>5</v>
  </rv>
  <rv s="0">
    <v>15</v>
    <v>5</v>
  </rv>
  <rv s="0">
    <v>16</v>
    <v>5</v>
  </rv>
  <rv s="0">
    <v>17</v>
    <v>5</v>
  </rv>
  <rv s="0">
    <v>18</v>
    <v>5</v>
  </rv>
  <rv s="0">
    <v>19</v>
    <v>5</v>
  </rv>
  <rv s="0">
    <v>20</v>
    <v>5</v>
  </rv>
  <rv s="0">
    <v>21</v>
    <v>5</v>
  </rv>
  <rv s="0">
    <v>22</v>
    <v>5</v>
  </rv>
  <rv s="0">
    <v>23</v>
    <v>5</v>
  </rv>
  <rv s="0">
    <v>24</v>
    <v>5</v>
  </rv>
  <rv s="0">
    <v>25</v>
    <v>5</v>
  </rv>
  <rv s="0">
    <v>26</v>
    <v>5</v>
  </rv>
  <rv s="0">
    <v>27</v>
    <v>5</v>
  </rv>
  <rv s="0">
    <v>28</v>
    <v>5</v>
  </rv>
  <rv s="0">
    <v>29</v>
    <v>5</v>
  </rv>
  <rv s="0">
    <v>30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6C92742-AFC7-4BE0-8E48-187051AE4BF8}" name="Tabelle1" displayName="Tabelle1" ref="B6:E37" totalsRowShown="0" headerRowDxfId="38" dataDxfId="36" headerRowBorderDxfId="37" tableBorderDxfId="35">
  <autoFilter ref="B6:E37" xr:uid="{66C92742-AFC7-4BE0-8E48-187051AE4BF8}"/>
  <tableColumns count="4">
    <tableColumn id="1" xr3:uid="{7C84B58D-7ED5-428C-98C4-3C3B5FCDE18E}" name="Land" dataDxfId="34"/>
    <tableColumn id="2" xr3:uid="{36DCEB29-B9BE-4206-9540-46B6EFA756A1}" name="Geschiedenen-Hinterbliebenenversorgung Ja/nein:   " dataDxfId="33"/>
    <tableColumn id="3" xr3:uid="{88156453-0DF3-4B1F-82AB-579B2387A1EF}" name="Besteht Unterhaltsvoraussetzung?:   " dataDxfId="32"/>
    <tableColumn id="4" xr3:uid="{663469DC-C548-41D6-8E87-F67D5A6B8D59}" name="Existiert eine Wiederverheiratungsklausel?:   " dataDxfId="31"/>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drawing" Target="../drawings/drawing2.x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printerSettings" Target="../printerSettings/printerSettings2.bin"/><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www.bundesfinanzministerium.de/Content/DE/Downloads/BMF_Schreiben/Internationales_Steuerrecht/Allgemeine_Informationen/2026-01-07-stand-DBA-1-januar-2026.pdf?__blob=publicationFile&amp;v=6" TargetMode="External"/><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vmlDrawing" Target="../drawings/vmlDrawing2.v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6.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25.xml"/><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31.xml"/><Relationship Id="rId3" Type="http://schemas.openxmlformats.org/officeDocument/2006/relationships/vmlDrawing" Target="../drawings/vmlDrawing4.vml"/><Relationship Id="rId7" Type="http://schemas.openxmlformats.org/officeDocument/2006/relationships/ctrlProp" Target="../ctrlProps/ctrlProp30.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29.xml"/><Relationship Id="rId5" Type="http://schemas.openxmlformats.org/officeDocument/2006/relationships/ctrlProp" Target="../ctrlProps/ctrlProp28.xml"/><Relationship Id="rId4" Type="http://schemas.openxmlformats.org/officeDocument/2006/relationships/ctrlProp" Target="../ctrlProps/ctrlProp27.xml"/><Relationship Id="rId9" Type="http://schemas.openxmlformats.org/officeDocument/2006/relationships/ctrlProp" Target="../ctrlProps/ctrlProp32.xml"/></Relationships>
</file>

<file path=xl/worksheets/_rels/sheet2.xml.rels><?xml version="1.0" encoding="UTF-8" standalone="yes"?>
<Relationships xmlns="http://schemas.openxmlformats.org/package/2006/relationships"><Relationship Id="rId1"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s>
</file>

<file path=xl/worksheets/_rels/sheet21.xml.rels><?xml version="1.0" encoding="UTF-8" standalone="yes"?>
<Relationships xmlns="http://schemas.openxmlformats.org/package/2006/relationships"><Relationship Id="rId3" Type="http://schemas.openxmlformats.org/officeDocument/2006/relationships/ctrlProp" Target="../ctrlProps/ctrlProp33.xml"/><Relationship Id="rId2" Type="http://schemas.openxmlformats.org/officeDocument/2006/relationships/vmlDrawing" Target="../drawings/vmlDrawing5.vml"/><Relationship Id="rId1" Type="http://schemas.openxmlformats.org/officeDocument/2006/relationships/drawing" Target="../drawings/drawing5.xml"/><Relationship Id="rId6" Type="http://schemas.openxmlformats.org/officeDocument/2006/relationships/ctrlProp" Target="../ctrlProps/ctrlProp36.xml"/><Relationship Id="rId5" Type="http://schemas.openxmlformats.org/officeDocument/2006/relationships/ctrlProp" Target="../ctrlProps/ctrlProp35.xml"/><Relationship Id="rId4" Type="http://schemas.openxmlformats.org/officeDocument/2006/relationships/ctrlProp" Target="../ctrlProps/ctrlProp34.xml"/></Relationships>
</file>

<file path=xl/worksheets/_rels/sheet22.xml.rels><?xml version="1.0" encoding="UTF-8" standalone="yes"?>
<Relationships xmlns="http://schemas.openxmlformats.org/package/2006/relationships"><Relationship Id="rId117" Type="http://schemas.openxmlformats.org/officeDocument/2006/relationships/hyperlink" Target="https://guichet.public.lu/en/citoyens/travail/pension/assurance-pension/retraite-pension-anticipee.html?utm_source=chatgpt.com" TargetMode="External"/><Relationship Id="rId299" Type="http://schemas.openxmlformats.org/officeDocument/2006/relationships/hyperlink" Target="https://www.fu.gov.si/en/life_events_individuals/i_reside_in_slovenia_and_receive_my_pension_from_abroad?utm_source=chatgpt.com" TargetMode="External"/><Relationship Id="rId303" Type="http://schemas.openxmlformats.org/officeDocument/2006/relationships/hyperlink" Target="https://taxsummaries.pwc.com/cyprus/individual/other-taxes?utm_source=chatgpt.com" TargetMode="External"/><Relationship Id="rId21" Type="http://schemas.openxmlformats.org/officeDocument/2006/relationships/hyperlink" Target="https://www.service-public.gouv.fr/particuliers/actualites/A17919?utm_source=chatgpt.com" TargetMode="External"/><Relationship Id="rId42" Type="http://schemas.openxmlformats.org/officeDocument/2006/relationships/hyperlink" Target="https://www.deutsche-rentenversicherung.de/DRV/DE/Rente/Allgemeine-Informationen/Rentenarten-und-Leistungen/Altersrente-fuer-langjaehrig-Versicherte/Altersrente_fuer_langjaehrig_Versicherte.html?utm_source=chatgpt.com" TargetMode="External"/><Relationship Id="rId63" Type="http://schemas.openxmlformats.org/officeDocument/2006/relationships/hyperlink" Target="https://www.norden.org/en/info-norden/icelandic-pension-system" TargetMode="External"/><Relationship Id="rId84" Type="http://schemas.openxmlformats.org/officeDocument/2006/relationships/hyperlink" Target="https://www.lm.gov.lv/en/disability-pension" TargetMode="External"/><Relationship Id="rId138" Type="http://schemas.openxmlformats.org/officeDocument/2006/relationships/hyperlink" Target="https://www.mpisoc.mpg.de/en/social-law/research/research-projects/pension-maps/project-website/norwegen/statutory-old-age-pension-scheme-as-part-of-the-national-insurance-system/?utm_source=chatgpt.com" TargetMode="External"/><Relationship Id="rId159" Type="http://schemas.openxmlformats.org/officeDocument/2006/relationships/hyperlink" Target="https://cnap.public.lu/en/pensions/pension-survie/pension-survie1.html?utm_source=chatgpt.com" TargetMode="External"/><Relationship Id="rId324" Type="http://schemas.openxmlformats.org/officeDocument/2006/relationships/hyperlink" Target="https://www.oecd.org/content/dam/oecd/en/publications/reports/2024/10/pensions-at-a-glance-2023-country-notes_2e11a061/denmark_3a2242da/c6cac6ed-en.pdf?utm_source=chatgpt.com" TargetMode="External"/><Relationship Id="rId170" Type="http://schemas.openxmlformats.org/officeDocument/2006/relationships/hyperlink" Target="https://socmin.lrv.lt/en/activities/social-insurance-1/social-insurance-contributions/?utm_source=chatgpt.com" TargetMode="External"/><Relationship Id="rId191" Type="http://schemas.openxmlformats.org/officeDocument/2006/relationships/hyperlink" Target="https://lang.zus.pl/benefits/old-age-pensions/old-age-pensions-operating-under-the-new-rules?utm_source=chatgpt.com" TargetMode="External"/><Relationship Id="rId205" Type="http://schemas.openxmlformats.org/officeDocument/2006/relationships/hyperlink" Target="https://www.oesterreich.gv.at/de/themen/menschen_mit_behinderungen/pension_und_behinderung/Seite.1280200?utm_source=chatgpt.com" TargetMode="External"/><Relationship Id="rId226" Type="http://schemas.openxmlformats.org/officeDocument/2006/relationships/hyperlink" Target="https://www.mpisoc.mpg.de/en/social-law/research/research-projects/pension-maps/project-website/portugal/general-social-security-scheme/?utm_source=chatgpt.com" TargetMode="External"/><Relationship Id="rId247" Type="http://schemas.openxmlformats.org/officeDocument/2006/relationships/hyperlink" Target="https://www.mpisoc.mpg.de/en/social-law/research/research-projects/pension-maps/project-website/hungary/social-insurance-pension-scheme/?utm_source=chatgpt.com" TargetMode="External"/><Relationship Id="rId107" Type="http://schemas.openxmlformats.org/officeDocument/2006/relationships/hyperlink" Target="https://migracije.hr/contributions/?lang=en&amp;utm_source=chatgpt.com" TargetMode="External"/><Relationship Id="rId268" Type="http://schemas.openxmlformats.org/officeDocument/2006/relationships/hyperlink" Target="https://www.issa.int/sites/default/files/documents/2024-12/Hungary.pdf?utm_source=chatgpt.com" TargetMode="External"/><Relationship Id="rId289" Type="http://schemas.openxmlformats.org/officeDocument/2006/relationships/hyperlink" Target="https://www.issa.int/sites/default/files/documents/2024-12/Cyprus.pdf?utm_source=chatgpt.com" TargetMode="External"/><Relationship Id="rId11" Type="http://schemas.openxmlformats.org/officeDocument/2006/relationships/hyperlink" Target="https://www.riigiteataja.ee/en/eli/504022019001/consolide" TargetMode="External"/><Relationship Id="rId32" Type="http://schemas.openxmlformats.org/officeDocument/2006/relationships/hyperlink" Target="https://www.etk.fi/en/finnish-pension-system/financing-and-investments/pension-contributions/?utm_source=chatgpt.com" TargetMode="External"/><Relationship Id="rId53" Type="http://schemas.openxmlformats.org/officeDocument/2006/relationships/hyperlink" Target="https://www.mirovinsko.hr/en/how-is-your-pension-determined/188" TargetMode="External"/><Relationship Id="rId74" Type="http://schemas.openxmlformats.org/officeDocument/2006/relationships/hyperlink" Target="https://www.gov.ie/en/department-of-social-protection/publications/budget-2026/?utm_source=chatgpt.com" TargetMode="External"/><Relationship Id="rId128" Type="http://schemas.openxmlformats.org/officeDocument/2006/relationships/hyperlink" Target="https://socmin.lrv.lt/en/activities/social-insurance-1/social-insurance-benefits/social-insurance-old-age-pensions/?utm_source=chatgpt.com" TargetMode="External"/><Relationship Id="rId149" Type="http://schemas.openxmlformats.org/officeDocument/2006/relationships/hyperlink" Target="https://business.gov.nl/staff/health-and-safety/the-wia-benefit-for-your-employee/?utm_source=chatgpt.com" TargetMode="External"/><Relationship Id="rId314" Type="http://schemas.openxmlformats.org/officeDocument/2006/relationships/hyperlink" Target="https://www.oecd.org/content/dam/oecd/en/publications/reports/2026/02/oecd-economic-surveys-bulgaria-2026_4dccf790/08af497f-en.pdf" TargetMode="External"/><Relationship Id="rId5" Type="http://schemas.openxmlformats.org/officeDocument/2006/relationships/hyperlink" Target="https://www.impots.gouv.fr/international-particulier/questions/assessment-and-declaration-wages-salaries-and-pensions?utm_source=chatgpt.com" TargetMode="External"/><Relationship Id="rId95" Type="http://schemas.openxmlformats.org/officeDocument/2006/relationships/hyperlink" Target="https://mss.gov.hr/pension/pensions/124" TargetMode="External"/><Relationship Id="rId160" Type="http://schemas.openxmlformats.org/officeDocument/2006/relationships/hyperlink" Target="https://socialsecurity.gov.mt/en/information-and-applications-for-benefits-and-services/bilateral-agreements/widow-ers-pension-can/?utm_source=chatgpt.com" TargetMode="External"/><Relationship Id="rId181" Type="http://schemas.openxmlformats.org/officeDocument/2006/relationships/hyperlink" Target="https://lang.zus.pl/benefits/old-age-pensions/old-age-pensions-operating-under-the-new-rules?utm_source=chatgpt.com" TargetMode="External"/><Relationship Id="rId216" Type="http://schemas.openxmlformats.org/officeDocument/2006/relationships/hyperlink" Target="https://www.zus.pl/uprawnieni-czlonkowie-rodziny-spelniajacy-okreslone-warunki-do-renty-rodzinnej?utm_source=chatgpt.com" TargetMode="External"/><Relationship Id="rId237" Type="http://schemas.openxmlformats.org/officeDocument/2006/relationships/hyperlink" Target="https://www.zpiz.si/content2020en/when-can-i-retire?utm_source=chatgpt.com" TargetMode="External"/><Relationship Id="rId258" Type="http://schemas.openxmlformats.org/officeDocument/2006/relationships/hyperlink" Target="https://www.zpiz.si/content2020en/when-can-i-retire?utm_source=chatgpt.com" TargetMode="External"/><Relationship Id="rId279" Type="http://schemas.openxmlformats.org/officeDocument/2006/relationships/hyperlink" Target="https://www.seg-social.es/wps/portal/wss/internet/Trabajadores/PrestacionesPensionesTrabajadores/42924/42925/42926?utm_source=chatgpt.com" TargetMode="External"/><Relationship Id="rId22" Type="http://schemas.openxmlformats.org/officeDocument/2006/relationships/hyperlink" Target="https://www.tyoelake.fi/en/how-much-pension/pension-indexes/?utm_source=chatgpt.com" TargetMode="External"/><Relationship Id="rId43" Type="http://schemas.openxmlformats.org/officeDocument/2006/relationships/hyperlink" Target="https://ypergasias.gov.gr/en/social-security/pensions/primary-pension/" TargetMode="External"/><Relationship Id="rId64" Type="http://schemas.openxmlformats.org/officeDocument/2006/relationships/hyperlink" Target="https://www.ssa.gov/policy/docs/progdesc/ssptw/2018-2019/europe/italy.html" TargetMode="External"/><Relationship Id="rId118" Type="http://schemas.openxmlformats.org/officeDocument/2006/relationships/hyperlink" Target="https://www.mfsa.mt/service-detail/your-social-security-pension/?utm_source=chatgpt.com" TargetMode="External"/><Relationship Id="rId139" Type="http://schemas.openxmlformats.org/officeDocument/2006/relationships/hyperlink" Target="https://ec.europa.eu/social/BlobServlet?docId=13743&amp;langId=en&amp;utm_source=chatgpt.com" TargetMode="External"/><Relationship Id="rId290" Type="http://schemas.openxmlformats.org/officeDocument/2006/relationships/hyperlink" Target="https://fiduciaire-genevoise.ch/en/blog/pension-tax-in-switzerland-what-expats-retirees-need-to-know?utm_source=chatgpt.com" TargetMode="External"/><Relationship Id="rId304" Type="http://schemas.openxmlformats.org/officeDocument/2006/relationships/hyperlink" Target="https://settlinginbelgium.be/en/work-and-retirement/retirement" TargetMode="External"/><Relationship Id="rId325" Type="http://schemas.openxmlformats.org/officeDocument/2006/relationships/hyperlink" Target="https://lifeindenmark.borger.dk/pension/disability-pension" TargetMode="External"/><Relationship Id="rId85" Type="http://schemas.openxmlformats.org/officeDocument/2006/relationships/hyperlink" Target="https://ypergasias.gov.gr/en/social-security/pensions/primary-pension/" TargetMode="External"/><Relationship Id="rId150" Type="http://schemas.openxmlformats.org/officeDocument/2006/relationships/hyperlink" Target="https://www.regjeringen.no/en/topics/pensions-and-welfare/innsikt/the-social-security-system/disability-benefits/id2008615/?utm_source=chatgpt.com" TargetMode="External"/><Relationship Id="rId171" Type="http://schemas.openxmlformats.org/officeDocument/2006/relationships/hyperlink" Target="https://cnap.public.lu/en/pensions/generalites.html?utm_source=chatgpt.com" TargetMode="External"/><Relationship Id="rId192" Type="http://schemas.openxmlformats.org/officeDocument/2006/relationships/hyperlink" Target="https://www2.gov.pt/en/servicos/requerer-a-pensao-de-velhice" TargetMode="External"/><Relationship Id="rId206" Type="http://schemas.openxmlformats.org/officeDocument/2006/relationships/hyperlink" Target="https://lang.zus.pl/benefits/disability-pensions?utm_source=chatgpt.com" TargetMode="External"/><Relationship Id="rId227" Type="http://schemas.openxmlformats.org/officeDocument/2006/relationships/hyperlink" Target="https://www.mpisoc.mpg.de/en/social-law/research/research-projects/pension-maps/project-website/romania/statutory-old-age-pension-scheme/" TargetMode="External"/><Relationship Id="rId248" Type="http://schemas.openxmlformats.org/officeDocument/2006/relationships/hyperlink" Target="https://taxsummaries.pwc.com/cyprus/individual/other-taxes?utm_source=chatgpt.com" TargetMode="External"/><Relationship Id="rId269" Type="http://schemas.openxmlformats.org/officeDocument/2006/relationships/hyperlink" Target="https://www.issa.int/sites/default/files/documents/2024-12/Cyprus.pdf?utm_source=chatgpt.com" TargetMode="External"/><Relationship Id="rId12" Type="http://schemas.openxmlformats.org/officeDocument/2006/relationships/hyperlink" Target="https://www.deutsche-rentenversicherung.de/SharedDocs/Glossareintraege/DE/G/geschiedenenrente.html?utm_source=chatgpt.com" TargetMode="External"/><Relationship Id="rId33" Type="http://schemas.openxmlformats.org/officeDocument/2006/relationships/hyperlink" Target="https://www.pensionikeskus.ee/en/i-pillar/state-pension/old-age-pension/" TargetMode="External"/><Relationship Id="rId108" Type="http://schemas.openxmlformats.org/officeDocument/2006/relationships/hyperlink" Target="https://www.vsaa.gov.lv/en/services/granting-and-payment-old-age-pension" TargetMode="External"/><Relationship Id="rId129" Type="http://schemas.openxmlformats.org/officeDocument/2006/relationships/hyperlink" Target="https://www.bgl.lu/en/individuals/blog/life-plans/retirement-in-luxembourg.html?utm_source=chatgpt.com" TargetMode="External"/><Relationship Id="rId280" Type="http://schemas.openxmlformats.org/officeDocument/2006/relationships/hyperlink" Target="https://portal.gov.cz/en/sluzby-vs/widows-and-widowers-pension--the-application-is-processed-by-the-czech-social-security-administration-S84?utm_source=chatgpt.com" TargetMode="External"/><Relationship Id="rId315" Type="http://schemas.openxmlformats.org/officeDocument/2006/relationships/hyperlink" Target="https://ec.europa.eu/social/BlobServlet?docId=13741&amp;langId=en" TargetMode="External"/><Relationship Id="rId54" Type="http://schemas.openxmlformats.org/officeDocument/2006/relationships/hyperlink" Target="https://www.lm.gov.lv/en/pension-policy" TargetMode="External"/><Relationship Id="rId75" Type="http://schemas.openxmlformats.org/officeDocument/2006/relationships/hyperlink" Target="https://www.norden.org/en/info-norden/icelandic-pension-system" TargetMode="External"/><Relationship Id="rId96" Type="http://schemas.openxmlformats.org/officeDocument/2006/relationships/hyperlink" Target="https://www.vsaa.gov.lv/en/services/granting-and-payment-survivors-pension" TargetMode="External"/><Relationship Id="rId140" Type="http://schemas.openxmlformats.org/officeDocument/2006/relationships/hyperlink" Target="https://www.oecd.org/content/dam/iops/en/country-profiles/Lithuania-country-profile-IOPS.pdf?utm_source=chatgpt.com" TargetMode="External"/><Relationship Id="rId161" Type="http://schemas.openxmlformats.org/officeDocument/2006/relationships/hyperlink" Target="https://www.svb.nl/en/anw/what-are-the-conditions/read-more-about-the-the-qualifying-conditions-that-apply-if-your-partner-or-ex-partner-has-died?utm_source=chatgpt.com" TargetMode="External"/><Relationship Id="rId182" Type="http://schemas.openxmlformats.org/officeDocument/2006/relationships/hyperlink" Target="https://www2.gov.pt/en/servicos/requerer-a-pensao-de-velhice" TargetMode="External"/><Relationship Id="rId217" Type="http://schemas.openxmlformats.org/officeDocument/2006/relationships/hyperlink" Target="https://www2.gov.pt/en/servicos/requerer-a-pensao-de-sobrevivencia" TargetMode="External"/><Relationship Id="rId6" Type="http://schemas.openxmlformats.org/officeDocument/2006/relationships/hyperlink" Target="https://www.etk.fi/en/finnish-pension-system/pensions/overview-of-pensions/current-information-on-pensions-and-taxation/?utm_source=chatgpt.com" TargetMode="External"/><Relationship Id="rId238" Type="http://schemas.openxmlformats.org/officeDocument/2006/relationships/hyperlink" Target="https://www.ssa.gov/international/Agreement_Pamphlets/spain.html?utm_source=chatgpt.com" TargetMode="External"/><Relationship Id="rId259" Type="http://schemas.openxmlformats.org/officeDocument/2006/relationships/hyperlink" Target="https://www.ssa.gov/international/Agreement_Pamphlets/spain.html?utm_source=chatgpt.com" TargetMode="External"/><Relationship Id="rId23" Type="http://schemas.openxmlformats.org/officeDocument/2006/relationships/hyperlink" Target="https://sotsiaalkindlustusamet.ee/en/pension-and-benefits/pension-amount/pension-indexation" TargetMode="External"/><Relationship Id="rId119" Type="http://schemas.openxmlformats.org/officeDocument/2006/relationships/hyperlink" Target="https://business.gov.nl/regulations/pension/?utm_source=chatgpt.com" TargetMode="External"/><Relationship Id="rId270" Type="http://schemas.openxmlformats.org/officeDocument/2006/relationships/hyperlink" Target="https://socpoist.sk/en/life-situations/pension/how-apply-invalidity-pension?utm_source=chatgpt.com" TargetMode="External"/><Relationship Id="rId291" Type="http://schemas.openxmlformats.org/officeDocument/2006/relationships/hyperlink" Target="https://www.mpisoc.mpg.de/en/social-law/research/research-projects/pension-maps/project-website/slovakia/statutory-old-age-pension-scheme/?utm_source=chatgpt.com" TargetMode="External"/><Relationship Id="rId305" Type="http://schemas.openxmlformats.org/officeDocument/2006/relationships/hyperlink" Target="https://www.sfpd.fgov.be/en/retirement-age/when/?utm_source=chatgpt.com" TargetMode="External"/><Relationship Id="rId326" Type="http://schemas.openxmlformats.org/officeDocument/2006/relationships/hyperlink" Target="https://lifeindenmark.borger.dk/healthcare/death-and-funerals/survivor-benefits" TargetMode="External"/><Relationship Id="rId44" Type="http://schemas.openxmlformats.org/officeDocument/2006/relationships/hyperlink" Target="https://www.gov.ie/en/department-of-social-protection/services/state-pension-contributory/" TargetMode="External"/><Relationship Id="rId65" Type="http://schemas.openxmlformats.org/officeDocument/2006/relationships/hyperlink" Target="https://www.mirovinsko.hr/en/national-benefit-for-the-elderly-national-pension-1911/1910?utm_source=chatgpt.com" TargetMode="External"/><Relationship Id="rId86" Type="http://schemas.openxmlformats.org/officeDocument/2006/relationships/hyperlink" Target="https://www.gov.ie/en/department-of-social-protection/publications/operational-guidelines-bereaved-partners-contributory-pension/" TargetMode="External"/><Relationship Id="rId130" Type="http://schemas.openxmlformats.org/officeDocument/2006/relationships/hyperlink" Target="https://www.mfsa.mt/service-detail/your-social-security-pension/?utm_source=chatgpt.com" TargetMode="External"/><Relationship Id="rId151" Type="http://schemas.openxmlformats.org/officeDocument/2006/relationships/hyperlink" Target="https://www.ahv.li/leistungen/ahv/verwitwetenrente?utm_source=chatgpt.com" TargetMode="External"/><Relationship Id="rId172" Type="http://schemas.openxmlformats.org/officeDocument/2006/relationships/hyperlink" Target="https://mtca.gov.mt/personal-tax/fss/social-security-contribution-rates/social-security-contribution-rates?utm_source=chatgpt.com" TargetMode="External"/><Relationship Id="rId193" Type="http://schemas.openxmlformats.org/officeDocument/2006/relationships/hyperlink" Target="https://ec.europa.eu/social/BlobServlet?docId=13772&amp;langId=en&amp;utm_source=chatgpt.com" TargetMode="External"/><Relationship Id="rId207" Type="http://schemas.openxmlformats.org/officeDocument/2006/relationships/hyperlink" Target="https://www.seg-social.pt/ptss/pssd/documento/cmc1zu99c00lykl2y7f0avytg?utm_source=chatgpt.com" TargetMode="External"/><Relationship Id="rId228" Type="http://schemas.openxmlformats.org/officeDocument/2006/relationships/hyperlink" Target="https://www.ahv-iv.ch/p/3.04.e?utm_source=chatgpt.com" TargetMode="External"/><Relationship Id="rId249" Type="http://schemas.openxmlformats.org/officeDocument/2006/relationships/hyperlink" Target="https://www.ch.ch/en/retirement/old-age-pension/the-first-pillar/oasi-contributions?utm_source=chatgpt.com" TargetMode="External"/><Relationship Id="rId13" Type="http://schemas.openxmlformats.org/officeDocument/2006/relationships/hyperlink" Target="https://www.lassuranceretraite.fr/portail-info/hors-menu/traductions/english/my-rights.html" TargetMode="External"/><Relationship Id="rId109" Type="http://schemas.openxmlformats.org/officeDocument/2006/relationships/hyperlink" Target="https://www.ahv.li/leistungen/ahv/rentenalter?utm_source=chatgpt.com" TargetMode="External"/><Relationship Id="rId260" Type="http://schemas.openxmlformats.org/officeDocument/2006/relationships/hyperlink" Target="https://www.cssz.cz/web/lang/duchodovy-vek?lang=en&amp;utm_source=chatgpt.com" TargetMode="External"/><Relationship Id="rId281" Type="http://schemas.openxmlformats.org/officeDocument/2006/relationships/hyperlink" Target="https://www.allamkincstar.gov.hu/en/Pension/survivors-benefits/the-widowers-pension?utm_source=chatgpt.com" TargetMode="External"/><Relationship Id="rId316" Type="http://schemas.openxmlformats.org/officeDocument/2006/relationships/hyperlink" Target="https://ec.europa.eu/social/BlobServlet?docId=13741&amp;langId=en" TargetMode="External"/><Relationship Id="rId34" Type="http://schemas.openxmlformats.org/officeDocument/2006/relationships/hyperlink" Target="https://www.deutsche-rentenversicherung.de/KnappschaftBahnSee/DE/Aktuelles/Meldungen/2026/2026_01_02_Sozialversicherungsrechengroessen2026.html?utm_source=chatgpt.com" TargetMode="External"/><Relationship Id="rId55" Type="http://schemas.openxmlformats.org/officeDocument/2006/relationships/hyperlink" Target="https://ypergasias.gov.gr/en/social-security/insured-persons/insurance-contributions/?utm_source=chatgpt.com" TargetMode="External"/><Relationship Id="rId76" Type="http://schemas.openxmlformats.org/officeDocument/2006/relationships/hyperlink" Target="https://www.ssa.gov/policy/docs/progdesc/ssptw/2018-2019/europe/italy.html" TargetMode="External"/><Relationship Id="rId97" Type="http://schemas.openxmlformats.org/officeDocument/2006/relationships/hyperlink" Target="https://www.gov.gr/en/sdg/work-and-retirement/taxation/pensioners-that-live-in-one-eu-country-but-receive-their-pension-from-another/pensioners-that-live-in-one-eu-country-but-receive-their-pension-from-another?utm_source=chatgpt.com" TargetMode="External"/><Relationship Id="rId120" Type="http://schemas.openxmlformats.org/officeDocument/2006/relationships/hyperlink" Target="https://www.nav.no/alderspensjon/en?utm_source=chatgpt.com" TargetMode="External"/><Relationship Id="rId141" Type="http://schemas.openxmlformats.org/officeDocument/2006/relationships/hyperlink" Target="https://guichet.public.lu/en/citoyens/aides/sante/prestations-survivants/pension-survie.html?utm_source=chatgpt.com" TargetMode="External"/><Relationship Id="rId7" Type="http://schemas.openxmlformats.org/officeDocument/2006/relationships/hyperlink" Target="https://www.emta.ee/en/private-client/taxes-and-payment/tax-incentives/basic-exemption-pensionable-age" TargetMode="External"/><Relationship Id="rId162" Type="http://schemas.openxmlformats.org/officeDocument/2006/relationships/hyperlink" Target="https://www.nav.no/har-pensjon/en?utm_source=chatgpt.com" TargetMode="External"/><Relationship Id="rId183" Type="http://schemas.openxmlformats.org/officeDocument/2006/relationships/hyperlink" Target="https://ec.europa.eu/social/BlobServlet?docId=13772&amp;langId=en" TargetMode="External"/><Relationship Id="rId218" Type="http://schemas.openxmlformats.org/officeDocument/2006/relationships/hyperlink" Target="https://ec.europa.eu/social/BlobServlet?docId=13772&amp;langId=en&amp;utm_source=chatgpt.com" TargetMode="External"/><Relationship Id="rId239" Type="http://schemas.openxmlformats.org/officeDocument/2006/relationships/hyperlink" Target="https://www.cssz.cz/web/lang/duchodove-pojisteni1?lang=en&amp;utm_source=chatgpt.com" TargetMode="External"/><Relationship Id="rId250" Type="http://schemas.openxmlformats.org/officeDocument/2006/relationships/hyperlink" Target="https://www.researchinslovakia.saia.sk/en/main/work-and-daily-life/social-insurace-and-security/?utm_source=chatgpt.com" TargetMode="External"/><Relationship Id="rId271" Type="http://schemas.openxmlformats.org/officeDocument/2006/relationships/hyperlink" Target="https://www.findyourpension.eu/provider-list/pension-abc/default-f4f85c47e1?utm_source=chatgpt.com" TargetMode="External"/><Relationship Id="rId292" Type="http://schemas.openxmlformats.org/officeDocument/2006/relationships/hyperlink" Target="https://www.fu.gov.si/en/life_events_individuals/i_reside_in_slovenia_and_receive_my_pension_from_abroad?utm_source=chatgpt.com" TargetMode="External"/><Relationship Id="rId306" Type="http://schemas.openxmlformats.org/officeDocument/2006/relationships/hyperlink" Target="https://settlinginbelgium.be/en/work-and-retirement/retirement" TargetMode="External"/><Relationship Id="rId24" Type="http://schemas.openxmlformats.org/officeDocument/2006/relationships/hyperlink" Target="https://www.deutsche-rentenversicherung.de/SharedDocs/Glossareintraege/DE/R/rentenanpassung.html?utm_source=chatgpt.com" TargetMode="External"/><Relationship Id="rId45" Type="http://schemas.openxmlformats.org/officeDocument/2006/relationships/hyperlink" Target="https://www.norden.org/en/info-norden/icelandic-pension-system" TargetMode="External"/><Relationship Id="rId66" Type="http://schemas.openxmlformats.org/officeDocument/2006/relationships/hyperlink" Target="https://www.lm.gov.lv/en/state-pensions-0" TargetMode="External"/><Relationship Id="rId87" Type="http://schemas.openxmlformats.org/officeDocument/2006/relationships/hyperlink" Target="https://secure.ssa.gov/apps10/poms.nsf/lnx/0201763020" TargetMode="External"/><Relationship Id="rId110" Type="http://schemas.openxmlformats.org/officeDocument/2006/relationships/hyperlink" Target="https://www.oecd.org/content/dam/oecd/en/publications/reports/2024/10/pensions-at-a-glance-2023-country-notes_2e11a061/lithuania_1b66ebef/563e5d3f-en.pdf?utm_source=chatgpt.com" TargetMode="External"/><Relationship Id="rId131" Type="http://schemas.openxmlformats.org/officeDocument/2006/relationships/hyperlink" Target="https://business.gov.nl/regulations/pension/?utm_source=chatgpt.com" TargetMode="External"/><Relationship Id="rId327" Type="http://schemas.openxmlformats.org/officeDocument/2006/relationships/hyperlink" Target="https://lifeindenmark.borger.dk/healthcare/death-and-funerals/survivor-benefits" TargetMode="External"/><Relationship Id="rId152" Type="http://schemas.openxmlformats.org/officeDocument/2006/relationships/hyperlink" Target="https://socmin.lrv.lt/en/activities/social-insurance-1/social-insurance-benefits/social-insurance-pensions-for-widows-widowers-and-orphans/?utm_source=chatgpt.com" TargetMode="External"/><Relationship Id="rId173" Type="http://schemas.openxmlformats.org/officeDocument/2006/relationships/hyperlink" Target="https://www.svb.nl/en/aow-pension/aow-pension-rates/what-is-deducted-from-your-aow-pension?utm_source=chatgpt.com" TargetMode="External"/><Relationship Id="rId194" Type="http://schemas.openxmlformats.org/officeDocument/2006/relationships/hyperlink" Target="https://www.pensionsmyndigheten.se/other-languages/english-engelska/english-engelska/pension-system-in-sweden" TargetMode="External"/><Relationship Id="rId208" Type="http://schemas.openxmlformats.org/officeDocument/2006/relationships/hyperlink" Target="https://ec.europa.eu/social/BlobServlet?docId=13772&amp;langId=en" TargetMode="External"/><Relationship Id="rId229" Type="http://schemas.openxmlformats.org/officeDocument/2006/relationships/hyperlink" Target="https://socpoist.sk/en/life-situations/pension/how-apply-early-old-age-pension?utm_source=chatgpt.com" TargetMode="External"/><Relationship Id="rId240" Type="http://schemas.openxmlformats.org/officeDocument/2006/relationships/hyperlink" Target="https://www.mpisoc.mpg.de/en/social-law/research/research-projects/pension-maps/project-website/hungary/social-insurance-pension-scheme/?utm_source=chatgpt.com" TargetMode="External"/><Relationship Id="rId261" Type="http://schemas.openxmlformats.org/officeDocument/2006/relationships/hyperlink" Target="https://www.mpisoc.mpg.de/en/social-law/research/research-projects/pension-maps/project-website/hungary/social-insurance-pension-scheme/?utm_source=chatgpt.com" TargetMode="External"/><Relationship Id="rId14" Type="http://schemas.openxmlformats.org/officeDocument/2006/relationships/hyperlink" Target="https://www.tyoelake.fi/en/different-pensions/survivors-pensions-when-you-lose-a-family-wage-earner/" TargetMode="External"/><Relationship Id="rId30" Type="http://schemas.openxmlformats.org/officeDocument/2006/relationships/hyperlink" Target="https://www.riigiteataja.ee/en/eli/504022019001/consolide" TargetMode="External"/><Relationship Id="rId35" Type="http://schemas.openxmlformats.org/officeDocument/2006/relationships/hyperlink" Target="https://www.cleiss.fr/docs/regimes/regime_france/an_3.html" TargetMode="External"/><Relationship Id="rId56" Type="http://schemas.openxmlformats.org/officeDocument/2006/relationships/hyperlink" Target="https://www.citizensinformation.ie/en/social-welfare/older-and-retired-people/state-pension-contributory/" TargetMode="External"/><Relationship Id="rId77" Type="http://schemas.openxmlformats.org/officeDocument/2006/relationships/hyperlink" Target="https://www.portal.hr/en/novosti/hr/104050-iz-hzmo-a-doznajemo-isplata-uvecanih-mirovina-planirana-i-prije-zakonskog-roka?utm_source=chatgpt.com" TargetMode="External"/><Relationship Id="rId100" Type="http://schemas.openxmlformats.org/officeDocument/2006/relationships/hyperlink" Target="https://www.agenziaentrate.gov.it/portale/web/english/taxation-of-pensions-received-from-other-eu-countries?utm_source=chatgpt.com" TargetMode="External"/><Relationship Id="rId105" Type="http://schemas.openxmlformats.org/officeDocument/2006/relationships/hyperlink" Target="https://www.lsr.is/en/pensions/division-a/taxation/" TargetMode="External"/><Relationship Id="rId126" Type="http://schemas.openxmlformats.org/officeDocument/2006/relationships/hyperlink" Target="https://www.mpisoc.mpg.de/en/social-law/research/research-projects/pension-maps/project-website/norwegen/statutory-old-age-pension-scheme-as-part-of-the-national-insurance-system/?utm_source=chatgpt.com" TargetMode="External"/><Relationship Id="rId147" Type="http://schemas.openxmlformats.org/officeDocument/2006/relationships/hyperlink" Target="https://cnap.public.lu/en/pensions/generalites.html?utm_source=chatgpt.com" TargetMode="External"/><Relationship Id="rId168" Type="http://schemas.openxmlformats.org/officeDocument/2006/relationships/hyperlink" Target="https://www.mpisoc.mpg.de/en/social-law/research/research-projects/pension-maps/project-website/norwegen/statutory-old-age-pension-scheme-as-part-of-the-national-insurance-system/?utm_source=chatgpt.com" TargetMode="External"/><Relationship Id="rId282" Type="http://schemas.openxmlformats.org/officeDocument/2006/relationships/hyperlink" Target="https://www.issa.int/sites/default/files/documents/2024-12/Cyprus.pdf?utm_source=chatgpt.com" TargetMode="External"/><Relationship Id="rId312" Type="http://schemas.openxmlformats.org/officeDocument/2006/relationships/hyperlink" Target="https://ec.europa.eu/social/BlobServlet?docId=13741&amp;langId=en" TargetMode="External"/><Relationship Id="rId317" Type="http://schemas.openxmlformats.org/officeDocument/2006/relationships/hyperlink" Target="https://ec.europa.eu/social/BlobServlet?docId=13741&amp;langId=en" TargetMode="External"/><Relationship Id="rId8" Type="http://schemas.openxmlformats.org/officeDocument/2006/relationships/hyperlink" Target="https://www.deutsche-rentenversicherung.de/DRV/DE/Ueber-uns-und-Presse/Presse/Meldungen/2026/20260216-steueranteil-neurentner.html?utm_source=chatgpt.com" TargetMode="External"/><Relationship Id="rId51" Type="http://schemas.openxmlformats.org/officeDocument/2006/relationships/hyperlink" Target="https://www.norden.org/en/info-norden/icelandic-pension-system" TargetMode="External"/><Relationship Id="rId72" Type="http://schemas.openxmlformats.org/officeDocument/2006/relationships/hyperlink" Target="https://www.lm.gov.lv/en/pension-policy" TargetMode="External"/><Relationship Id="rId93" Type="http://schemas.openxmlformats.org/officeDocument/2006/relationships/hyperlink" Target="https://secure.ssa.gov/apps10/poms.nsf/lnx/0201763020" TargetMode="External"/><Relationship Id="rId98" Type="http://schemas.openxmlformats.org/officeDocument/2006/relationships/hyperlink" Target="https://www.gov.ie/en/department-of-social-protection/services/state-pension-contributory/" TargetMode="External"/><Relationship Id="rId121" Type="http://schemas.openxmlformats.org/officeDocument/2006/relationships/hyperlink" Target="https://www.ssa.gov/policy/docs/progdesc/ssptw/2018-2019/europe/liechtenstein.html?utm_source=chatgpt.com" TargetMode="External"/><Relationship Id="rId142" Type="http://schemas.openxmlformats.org/officeDocument/2006/relationships/hyperlink" Target="https://www.servizz.gov.mt/en/Pages/Inclusion_-Equality-and-Social-Welfare/Social-Solidarity/Benefits-and-Services/Contributory-Pensions/default.aspx?utm_source=chatgpt.com" TargetMode="External"/><Relationship Id="rId163" Type="http://schemas.openxmlformats.org/officeDocument/2006/relationships/hyperlink" Target="https://www.regierung.li/files/medienarchiv/640-0-22-09-2022-en.pdf?utm_source=chatgpt.com" TargetMode="External"/><Relationship Id="rId184" Type="http://schemas.openxmlformats.org/officeDocument/2006/relationships/hyperlink" Target="https://www.pensionsmyndigheten.se/other-languages/english-engelska/english-engelska/pension-system-in-sweden?utm_source=chatgpt.com" TargetMode="External"/><Relationship Id="rId189" Type="http://schemas.openxmlformats.org/officeDocument/2006/relationships/hyperlink" Target="https://www.pensionsmyndigheten.se/other-languages/english-engelska/english-engelska/pension-system-in-sweden?utm_source=chatgpt.com" TargetMode="External"/><Relationship Id="rId219" Type="http://schemas.openxmlformats.org/officeDocument/2006/relationships/hyperlink" Target="https://www.pensionsmyndigheten.se/other-languages/english-engelska/english-engelska/survivors-pension-financial-support-in-the-event-of-death" TargetMode="External"/><Relationship Id="rId3" Type="http://schemas.openxmlformats.org/officeDocument/2006/relationships/hyperlink" Target="https://www.pensionikeskus.ee/en/i-pillar/state-pension/old-age-pension/" TargetMode="External"/><Relationship Id="rId214" Type="http://schemas.openxmlformats.org/officeDocument/2006/relationships/hyperlink" Target="https://www.pensionsmyndigheten.se/other-languages/english-engelska/english-engelska/survivors-pension-financial-support-in-the-event-of-death" TargetMode="External"/><Relationship Id="rId230" Type="http://schemas.openxmlformats.org/officeDocument/2006/relationships/hyperlink" Target="https://www.oecd.org/en/publications/pensions-at-a-glance-2025_e40274c1-en/full-report/recent-pension-reforms_146d2687.html?utm_source=chatgpt.com" TargetMode="External"/><Relationship Id="rId235" Type="http://schemas.openxmlformats.org/officeDocument/2006/relationships/hyperlink" Target="https://www.ch.ch/en/retirement/old-age-pension/the-first-pillar/oasi-contributions?utm_source=chatgpt.com" TargetMode="External"/><Relationship Id="rId251" Type="http://schemas.openxmlformats.org/officeDocument/2006/relationships/hyperlink" Target="https://www.zpiz.si/content2020en/when-can-i-retire?utm_source=chatgpt.com" TargetMode="External"/><Relationship Id="rId256" Type="http://schemas.openxmlformats.org/officeDocument/2006/relationships/hyperlink" Target="https://www.ahv-iv.ch/en/Social-insurances/Glossary?utm_source=chatgpt.com" TargetMode="External"/><Relationship Id="rId277" Type="http://schemas.openxmlformats.org/officeDocument/2006/relationships/hyperlink" Target="https://socpoist.sk/en/life-situations/pension/how-apply-widows-pension?utm_source=chatgpt.com" TargetMode="External"/><Relationship Id="rId298" Type="http://schemas.openxmlformats.org/officeDocument/2006/relationships/hyperlink" Target="https://www.mpisoc.mpg.de/en/social-law/research/research-projects/pension-maps/project-website/slovakia/statutory-old-age-pension-scheme/?utm_source=chatgpt.com" TargetMode="External"/><Relationship Id="rId25" Type="http://schemas.openxmlformats.org/officeDocument/2006/relationships/hyperlink" Target="https://www.cleiss.fr/docs/regimes/regime_france/an_3.html" TargetMode="External"/><Relationship Id="rId46" Type="http://schemas.openxmlformats.org/officeDocument/2006/relationships/hyperlink" Target="https://www.inps.it/it/en/dettaglio-scheda.en.schede-servizio-strumento.schede-servizi.pensione-di-vecchiaia.html" TargetMode="External"/><Relationship Id="rId67" Type="http://schemas.openxmlformats.org/officeDocument/2006/relationships/hyperlink" Target="https://ypergasias.gov.gr/en/social-security/pensions/primary-pension/" TargetMode="External"/><Relationship Id="rId116" Type="http://schemas.openxmlformats.org/officeDocument/2006/relationships/hyperlink" Target="https://socmin.lrv.lt/en/activities/social-insurance-1/social-insurance-benefits/social-insurance-old-age-pensions/?utm_source=chatgpt.com" TargetMode="External"/><Relationship Id="rId137" Type="http://schemas.openxmlformats.org/officeDocument/2006/relationships/hyperlink" Target="https://www.government.nl/themes/work/state-pension-aow/voluntarily-filling-any-gaps-in-state-pension-aow-qualifying-years?utm_source=chatgpt.com" TargetMode="External"/><Relationship Id="rId158" Type="http://schemas.openxmlformats.org/officeDocument/2006/relationships/hyperlink" Target="https://socmin.lrv.lt/en/activities/social-insurance-1/social-insurance-benefits/social-insurance-pensions-for-widows-widowers-and-orphans/?utm_source=chatgpt.com" TargetMode="External"/><Relationship Id="rId272" Type="http://schemas.openxmlformats.org/officeDocument/2006/relationships/hyperlink" Target="https://administracion.gob.es/pag_Home/en/Tu-espacio-europeo/derechos-obligaciones/ciudadanos/trabajo-jubilacion/seguridad-social-pensiones/info-general.html?utm_source=chatgpt.com" TargetMode="External"/><Relationship Id="rId293" Type="http://schemas.openxmlformats.org/officeDocument/2006/relationships/hyperlink" Target="https://sede.agenciatributaria.gob.es/Sede/en_gb/no-residentes/irnr-sin-establecimiento-permanente/cuestiones-especificas-sobre-tributacion-otras-convenio/pensiones-satisfechas-seguridad-social-espanola.html?utm_source=chatgpt.com" TargetMode="External"/><Relationship Id="rId302" Type="http://schemas.openxmlformats.org/officeDocument/2006/relationships/hyperlink" Target="https://www.mpisoc.mpg.de/en/social-law/research/research-projects/pension-maps/project-website/hungary/social-insurance-pension-scheme/?utm_source=chatgpt.com" TargetMode="External"/><Relationship Id="rId307" Type="http://schemas.openxmlformats.org/officeDocument/2006/relationships/hyperlink" Target="https://www.ssa.gov/policy/docs/progdesc/ssptw/2018-2019/europe/belgium.html?utm_source=chatgpt.com" TargetMode="External"/><Relationship Id="rId323" Type="http://schemas.openxmlformats.org/officeDocument/2006/relationships/hyperlink" Target="https://lifeindenmark.borger.dk/pension/state-pension" TargetMode="External"/><Relationship Id="rId328" Type="http://schemas.openxmlformats.org/officeDocument/2006/relationships/hyperlink" Target="https://lifeindenmark.borger.dk/pension/tax-on-danish-and-non-danish-pensions" TargetMode="External"/><Relationship Id="rId20" Type="http://schemas.openxmlformats.org/officeDocument/2006/relationships/hyperlink" Target="https://www.deutsche-rentenversicherung.de/SharedDocs/Glossareintraege/DE/E/erwerbsminderung.html?utm_source=chatgpt.com" TargetMode="External"/><Relationship Id="rId41" Type="http://schemas.openxmlformats.org/officeDocument/2006/relationships/hyperlink" Target="https://sotsiaalkindlustusamet.ee/en/pension-and-benefits/applying-pension/retirement-age" TargetMode="External"/><Relationship Id="rId62" Type="http://schemas.openxmlformats.org/officeDocument/2006/relationships/hyperlink" Target="https://services.mywelfare.ie/en/topics/pensions-and-older-people/state-pension/" TargetMode="External"/><Relationship Id="rId83" Type="http://schemas.openxmlformats.org/officeDocument/2006/relationships/hyperlink" Target="https://mss.gov.hr/pension/pensions/124" TargetMode="External"/><Relationship Id="rId88" Type="http://schemas.openxmlformats.org/officeDocument/2006/relationships/hyperlink" Target="https://www.ssa.gov/policy/docs/progdesc/ssptw/2018-2019/europe/italy.html" TargetMode="External"/><Relationship Id="rId111" Type="http://schemas.openxmlformats.org/officeDocument/2006/relationships/hyperlink" Target="https://www.bgl.lu/en/individuals/blog/life-plans/retirement-in-luxembourg.html?utm_source=chatgpt.com" TargetMode="External"/><Relationship Id="rId132" Type="http://schemas.openxmlformats.org/officeDocument/2006/relationships/hyperlink" Target="https://www.nav.no/alderspensjon/en?utm_source=chatgpt.com" TargetMode="External"/><Relationship Id="rId153" Type="http://schemas.openxmlformats.org/officeDocument/2006/relationships/hyperlink" Target="https://guichet.public.lu/en/citoyens/aides/sante/prestations-survivants/pension-survie.html?utm_source=chatgpt.com" TargetMode="External"/><Relationship Id="rId174" Type="http://schemas.openxmlformats.org/officeDocument/2006/relationships/hyperlink" Target="https://www.skatteetaten.no/en/rates/national-insurance-contributions/?utm_source=chatgpt.com" TargetMode="External"/><Relationship Id="rId179" Type="http://schemas.openxmlformats.org/officeDocument/2006/relationships/hyperlink" Target="https://www.pensionsmyndigheten.se/other-languages/english-engelska/english-engelska/recommended-retirement-age" TargetMode="External"/><Relationship Id="rId195" Type="http://schemas.openxmlformats.org/officeDocument/2006/relationships/hyperlink" Target="https://www.oesterreich.gv.at/de/themen/arbeit_beruf_und_pension/pension/2/1/Seite.270132?utm_source=chatgpt.com" TargetMode="External"/><Relationship Id="rId209" Type="http://schemas.openxmlformats.org/officeDocument/2006/relationships/hyperlink" Target="https://www.forsakringskassan.se/english/sick/sick-for-one-year-or-longer/sickness-compensation" TargetMode="External"/><Relationship Id="rId190" Type="http://schemas.openxmlformats.org/officeDocument/2006/relationships/hyperlink" Target="https://www.oesterreich.gv.at/de/themen/arbeit_beruf_und_pension/pension/2/1/Seite.270132?utm_source=chatgpt.com" TargetMode="External"/><Relationship Id="rId204" Type="http://schemas.openxmlformats.org/officeDocument/2006/relationships/hyperlink" Target="https://www.pensionsmyndigheten.se/statistik/publikationer/orange-report-2020/6-changes-in-the-value-of-the-pension-system.html?utm_source=chatgpt.com" TargetMode="External"/><Relationship Id="rId220" Type="http://schemas.openxmlformats.org/officeDocument/2006/relationships/hyperlink" Target="https://www.oesterreich.gv.at/de/lebenslagen/Ich-gehe-oder-bin-in-Pension?utm_source=chatgpt.com" TargetMode="External"/><Relationship Id="rId225" Type="http://schemas.openxmlformats.org/officeDocument/2006/relationships/hyperlink" Target="https://www.zus.pl/documents/10182/167615/Social%2BSecurity%2Bin%2BPoland.pdf/71ffe1b1-c142-48fa-a67b-0c7e1cec6eb6?t=1690378989364" TargetMode="External"/><Relationship Id="rId241" Type="http://schemas.openxmlformats.org/officeDocument/2006/relationships/hyperlink" Target="https://www.issa.int/sites/default/files/documents/2024-12/Cyprus.pdf?utm_source=chatgpt.com" TargetMode="External"/><Relationship Id="rId246" Type="http://schemas.openxmlformats.org/officeDocument/2006/relationships/hyperlink" Target="https://ec.europa.eu/eurostat/documents/7158500/12335606/CZ_T2900_factsheet.pdf/bb5f356b-0894-1e24-42cd-db408cf310f2?t=1612348297319&amp;utm_source=chatgpt.com" TargetMode="External"/><Relationship Id="rId267" Type="http://schemas.openxmlformats.org/officeDocument/2006/relationships/hyperlink" Target="https://www.cssz.cz/web/lang/duchodovy-vek?lang=en&amp;utm_source=chatgpt.com" TargetMode="External"/><Relationship Id="rId288" Type="http://schemas.openxmlformats.org/officeDocument/2006/relationships/hyperlink" Target="https://www.issa.int/sites/default/files/documents/2024-12/Hungary.pdf?utm_source=chatgpt.com" TargetMode="External"/><Relationship Id="rId15" Type="http://schemas.openxmlformats.org/officeDocument/2006/relationships/hyperlink" Target="https://www.riigiteataja.ee/en/eli/504022019001/consolide" TargetMode="External"/><Relationship Id="rId36" Type="http://schemas.openxmlformats.org/officeDocument/2006/relationships/hyperlink" Target="https://www.etk.fi/en/finnish-pension-system/financing-and-investments/pension-contributions/?utm_source=chatgpt.com" TargetMode="External"/><Relationship Id="rId57" Type="http://schemas.openxmlformats.org/officeDocument/2006/relationships/hyperlink" Target="https://taxsummaries.pwc.com/iceland/individual/other-taxes" TargetMode="External"/><Relationship Id="rId106" Type="http://schemas.openxmlformats.org/officeDocument/2006/relationships/hyperlink" Target="https://taxsummaries.pwc.com/italy/individual/other-taxes?utm_source=chatgpt.com" TargetMode="External"/><Relationship Id="rId127" Type="http://schemas.openxmlformats.org/officeDocument/2006/relationships/hyperlink" Target="https://www.ahv.li/leistungen/ahv/rentenberechnung?utm_source=chatgpt.com" TargetMode="External"/><Relationship Id="rId262" Type="http://schemas.openxmlformats.org/officeDocument/2006/relationships/hyperlink" Target="https://www.euraxess.org.cy/cyprus/information-assistance/pension-rights?utm_source=chatgpt.com" TargetMode="External"/><Relationship Id="rId283" Type="http://schemas.openxmlformats.org/officeDocument/2006/relationships/hyperlink" Target="https://www.ahv-iv.ch/p/3.03.e?utm_source=chatgpt.com" TargetMode="External"/><Relationship Id="rId313" Type="http://schemas.openxmlformats.org/officeDocument/2006/relationships/hyperlink" Target="https://www.oecd.org/content/dam/oecd/en/publications/reports/2026/02/oecd-economic-surveys-bulgaria-2026_4dccf790/08af497f-en.pdf" TargetMode="External"/><Relationship Id="rId318" Type="http://schemas.openxmlformats.org/officeDocument/2006/relationships/hyperlink" Target="https://pfg.bg/en/4/50/53/56?utm_source=chatgpt.com" TargetMode="External"/><Relationship Id="rId10" Type="http://schemas.openxmlformats.org/officeDocument/2006/relationships/hyperlink" Target="https://www.etk.fi/en/finnish-pension-system/pensions/earnings-related-pension-benefits/survivors-pension/?utm_source=chatgpt.com" TargetMode="External"/><Relationship Id="rId31" Type="http://schemas.openxmlformats.org/officeDocument/2006/relationships/hyperlink" Target="https://www.cleiss.fr/docs/regimes/regime_france/an_a2.html" TargetMode="External"/><Relationship Id="rId52" Type="http://schemas.openxmlformats.org/officeDocument/2006/relationships/hyperlink" Target="https://www.inps.it/it/en/dettaglio-scheda.en.schede-servizio-strumento.schede-servizi.pensione-di-vecchiaia.html" TargetMode="External"/><Relationship Id="rId73" Type="http://schemas.openxmlformats.org/officeDocument/2006/relationships/hyperlink" Target="https://www.issa.int/sites/default/files/documents/2024-12/Greece.pdf?utm_source=chatgpt.com" TargetMode="External"/><Relationship Id="rId78" Type="http://schemas.openxmlformats.org/officeDocument/2006/relationships/hyperlink" Target="https://www.lm.gov.lv/en/old-age-pension" TargetMode="External"/><Relationship Id="rId94" Type="http://schemas.openxmlformats.org/officeDocument/2006/relationships/hyperlink" Target="https://consedimburgo.esteri.it/en/servizi-consolari-e-visti/servizi-per-il-cittadino-italiano/pensioni-e-sicurezza-sociale/" TargetMode="External"/><Relationship Id="rId99" Type="http://schemas.openxmlformats.org/officeDocument/2006/relationships/hyperlink" Target="https://www.lsr.is/en/pensions/division-a/taxation/" TargetMode="External"/><Relationship Id="rId101" Type="http://schemas.openxmlformats.org/officeDocument/2006/relationships/hyperlink" Target="https://porezna-uprava.gov.hr/en/pensioner/7391?utm_source=chatgpt.com" TargetMode="External"/><Relationship Id="rId122" Type="http://schemas.openxmlformats.org/officeDocument/2006/relationships/hyperlink" Target="https://socmin.lrv.lt/en/activities/social-insurance-1/social-insurance-contributions/?utm_source=chatgpt.com" TargetMode="External"/><Relationship Id="rId143" Type="http://schemas.openxmlformats.org/officeDocument/2006/relationships/hyperlink" Target="https://www.svb.nl/en/aow-pension/aow-pension-rates/aow-pension-rates?utm_source=chatgpt.com" TargetMode="External"/><Relationship Id="rId148" Type="http://schemas.openxmlformats.org/officeDocument/2006/relationships/hyperlink" Target="https://socialsecurity.gov.mt/en/information-and-applications-for-benefits-and-services/contributory-pensions/invalidity-pension/?utm_source=chatgpt.com" TargetMode="External"/><Relationship Id="rId164" Type="http://schemas.openxmlformats.org/officeDocument/2006/relationships/hyperlink" Target="https://economy-finance.ec.europa.eu/system/files/2021-05/lt_-_ar_2021_final_pension_fiche.pdf?utm_source=chatgpt.com" TargetMode="External"/><Relationship Id="rId169" Type="http://schemas.openxmlformats.org/officeDocument/2006/relationships/hyperlink" Target="https://www.ahv.li/beitraege/beitragspflicht/ende?utm_source=chatgpt.com" TargetMode="External"/><Relationship Id="rId185" Type="http://schemas.openxmlformats.org/officeDocument/2006/relationships/hyperlink" Target="https://www.oesterreich.gv.at/de/themen/arbeit_beruf_und_pension/pension/2/1/Seite.270132?utm_source=chatgpt.com" TargetMode="External"/><Relationship Id="rId4" Type="http://schemas.openxmlformats.org/officeDocument/2006/relationships/hyperlink" Target="https://www.deutsche-rentenversicherung.de/DRV/DE/Rente/In-der-Rente/Kranken-und-Pflegeversicherung-der-Rentner/kranken-und-pflegeversicherung-der-rentner_node.html?utm_source=chatgpt.com" TargetMode="External"/><Relationship Id="rId9" Type="http://schemas.openxmlformats.org/officeDocument/2006/relationships/hyperlink" Target="https://www.lassuranceretraite.fr/portail-info/hors-menu/traductions/english/my-rights.html" TargetMode="External"/><Relationship Id="rId180" Type="http://schemas.openxmlformats.org/officeDocument/2006/relationships/hyperlink" Target="https://www.oesterreich.gv.at/de/themen/arbeit_beruf_und_pension/pension/2/1/Seite.270132?utm_source=chatgpt.com" TargetMode="External"/><Relationship Id="rId210" Type="http://schemas.openxmlformats.org/officeDocument/2006/relationships/hyperlink" Target="https://www.oesterreich.gv.at/de/themen/arbeit_beruf_und_pension/pension/2/6/Seite.270412?utm_source=chatgpt.com" TargetMode="External"/><Relationship Id="rId215" Type="http://schemas.openxmlformats.org/officeDocument/2006/relationships/hyperlink" Target="https://www.sozialministerium.gv.at/en/Topics/Social-Affairs/Social-Insurance/Pension-Insurance/Types-of-Pension/Survivors%E2%80%99-Pensions.html?utm_source=chatgpt.com" TargetMode="External"/><Relationship Id="rId236" Type="http://schemas.openxmlformats.org/officeDocument/2006/relationships/hyperlink" Target="https://socpoist.sk/en/life-situations/pension/how-apply-old-age-pension?utm_source=chatgpt.com" TargetMode="External"/><Relationship Id="rId257" Type="http://schemas.openxmlformats.org/officeDocument/2006/relationships/hyperlink" Target="https://www.socpoist.sk/en/top-topics/insurees-electronic-account?utm_source=chatgpt.com" TargetMode="External"/><Relationship Id="rId278" Type="http://schemas.openxmlformats.org/officeDocument/2006/relationships/hyperlink" Target="https://www.ssa.gov/policy/docs/progdesc/ssptw/2018-2019/europe/slovenia.html?utm_source=chatgpt.com" TargetMode="External"/><Relationship Id="rId26" Type="http://schemas.openxmlformats.org/officeDocument/2006/relationships/hyperlink" Target="https://www.etk.fi/en/finnish-pension-system/pensions/pension-indexation/earnings-related-pension-indexes/?utm_source=chatgpt.com" TargetMode="External"/><Relationship Id="rId231" Type="http://schemas.openxmlformats.org/officeDocument/2006/relationships/hyperlink" Target="https://www.ssa.gov/international/Agreement_Pamphlets/spain.html?utm_source=chatgpt.com" TargetMode="External"/><Relationship Id="rId252" Type="http://schemas.openxmlformats.org/officeDocument/2006/relationships/hyperlink" Target="https://www.euraxess.es/spain/information-assistance/spanish-social-security-and-pensions/pensions?utm_source=chatgpt.com" TargetMode="External"/><Relationship Id="rId273" Type="http://schemas.openxmlformats.org/officeDocument/2006/relationships/hyperlink" Target="https://portal.gov.cz/en/sluzby-vs/disability-pension-S83?utm_source=chatgpt.com" TargetMode="External"/><Relationship Id="rId294" Type="http://schemas.openxmlformats.org/officeDocument/2006/relationships/hyperlink" Target="https://cms.law/en/int/expert-guides/cms-expert-guide-to-pensions/czech-republic?utm_source=chatgpt.com" TargetMode="External"/><Relationship Id="rId308" Type="http://schemas.openxmlformats.org/officeDocument/2006/relationships/hyperlink" Target="https://www.plan.be/sites/default/files/documents/REP_T29_12928_EN.pdf?utm_source=chatgpt.com" TargetMode="External"/><Relationship Id="rId329" Type="http://schemas.openxmlformats.org/officeDocument/2006/relationships/hyperlink" Target="https://lifeindenmark.borger.dk/pension/tax-on-danish-and-non-danish-pensions" TargetMode="External"/><Relationship Id="rId47" Type="http://schemas.openxmlformats.org/officeDocument/2006/relationships/hyperlink" Target="https://migracije.hr/old-age-pension/?lang=en" TargetMode="External"/><Relationship Id="rId68" Type="http://schemas.openxmlformats.org/officeDocument/2006/relationships/hyperlink" Target="https://www.citizensinformation.ie/en/social-welfare/older-and-retired-people/state-pension-contributory/" TargetMode="External"/><Relationship Id="rId89" Type="http://schemas.openxmlformats.org/officeDocument/2006/relationships/hyperlink" Target="https://employment-social-affairs.ec.europa.eu/document/download/3f43aab0-d0c5-4c70-a7d2-f56fa6ee565c_en?prefLang=lt&amp;utm_source=chatgpt.com" TargetMode="External"/><Relationship Id="rId112" Type="http://schemas.openxmlformats.org/officeDocument/2006/relationships/hyperlink" Target="https://www.servizz.gov.mt/en/Pages/Inclusion_-Equality-and-Social-Welfare/Social-Solidarity/Benefits-and-Services/Contributory-Pensions/WEB-00641/default.aspx?utm_source=chatgpt.com" TargetMode="External"/><Relationship Id="rId133" Type="http://schemas.openxmlformats.org/officeDocument/2006/relationships/hyperlink" Target="https://www.ahv.li/leistungen/ahv/rentenberechnung?utm_source=chatgpt.com" TargetMode="External"/><Relationship Id="rId154" Type="http://schemas.openxmlformats.org/officeDocument/2006/relationships/hyperlink" Target="https://socialsecurity.gov.mt/en/information-and-applications-for-benefits-and-services/contributory-pensions/contributory-widow-ers-pension/?utm_source=chatgpt.com" TargetMode="External"/><Relationship Id="rId175" Type="http://schemas.openxmlformats.org/officeDocument/2006/relationships/hyperlink" Target="https://www.oesterreich.gv.at/de/lebenslagen/Ich-gehe-oder-bin-in-Pension?utm_source=chatgpt.com" TargetMode="External"/><Relationship Id="rId196" Type="http://schemas.openxmlformats.org/officeDocument/2006/relationships/hyperlink" Target="https://www.zus.pl/baza-wiedzy/skladki-wskazniki-odsetki/wskazniki/waloryzacja-skladki-i-kapitalu-poczatkowego/wskazniki-waloryzacji-rocznej?utm_source=chatgpt.com" TargetMode="External"/><Relationship Id="rId200" Type="http://schemas.openxmlformats.org/officeDocument/2006/relationships/hyperlink" Target="https://www.sozialministerium.gv.at/Themen/Soziales/Sozialversicherung/Pensionsversicherung/Pensionserh%C3%B6hung.html?utm_source=chatgpt.com" TargetMode="External"/><Relationship Id="rId16" Type="http://schemas.openxmlformats.org/officeDocument/2006/relationships/hyperlink" Target="https://www.deutsche-rentenversicherung.de/DRV/DE/Rente/Allgemeine-Informationen/Rentenarten-und-Leistungen/Renten-an-Hinterbliebene/renten-an-hinterbliebene_node.html?utm_source=chatgpt.com" TargetMode="External"/><Relationship Id="rId221" Type="http://schemas.openxmlformats.org/officeDocument/2006/relationships/hyperlink" Target="https://podatki-arch.mf.gov.pl/en/pensioners/income-tax-rates-for-pensioners/?utm_source=chatgpt.com" TargetMode="External"/><Relationship Id="rId242" Type="http://schemas.openxmlformats.org/officeDocument/2006/relationships/hyperlink" Target="https://relocation-genevoise.ch/en/blog/schweizer-ahv?utm_source=chatgpt.com" TargetMode="External"/><Relationship Id="rId263" Type="http://schemas.openxmlformats.org/officeDocument/2006/relationships/hyperlink" Target="https://www.loyco.ch/en/actualites/changes-for-employers-on-january-1-2025/?utm_source=chatgpt.com" TargetMode="External"/><Relationship Id="rId284" Type="http://schemas.openxmlformats.org/officeDocument/2006/relationships/hyperlink" Target="https://socpoist.sk/en/life-situations/pension/how-apply-widows-pension?utm_source=chatgpt.com" TargetMode="External"/><Relationship Id="rId319" Type="http://schemas.openxmlformats.org/officeDocument/2006/relationships/hyperlink" Target="https://www.oecd.org/content/dam/oecd/en/publications/reports/2026/02/oecd-economic-surveys-bulgaria-2026_4dccf790/08af497f-en.pdf" TargetMode="External"/><Relationship Id="rId37" Type="http://schemas.openxmlformats.org/officeDocument/2006/relationships/hyperlink" Target="https://sotsiaalkindlustusamet.ee/en/pension-and-benefits/applying-pension/retirement-age" TargetMode="External"/><Relationship Id="rId58" Type="http://schemas.openxmlformats.org/officeDocument/2006/relationships/hyperlink" Target="https://www.inps.it/it/en/dettaglio-scheda.en.schede-servizio-strumento.schede-servizi.pensione-di-vecchiaia.html" TargetMode="External"/><Relationship Id="rId79" Type="http://schemas.openxmlformats.org/officeDocument/2006/relationships/hyperlink" Target="https://ypergasias.gov.gr/en/social-security/pensions/primary-pension/" TargetMode="External"/><Relationship Id="rId102" Type="http://schemas.openxmlformats.org/officeDocument/2006/relationships/hyperlink" Target="https://www.vsaa.gov.lv/en/services/granting-and-payment-old-age-pension" TargetMode="External"/><Relationship Id="rId123" Type="http://schemas.openxmlformats.org/officeDocument/2006/relationships/hyperlink" Target="https://www.csl.lu/en/your-rights/social-security/pensions/old-age-pensions/?utm_source=chatgpt.com" TargetMode="External"/><Relationship Id="rId144" Type="http://schemas.openxmlformats.org/officeDocument/2006/relationships/hyperlink" Target="https://www.mpisoc.mpg.de/en/social-law/research/research-projects/pension-maps/project-website/norwegen/statutory-old-age-pension-scheme-as-part-of-the-national-insurance-system/?utm_source=chatgpt.com" TargetMode="External"/><Relationship Id="rId330" Type="http://schemas.openxmlformats.org/officeDocument/2006/relationships/drawing" Target="../drawings/drawing6.xml"/><Relationship Id="rId90" Type="http://schemas.openxmlformats.org/officeDocument/2006/relationships/hyperlink" Target="https://www.lm.gov.lv/en/state-pensions-0" TargetMode="External"/><Relationship Id="rId165" Type="http://schemas.openxmlformats.org/officeDocument/2006/relationships/hyperlink" Target="https://cnap.public.lu/en/pensions/generalites.html?utm_source=chatgpt.com" TargetMode="External"/><Relationship Id="rId186" Type="http://schemas.openxmlformats.org/officeDocument/2006/relationships/hyperlink" Target="https://www.zus.pl/baza-wiedzy/skladki-wskazniki-odsetki/wskazniki/waloryzacja-skladki-i-kapitalu-poczatkowego/wskazniki-waloryzacji-rocznej?utm_source=chatgpt.com" TargetMode="External"/><Relationship Id="rId211" Type="http://schemas.openxmlformats.org/officeDocument/2006/relationships/hyperlink" Target="https://lang.zus.pl/benefits/survivor-s-pensions?utm_source=chatgpt.com" TargetMode="External"/><Relationship Id="rId232" Type="http://schemas.openxmlformats.org/officeDocument/2006/relationships/hyperlink" Target="https://www.oecd.org/en/publications/pensions-at-a-glance-2025-country-notes_8a53ef12-en/czechia_dd7aae9d-en.html?utm_source=chatgpt.com" TargetMode="External"/><Relationship Id="rId253" Type="http://schemas.openxmlformats.org/officeDocument/2006/relationships/hyperlink" Target="https://www.cssz.cz/web/lang/duchodove-pojisteni1?lang=en&amp;utm_source=chatgpt.com" TargetMode="External"/><Relationship Id="rId274" Type="http://schemas.openxmlformats.org/officeDocument/2006/relationships/hyperlink" Target="https://ec.europa.eu/social/BlobServlet?docId=13766&amp;langId=en&amp;utm_source=chatgpt.com" TargetMode="External"/><Relationship Id="rId295" Type="http://schemas.openxmlformats.org/officeDocument/2006/relationships/hyperlink" Target="https://www.mpisoc.mpg.de/en/social-law/research/research-projects/pension-maps/project-website/hungary/social-insurance-pension-scheme/?utm_source=chatgpt.com" TargetMode="External"/><Relationship Id="rId309" Type="http://schemas.openxmlformats.org/officeDocument/2006/relationships/hyperlink" Target="https://settlinginbelgium.be/en/work-and-retirement/retirement" TargetMode="External"/><Relationship Id="rId27" Type="http://schemas.openxmlformats.org/officeDocument/2006/relationships/hyperlink" Target="https://www.pensionikeskus.ee/en/i-pillar/state-pension/old-age-pension/" TargetMode="External"/><Relationship Id="rId48" Type="http://schemas.openxmlformats.org/officeDocument/2006/relationships/hyperlink" Target="https://www.vsaa.gov.lv/en/services/granting-and-payment-old-age-pension" TargetMode="External"/><Relationship Id="rId69" Type="http://schemas.openxmlformats.org/officeDocument/2006/relationships/hyperlink" Target="https://www.norden.org/en/info-norden/icelandic-pension-system" TargetMode="External"/><Relationship Id="rId113" Type="http://schemas.openxmlformats.org/officeDocument/2006/relationships/hyperlink" Target="https://www.svb.nl/en/aow-pension/aow-pension-age/your-aow-pension-age?utm_source=chatgpt.com" TargetMode="External"/><Relationship Id="rId134" Type="http://schemas.openxmlformats.org/officeDocument/2006/relationships/hyperlink" Target="https://socmin.lrv.lt/en/activities/social-insurance-1/social-insurance-benefits/social-insurance-old-age-pensions/?utm_source=chatgpt.com" TargetMode="External"/><Relationship Id="rId320" Type="http://schemas.openxmlformats.org/officeDocument/2006/relationships/hyperlink" Target="https://lifeindenmark.borger.dk/pension/state-pension" TargetMode="External"/><Relationship Id="rId80" Type="http://schemas.openxmlformats.org/officeDocument/2006/relationships/hyperlink" Target="https://www.gov.ie/en/department-of-social-protection/services/invalidity-pension/" TargetMode="External"/><Relationship Id="rId155" Type="http://schemas.openxmlformats.org/officeDocument/2006/relationships/hyperlink" Target="https://www.government.nl/themes/taxes-benefits-and-allowances/surviving-dependants-act/applying-for-surviving-dependants-benefit-anw-uitkering?utm_source=chatgpt.com" TargetMode="External"/><Relationship Id="rId176" Type="http://schemas.openxmlformats.org/officeDocument/2006/relationships/hyperlink" Target="https://lang.zus.pl/benefits/old-age-pensions/old-age-pensions-operating-under-the-new-rules?utm_source=chatgpt.com" TargetMode="External"/><Relationship Id="rId197" Type="http://schemas.openxmlformats.org/officeDocument/2006/relationships/hyperlink" Target="https://www.dgaep.gov.pt/stap/EN/infoPage.cfm?KeepThis=true&amp;TB_iframe=true&amp;height=580&amp;objid=013242ea-f602-4aa6-aca4-003084601596&amp;width=520&amp;utm_source=chatgpt.com" TargetMode="External"/><Relationship Id="rId201" Type="http://schemas.openxmlformats.org/officeDocument/2006/relationships/hyperlink" Target="https://www.zus.pl/-/od-marca-emerytury-i-renty-w-g%C3%B3r%C4%99?utm_source=chatgpt.com" TargetMode="External"/><Relationship Id="rId222" Type="http://schemas.openxmlformats.org/officeDocument/2006/relationships/hyperlink" Target="https://www.mpisoc.mpg.de/en/social-law/research/research-projects/pension-maps/project-website/portugal/general-social-security-scheme/?utm_source=chatgpt.com" TargetMode="External"/><Relationship Id="rId243" Type="http://schemas.openxmlformats.org/officeDocument/2006/relationships/hyperlink" Target="https://cms.law/en/int/expert-guides/cms-expert-guide-to-pensions/slovakia?utm_source=chatgpt.com" TargetMode="External"/><Relationship Id="rId264" Type="http://schemas.openxmlformats.org/officeDocument/2006/relationships/hyperlink" Target="https://www.ssa.gov/policy/docs/progdesc/ssptw/2018-2019/europe/slovakia.html?utm_source=chatgpt.com" TargetMode="External"/><Relationship Id="rId285" Type="http://schemas.openxmlformats.org/officeDocument/2006/relationships/hyperlink" Target="https://www.zpiz.si/content2020en/assessment-of-a-widow-ers-pension?utm_source=chatgpt.com" TargetMode="External"/><Relationship Id="rId17" Type="http://schemas.openxmlformats.org/officeDocument/2006/relationships/hyperlink" Target="https://www.service-public.gouv.fr/particuliers/vosdroits/F672?lang=en&amp;utm_source=chatgpt.com" TargetMode="External"/><Relationship Id="rId38" Type="http://schemas.openxmlformats.org/officeDocument/2006/relationships/hyperlink" Target="https://www.deutsche-rentenversicherung.de/DRV/DE/Rente/Allgemeine-Informationen/Rentenarten-und-Leistungen/Die-regulaere-Altersrente/die-regulaere-altersrente_node.html?utm_source=chatgpt.com" TargetMode="External"/><Relationship Id="rId59" Type="http://schemas.openxmlformats.org/officeDocument/2006/relationships/hyperlink" Target="https://migracije.hr/contributions/?lang=en&amp;utm_source=chatgpt.com" TargetMode="External"/><Relationship Id="rId103" Type="http://schemas.openxmlformats.org/officeDocument/2006/relationships/hyperlink" Target="https://www.mpisoc.mpg.de/en/social-law/research/research-projects/pension-maps/project-website/griechenland/statutory-old-age-pension-scheme/?utm_source=chatgpt.com" TargetMode="External"/><Relationship Id="rId124" Type="http://schemas.openxmlformats.org/officeDocument/2006/relationships/hyperlink" Target="https://mtca.gov.mt/personal-tax/pensioners/pension-income-in-malta?utm_source=chatgpt.com" TargetMode="External"/><Relationship Id="rId310" Type="http://schemas.openxmlformats.org/officeDocument/2006/relationships/hyperlink" Target="https://www.oecd.org/content/dam/oecd/en/publications/reports/2026/02/oecd-economic-surveys-bulgaria-2026_4dccf790/08af497f-en.pdf" TargetMode="External"/><Relationship Id="rId70" Type="http://schemas.openxmlformats.org/officeDocument/2006/relationships/hyperlink" Target="https://www.ssa.gov/policy/docs/progdesc/ssptw/2018-2019/europe/italy.html" TargetMode="External"/><Relationship Id="rId91" Type="http://schemas.openxmlformats.org/officeDocument/2006/relationships/hyperlink" Target="https://ypergasias.gov.gr/en/social-security/pensions/primary-pension/" TargetMode="External"/><Relationship Id="rId145" Type="http://schemas.openxmlformats.org/officeDocument/2006/relationships/hyperlink" Target="https://www.ahv.li/leistungen/iv/rentenhoehe?utm_source=chatgpt.com" TargetMode="External"/><Relationship Id="rId166" Type="http://schemas.openxmlformats.org/officeDocument/2006/relationships/hyperlink" Target="https://mtca.gov.mt/personal-tax/pensioners/tax-exemption-on-pension-income-received-after-61-years-of-age?utm_source=chatgpt.com" TargetMode="External"/><Relationship Id="rId187" Type="http://schemas.openxmlformats.org/officeDocument/2006/relationships/hyperlink" Target="https://www2.gov.pt/en/servicos/requerer-a-pensao-de-velhice" TargetMode="External"/><Relationship Id="rId1" Type="http://schemas.openxmlformats.org/officeDocument/2006/relationships/hyperlink" Target="https://www.cleiss.fr/docs/regimes/regime_france/an_0.html?utm_source=chatgpt.com" TargetMode="External"/><Relationship Id="rId212" Type="http://schemas.openxmlformats.org/officeDocument/2006/relationships/hyperlink" Target="https://www2.gov.pt/en/servicos/requerer-a-pensao-de-sobrevivencia" TargetMode="External"/><Relationship Id="rId233" Type="http://schemas.openxmlformats.org/officeDocument/2006/relationships/hyperlink" Target="https://www.oecd.org/content/dam/oecd/en/publications/reports/2024/10/pensions-at-a-glance-2023-country-notes_2e11a061/hungary_606f6906/91bb0bca-en.pdf?utm_source=chatgpt.com" TargetMode="External"/><Relationship Id="rId254" Type="http://schemas.openxmlformats.org/officeDocument/2006/relationships/hyperlink" Target="https://www.findyourpension.eu/provider-list/pension-abc/default-b0809394c9?utm_source=chatgpt.com" TargetMode="External"/><Relationship Id="rId28" Type="http://schemas.openxmlformats.org/officeDocument/2006/relationships/hyperlink" Target="https://www.deutsche-rentenversicherung.de/DRV/DE/Rente/Allgemeine-Informationen/Wie-wird-meine-Rente-berechnet/wie-wird-meine-rente-berechnet_node.html?utm_source=chatgpt.com" TargetMode="External"/><Relationship Id="rId49" Type="http://schemas.openxmlformats.org/officeDocument/2006/relationships/hyperlink" Target="https://ypergasias.gov.gr/en/social-security/pensions/primary-pension/" TargetMode="External"/><Relationship Id="rId114" Type="http://schemas.openxmlformats.org/officeDocument/2006/relationships/hyperlink" Target="https://www.nav.no/alderspensjon/en?utm_source=chatgpt.com" TargetMode="External"/><Relationship Id="rId275" Type="http://schemas.openxmlformats.org/officeDocument/2006/relationships/hyperlink" Target="https://www.issa.int/sites/default/files/documents/2024-12/Cyprus.pdf?utm_source=chatgpt.com" TargetMode="External"/><Relationship Id="rId296" Type="http://schemas.openxmlformats.org/officeDocument/2006/relationships/hyperlink" Target="https://www.mof.gov.cy/mof/tax/taxdep.nsf/All/63BFCDA304B95940C2258B2C002BE389/%24file/Guide%20for%20tax%20return%202023.pdf?OpenElement=&amp;utm_source=chatgpt.com" TargetMode="External"/><Relationship Id="rId300" Type="http://schemas.openxmlformats.org/officeDocument/2006/relationships/hyperlink" Target="https://taxsummaries.pwc.com/spain/individual/other-taxes?utm_source=chatgpt.com" TargetMode="External"/><Relationship Id="rId60" Type="http://schemas.openxmlformats.org/officeDocument/2006/relationships/hyperlink" Target="https://www.lm.gov.lv/en/pension-policy" TargetMode="External"/><Relationship Id="rId81" Type="http://schemas.openxmlformats.org/officeDocument/2006/relationships/hyperlink" Target="https://www.norden.org/en/info-norden/disability-pension-iceland" TargetMode="External"/><Relationship Id="rId135" Type="http://schemas.openxmlformats.org/officeDocument/2006/relationships/hyperlink" Target="https://www.csl.lu/app/uploads/2023/05/csl_pensions_en_2023.pdf?utm_source=chatgpt.com" TargetMode="External"/><Relationship Id="rId156" Type="http://schemas.openxmlformats.org/officeDocument/2006/relationships/hyperlink" Target="https://www.nav.no/gjenlevendepensjon/en?utm_source=chatgpt.com" TargetMode="External"/><Relationship Id="rId177" Type="http://schemas.openxmlformats.org/officeDocument/2006/relationships/hyperlink" Target="https://www2.gov.pt/en/servicos/requerer-a-pensao-de-velhice" TargetMode="External"/><Relationship Id="rId198" Type="http://schemas.openxmlformats.org/officeDocument/2006/relationships/hyperlink" Target="https://www.mpisoc.mpg.de/en/social-law/research/research-projects/pension-maps/project-website/romania/statutory-old-age-pension-scheme/" TargetMode="External"/><Relationship Id="rId321" Type="http://schemas.openxmlformats.org/officeDocument/2006/relationships/hyperlink" Target="https://lifeindenmark.borger.dk/pension/state-pension" TargetMode="External"/><Relationship Id="rId202" Type="http://schemas.openxmlformats.org/officeDocument/2006/relationships/hyperlink" Target="https://www.mpisoc.mpg.de/en/social-law/research/research-projects/pension-maps/project-website/portugal/general-social-security-scheme/?utm_source=chatgpt.com" TargetMode="External"/><Relationship Id="rId223" Type="http://schemas.openxmlformats.org/officeDocument/2006/relationships/hyperlink" Target="https://ec.europa.eu/social/BlobServlet?docId=13772&amp;langId=en&amp;utm_source=chatgpt.com" TargetMode="External"/><Relationship Id="rId244" Type="http://schemas.openxmlformats.org/officeDocument/2006/relationships/hyperlink" Target="https://spot.gov.si/en/info/employees/social-security-and-insurance?utm_source=chatgpt.com" TargetMode="External"/><Relationship Id="rId18" Type="http://schemas.openxmlformats.org/officeDocument/2006/relationships/hyperlink" Target="https://www.tyoelake.fi/en/different-pensions/disability-pension-if-your-working-ability-has-been-reduced/" TargetMode="External"/><Relationship Id="rId39" Type="http://schemas.openxmlformats.org/officeDocument/2006/relationships/hyperlink" Target="https://www.service-public.gouv.fr/particuliers/vosdroits/F35063?lang=en" TargetMode="External"/><Relationship Id="rId265" Type="http://schemas.openxmlformats.org/officeDocument/2006/relationships/hyperlink" Target="https://www.oecd.org/content/dam/oecd/en/publications/reports/2025/11/pensions-at-a-glance-2025-country-notes_e320013d/slovenia_0588d6f3/7e509dba-en.pdf?utm_source=chatgpt.com" TargetMode="External"/><Relationship Id="rId286" Type="http://schemas.openxmlformats.org/officeDocument/2006/relationships/hyperlink" Target="https://www.seg-social.es/wps/portal/wss/internet/Trabajadores/PrestacionesPensionesTrabajadores/10964/10966/28489/28490?utm_source=chatgpt.com" TargetMode="External"/><Relationship Id="rId50" Type="http://schemas.openxmlformats.org/officeDocument/2006/relationships/hyperlink" Target="https://www.gov.ie/en/department-of-social-protection/services/state-pension-contributory/" TargetMode="External"/><Relationship Id="rId104" Type="http://schemas.openxmlformats.org/officeDocument/2006/relationships/hyperlink" Target="https://www.citizensinformation.ie/en/money-and-tax/personal-finance/pensions/taxation-of-pensions/?utm_source=chatgpt.com" TargetMode="External"/><Relationship Id="rId125" Type="http://schemas.openxmlformats.org/officeDocument/2006/relationships/hyperlink" Target="https://business.gov.nl/regulations/employee-insurance-schemes-national-insurance/?utm_source=chatgpt.com" TargetMode="External"/><Relationship Id="rId146" Type="http://schemas.openxmlformats.org/officeDocument/2006/relationships/hyperlink" Target="https://socmin.lrv.lt/en/activities/social-insurance-1/social-insurance-benefits/social-insurance-disability-pension/?utm_source=chatgpt.com" TargetMode="External"/><Relationship Id="rId167" Type="http://schemas.openxmlformats.org/officeDocument/2006/relationships/hyperlink" Target="https://www.svb.nl/en/aow-pension/aow-pension-rates/what-is-deducted-from-your-aow-pension?utm_source=chatgpt.com" TargetMode="External"/><Relationship Id="rId188" Type="http://schemas.openxmlformats.org/officeDocument/2006/relationships/hyperlink" Target="https://www.mpisoc.mpg.de/en/social-law/research/research-projects/pension-maps/project-website/romania/statutory-old-age-pension-scheme/" TargetMode="External"/><Relationship Id="rId311" Type="http://schemas.openxmlformats.org/officeDocument/2006/relationships/hyperlink" Target="https://www.oecd.org/content/dam/oecd/en/publications/reports/2026/02/oecd-economic-surveys-bulgaria-2026_4dccf790/08af497f-en.pdf" TargetMode="External"/><Relationship Id="rId71" Type="http://schemas.openxmlformats.org/officeDocument/2006/relationships/hyperlink" Target="https://www.mirovinsko.hr/en/how-is-your-pension-determined/188" TargetMode="External"/><Relationship Id="rId92" Type="http://schemas.openxmlformats.org/officeDocument/2006/relationships/hyperlink" Target="https://www.gov.ie/en/department-of-social-protection/publications/operational-guidelines-bereaved-partners-contributory-pension/" TargetMode="External"/><Relationship Id="rId213" Type="http://schemas.openxmlformats.org/officeDocument/2006/relationships/hyperlink" Target="https://ec.europa.eu/social/BlobServlet?docId=13772&amp;langId=en&amp;utm_source=chatgpt.com" TargetMode="External"/><Relationship Id="rId234" Type="http://schemas.openxmlformats.org/officeDocument/2006/relationships/hyperlink" Target="https://www.mlsi.gov.cy/mlsi/sid/sidv2.nsf/2732b55311a819d1c2257a30001fbe29/f702d60872e9353cc2257a30001fd75d?OpenDocument=&amp;utm_source=chatgpt.com" TargetMode="External"/><Relationship Id="rId2" Type="http://schemas.openxmlformats.org/officeDocument/2006/relationships/hyperlink" Target="https://www.vero.fi/en/businesses-and-corporations/taxes-and-charges/being-an-employer/social-insurance-contributions/?utm_source=chatgpt.com" TargetMode="External"/><Relationship Id="rId29" Type="http://schemas.openxmlformats.org/officeDocument/2006/relationships/hyperlink" Target="https://www.kela.fi/old-age-pension?utm_source=chatgpt.com" TargetMode="External"/><Relationship Id="rId255" Type="http://schemas.openxmlformats.org/officeDocument/2006/relationships/hyperlink" Target="https://www.mlsi.gov.cy/mlsi/sid/sidv2.nsf/2732b55311a819d1c2257a30001fbe29/f702d60872e9353cc2257a30001fd75d?OpenDocument=&amp;utm_source=chatgpt.com" TargetMode="External"/><Relationship Id="rId276" Type="http://schemas.openxmlformats.org/officeDocument/2006/relationships/hyperlink" Target="https://www.ahv-iv.ch/en/Social-insurances/Glossary?utm_source=chatgpt.com" TargetMode="External"/><Relationship Id="rId297" Type="http://schemas.openxmlformats.org/officeDocument/2006/relationships/hyperlink" Target="https://www.ahv-iv.ch/p/2.03.e?utm_source=chatgpt.com" TargetMode="External"/><Relationship Id="rId40" Type="http://schemas.openxmlformats.org/officeDocument/2006/relationships/hyperlink" Target="https://www.etk.fi/en/finnish-pension-system/pensions/determining-the-life-expectancy-coefficient-and-retirement-age/determining-the-retirement-age-for-the-old-age-pension/?utm_source=chatgpt.com" TargetMode="External"/><Relationship Id="rId115" Type="http://schemas.openxmlformats.org/officeDocument/2006/relationships/hyperlink" Target="https://www.ahv.li/leistungen/ahv/rentenberechnung?utm_source=chatgpt.com" TargetMode="External"/><Relationship Id="rId136" Type="http://schemas.openxmlformats.org/officeDocument/2006/relationships/hyperlink" Target="https://gemma.gov.mt/retirement-income-and-inflation/?utm_source=chatgpt.com" TargetMode="External"/><Relationship Id="rId157" Type="http://schemas.openxmlformats.org/officeDocument/2006/relationships/hyperlink" Target="https://www.ahv.li/leistungen/ahv/verwitwetenrente?utm_source=chatgpt.com" TargetMode="External"/><Relationship Id="rId178" Type="http://schemas.openxmlformats.org/officeDocument/2006/relationships/hyperlink" Target="https://ec.europa.eu/social/BlobServlet?docId=13772&amp;langId=en&amp;utm_source=chatgpt.com" TargetMode="External"/><Relationship Id="rId301" Type="http://schemas.openxmlformats.org/officeDocument/2006/relationships/hyperlink" Target="https://taxsummaries.pwc.com/czech-republic/individual/other-taxes?utm_source=chatgpt.com" TargetMode="External"/><Relationship Id="rId322" Type="http://schemas.openxmlformats.org/officeDocument/2006/relationships/hyperlink" Target="https://lifeindenmark.borger.dk/pension/state-pension" TargetMode="External"/><Relationship Id="rId61" Type="http://schemas.openxmlformats.org/officeDocument/2006/relationships/hyperlink" Target="https://ypergasias.gov.gr/en/social-security/pensions/primary-pension/" TargetMode="External"/><Relationship Id="rId82" Type="http://schemas.openxmlformats.org/officeDocument/2006/relationships/hyperlink" Target="https://ambpanama.esteri.it/en/servizi-consolari-e-visti/servizi-per-il-cittadino-italiano/pensioni-e-sicurezza-sociale/" TargetMode="External"/><Relationship Id="rId199" Type="http://schemas.openxmlformats.org/officeDocument/2006/relationships/hyperlink" Target="https://www.pensionsmyndigheten.se/statistik/publikationer/orange-report-2020/6-changes-in-the-value-of-the-pension-system.html?utm_source=chatgpt.com" TargetMode="External"/><Relationship Id="rId203" Type="http://schemas.openxmlformats.org/officeDocument/2006/relationships/hyperlink" Target="https://www.mpisoc.mpg.de/en/social-law/research/research-projects/pension-maps/project-website/romania/statutory-old-age-pension-scheme/" TargetMode="External"/><Relationship Id="rId19" Type="http://schemas.openxmlformats.org/officeDocument/2006/relationships/hyperlink" Target="https://www.riigiteataja.ee/en/eli/502012026001/consolide" TargetMode="External"/><Relationship Id="rId224" Type="http://schemas.openxmlformats.org/officeDocument/2006/relationships/hyperlink" Target="https://www.bvaeb.at/cdscontent/?contentid=10007.860032&amp;portal=bvaebbportal&amp;utm_source=chatgpt.com" TargetMode="External"/><Relationship Id="rId245" Type="http://schemas.openxmlformats.org/officeDocument/2006/relationships/hyperlink" Target="https://taxsummaries.pwc.com/spain/individual/other-taxes?utm_source=chatgpt.com" TargetMode="External"/><Relationship Id="rId266" Type="http://schemas.openxmlformats.org/officeDocument/2006/relationships/hyperlink" Target="https://www.lamoncloa.gob.es/lang/en/gobierno/news/paginas/2025/pension-increase-and-revaluation.aspx?utm_source=chatgpt.com" TargetMode="External"/><Relationship Id="rId287" Type="http://schemas.openxmlformats.org/officeDocument/2006/relationships/hyperlink" Target="https://www.cssz.cz/web/lang/vdovsky/vdovecky?lang=en&amp;utm_source=chatgpt.com" TargetMode="Externa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xml.rels><?xml version="1.0" encoding="UTF-8" standalone="yes"?>
<Relationships xmlns="http://schemas.openxmlformats.org/package/2006/relationships"><Relationship Id="rId1"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4.xml.rels><?xml version="1.0" encoding="UTF-8" standalone="yes"?>
<Relationships xmlns="http://schemas.openxmlformats.org/package/2006/relationships"><Relationship Id="rId2"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 Id="rId1" Type="http://schemas.openxmlformats.org/officeDocument/2006/relationships/hyperlink" Target="https://www.destatis.de/SiteGlobals/Forms/Suche/Expertensuche_Formular.html?resourceId=2402&amp;input_=2408&amp;pageLocale=de&amp;templateQueryString=generationensterbetafeln&amp;submit.x=0&amp;submit.y=0" TargetMode="Externa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54.xml.rels><?xml version="1.0" encoding="UTF-8" standalone="yes"?>
<Relationships xmlns="http://schemas.openxmlformats.org/package/2006/relationships"><Relationship Id="rId8" Type="http://schemas.openxmlformats.org/officeDocument/2006/relationships/hyperlink" Target="https://journals.sagepub.com/action/downloadSupplement?doi=10.1177%2F09589287261430475&amp;file=sj-pdf-1-esp-10.1177_09589287261430475.pdf" TargetMode="External"/><Relationship Id="rId13" Type="http://schemas.openxmlformats.org/officeDocument/2006/relationships/hyperlink" Target="https://journals.sagepub.com/action/downloadSupplement?doi=10.1177%2F09589287261430475&amp;file=sj-pdf-1-esp-10.1177_09589287261430475.pdf" TargetMode="External"/><Relationship Id="rId18" Type="http://schemas.openxmlformats.org/officeDocument/2006/relationships/hyperlink" Target="https://journals.sagepub.com/action/downloadSupplement?doi=10.1177%2F09589287261430475&amp;file=sj-pdf-1-esp-10.1177_09589287261430475.pdf" TargetMode="External"/><Relationship Id="rId3" Type="http://schemas.openxmlformats.org/officeDocument/2006/relationships/hyperlink" Target="https://journals.sagepub.com/action/downloadSupplement?doi=10.1177%2F09589287261430475&amp;file=sj-pdf-1-esp-10.1177_09589287261430475.pdf" TargetMode="External"/><Relationship Id="rId21" Type="http://schemas.openxmlformats.org/officeDocument/2006/relationships/hyperlink" Target="https://journals.sagepub.com/action/downloadSupplement?doi=10.1177%2F09589287261430475&amp;file=sj-pdf-1-esp-10.1177_09589287261430475.pdf" TargetMode="External"/><Relationship Id="rId7" Type="http://schemas.openxmlformats.org/officeDocument/2006/relationships/hyperlink" Target="https://journals.sagepub.com/action/downloadSupplement?doi=10.1177%2F09589287261430475&amp;file=sj-pdf-1-esp-10.1177_09589287261430475.pdf" TargetMode="External"/><Relationship Id="rId12" Type="http://schemas.openxmlformats.org/officeDocument/2006/relationships/hyperlink" Target="https://journals.sagepub.com/action/downloadSupplement?doi=10.1177%2F09589287261430475&amp;file=sj-pdf-1-esp-10.1177_09589287261430475.pdf" TargetMode="External"/><Relationship Id="rId17" Type="http://schemas.openxmlformats.org/officeDocument/2006/relationships/hyperlink" Target="https://journals.sagepub.com/action/downloadSupplement?doi=10.1177%2F09589287261430475&amp;file=sj-pdf-1-esp-10.1177_09589287261430475.pdf" TargetMode="External"/><Relationship Id="rId2" Type="http://schemas.openxmlformats.org/officeDocument/2006/relationships/hyperlink" Target="https://journals.sagepub.com/action/downloadSupplement?doi=10.1177%2F09589287261430475&amp;file=sj-pdf-1-esp-10.1177_09589287261430475.pdf" TargetMode="External"/><Relationship Id="rId16" Type="http://schemas.openxmlformats.org/officeDocument/2006/relationships/hyperlink" Target="https://journals.sagepub.com/action/downloadSupplement?doi=10.1177%2F09589287261430475&amp;file=sj-pdf-1-esp-10.1177_09589287261430475.pdf" TargetMode="External"/><Relationship Id="rId20" Type="http://schemas.openxmlformats.org/officeDocument/2006/relationships/hyperlink" Target="https://journals.sagepub.com/action/downloadSupplement?doi=10.1177%2F09589287261430475&amp;file=sj-pdf-1-esp-10.1177_09589287261430475.pdf" TargetMode="External"/><Relationship Id="rId1" Type="http://schemas.openxmlformats.org/officeDocument/2006/relationships/hyperlink" Target="https://journals.sagepub.com/action/downloadSupplement?doi=10.1177%2F09589287261430475&amp;file=sj-pdf-1-esp-10.1177_09589287261430475.pdf" TargetMode="External"/><Relationship Id="rId6" Type="http://schemas.openxmlformats.org/officeDocument/2006/relationships/hyperlink" Target="https://journals.sagepub.com/action/downloadSupplement?doi=10.1177%2F09589287261430475&amp;file=sj-pdf-1-esp-10.1177_09589287261430475.pdf" TargetMode="External"/><Relationship Id="rId11" Type="http://schemas.openxmlformats.org/officeDocument/2006/relationships/hyperlink" Target="https://journals.sagepub.com/action/downloadSupplement?doi=10.1177%2F09589287261430475&amp;file=sj-pdf-1-esp-10.1177_09589287261430475.pdf" TargetMode="External"/><Relationship Id="rId24" Type="http://schemas.openxmlformats.org/officeDocument/2006/relationships/drawing" Target="../drawings/drawing38.xml"/><Relationship Id="rId5" Type="http://schemas.openxmlformats.org/officeDocument/2006/relationships/hyperlink" Target="https://www.oecd.org/content/dam/oecd/en/topics/policy-sub-issues/incomes-support-redistribution-and-work-incentives/TaxBEN-Switzerland-latest.pdf" TargetMode="External"/><Relationship Id="rId15" Type="http://schemas.openxmlformats.org/officeDocument/2006/relationships/hyperlink" Target="https://journals.sagepub.com/action/downloadSupplement?doi=10.1177%2F09589287261430475&amp;file=sj-pdf-1-esp-10.1177_09589287261430475.pdf" TargetMode="External"/><Relationship Id="rId23" Type="http://schemas.openxmlformats.org/officeDocument/2006/relationships/printerSettings" Target="../printerSettings/printerSettings6.bin"/><Relationship Id="rId10" Type="http://schemas.openxmlformats.org/officeDocument/2006/relationships/hyperlink" Target="https://journals.sagepub.com/action/downloadSupplement?doi=10.1177%2F09589287261430475&amp;file=sj-pdf-1-esp-10.1177_09589287261430475.pdf" TargetMode="External"/><Relationship Id="rId19" Type="http://schemas.openxmlformats.org/officeDocument/2006/relationships/hyperlink" Target="https://journals.sagepub.com/action/downloadSupplement?doi=10.1177%2F09589287261430475&amp;file=sj-pdf-1-esp-10.1177_09589287261430475.pdf" TargetMode="External"/><Relationship Id="rId4" Type="http://schemas.openxmlformats.org/officeDocument/2006/relationships/hyperlink" Target="https://journals.sagepub.com/action/downloadSupplement?doi=10.1177%2F09589287261430475&amp;file=sj-pdf-1-esp-10.1177_09589287261430475.pdf" TargetMode="External"/><Relationship Id="rId9" Type="http://schemas.openxmlformats.org/officeDocument/2006/relationships/hyperlink" Target="https://journals.sagepub.com/action/downloadSupplement?doi=10.1177%2F09589287261430475&amp;file=sj-pdf-1-esp-10.1177_09589287261430475.pdf" TargetMode="External"/><Relationship Id="rId14" Type="http://schemas.openxmlformats.org/officeDocument/2006/relationships/hyperlink" Target="https://journals.sagepub.com/action/downloadSupplement?doi=10.1177%2F09589287261430475&amp;file=sj-pdf-1-esp-10.1177_09589287261430475.pdf" TargetMode="External"/><Relationship Id="rId22" Type="http://schemas.openxmlformats.org/officeDocument/2006/relationships/hyperlink" Target="https://www.parlament.gv.at/dokument/XXVII/EU/187913/imfname_11382449.pdf" TargetMode="External"/></Relationships>
</file>

<file path=xl/worksheets/_rels/sheet56.xml.rels><?xml version="1.0" encoding="UTF-8" standalone="yes"?>
<Relationships xmlns="http://schemas.openxmlformats.org/package/2006/relationships"><Relationship Id="rId8" Type="http://schemas.openxmlformats.org/officeDocument/2006/relationships/hyperlink" Target="https://employment-social-affairs.ec.europa.eu/document/download/e0b8e868-4fae-4a4a-883b-75b02cf0bd1f_de" TargetMode="External"/><Relationship Id="rId13" Type="http://schemas.openxmlformats.org/officeDocument/2006/relationships/hyperlink" Target="https://employment-social-affairs.ec.europa.eu/document/download/07fba796-b245-416b-ac58-5b6dc4d06d4e_de" TargetMode="External"/><Relationship Id="rId18" Type="http://schemas.openxmlformats.org/officeDocument/2006/relationships/hyperlink" Target="https://employment-social-affairs.ec.europa.eu/document/download/281c2e4d-bbb3-4a73-93b6-ff3368cb15c6_de" TargetMode="External"/><Relationship Id="rId26" Type="http://schemas.openxmlformats.org/officeDocument/2006/relationships/hyperlink" Target="https://employment-social-affairs.ec.europa.eu/document/download/cda27b4f-ad1c-419d-b4c4-28222a5d2c34_de" TargetMode="External"/><Relationship Id="rId3" Type="http://schemas.openxmlformats.org/officeDocument/2006/relationships/hyperlink" Target="https://employment-social-affairs.ec.europa.eu/document/download/3ee120a1-88e4-40cd-a3d7-1a5e33008cfc_de?filename=missoc-ssg-DK-2024-de.pdf" TargetMode="External"/><Relationship Id="rId21" Type="http://schemas.openxmlformats.org/officeDocument/2006/relationships/hyperlink" Target="https://employment-social-affairs.ec.europa.eu/document/download/1801fedc-6583-47f2-be14-8650bc6b71c8_de" TargetMode="External"/><Relationship Id="rId7" Type="http://schemas.openxmlformats.org/officeDocument/2006/relationships/hyperlink" Target="https://employment-social-affairs.ec.europa.eu/document/download/48c6ea1f-8284-42db-804d-47fabf896a6d_de" TargetMode="External"/><Relationship Id="rId12" Type="http://schemas.openxmlformats.org/officeDocument/2006/relationships/hyperlink" Target="https://employment-social-affairs.ec.europa.eu/document/download/3f43aab0-d0c5-4c70-a7d2-f56fa6ee565c_de" TargetMode="External"/><Relationship Id="rId17" Type="http://schemas.openxmlformats.org/officeDocument/2006/relationships/hyperlink" Target="https://employment-social-affairs.ec.europa.eu/document/download/ad6d37a8-9b44-45c9-b366-f19633602983_de" TargetMode="External"/><Relationship Id="rId25" Type="http://schemas.openxmlformats.org/officeDocument/2006/relationships/hyperlink" Target="https://employment-social-affairs.ec.europa.eu/document/download/0b4342bd-0bd0-4b42-b09e-e43733ae8b8e_de" TargetMode="External"/><Relationship Id="rId2" Type="http://schemas.openxmlformats.org/officeDocument/2006/relationships/hyperlink" Target="https://employment-social-affairs.ec.europa.eu/document/download/f3436d8c-426b-472b-8012-9e830de438c3_de" TargetMode="External"/><Relationship Id="rId16" Type="http://schemas.openxmlformats.org/officeDocument/2006/relationships/hyperlink" Target="https://employment-social-affairs.ec.europa.eu/document/download/d18b3308-2094-4a67-9964-a59e1497a9af_de" TargetMode="External"/><Relationship Id="rId20" Type="http://schemas.openxmlformats.org/officeDocument/2006/relationships/hyperlink" Target="https://employment-social-affairs.ec.europa.eu/document/download/9b140205-9066-4a16-876f-eb7643365cc9_de" TargetMode="External"/><Relationship Id="rId29" Type="http://schemas.openxmlformats.org/officeDocument/2006/relationships/drawing" Target="../drawings/drawing39.xml"/><Relationship Id="rId1" Type="http://schemas.openxmlformats.org/officeDocument/2006/relationships/hyperlink" Target="https://employment-social-affairs.ec.europa.eu/document/download/56aa99cf-f963-4065-8215-f262c195ea00_de" TargetMode="External"/><Relationship Id="rId6" Type="http://schemas.openxmlformats.org/officeDocument/2006/relationships/hyperlink" Target="https://employment-social-affairs.ec.europa.eu/document/download/8ceb35da-6b70-41e8-acf9-381e8d7c6cf3_de" TargetMode="External"/><Relationship Id="rId11" Type="http://schemas.openxmlformats.org/officeDocument/2006/relationships/hyperlink" Target="https://employment-social-affairs.ec.europa.eu/document/download/1526299a-d95c-441b-8a5e-71acb2c981eb_de" TargetMode="External"/><Relationship Id="rId24" Type="http://schemas.openxmlformats.org/officeDocument/2006/relationships/hyperlink" Target="https://employment-social-affairs.ec.europa.eu/document/download/c4767d73-7286-41ad-bc5a-557aedfff7e1_de" TargetMode="External"/><Relationship Id="rId5" Type="http://schemas.openxmlformats.org/officeDocument/2006/relationships/hyperlink" Target="https://employment-social-affairs.ec.europa.eu/document/download/4617b81d-4bc3-4fdc-9994-d9a8ae3e53ff_de" TargetMode="External"/><Relationship Id="rId15" Type="http://schemas.openxmlformats.org/officeDocument/2006/relationships/hyperlink" Target="https://employment-social-affairs.ec.europa.eu/document/download/b920adf8-38c1-4a1c-9579-7f8a62bc6ef6_de" TargetMode="External"/><Relationship Id="rId23" Type="http://schemas.openxmlformats.org/officeDocument/2006/relationships/hyperlink" Target="https://employment-social-affairs.ec.europa.eu/document/download/a8097a78-9595-456c-890f-0a6e44674343_de" TargetMode="External"/><Relationship Id="rId28" Type="http://schemas.openxmlformats.org/officeDocument/2006/relationships/hyperlink" Target="https://employment-social-affairs.ec.europa.eu/document/download/3ee120a1-88e4-40cd-a3d7-1a5e33008cfc_de?filename=missoc-ssg-DK-2024-de.pdf" TargetMode="External"/><Relationship Id="rId10" Type="http://schemas.openxmlformats.org/officeDocument/2006/relationships/hyperlink" Target="https://employment-social-affairs.ec.europa.eu/document/download/d19d3105-4ff4-4e45-b8ef-c3a3fbe1abac_de" TargetMode="External"/><Relationship Id="rId19" Type="http://schemas.openxmlformats.org/officeDocument/2006/relationships/hyperlink" Target="https://employment-social-affairs.ec.europa.eu/document/download/7bb82c27-9a98-4ab5-948c-e875d1d18f02_de" TargetMode="External"/><Relationship Id="rId4" Type="http://schemas.openxmlformats.org/officeDocument/2006/relationships/hyperlink" Target="https://employment-social-affairs.ec.europa.eu/document/download/cd0ec727-04e8-4dcb-8d6e-bdaa0b04ff12_de" TargetMode="External"/><Relationship Id="rId9" Type="http://schemas.openxmlformats.org/officeDocument/2006/relationships/hyperlink" Target="https://employment-social-affairs.ec.europa.eu/document/download/f476ffdd-db90-48e3-8e1b-cd861a3f82e1_de" TargetMode="External"/><Relationship Id="rId14" Type="http://schemas.openxmlformats.org/officeDocument/2006/relationships/hyperlink" Target="https://employment-social-affairs.ec.europa.eu/document/download/4f16edeb-895f-4b75-ad39-dcd6f7bd4cb1_de" TargetMode="External"/><Relationship Id="rId22" Type="http://schemas.openxmlformats.org/officeDocument/2006/relationships/hyperlink" Target="https://employment-social-affairs.ec.europa.eu/document/download/fa90d105-d7fc-417e-a79c-603796821761_en" TargetMode="External"/><Relationship Id="rId27" Type="http://schemas.openxmlformats.org/officeDocument/2006/relationships/hyperlink" Target="https://employment-social-affairs.ec.europa.eu/document/download/788be1e1-a21f-42a7-a201-a90e5e913bea_de" TargetMode="Externa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7.bin"/></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hyperlink" Target="https://fred.stlouisfed.org/data/FPCPITOTLZGAUT.txt" TargetMode="External"/><Relationship Id="rId1" Type="http://schemas.openxmlformats.org/officeDocument/2006/relationships/hyperlink" Target="https://fred.stlouisfed.org/series/FPCPITOTLZGSWE" TargetMode="External"/></Relationships>
</file>

<file path=xl/worksheets/_rels/sheet59.xml.rels><?xml version="1.0" encoding="UTF-8" standalone="yes"?>
<Relationships xmlns="http://schemas.openxmlformats.org/package/2006/relationships"><Relationship Id="rId13" Type="http://schemas.openxmlformats.org/officeDocument/2006/relationships/hyperlink" Target="https://gesetze.berlin.de/bsbe/document/NJRE001251972" TargetMode="External"/><Relationship Id="rId18" Type="http://schemas.openxmlformats.org/officeDocument/2006/relationships/hyperlink" Target="https://www.landesrecht.rlp.de/bsrp/document/NJRE001125445" TargetMode="External"/><Relationship Id="rId26" Type="http://schemas.openxmlformats.org/officeDocument/2006/relationships/hyperlink" Target="https://gerichtsentscheidungen.brandenburg.de/gerichtsentscheidung/1717" TargetMode="External"/><Relationship Id="rId39" Type="http://schemas.openxmlformats.org/officeDocument/2006/relationships/hyperlink" Target="https://www.bundesgerichtshof.de/SharedDocs/Entscheidungen/DE/Zivilsenate/XII_ZS/2018/XII_ZB_190-18.pdf?__blob=publicationFile&amp;v=1" TargetMode="External"/><Relationship Id="rId21" Type="http://schemas.openxmlformats.org/officeDocument/2006/relationships/hyperlink" Target="https://openjur.de/u/609102.html" TargetMode="External"/><Relationship Id="rId34" Type="http://schemas.openxmlformats.org/officeDocument/2006/relationships/hyperlink" Target="https://www.landesrecht-bw.de/bsbw/document/NJRE001556807" TargetMode="External"/><Relationship Id="rId42" Type="http://schemas.openxmlformats.org/officeDocument/2006/relationships/hyperlink" Target="https://www.landesrecht.rlp.de/bsrp/document/NJRE001270351" TargetMode="External"/><Relationship Id="rId47" Type="http://schemas.openxmlformats.org/officeDocument/2006/relationships/hyperlink" Target="https://www.juris.de/r3/document/NJRE001272588" TargetMode="External"/><Relationship Id="rId50" Type="http://schemas.openxmlformats.org/officeDocument/2006/relationships/hyperlink" Target="https://www.juris.de/r3/document/jzs-FAMRZ-2015-23-2063-1-R-16" TargetMode="External"/><Relationship Id="rId55" Type="http://schemas.openxmlformats.org/officeDocument/2006/relationships/hyperlink" Target="https://openjur.de/u/326845.html" TargetMode="External"/><Relationship Id="rId7" Type="http://schemas.openxmlformats.org/officeDocument/2006/relationships/hyperlink" Target="https://nrwe.justiz.nrw.de/olgs/duesseldorf/j2018/8_UF_36_17_Beschluss_20180907.html" TargetMode="External"/><Relationship Id="rId12" Type="http://schemas.openxmlformats.org/officeDocument/2006/relationships/hyperlink" Target="https://nrwe.justiz.nrw.de/olgs/duesseldorf/j2015/8_UF_72_14_Beschluss_20150209.html" TargetMode="External"/><Relationship Id="rId17" Type="http://schemas.openxmlformats.org/officeDocument/2006/relationships/hyperlink" Target="https://www.lareda.hessenrecht.hessen.de/bshe/document/LARE190019201" TargetMode="External"/><Relationship Id="rId25" Type="http://schemas.openxmlformats.org/officeDocument/2006/relationships/hyperlink" Target="https://www.rechtsprechung-im-internet.de/jportal/portal/t/jtz/page/bsjrsprod.psml?doc.hl=1&amp;doc.id=jb-KORE305442018&amp;&amp;doctyp=juris-r&amp;showdoccase=1&amp;doc.part=L&amp;paramfromHL=true" TargetMode="External"/><Relationship Id="rId33" Type="http://schemas.openxmlformats.org/officeDocument/2006/relationships/hyperlink" Target="https://www.landesrecht-bw.de/bsbw/document/NJRE001556807" TargetMode="External"/><Relationship Id="rId38" Type="http://schemas.openxmlformats.org/officeDocument/2006/relationships/hyperlink" Target="https://openjur.de/u/447454.html" TargetMode="External"/><Relationship Id="rId46" Type="http://schemas.openxmlformats.org/officeDocument/2006/relationships/hyperlink" Target="https://www.rv.hessenrecht.hessen.de/bshe/document/LARE210001398" TargetMode="External"/><Relationship Id="rId59" Type="http://schemas.openxmlformats.org/officeDocument/2006/relationships/drawing" Target="../drawings/drawing42.xml"/><Relationship Id="rId2" Type="http://schemas.openxmlformats.org/officeDocument/2006/relationships/hyperlink" Target="https://www.gesetze-rechtsprechung.sh.juris.de/bssh/document/NJRE001597610" TargetMode="External"/><Relationship Id="rId16" Type="http://schemas.openxmlformats.org/officeDocument/2006/relationships/hyperlink" Target="https://www.landesrecht.rlp.de/bsrp/document/NJRE001286901" TargetMode="External"/><Relationship Id="rId20" Type="http://schemas.openxmlformats.org/officeDocument/2006/relationships/hyperlink" Target="https://www.landesrecht.rlp.de/bsrp/document/NJRE001051304" TargetMode="External"/><Relationship Id="rId29" Type="http://schemas.openxmlformats.org/officeDocument/2006/relationships/hyperlink" Target="https://www.landesrecht-bw.de/bsbw/document/NJRE001528033" TargetMode="External"/><Relationship Id="rId41" Type="http://schemas.openxmlformats.org/officeDocument/2006/relationships/hyperlink" Target="https://gerichtsentscheidungen.brandenburg.de/gerichtsentscheidung/17509" TargetMode="External"/><Relationship Id="rId54" Type="http://schemas.openxmlformats.org/officeDocument/2006/relationships/hyperlink" Target="https://www.rechtsprechung-im-internet.de/jportal/portal/t/jtz/page/bsjrsprod.psml?doc.hl=1&amp;doc.id=jb-KORE301812021&amp;&amp;doctyp=juris-r&amp;showdoccase=1&amp;doc.part=L&amp;paramfromHL=true" TargetMode="External"/><Relationship Id="rId1" Type="http://schemas.openxmlformats.org/officeDocument/2006/relationships/hyperlink" Target="https://dejure.org/dienste/vernetzung/rechtsprechung?Text=19%20UF%2047%2F21%20D&amp;Suche=19%20UF%2047%2F21%20D%20KG%2020%2E10%2E2021" TargetMode="External"/><Relationship Id="rId6" Type="http://schemas.openxmlformats.org/officeDocument/2006/relationships/hyperlink" Target="https://www.lareda.hessenrecht.hessen.de/bshe/document/LARE190017576" TargetMode="External"/><Relationship Id="rId11" Type="http://schemas.openxmlformats.org/officeDocument/2006/relationships/hyperlink" Target="https://nrwe.justiz.nrw.de/olgs/koeln/j2011/27_UF_54_11_Beschluss_20110517.html" TargetMode="External"/><Relationship Id="rId24" Type="http://schemas.openxmlformats.org/officeDocument/2006/relationships/hyperlink" Target="https://www.landesrecht.sachsen-anhalt.de/bsst/document/NJRE001293430" TargetMode="External"/><Relationship Id="rId32" Type="http://schemas.openxmlformats.org/officeDocument/2006/relationships/hyperlink" Target="https://www.landesrecht-bw.de/bsbw/document/NJRE001543966" TargetMode="External"/><Relationship Id="rId37" Type="http://schemas.openxmlformats.org/officeDocument/2006/relationships/hyperlink" Target="https://iprspr.mpipriv.de/2020-176" TargetMode="External"/><Relationship Id="rId40" Type="http://schemas.openxmlformats.org/officeDocument/2006/relationships/hyperlink" Target="https://recht.saarland.de/bssl/document/NJRE001128601" TargetMode="External"/><Relationship Id="rId45" Type="http://schemas.openxmlformats.org/officeDocument/2006/relationships/hyperlink" Target="https://www.rv.hessenrecht.hessen.de/bshe/document/LARE190019516" TargetMode="External"/><Relationship Id="rId53" Type="http://schemas.openxmlformats.org/officeDocument/2006/relationships/hyperlink" Target="https://www.juris.de/r3/document/jzs-FAMRZ-2013-01-0041-3-R-16" TargetMode="External"/><Relationship Id="rId58" Type="http://schemas.openxmlformats.org/officeDocument/2006/relationships/printerSettings" Target="../printerSettings/printerSettings8.bin"/><Relationship Id="rId5" Type="http://schemas.openxmlformats.org/officeDocument/2006/relationships/hyperlink" Target="https://gerichtsentscheidungen.brandenburg.de/gerichtsentscheidung/19206" TargetMode="External"/><Relationship Id="rId15" Type="http://schemas.openxmlformats.org/officeDocument/2006/relationships/hyperlink" Target="https://www.landesrecht-bw.de/bsbw/document/NJRE001614854" TargetMode="External"/><Relationship Id="rId23" Type="http://schemas.openxmlformats.org/officeDocument/2006/relationships/hyperlink" Target="https://www.landesrecht-bw.de/bsbw/document/NJRE001207674" TargetMode="External"/><Relationship Id="rId28" Type="http://schemas.openxmlformats.org/officeDocument/2006/relationships/hyperlink" Target="https://www.landesrecht.rlp.de/bsrp/document/NJRE001442329" TargetMode="External"/><Relationship Id="rId36" Type="http://schemas.openxmlformats.org/officeDocument/2006/relationships/hyperlink" Target="https://iprspr.mpipriv.de/2020-176" TargetMode="External"/><Relationship Id="rId49" Type="http://schemas.openxmlformats.org/officeDocument/2006/relationships/hyperlink" Target="https://www.juris.de/r3/document/jzs-FAMRZ-2015-23-2063-1-R-16" TargetMode="External"/><Relationship Id="rId57" Type="http://schemas.openxmlformats.org/officeDocument/2006/relationships/hyperlink" Target="https://www.juris.de/r3/document/jzs-FAMRZ-2015-04-0349-2-R-27" TargetMode="External"/><Relationship Id="rId10" Type="http://schemas.openxmlformats.org/officeDocument/2006/relationships/hyperlink" Target="https://recht.saarland.de/bssl/document/NJRE001097140" TargetMode="External"/><Relationship Id="rId19" Type="http://schemas.openxmlformats.org/officeDocument/2006/relationships/hyperlink" Target="https://nrwe.justiz.nrw.de/olgs/duesseldorf/j2021/7_UF_77_21_Beschluss_20210817.html" TargetMode="External"/><Relationship Id="rId31" Type="http://schemas.openxmlformats.org/officeDocument/2006/relationships/hyperlink" Target="https://www.landesrecht-bw.de/bsbw/document/NJRE001543966" TargetMode="External"/><Relationship Id="rId44" Type="http://schemas.openxmlformats.org/officeDocument/2006/relationships/hyperlink" Target="https://www.rv.hessenrecht.hessen.de/bshe/document/LARE190019516" TargetMode="External"/><Relationship Id="rId52" Type="http://schemas.openxmlformats.org/officeDocument/2006/relationships/hyperlink" Target="https://www.juris.de/r3/document/jzs-FAMRZ-2013-01-0041-3-R-16" TargetMode="External"/><Relationship Id="rId4" Type="http://schemas.openxmlformats.org/officeDocument/2006/relationships/hyperlink" Target="https://www.gesetze-rechtsprechung.sh.juris.de/bssh/document/NJRE001597610" TargetMode="External"/><Relationship Id="rId9" Type="http://schemas.openxmlformats.org/officeDocument/2006/relationships/hyperlink" Target="https://gerichtsentscheidungen.brandenburg.de/gerichtsentscheidung/13948" TargetMode="External"/><Relationship Id="rId14" Type="http://schemas.openxmlformats.org/officeDocument/2006/relationships/hyperlink" Target="https://gesetze.berlin.de/bsbe/document/NJRE001251972" TargetMode="External"/><Relationship Id="rId22" Type="http://schemas.openxmlformats.org/officeDocument/2006/relationships/hyperlink" Target="https://www.landesrecht-bw.de/bsbw/document/NJRE001207674" TargetMode="External"/><Relationship Id="rId27" Type="http://schemas.openxmlformats.org/officeDocument/2006/relationships/hyperlink" Target="https://gerichtsentscheidungen.brandenburg.de/gerichtsentscheidung/1717" TargetMode="External"/><Relationship Id="rId30" Type="http://schemas.openxmlformats.org/officeDocument/2006/relationships/hyperlink" Target="https://www.landesrecht-bw.de/bsbw/document/NJRE001528033" TargetMode="External"/><Relationship Id="rId35" Type="http://schemas.openxmlformats.org/officeDocument/2006/relationships/hyperlink" Target="https://iprspr.mpipriv.de/2020-176" TargetMode="External"/><Relationship Id="rId43" Type="http://schemas.openxmlformats.org/officeDocument/2006/relationships/hyperlink" Target="https://www.rv.hessenrecht.hessen.de/bshe/document/LARE190019516" TargetMode="External"/><Relationship Id="rId48" Type="http://schemas.openxmlformats.org/officeDocument/2006/relationships/hyperlink" Target="https://www.juris.de/r3/document/NJRE001272588" TargetMode="External"/><Relationship Id="rId56" Type="http://schemas.openxmlformats.org/officeDocument/2006/relationships/hyperlink" Target="https://openjur.de/u/494354.html" TargetMode="External"/><Relationship Id="rId8" Type="http://schemas.openxmlformats.org/officeDocument/2006/relationships/hyperlink" Target="https://recht.saarland.de/bssl/document/NJRE001046888" TargetMode="External"/><Relationship Id="rId51" Type="http://schemas.openxmlformats.org/officeDocument/2006/relationships/hyperlink" Target="https://www.juris.de/r3/document/jzs-FAMRZ-2016-06-0468-1-R-16" TargetMode="External"/><Relationship Id="rId3" Type="http://schemas.openxmlformats.org/officeDocument/2006/relationships/hyperlink" Target="https://www.gesetze-rechtsprechung.sh.juris.de/bssh/document/NJRE001597610" TargetMode="External"/></Relationships>
</file>

<file path=xl/worksheets/_rels/sheet60.xml.rels><?xml version="1.0" encoding="UTF-8" standalone="yes"?>
<Relationships xmlns="http://schemas.openxmlformats.org/package/2006/relationships"><Relationship Id="rId8" Type="http://schemas.openxmlformats.org/officeDocument/2006/relationships/hyperlink" Target="https://www.etk.fi/en/finnish-pension-system/pensions/earnings-related-pension-benefits/survivors-pension/" TargetMode="External"/><Relationship Id="rId13" Type="http://schemas.openxmlformats.org/officeDocument/2006/relationships/hyperlink" Target="https://employment-social-affairs.ec.europa.eu/document/download/1526299a-d95c-441b-8a5e-71acb2c981eb_en" TargetMode="External"/><Relationship Id="rId18" Type="http://schemas.openxmlformats.org/officeDocument/2006/relationships/hyperlink" Target="https://www.ahv-iv.ch/p/3.03.d?utm_source=chatgpt.com" TargetMode="External"/><Relationship Id="rId26" Type="http://schemas.openxmlformats.org/officeDocument/2006/relationships/hyperlink" Target="https://www.nav.no/gjenlevendepensjon/en?utm_source=chatgpt.com" TargetMode="External"/><Relationship Id="rId39" Type="http://schemas.openxmlformats.org/officeDocument/2006/relationships/hyperlink" Target="https://www.seg-social.es/wps/portal/wss/internet/Trabajadores/PrestacionesPensionesTrabajadores/10964/10966/28489/28490/5151" TargetMode="External"/><Relationship Id="rId3" Type="http://schemas.openxmlformats.org/officeDocument/2006/relationships/hyperlink" Target="https://www.deutsche-rentenversicherung.de/DRV/DE/Rente/In-der-Rente/Hinterbliebenenrente?utm_source=chatgpt.com" TargetMode="External"/><Relationship Id="rId21" Type="http://schemas.openxmlformats.org/officeDocument/2006/relationships/hyperlink" Target="https://socialsecurity.gov.mt/en/information-and-applications-for-benefits-and-services/contributory-pensions/contributory-widow-ers-pension/?utm_source=chatgpt.com" TargetMode="External"/><Relationship Id="rId34" Type="http://schemas.openxmlformats.org/officeDocument/2006/relationships/hyperlink" Target="https://www.zas.admin.ch/en/survivors-pension" TargetMode="External"/><Relationship Id="rId42" Type="http://schemas.openxmlformats.org/officeDocument/2006/relationships/drawing" Target="../drawings/drawing43.xml"/><Relationship Id="rId7" Type="http://schemas.openxmlformats.org/officeDocument/2006/relationships/hyperlink" Target="https://www.etk.fi/en/finnish-pension-system/pensions/earnings-related-pension-benefits/survivors-pension/" TargetMode="External"/><Relationship Id="rId12" Type="http://schemas.openxmlformats.org/officeDocument/2006/relationships/hyperlink" Target="https://secure.ssa.gov/apps10/poms.nsf/lnx/0201763020?utm_source=chatgpt.com" TargetMode="External"/><Relationship Id="rId17" Type="http://schemas.openxmlformats.org/officeDocument/2006/relationships/hyperlink" Target="https://www.ahv.li/leistungen/ahv/verwitwetenrente?utm_source=chatgpt.com" TargetMode="External"/><Relationship Id="rId25" Type="http://schemas.openxmlformats.org/officeDocument/2006/relationships/hyperlink" Target="https://www.svb.nl/en/anw/anw-survivor-benefit-stops/when-can-anw-survivor-benefit-be-stopped?utm_source=chatgpt.com" TargetMode="External"/><Relationship Id="rId33" Type="http://schemas.openxmlformats.org/officeDocument/2006/relationships/hyperlink" Target="https://www.pensionsmyndigheten.se/other-languages/english-engelska/english-engelska/survivors-pension-financial-support-in-the-event-of-death?utm_source=chatgpt.com" TargetMode="External"/><Relationship Id="rId38" Type="http://schemas.openxmlformats.org/officeDocument/2006/relationships/hyperlink" Target="https://www.syllogos.gr/images/PDF_Anakoinoseon/social_security_rights_in_Slovenia.pdf" TargetMode="External"/><Relationship Id="rId2" Type="http://schemas.openxmlformats.org/officeDocument/2006/relationships/hyperlink" Target="https://www.sfpd.fgov.be/en/pension-amount/calculation/types-of-pensions/divorced/?utm_source=chatgpt.com" TargetMode="External"/><Relationship Id="rId16" Type="http://schemas.openxmlformats.org/officeDocument/2006/relationships/hyperlink" Target="https://employment-social-affairs.ec.europa.eu/document/download/3f43aab0-d0c5-4c70-a7d2-f56fa6ee565c_en?prefLang=lt" TargetMode="External"/><Relationship Id="rId20" Type="http://schemas.openxmlformats.org/officeDocument/2006/relationships/hyperlink" Target="https://ec.europa.eu/social/BlobServlet?docId=13752&amp;langId=en" TargetMode="External"/><Relationship Id="rId29" Type="http://schemas.openxmlformats.org/officeDocument/2006/relationships/hyperlink" Target="https://www.sozialministerium.gv.at/en/Topics/Social-Affairs/Social-Insurance/Pension-Insurance/Types-of-Pension/Survivors%E2%80%99-Pensions.html?utm_source=chatgpt.com" TargetMode="External"/><Relationship Id="rId41" Type="http://schemas.openxmlformats.org/officeDocument/2006/relationships/hyperlink" Target="https://portal.gov.cz/en/sluzby-vs/widows-and-widowers-pension--the-application-is-processed-by-the-czech-social-security-administration-S84?utm_source=chatgpt.com" TargetMode="External"/><Relationship Id="rId1" Type="http://schemas.openxmlformats.org/officeDocument/2006/relationships/hyperlink" Target="https://www.missoc.org/missoc-database/comparative-tables/?utm_source=chatgpt.com" TargetMode="External"/><Relationship Id="rId6" Type="http://schemas.openxmlformats.org/officeDocument/2006/relationships/hyperlink" Target="https://www.ssa.gov/policy/docs/progdesc/ssptw/2018-2019/europe/estonia.html?utm_source=chatgpt.com" TargetMode="External"/><Relationship Id="rId11" Type="http://schemas.openxmlformats.org/officeDocument/2006/relationships/hyperlink" Target="https://www.citizensinformation.ie/en/social-welfare/death-related-benefits/bereaved-partners-contributory-pension/?utm_source=chatgpt.com" TargetMode="External"/><Relationship Id="rId24" Type="http://schemas.openxmlformats.org/officeDocument/2006/relationships/hyperlink" Target="https://www.svb.nl/en/anw/what-are-the-conditions/read-more-about-the-the-qualifying-conditions-that-apply-if-your-partner-or-ex-partner-has-died?utm_source=chatgpt.com" TargetMode="External"/><Relationship Id="rId32" Type="http://schemas.openxmlformats.org/officeDocument/2006/relationships/hyperlink" Target="https://ec.europa.eu/social/BlobServlet?docId=13769&amp;langId=en&amp;utm_source=chatgpt.com" TargetMode="External"/><Relationship Id="rId37" Type="http://schemas.openxmlformats.org/officeDocument/2006/relationships/hyperlink" Target="https://www.socpoist.sk/en/life-situations/pension/how-apply-widowers-pension?utm_source=chatgpt.com" TargetMode="External"/><Relationship Id="rId40" Type="http://schemas.openxmlformats.org/officeDocument/2006/relationships/hyperlink" Target="https://www.seg-social.es/wps/portal/wss/internet/Trabajadores/PrestacionesPensionesTrabajadores/10964/10966/28489/28490/5151" TargetMode="External"/><Relationship Id="rId5" Type="http://schemas.openxmlformats.org/officeDocument/2006/relationships/hyperlink" Target="https://www.riigiteataja.ee/en/eli/501022016016/consolide?utm_source=chatgpt.com" TargetMode="External"/><Relationship Id="rId15" Type="http://schemas.openxmlformats.org/officeDocument/2006/relationships/hyperlink" Target="https://employment-social-affairs.ec.europa.eu/document/download/3f43aab0-d0c5-4c70-a7d2-f56fa6ee565c_en?prefLang=lt" TargetMode="External"/><Relationship Id="rId23" Type="http://schemas.openxmlformats.org/officeDocument/2006/relationships/hyperlink" Target="https://www.svb.nl/en/anw/what-is-an-anw-survivor-benefit?utm_source=chatgpt.com" TargetMode="External"/><Relationship Id="rId28" Type="http://schemas.openxmlformats.org/officeDocument/2006/relationships/hyperlink" Target="https://www.nav.no/gjenlevendepensjon/en?utm_source=chatgpt.com" TargetMode="External"/><Relationship Id="rId36" Type="http://schemas.openxmlformats.org/officeDocument/2006/relationships/hyperlink" Target="https://www.zas.admin.ch/en/survivors-pension" TargetMode="External"/><Relationship Id="rId10" Type="http://schemas.openxmlformats.org/officeDocument/2006/relationships/hyperlink" Target="https://ec.europa.eu/social/BlobServlet?docId=13767&amp;langId=en&amp;utm_source=chatgpt.com" TargetMode="External"/><Relationship Id="rId19" Type="http://schemas.openxmlformats.org/officeDocument/2006/relationships/hyperlink" Target="https://ec.europa.eu/social/BlobServlet?docId=13752&amp;langId=en" TargetMode="External"/><Relationship Id="rId31" Type="http://schemas.openxmlformats.org/officeDocument/2006/relationships/hyperlink" Target="https://ec.europa.eu/employment_social/soc-prot/missoc98/english/08/at.htm?utm_source=chatgpt.com" TargetMode="External"/><Relationship Id="rId4" Type="http://schemas.openxmlformats.org/officeDocument/2006/relationships/hyperlink" Target="https://www.sozialgesetzbuch-sgb.de/sgbvi/243.html?utm_source=chatgpt.com" TargetMode="External"/><Relationship Id="rId9" Type="http://schemas.openxmlformats.org/officeDocument/2006/relationships/hyperlink" Target="https://www.service-public.gouv.fr/particuliers/vosdroits/F13104?lang=en" TargetMode="External"/><Relationship Id="rId14" Type="http://schemas.openxmlformats.org/officeDocument/2006/relationships/hyperlink" Target="https://employment-social-affairs.ec.europa.eu/document/download/1526299a-d95c-441b-8a5e-71acb2c981eb_en" TargetMode="External"/><Relationship Id="rId22" Type="http://schemas.openxmlformats.org/officeDocument/2006/relationships/hyperlink" Target="https://socialsecurity.gov.mt/en/information-and-applications-for-benefits-and-services/contributory-pensions/contributory-widow-ers-pension/?utm_source=chatgpt.com" TargetMode="External"/><Relationship Id="rId27" Type="http://schemas.openxmlformats.org/officeDocument/2006/relationships/hyperlink" Target="https://www.nav.no/alderspensjon/en?utm_source=chatgpt.com" TargetMode="External"/><Relationship Id="rId30" Type="http://schemas.openxmlformats.org/officeDocument/2006/relationships/hyperlink" Target="https://ec.europa.eu/employment_social/soc-prot/missoc98/english/08/at.htm?utm_source=chatgpt.com" TargetMode="External"/><Relationship Id="rId35" Type="http://schemas.openxmlformats.org/officeDocument/2006/relationships/hyperlink" Target="https://www.zas.admin.ch/en/survivors-pension" TargetMode="External"/><Relationship Id="rId43" Type="http://schemas.openxmlformats.org/officeDocument/2006/relationships/table" Target="../tables/table1.xml"/></Relationships>
</file>

<file path=xl/worksheets/_rels/sheet61.xml.rels><?xml version="1.0" encoding="UTF-8" standalone="yes"?>
<Relationships xmlns="http://schemas.openxmlformats.org/package/2006/relationships"><Relationship Id="rId8" Type="http://schemas.openxmlformats.org/officeDocument/2006/relationships/hyperlink" Target="https://services.info-retraite.fr/service/calcul-retraite/?utm_source=chatgpt.com" TargetMode="External"/><Relationship Id="rId13" Type="http://schemas.openxmlformats.org/officeDocument/2006/relationships/hyperlink" Target="https://www.vsaa.gov.lv/lv/pakalpojumi/informacija-par-prognozejamo-vecuma-pensijas-apmeru?utm_source=chatgpt.com" TargetMode="External"/><Relationship Id="rId18" Type="http://schemas.openxmlformats.org/officeDocument/2006/relationships/hyperlink" Target="https://www.pv.at/web/pension/pensionsrechner?utm_source=chatgpt.com" TargetMode="External"/><Relationship Id="rId26" Type="http://schemas.openxmlformats.org/officeDocument/2006/relationships/hyperlink" Target="https://eportal.cssz.cz/web/portal/-/sluzby/informativni-duchodova-aplikace?utm_source=chatgpt.com" TargetMode="External"/><Relationship Id="rId39" Type="http://schemas.openxmlformats.org/officeDocument/2006/relationships/drawing" Target="../drawings/drawing44.xml"/><Relationship Id="rId3" Type="http://schemas.openxmlformats.org/officeDocument/2006/relationships/hyperlink" Target="https://reps.nssi.bg/PensionsCalc/?utm_source=chatgpt.com" TargetMode="External"/><Relationship Id="rId21" Type="http://schemas.openxmlformats.org/officeDocument/2006/relationships/hyperlink" Target="https://www.cnpp.ro/varsta-pensionare?utm_source=chatgpt.com" TargetMode="External"/><Relationship Id="rId34" Type="http://schemas.openxmlformats.org/officeDocument/2006/relationships/hyperlink" Target="https://reps.nssi.bg/PensionsCalc/?utm_source=chatgpt.com" TargetMode="External"/><Relationship Id="rId7" Type="http://schemas.openxmlformats.org/officeDocument/2006/relationships/hyperlink" Target="https://laskurit.tyoelake.fi/en/elakelaskuri?utm_source=chatgpt.com" TargetMode="External"/><Relationship Id="rId12" Type="http://schemas.openxmlformats.org/officeDocument/2006/relationships/hyperlink" Target="https://gov.hr/en/calculation-of-pension/844?utm_source=chatgpt.com" TargetMode="External"/><Relationship Id="rId17" Type="http://schemas.openxmlformats.org/officeDocument/2006/relationships/hyperlink" Target="https://www.government.nl/faq/how-much-state-pension-will-i-receive?utm_source=chatgpt.com" TargetMode="External"/><Relationship Id="rId25" Type="http://schemas.openxmlformats.org/officeDocument/2006/relationships/hyperlink" Target="https://sede.seg-social.gob.es/wps/portal/sede/sede/Ciudadanos/Pensiones/202045_2?utm_source=chatgpt.com" TargetMode="External"/><Relationship Id="rId33" Type="http://schemas.openxmlformats.org/officeDocument/2006/relationships/hyperlink" Target="https://www.sfpd.fgov.be/en/pension-amount/calculation?utm_source=chatgpt.com" TargetMode="External"/><Relationship Id="rId38" Type="http://schemas.openxmlformats.org/officeDocument/2006/relationships/hyperlink" Target="https://services.info-retraite.fr/service/calcul-retraite/?utm_source=chatgpt.com" TargetMode="External"/><Relationship Id="rId2" Type="http://schemas.openxmlformats.org/officeDocument/2006/relationships/hyperlink" Target="https://www.sfpd.fgov.be/en/pension-amount/calculation?utm_source=chatgpt.com" TargetMode="External"/><Relationship Id="rId16" Type="http://schemas.openxmlformats.org/officeDocument/2006/relationships/hyperlink" Target="https://www.servizz.gov.mt/en/Pages/Inclusion_-Equality-and-Social-Welfare/Social-Solidarity/Benefits-and-Services/mySocialSecurity/WEB1952/default.aspx?utm_source=chatgpt.com" TargetMode="External"/><Relationship Id="rId20" Type="http://schemas.openxmlformats.org/officeDocument/2006/relationships/hyperlink" Target="https://www.seg-social.pt/ptss/pssd/vida/momento-reforma?utm_source=chatgpt.com" TargetMode="External"/><Relationship Id="rId29" Type="http://schemas.openxmlformats.org/officeDocument/2006/relationships/hyperlink" Target="https://island.is/en/o/social-insurance-administration/calculator?utm_source=chatgpt.com" TargetMode="External"/><Relationship Id="rId1" Type="http://schemas.openxmlformats.org/officeDocument/2006/relationships/hyperlink" Target="https://www.bundesfinanzministerium.de/Content/DE/Downloads/BMF_Schreiben/Internationales_Steuerrecht/Allgemeine_Informationen/2026-01-07-stand-DBA-1-januar-2026.html" TargetMode="External"/><Relationship Id="rId6" Type="http://schemas.openxmlformats.org/officeDocument/2006/relationships/hyperlink" Target="https://sotsiaalkindlustusamet.ee/en/pension-and-benefits/preparing-retirement/pension-calculator?utm_source=chatgpt.com" TargetMode="External"/><Relationship Id="rId11" Type="http://schemas.openxmlformats.org/officeDocument/2006/relationships/hyperlink" Target="https://www.inps.it/it/it/dettaglio-scheda.it.schede-servizio-strumento.schede-servizi.la-mia-pensione-futura-simulazione-della-propria-pensione-50033.la-mia-pensione-futura-simulazione-della-propria-pensione.html?utm_source=chatgpt.com" TargetMode="External"/><Relationship Id="rId24" Type="http://schemas.openxmlformats.org/officeDocument/2006/relationships/hyperlink" Target="https://www.zpiz.si/content2020en/informative-calculation-of-retirement-date?utm_source=chatgpt.com" TargetMode="External"/><Relationship Id="rId32" Type="http://schemas.openxmlformats.org/officeDocument/2006/relationships/hyperlink" Target="https://www.ahv-iv.ch/en/Forms/Online-pension-estimate-ESCAL?utm_source=chatgpt.com" TargetMode="External"/><Relationship Id="rId37" Type="http://schemas.openxmlformats.org/officeDocument/2006/relationships/hyperlink" Target="https://laskurit.tyoelake.fi/en/elakelaskuri?utm_source=chatgpt.com" TargetMode="External"/><Relationship Id="rId5" Type="http://schemas.openxmlformats.org/officeDocument/2006/relationships/hyperlink" Target="https://www.deutsche-rentenversicherung.de/DRV/DE/Online-Services/Online-Rechner/online_rechner.html?utm_source=chatgpt.com" TargetMode="External"/><Relationship Id="rId15" Type="http://schemas.openxmlformats.org/officeDocument/2006/relationships/hyperlink" Target="https://guichet.public.lu/en/citoyens/travail/pension/assurance-pension/estimation-pension-vieillesse.html?utm_source=chatgpt.com" TargetMode="External"/><Relationship Id="rId23" Type="http://schemas.openxmlformats.org/officeDocument/2006/relationships/hyperlink" Target="https://www.socpoist.sk/en/top-topics/insurees-electronic-account?utm_source=chatgpt.com" TargetMode="External"/><Relationship Id="rId28" Type="http://schemas.openxmlformats.org/officeDocument/2006/relationships/hyperlink" Target="https://www.gov.cy/en/service/temporary-calculation-of-the-amount-of-statutory-pension/?utm_source=chatgpt.com" TargetMode="External"/><Relationship Id="rId36" Type="http://schemas.openxmlformats.org/officeDocument/2006/relationships/hyperlink" Target="https://sotsiaalkindlustusamet.ee/en/pension-and-benefits/preparing-retirement/pension-calculator?utm_source=chatgpt.com" TargetMode="External"/><Relationship Id="rId10" Type="http://schemas.openxmlformats.org/officeDocument/2006/relationships/hyperlink" Target="https://www.gov.ie/en/department-of-social-protection/publications/how-to-calculate-your-state-pension-contributory-rate/?utm_source=chatgpt.com" TargetMode="External"/><Relationship Id="rId19" Type="http://schemas.openxmlformats.org/officeDocument/2006/relationships/hyperlink" Target="https://www.zus.pl/swiadczenia/emerytury/kalkulatory-emerytalne/emerytura-na-nowych-zasadach/kalkulator-emerytalny-prognozowana-emerytura?utm_source=chatgpt.com" TargetMode="External"/><Relationship Id="rId31" Type="http://schemas.openxmlformats.org/officeDocument/2006/relationships/hyperlink" Target="https://www.nav.no/pensjon/pensjonskalkulator?utm_source=chatgpt.com" TargetMode="External"/><Relationship Id="rId4" Type="http://schemas.openxmlformats.org/officeDocument/2006/relationships/hyperlink" Target="https://www.minpensionssag.dk/pe-selvbetjening/simulering/?lang=en&amp;utm_source=chatgpt.com" TargetMode="External"/><Relationship Id="rId9" Type="http://schemas.openxmlformats.org/officeDocument/2006/relationships/hyperlink" Target="https://sintaxi.isotita.gr/?lang=en&amp;page_id=245&amp;utm_source=chatgpt.com" TargetMode="External"/><Relationship Id="rId14" Type="http://schemas.openxmlformats.org/officeDocument/2006/relationships/hyperlink" Target="https://sodra.lt/pranesimas-apie-itraukima-i-pensiju-kaupima" TargetMode="External"/><Relationship Id="rId22" Type="http://schemas.openxmlformats.org/officeDocument/2006/relationships/hyperlink" Target="https://www.pensionsmyndigheten.se/other-languages/english-engelska/english-engelska/pension-forecast-see-how-much-pension-you-will-get?utm_source=chatgpt.com" TargetMode="External"/><Relationship Id="rId27" Type="http://schemas.openxmlformats.org/officeDocument/2006/relationships/hyperlink" Target="https://www.allamkincstar.gov.hu/nyugdij/sajat-jogu-ellatasok/oregsegi-nyugdij/onkiszolgalo-nyugdijkalkulator?utm_source=chatgpt.com" TargetMode="External"/><Relationship Id="rId30" Type="http://schemas.openxmlformats.org/officeDocument/2006/relationships/hyperlink" Target="https://www.ahv.li/leistungen/ahv/rentenberechnung?utm_source=chatgpt.com" TargetMode="External"/><Relationship Id="rId35" Type="http://schemas.openxmlformats.org/officeDocument/2006/relationships/hyperlink" Target="https://www.deutsche-rentenversicherung.de/DRV/DE/Online-Services/Online-Rechner/online_rechner.html?utm_source=chatgpt.com" TargetMode="Externa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hyperlink" Target="https://ec.europa.eu/eurostat/statistics-explained/index.php?title=Comparative_price_levels_of_consumer_goods_and_services" TargetMode="Externa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64.xml.rels><?xml version="1.0" encoding="UTF-8" standalone="yes"?>
<Relationships xmlns="http://schemas.openxmlformats.org/package/2006/relationships"><Relationship Id="rId3" Type="http://schemas.openxmlformats.org/officeDocument/2006/relationships/hyperlink" Target="https://www.gesetze-im-internet.de/sgb_6/anlage_1.html" TargetMode="External"/><Relationship Id="rId2" Type="http://schemas.openxmlformats.org/officeDocument/2006/relationships/hyperlink" Target="https://www.gesetze-im-internet.de/sgb_6/__159.html" TargetMode="External"/><Relationship Id="rId1" Type="http://schemas.openxmlformats.org/officeDocument/2006/relationships/hyperlink" Target="https://rvrecht.deutsche-rentenversicherung.de/SiteGlobals/Forms/Suche/DokumentSuche/dokumentSuche_Formular.html?nn=1506092&amp;pathNonRecursive=%2FLitInternet%2FSharedDocs%2FrvRecht+%2FLitInternet%2FSharedDocs%2FrvRecht_Ergaenzungen" TargetMode="External"/><Relationship Id="rId4" Type="http://schemas.openxmlformats.org/officeDocument/2006/relationships/drawing" Target="../drawings/drawing47.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auss@anwaelte-du.de?subject=Europa%20im%20Versorgungsausgleich"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3" Type="http://schemas.openxmlformats.org/officeDocument/2006/relationships/hyperlink" Target="https://www.bundesfinanzministerium.de/Content/DE/Downloads/BMF_Schreiben/Internationales_Steuerrecht/Allgemeine_Informationen/2026-01-07-stand-DBA-1-januar-2026.html" TargetMode="External"/><Relationship Id="rId2" Type="http://schemas.openxmlformats.org/officeDocument/2006/relationships/hyperlink" Target="https://www.bundesfinanzministerium.de/Content/DE/Downloads/BMF_Schreiben/Internationales_Steuerrecht/Allgemeine_Informationen/2026-01-07-stand-DBA-1-januar-2026.pdf?__blob=publicationFile&amp;v=6" TargetMode="External"/><Relationship Id="rId1" Type="http://schemas.openxmlformats.org/officeDocument/2006/relationships/hyperlink" Target="https://www.bundesfinanzministerium.de/Content/DE/Downloads/BMF_Schreiben/Internationales_Steuerrecht/Allgemeine_Informationen/2026-01-07-stand-DBA-1-januar-2026.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3:AH113"/>
  <sheetViews>
    <sheetView zoomScale="85" zoomScaleNormal="85" workbookViewId="0">
      <pane xSplit="3" ySplit="3" topLeftCell="D4" activePane="bottomRight" state="frozen"/>
      <selection activeCell="C1" sqref="C1"/>
      <selection pane="topRight" activeCell="C1" sqref="C1"/>
      <selection pane="bottomLeft" activeCell="C1" sqref="C1"/>
      <selection pane="bottomRight" activeCell="E4" sqref="E4"/>
    </sheetView>
  </sheetViews>
  <sheetFormatPr baseColWidth="10" defaultColWidth="9.140625" defaultRowHeight="15"/>
  <cols>
    <col min="1" max="2" width="8.5703125" style="1" customWidth="1"/>
    <col min="3" max="3" width="27.28515625" style="5" customWidth="1"/>
    <col min="4" max="4" width="47.28515625" style="1" customWidth="1"/>
    <col min="5" max="5" width="132.28515625" style="1" customWidth="1"/>
    <col min="6" max="9" width="60" style="1" customWidth="1"/>
    <col min="10" max="18" width="152.140625" style="1" customWidth="1"/>
    <col min="19" max="28" width="121.7109375" style="1" customWidth="1"/>
    <col min="29" max="34" width="60" style="1" customWidth="1"/>
    <col min="35" max="16384" width="9.140625" style="1"/>
  </cols>
  <sheetData>
    <row r="3" spans="1:34" s="12" customFormat="1" ht="94.5" customHeight="1">
      <c r="A3" s="8" t="s">
        <v>2726</v>
      </c>
      <c r="B3" s="8" t="s">
        <v>2727</v>
      </c>
      <c r="C3" s="9" t="s">
        <v>2728</v>
      </c>
      <c r="D3" s="10" t="s">
        <v>0</v>
      </c>
      <c r="E3" s="10" t="s">
        <v>1</v>
      </c>
      <c r="F3" s="10" t="s">
        <v>2</v>
      </c>
      <c r="G3" s="10" t="s">
        <v>3</v>
      </c>
      <c r="H3" s="10" t="s">
        <v>4</v>
      </c>
      <c r="I3" s="10" t="s">
        <v>5</v>
      </c>
      <c r="J3" s="10" t="s">
        <v>6</v>
      </c>
      <c r="K3" s="10" t="s">
        <v>7</v>
      </c>
      <c r="L3" s="10" t="s">
        <v>8</v>
      </c>
      <c r="M3" s="10" t="s">
        <v>9</v>
      </c>
      <c r="N3" s="10" t="s">
        <v>10</v>
      </c>
      <c r="O3" s="10" t="s">
        <v>11</v>
      </c>
      <c r="P3" s="10" t="s">
        <v>12</v>
      </c>
      <c r="Q3" s="10" t="s">
        <v>13</v>
      </c>
      <c r="R3" s="10" t="s">
        <v>14</v>
      </c>
      <c r="S3" s="10" t="s">
        <v>15</v>
      </c>
      <c r="T3" s="10" t="s">
        <v>16</v>
      </c>
      <c r="U3" s="10" t="s">
        <v>17</v>
      </c>
      <c r="V3" s="10" t="s">
        <v>18</v>
      </c>
      <c r="W3" s="10" t="s">
        <v>19</v>
      </c>
      <c r="X3" s="10" t="s">
        <v>20</v>
      </c>
      <c r="Y3" s="10" t="s">
        <v>21</v>
      </c>
      <c r="Z3" s="10" t="s">
        <v>22</v>
      </c>
      <c r="AA3" s="10" t="s">
        <v>23</v>
      </c>
      <c r="AB3" s="10" t="s">
        <v>24</v>
      </c>
      <c r="AC3" s="11" t="s">
        <v>25</v>
      </c>
      <c r="AD3" s="11" t="s">
        <v>26</v>
      </c>
      <c r="AE3" s="11" t="s">
        <v>27</v>
      </c>
      <c r="AF3" s="11" t="s">
        <v>28</v>
      </c>
      <c r="AG3" s="11" t="s">
        <v>29</v>
      </c>
      <c r="AH3" s="11" t="s">
        <v>30</v>
      </c>
    </row>
    <row r="4" spans="1:34" ht="409.5" customHeight="1">
      <c r="A4" s="4" t="s">
        <v>2688</v>
      </c>
      <c r="B4" s="4" t="s">
        <v>93</v>
      </c>
      <c r="C4" s="3" t="s">
        <v>2703</v>
      </c>
      <c r="D4" s="6" t="s">
        <v>31</v>
      </c>
      <c r="E4" s="6" t="s">
        <v>32</v>
      </c>
      <c r="F4" s="6" t="s">
        <v>33</v>
      </c>
      <c r="G4" s="6" t="s">
        <v>34</v>
      </c>
      <c r="H4" s="6" t="s">
        <v>35</v>
      </c>
      <c r="I4" s="6" t="s">
        <v>36</v>
      </c>
      <c r="J4" s="6" t="s">
        <v>37</v>
      </c>
      <c r="K4" s="6" t="s">
        <v>38</v>
      </c>
      <c r="L4" s="6" t="s">
        <v>39</v>
      </c>
      <c r="M4" s="6" t="s">
        <v>40</v>
      </c>
      <c r="N4" s="6" t="s">
        <v>41</v>
      </c>
      <c r="O4" s="6" t="s">
        <v>42</v>
      </c>
      <c r="P4" s="6" t="s">
        <v>43</v>
      </c>
      <c r="Q4" s="6" t="s">
        <v>44</v>
      </c>
      <c r="R4" s="6" t="s">
        <v>45</v>
      </c>
      <c r="S4" s="6" t="s">
        <v>46</v>
      </c>
      <c r="T4" s="6" t="s">
        <v>47</v>
      </c>
      <c r="U4" s="6" t="s">
        <v>48</v>
      </c>
      <c r="V4" s="6" t="s">
        <v>49</v>
      </c>
      <c r="W4" s="6" t="s">
        <v>50</v>
      </c>
      <c r="X4" s="6" t="s">
        <v>51</v>
      </c>
      <c r="Y4" s="6" t="s">
        <v>52</v>
      </c>
      <c r="Z4" s="6" t="s">
        <v>53</v>
      </c>
      <c r="AA4" s="6" t="s">
        <v>54</v>
      </c>
      <c r="AB4" s="6" t="s">
        <v>55</v>
      </c>
      <c r="AC4" s="6" t="s">
        <v>56</v>
      </c>
      <c r="AD4" s="6" t="s">
        <v>57</v>
      </c>
      <c r="AE4" s="6" t="s">
        <v>58</v>
      </c>
      <c r="AF4" s="6" t="s">
        <v>59</v>
      </c>
      <c r="AG4" s="6" t="s">
        <v>60</v>
      </c>
      <c r="AH4" s="6" t="s">
        <v>61</v>
      </c>
    </row>
    <row r="5" spans="1:34" ht="409.5">
      <c r="A5" s="4" t="s">
        <v>2688</v>
      </c>
      <c r="B5" s="4" t="s">
        <v>93</v>
      </c>
      <c r="C5" s="3" t="s">
        <v>2709</v>
      </c>
      <c r="D5" s="6" t="s">
        <v>62</v>
      </c>
      <c r="E5" s="6" t="s">
        <v>63</v>
      </c>
      <c r="F5" s="6" t="s">
        <v>64</v>
      </c>
      <c r="G5" s="6" t="s">
        <v>65</v>
      </c>
      <c r="H5" s="6" t="s">
        <v>66</v>
      </c>
      <c r="I5" s="6" t="s">
        <v>67</v>
      </c>
      <c r="J5" s="6" t="s">
        <v>68</v>
      </c>
      <c r="K5" s="6" t="s">
        <v>69</v>
      </c>
      <c r="L5" s="6" t="s">
        <v>70</v>
      </c>
      <c r="M5" s="6" t="s">
        <v>71</v>
      </c>
      <c r="N5" s="6" t="s">
        <v>72</v>
      </c>
      <c r="O5" s="6" t="s">
        <v>73</v>
      </c>
      <c r="P5" s="6" t="s">
        <v>74</v>
      </c>
      <c r="Q5" s="6" t="s">
        <v>75</v>
      </c>
      <c r="R5" s="6" t="s">
        <v>76</v>
      </c>
      <c r="S5" s="6" t="s">
        <v>77</v>
      </c>
      <c r="T5" s="6" t="s">
        <v>78</v>
      </c>
      <c r="U5" s="6" t="s">
        <v>79</v>
      </c>
      <c r="V5" s="6" t="s">
        <v>80</v>
      </c>
      <c r="W5" s="6" t="s">
        <v>81</v>
      </c>
      <c r="X5" s="6" t="s">
        <v>82</v>
      </c>
      <c r="Y5" s="6" t="s">
        <v>83</v>
      </c>
      <c r="Z5" s="6" t="s">
        <v>84</v>
      </c>
      <c r="AA5" s="6" t="s">
        <v>85</v>
      </c>
      <c r="AB5" s="6" t="s">
        <v>86</v>
      </c>
      <c r="AC5" s="6" t="s">
        <v>87</v>
      </c>
      <c r="AD5" s="6" t="s">
        <v>88</v>
      </c>
      <c r="AE5" s="6" t="s">
        <v>89</v>
      </c>
      <c r="AF5" s="6" t="s">
        <v>90</v>
      </c>
      <c r="AG5" s="6" t="s">
        <v>91</v>
      </c>
      <c r="AH5" s="6" t="s">
        <v>92</v>
      </c>
    </row>
    <row r="6" spans="1:34" ht="409.5">
      <c r="A6" s="4" t="s">
        <v>2688</v>
      </c>
      <c r="B6" s="4" t="s">
        <v>93</v>
      </c>
      <c r="C6" s="3" t="s">
        <v>2653</v>
      </c>
      <c r="D6" s="6" t="s">
        <v>94</v>
      </c>
      <c r="E6" s="6" t="s">
        <v>95</v>
      </c>
      <c r="F6" s="6" t="s">
        <v>96</v>
      </c>
      <c r="G6" s="6" t="s">
        <v>97</v>
      </c>
      <c r="H6" s="6" t="s">
        <v>98</v>
      </c>
      <c r="I6" s="6" t="s">
        <v>99</v>
      </c>
      <c r="J6" s="6" t="s">
        <v>100</v>
      </c>
      <c r="K6" s="6" t="s">
        <v>101</v>
      </c>
      <c r="L6" s="6" t="s">
        <v>102</v>
      </c>
      <c r="M6" s="6" t="s">
        <v>103</v>
      </c>
      <c r="N6" s="6" t="s">
        <v>104</v>
      </c>
      <c r="O6" s="6" t="s">
        <v>105</v>
      </c>
      <c r="P6" s="6" t="s">
        <v>106</v>
      </c>
      <c r="Q6" s="6" t="s">
        <v>107</v>
      </c>
      <c r="R6" s="6" t="s">
        <v>108</v>
      </c>
      <c r="S6" s="6" t="s">
        <v>109</v>
      </c>
      <c r="T6" s="6" t="s">
        <v>110</v>
      </c>
      <c r="U6" s="6" t="s">
        <v>111</v>
      </c>
      <c r="V6" s="6" t="s">
        <v>112</v>
      </c>
      <c r="W6" s="6" t="s">
        <v>113</v>
      </c>
      <c r="X6" s="6" t="s">
        <v>114</v>
      </c>
      <c r="Y6" s="6" t="s">
        <v>115</v>
      </c>
      <c r="Z6" s="6" t="s">
        <v>116</v>
      </c>
      <c r="AA6" s="6" t="s">
        <v>117</v>
      </c>
      <c r="AB6" s="6" t="s">
        <v>118</v>
      </c>
      <c r="AC6" s="6" t="s">
        <v>119</v>
      </c>
      <c r="AD6" s="6" t="s">
        <v>120</v>
      </c>
      <c r="AE6" s="6" t="s">
        <v>121</v>
      </c>
      <c r="AF6" s="6" t="s">
        <v>122</v>
      </c>
      <c r="AG6" s="6" t="s">
        <v>123</v>
      </c>
      <c r="AH6" s="6" t="s">
        <v>124</v>
      </c>
    </row>
    <row r="7" spans="1:34" ht="225">
      <c r="A7" s="4" t="s">
        <v>2688</v>
      </c>
      <c r="B7" s="4" t="s">
        <v>93</v>
      </c>
      <c r="C7" s="3" t="s">
        <v>2654</v>
      </c>
      <c r="D7" s="6" t="s">
        <v>125</v>
      </c>
      <c r="E7" s="6" t="s">
        <v>95</v>
      </c>
      <c r="F7" s="6" t="s">
        <v>126</v>
      </c>
      <c r="G7" s="6" t="s">
        <v>127</v>
      </c>
      <c r="H7" s="6" t="s">
        <v>125</v>
      </c>
      <c r="I7" s="6" t="s">
        <v>128</v>
      </c>
      <c r="J7" s="6" t="s">
        <v>129</v>
      </c>
      <c r="K7" s="6" t="s">
        <v>130</v>
      </c>
      <c r="L7" s="6" t="s">
        <v>131</v>
      </c>
      <c r="M7" s="6" t="s">
        <v>132</v>
      </c>
      <c r="N7" s="6" t="s">
        <v>133</v>
      </c>
      <c r="O7" s="6" t="s">
        <v>134</v>
      </c>
      <c r="P7" s="6" t="s">
        <v>135</v>
      </c>
      <c r="Q7" s="6" t="s">
        <v>136</v>
      </c>
      <c r="R7" s="6" t="s">
        <v>125</v>
      </c>
      <c r="S7" s="6" t="s">
        <v>137</v>
      </c>
      <c r="T7" s="6" t="s">
        <v>138</v>
      </c>
      <c r="U7" s="6" t="s">
        <v>125</v>
      </c>
      <c r="V7" s="6" t="s">
        <v>125</v>
      </c>
      <c r="W7" s="6" t="s">
        <v>139</v>
      </c>
      <c r="X7" s="6" t="s">
        <v>125</v>
      </c>
      <c r="Y7" s="6" t="s">
        <v>125</v>
      </c>
      <c r="Z7" s="6" t="s">
        <v>140</v>
      </c>
      <c r="AA7" s="6" t="s">
        <v>141</v>
      </c>
      <c r="AB7" s="6" t="s">
        <v>142</v>
      </c>
      <c r="AC7" s="6" t="s">
        <v>143</v>
      </c>
      <c r="AD7" s="6" t="s">
        <v>144</v>
      </c>
      <c r="AE7" s="6" t="s">
        <v>145</v>
      </c>
      <c r="AF7" s="6" t="s">
        <v>146</v>
      </c>
      <c r="AG7" s="6" t="s">
        <v>147</v>
      </c>
      <c r="AH7" s="6" t="s">
        <v>148</v>
      </c>
    </row>
    <row r="8" spans="1:34" ht="390">
      <c r="A8" s="4" t="s">
        <v>2688</v>
      </c>
      <c r="B8" s="4" t="s">
        <v>93</v>
      </c>
      <c r="C8" s="3" t="s">
        <v>2655</v>
      </c>
      <c r="D8" s="6" t="s">
        <v>150</v>
      </c>
      <c r="E8" s="6" t="s">
        <v>151</v>
      </c>
      <c r="F8" s="6" t="s">
        <v>152</v>
      </c>
      <c r="G8" s="6" t="s">
        <v>153</v>
      </c>
      <c r="H8" s="6" t="s">
        <v>154</v>
      </c>
      <c r="I8" s="6" t="s">
        <v>155</v>
      </c>
      <c r="J8" s="6" t="s">
        <v>156</v>
      </c>
      <c r="K8" s="6" t="s">
        <v>157</v>
      </c>
      <c r="L8" s="6" t="s">
        <v>158</v>
      </c>
      <c r="M8" s="6" t="s">
        <v>159</v>
      </c>
      <c r="N8" s="6" t="s">
        <v>160</v>
      </c>
      <c r="O8" s="6" t="s">
        <v>161</v>
      </c>
      <c r="P8" s="6" t="s">
        <v>162</v>
      </c>
      <c r="Q8" s="6" t="s">
        <v>163</v>
      </c>
      <c r="R8" s="6" t="s">
        <v>164</v>
      </c>
      <c r="S8" s="6" t="s">
        <v>165</v>
      </c>
      <c r="T8" s="6" t="s">
        <v>166</v>
      </c>
      <c r="U8" s="6" t="s">
        <v>167</v>
      </c>
      <c r="V8" s="6" t="s">
        <v>168</v>
      </c>
      <c r="W8" s="7" t="s">
        <v>169</v>
      </c>
      <c r="X8" s="6" t="s">
        <v>170</v>
      </c>
      <c r="Y8" s="6" t="s">
        <v>171</v>
      </c>
      <c r="Z8" s="6" t="s">
        <v>172</v>
      </c>
      <c r="AA8" s="6" t="s">
        <v>173</v>
      </c>
      <c r="AB8" s="6" t="s">
        <v>174</v>
      </c>
      <c r="AC8" s="6" t="s">
        <v>175</v>
      </c>
      <c r="AD8" s="6" t="s">
        <v>176</v>
      </c>
      <c r="AE8" s="6" t="s">
        <v>177</v>
      </c>
      <c r="AF8" s="6" t="s">
        <v>178</v>
      </c>
      <c r="AG8" s="6" t="s">
        <v>179</v>
      </c>
      <c r="AH8" s="6" t="s">
        <v>180</v>
      </c>
    </row>
    <row r="9" spans="1:34" ht="409.5">
      <c r="A9" s="4" t="s">
        <v>2688</v>
      </c>
      <c r="B9" s="4" t="s">
        <v>93</v>
      </c>
      <c r="C9" s="3" t="s">
        <v>2656</v>
      </c>
      <c r="D9" s="6" t="s">
        <v>181</v>
      </c>
      <c r="E9" s="6" t="s">
        <v>182</v>
      </c>
      <c r="F9" s="6" t="s">
        <v>183</v>
      </c>
      <c r="G9" s="6" t="s">
        <v>184</v>
      </c>
      <c r="H9" s="6" t="s">
        <v>185</v>
      </c>
      <c r="I9" s="6" t="s">
        <v>186</v>
      </c>
      <c r="J9" s="6" t="s">
        <v>187</v>
      </c>
      <c r="K9" s="6" t="s">
        <v>188</v>
      </c>
      <c r="L9" s="6" t="s">
        <v>189</v>
      </c>
      <c r="M9" s="6" t="s">
        <v>190</v>
      </c>
      <c r="N9" s="6" t="s">
        <v>191</v>
      </c>
      <c r="O9" s="6" t="s">
        <v>192</v>
      </c>
      <c r="P9" s="6" t="s">
        <v>193</v>
      </c>
      <c r="Q9" s="6" t="s">
        <v>194</v>
      </c>
      <c r="R9" s="6" t="s">
        <v>195</v>
      </c>
      <c r="S9" s="6" t="s">
        <v>196</v>
      </c>
      <c r="T9" s="6" t="s">
        <v>197</v>
      </c>
      <c r="U9" s="6" t="s">
        <v>198</v>
      </c>
      <c r="V9" s="6" t="s">
        <v>199</v>
      </c>
      <c r="W9" s="6" t="s">
        <v>200</v>
      </c>
      <c r="X9" s="6" t="s">
        <v>201</v>
      </c>
      <c r="Y9" s="6" t="s">
        <v>202</v>
      </c>
      <c r="Z9" s="6" t="s">
        <v>203</v>
      </c>
      <c r="AA9" s="6" t="s">
        <v>204</v>
      </c>
      <c r="AB9" s="6" t="s">
        <v>205</v>
      </c>
      <c r="AC9" s="6" t="s">
        <v>206</v>
      </c>
      <c r="AD9" s="6" t="s">
        <v>207</v>
      </c>
      <c r="AE9" s="6" t="s">
        <v>208</v>
      </c>
      <c r="AF9" s="6" t="s">
        <v>209</v>
      </c>
      <c r="AG9" s="6" t="s">
        <v>210</v>
      </c>
      <c r="AH9" s="6" t="s">
        <v>211</v>
      </c>
    </row>
    <row r="10" spans="1:34" ht="409.5">
      <c r="A10" s="4" t="s">
        <v>2688</v>
      </c>
      <c r="B10" s="4" t="s">
        <v>93</v>
      </c>
      <c r="C10" s="3" t="s">
        <v>2684</v>
      </c>
      <c r="D10" s="6" t="s">
        <v>212</v>
      </c>
      <c r="E10" s="6" t="s">
        <v>213</v>
      </c>
      <c r="F10" s="6" t="s">
        <v>214</v>
      </c>
      <c r="G10" s="6" t="s">
        <v>215</v>
      </c>
      <c r="H10" s="6" t="s">
        <v>216</v>
      </c>
      <c r="I10" s="6" t="s">
        <v>217</v>
      </c>
      <c r="J10" s="6" t="s">
        <v>218</v>
      </c>
      <c r="K10" s="6" t="s">
        <v>219</v>
      </c>
      <c r="L10" s="6" t="s">
        <v>220</v>
      </c>
      <c r="M10" s="6" t="s">
        <v>221</v>
      </c>
      <c r="N10" s="6" t="s">
        <v>222</v>
      </c>
      <c r="O10" s="6" t="s">
        <v>223</v>
      </c>
      <c r="P10" s="6" t="s">
        <v>224</v>
      </c>
      <c r="Q10" s="6" t="s">
        <v>225</v>
      </c>
      <c r="R10" s="6" t="s">
        <v>226</v>
      </c>
      <c r="S10" s="6" t="s">
        <v>227</v>
      </c>
      <c r="T10" s="6" t="s">
        <v>228</v>
      </c>
      <c r="U10" s="6" t="s">
        <v>229</v>
      </c>
      <c r="V10" s="6" t="s">
        <v>230</v>
      </c>
      <c r="W10" s="6" t="s">
        <v>231</v>
      </c>
      <c r="X10" s="6" t="s">
        <v>232</v>
      </c>
      <c r="Y10" s="6" t="s">
        <v>233</v>
      </c>
      <c r="Z10" s="6" t="s">
        <v>234</v>
      </c>
      <c r="AA10" s="6" t="s">
        <v>235</v>
      </c>
      <c r="AB10" s="6" t="s">
        <v>236</v>
      </c>
      <c r="AC10" s="6" t="s">
        <v>237</v>
      </c>
      <c r="AD10" s="6" t="s">
        <v>238</v>
      </c>
      <c r="AE10" s="6" t="s">
        <v>239</v>
      </c>
      <c r="AF10" s="6" t="s">
        <v>240</v>
      </c>
      <c r="AG10" s="6" t="s">
        <v>241</v>
      </c>
      <c r="AH10" s="6" t="s">
        <v>242</v>
      </c>
    </row>
    <row r="11" spans="1:34" ht="409.5">
      <c r="A11" s="4" t="s">
        <v>2688</v>
      </c>
      <c r="B11" s="4" t="s">
        <v>2695</v>
      </c>
      <c r="C11" s="3" t="s">
        <v>2691</v>
      </c>
      <c r="D11" s="6" t="s">
        <v>243</v>
      </c>
      <c r="E11" s="6" t="s">
        <v>244</v>
      </c>
      <c r="F11" s="6" t="s">
        <v>245</v>
      </c>
      <c r="G11" s="6" t="s">
        <v>246</v>
      </c>
      <c r="H11" s="6" t="s">
        <v>247</v>
      </c>
      <c r="I11" s="6" t="s">
        <v>248</v>
      </c>
      <c r="J11" s="6" t="s">
        <v>249</v>
      </c>
      <c r="K11" s="6" t="s">
        <v>250</v>
      </c>
      <c r="L11" s="6" t="s">
        <v>251</v>
      </c>
      <c r="M11" s="6" t="s">
        <v>252</v>
      </c>
      <c r="N11" s="6" t="s">
        <v>253</v>
      </c>
      <c r="O11" s="6" t="s">
        <v>254</v>
      </c>
      <c r="P11" s="6" t="s">
        <v>255</v>
      </c>
      <c r="Q11" s="6" t="s">
        <v>256</v>
      </c>
      <c r="R11" s="6" t="s">
        <v>257</v>
      </c>
      <c r="S11" s="6" t="s">
        <v>258</v>
      </c>
      <c r="T11" s="6" t="s">
        <v>259</v>
      </c>
      <c r="U11" s="6" t="s">
        <v>252</v>
      </c>
      <c r="V11" s="6" t="s">
        <v>260</v>
      </c>
      <c r="W11" s="6" t="s">
        <v>261</v>
      </c>
      <c r="X11" s="6" t="s">
        <v>262</v>
      </c>
      <c r="Y11" s="6" t="s">
        <v>263</v>
      </c>
      <c r="Z11" s="6" t="s">
        <v>264</v>
      </c>
      <c r="AA11" s="6" t="s">
        <v>251</v>
      </c>
      <c r="AB11" s="6" t="s">
        <v>265</v>
      </c>
      <c r="AC11" s="6" t="s">
        <v>266</v>
      </c>
      <c r="AD11" s="6" t="s">
        <v>267</v>
      </c>
      <c r="AE11" s="6" t="s">
        <v>268</v>
      </c>
      <c r="AF11" s="6" t="s">
        <v>269</v>
      </c>
      <c r="AG11" s="6" t="s">
        <v>270</v>
      </c>
      <c r="AH11" s="6" t="s">
        <v>271</v>
      </c>
    </row>
    <row r="12" spans="1:34" ht="165">
      <c r="A12" s="4" t="s">
        <v>2688</v>
      </c>
      <c r="B12" s="4" t="s">
        <v>2695</v>
      </c>
      <c r="C12" s="3" t="s">
        <v>2657</v>
      </c>
      <c r="D12" s="6" t="s">
        <v>272</v>
      </c>
      <c r="E12" s="6" t="s">
        <v>273</v>
      </c>
      <c r="F12" s="6" t="s">
        <v>274</v>
      </c>
      <c r="G12" s="6" t="s">
        <v>275</v>
      </c>
      <c r="H12" s="6" t="s">
        <v>276</v>
      </c>
      <c r="I12" s="6" t="s">
        <v>273</v>
      </c>
      <c r="J12" s="6" t="s">
        <v>277</v>
      </c>
      <c r="K12" s="6" t="s">
        <v>278</v>
      </c>
      <c r="L12" s="6" t="s">
        <v>279</v>
      </c>
      <c r="M12" s="6" t="s">
        <v>280</v>
      </c>
      <c r="N12" s="6" t="s">
        <v>281</v>
      </c>
      <c r="O12" s="6" t="s">
        <v>273</v>
      </c>
      <c r="P12" s="6" t="s">
        <v>282</v>
      </c>
      <c r="Q12" s="6" t="s">
        <v>283</v>
      </c>
      <c r="R12" s="6" t="s">
        <v>284</v>
      </c>
      <c r="S12" s="6" t="s">
        <v>285</v>
      </c>
      <c r="T12" s="6" t="s">
        <v>286</v>
      </c>
      <c r="U12" s="6" t="s">
        <v>287</v>
      </c>
      <c r="V12" s="6" t="s">
        <v>288</v>
      </c>
      <c r="W12" s="6" t="s">
        <v>289</v>
      </c>
      <c r="X12" s="6" t="s">
        <v>273</v>
      </c>
      <c r="Y12" s="6" t="s">
        <v>273</v>
      </c>
      <c r="Z12" s="6" t="s">
        <v>290</v>
      </c>
      <c r="AA12" s="6" t="s">
        <v>273</v>
      </c>
      <c r="AB12" s="6" t="s">
        <v>291</v>
      </c>
      <c r="AC12" s="6" t="s">
        <v>273</v>
      </c>
      <c r="AD12" s="6" t="s">
        <v>273</v>
      </c>
      <c r="AE12" s="6" t="s">
        <v>292</v>
      </c>
      <c r="AF12" s="6" t="s">
        <v>293</v>
      </c>
      <c r="AG12" s="6" t="s">
        <v>294</v>
      </c>
      <c r="AH12" s="6" t="s">
        <v>295</v>
      </c>
    </row>
    <row r="13" spans="1:34" ht="409.5">
      <c r="A13" s="4" t="s">
        <v>2688</v>
      </c>
      <c r="B13" s="4" t="s">
        <v>2695</v>
      </c>
      <c r="C13" s="3" t="s">
        <v>2689</v>
      </c>
      <c r="D13" s="6" t="s">
        <v>297</v>
      </c>
      <c r="E13" s="6" t="s">
        <v>298</v>
      </c>
      <c r="F13" s="6" t="s">
        <v>299</v>
      </c>
      <c r="G13" s="6" t="s">
        <v>300</v>
      </c>
      <c r="H13" s="6" t="s">
        <v>301</v>
      </c>
      <c r="I13" s="6" t="s">
        <v>302</v>
      </c>
      <c r="J13" s="6" t="s">
        <v>303</v>
      </c>
      <c r="K13" s="6" t="s">
        <v>304</v>
      </c>
      <c r="L13" s="6" t="s">
        <v>305</v>
      </c>
      <c r="M13" s="6" t="s">
        <v>306</v>
      </c>
      <c r="N13" s="6" t="s">
        <v>307</v>
      </c>
      <c r="O13" s="6" t="s">
        <v>308</v>
      </c>
      <c r="P13" s="6" t="s">
        <v>309</v>
      </c>
      <c r="Q13" s="6" t="s">
        <v>310</v>
      </c>
      <c r="R13" s="6" t="s">
        <v>311</v>
      </c>
      <c r="S13" s="6" t="s">
        <v>312</v>
      </c>
      <c r="T13" s="6" t="s">
        <v>313</v>
      </c>
      <c r="U13" s="6" t="s">
        <v>314</v>
      </c>
      <c r="V13" s="6" t="s">
        <v>315</v>
      </c>
      <c r="W13" s="6" t="s">
        <v>316</v>
      </c>
      <c r="X13" s="6" t="s">
        <v>317</v>
      </c>
      <c r="Y13" s="6" t="s">
        <v>318</v>
      </c>
      <c r="Z13" s="6" t="s">
        <v>319</v>
      </c>
      <c r="AA13" s="6" t="s">
        <v>320</v>
      </c>
      <c r="AB13" s="6" t="s">
        <v>321</v>
      </c>
      <c r="AC13" s="6" t="s">
        <v>322</v>
      </c>
      <c r="AD13" s="6" t="s">
        <v>323</v>
      </c>
      <c r="AE13" s="6" t="s">
        <v>324</v>
      </c>
      <c r="AF13" s="6" t="s">
        <v>325</v>
      </c>
      <c r="AG13" s="6" t="s">
        <v>326</v>
      </c>
      <c r="AH13" s="6" t="s">
        <v>327</v>
      </c>
    </row>
    <row r="14" spans="1:34" ht="409.5">
      <c r="A14" s="4" t="s">
        <v>2688</v>
      </c>
      <c r="B14" s="4" t="s">
        <v>2695</v>
      </c>
      <c r="C14" s="3" t="s">
        <v>2658</v>
      </c>
      <c r="D14" s="6" t="s">
        <v>328</v>
      </c>
      <c r="E14" s="6" t="s">
        <v>329</v>
      </c>
      <c r="F14" s="6" t="s">
        <v>330</v>
      </c>
      <c r="G14" s="6" t="s">
        <v>331</v>
      </c>
      <c r="H14" s="6" t="s">
        <v>332</v>
      </c>
      <c r="I14" s="6" t="s">
        <v>333</v>
      </c>
      <c r="J14" s="6" t="s">
        <v>334</v>
      </c>
      <c r="K14" s="6" t="s">
        <v>335</v>
      </c>
      <c r="L14" s="6" t="s">
        <v>336</v>
      </c>
      <c r="M14" s="6" t="s">
        <v>337</v>
      </c>
      <c r="N14" s="6" t="s">
        <v>338</v>
      </c>
      <c r="O14" s="6" t="s">
        <v>339</v>
      </c>
      <c r="P14" s="6" t="s">
        <v>340</v>
      </c>
      <c r="Q14" s="6" t="s">
        <v>341</v>
      </c>
      <c r="R14" s="6" t="s">
        <v>342</v>
      </c>
      <c r="S14" s="6" t="s">
        <v>343</v>
      </c>
      <c r="T14" s="6" t="s">
        <v>344</v>
      </c>
      <c r="U14" s="6" t="s">
        <v>345</v>
      </c>
      <c r="V14" s="6" t="s">
        <v>346</v>
      </c>
      <c r="W14" s="6" t="s">
        <v>347</v>
      </c>
      <c r="X14" s="6" t="s">
        <v>348</v>
      </c>
      <c r="Y14" s="6" t="s">
        <v>349</v>
      </c>
      <c r="Z14" s="6" t="s">
        <v>350</v>
      </c>
      <c r="AA14" s="6" t="s">
        <v>351</v>
      </c>
      <c r="AB14" s="6" t="s">
        <v>352</v>
      </c>
      <c r="AC14" s="6" t="s">
        <v>353</v>
      </c>
      <c r="AD14" s="6" t="s">
        <v>354</v>
      </c>
      <c r="AE14" s="6" t="s">
        <v>355</v>
      </c>
      <c r="AF14" s="6" t="s">
        <v>356</v>
      </c>
      <c r="AG14" s="6" t="s">
        <v>357</v>
      </c>
      <c r="AH14" s="6" t="s">
        <v>358</v>
      </c>
    </row>
    <row r="15" spans="1:34" ht="409.5">
      <c r="A15" s="4" t="s">
        <v>2688</v>
      </c>
      <c r="B15" s="4" t="s">
        <v>2695</v>
      </c>
      <c r="C15" s="3" t="s">
        <v>2659</v>
      </c>
      <c r="D15" s="6" t="s">
        <v>359</v>
      </c>
      <c r="E15" s="6" t="s">
        <v>360</v>
      </c>
      <c r="F15" s="6" t="s">
        <v>361</v>
      </c>
      <c r="G15" s="6" t="s">
        <v>362</v>
      </c>
      <c r="H15" s="6" t="s">
        <v>363</v>
      </c>
      <c r="I15" s="6" t="s">
        <v>364</v>
      </c>
      <c r="J15" s="6" t="s">
        <v>365</v>
      </c>
      <c r="K15" s="6" t="s">
        <v>366</v>
      </c>
      <c r="L15" s="6" t="s">
        <v>367</v>
      </c>
      <c r="M15" s="6" t="s">
        <v>368</v>
      </c>
      <c r="N15" s="6" t="s">
        <v>369</v>
      </c>
      <c r="O15" s="6" t="s">
        <v>370</v>
      </c>
      <c r="P15" s="6" t="s">
        <v>371</v>
      </c>
      <c r="Q15" s="6" t="s">
        <v>372</v>
      </c>
      <c r="R15" s="6" t="s">
        <v>373</v>
      </c>
      <c r="S15" s="6" t="s">
        <v>374</v>
      </c>
      <c r="T15" s="6" t="s">
        <v>375</v>
      </c>
      <c r="U15" s="6" t="s">
        <v>376</v>
      </c>
      <c r="V15" s="6" t="s">
        <v>377</v>
      </c>
      <c r="W15" s="6" t="s">
        <v>378</v>
      </c>
      <c r="X15" s="6" t="s">
        <v>379</v>
      </c>
      <c r="Y15" s="6" t="s">
        <v>380</v>
      </c>
      <c r="Z15" s="6" t="s">
        <v>381</v>
      </c>
      <c r="AA15" s="6" t="s">
        <v>382</v>
      </c>
      <c r="AB15" s="6" t="s">
        <v>383</v>
      </c>
      <c r="AC15" s="6" t="s">
        <v>384</v>
      </c>
      <c r="AD15" s="6" t="s">
        <v>385</v>
      </c>
      <c r="AE15" s="6" t="s">
        <v>386</v>
      </c>
      <c r="AF15" s="6" t="s">
        <v>387</v>
      </c>
      <c r="AG15" s="6" t="s">
        <v>388</v>
      </c>
      <c r="AH15" s="6" t="s">
        <v>389</v>
      </c>
    </row>
    <row r="16" spans="1:34" ht="409.5">
      <c r="A16" s="4" t="s">
        <v>2688</v>
      </c>
      <c r="B16" s="4" t="s">
        <v>2695</v>
      </c>
      <c r="C16" s="3" t="s">
        <v>2660</v>
      </c>
      <c r="D16" s="6" t="s">
        <v>390</v>
      </c>
      <c r="E16" s="6" t="s">
        <v>391</v>
      </c>
      <c r="F16" s="6" t="s">
        <v>392</v>
      </c>
      <c r="G16" s="6" t="s">
        <v>393</v>
      </c>
      <c r="H16" s="6" t="s">
        <v>394</v>
      </c>
      <c r="I16" s="6" t="s">
        <v>395</v>
      </c>
      <c r="J16" s="6" t="s">
        <v>396</v>
      </c>
      <c r="K16" s="6" t="s">
        <v>397</v>
      </c>
      <c r="L16" s="6" t="s">
        <v>398</v>
      </c>
      <c r="M16" s="6" t="s">
        <v>399</v>
      </c>
      <c r="N16" s="6" t="s">
        <v>400</v>
      </c>
      <c r="O16" s="6" t="s">
        <v>401</v>
      </c>
      <c r="P16" s="6" t="s">
        <v>402</v>
      </c>
      <c r="Q16" s="6" t="s">
        <v>403</v>
      </c>
      <c r="R16" s="6" t="s">
        <v>404</v>
      </c>
      <c r="S16" s="6" t="s">
        <v>405</v>
      </c>
      <c r="T16" s="6" t="s">
        <v>406</v>
      </c>
      <c r="U16" s="6" t="s">
        <v>373</v>
      </c>
      <c r="V16" s="6" t="s">
        <v>407</v>
      </c>
      <c r="W16" s="6" t="s">
        <v>408</v>
      </c>
      <c r="X16" s="6" t="s">
        <v>409</v>
      </c>
      <c r="Y16" s="6" t="s">
        <v>410</v>
      </c>
      <c r="Z16" s="6" t="s">
        <v>411</v>
      </c>
      <c r="AA16" s="6" t="s">
        <v>412</v>
      </c>
      <c r="AB16" s="6" t="s">
        <v>413</v>
      </c>
      <c r="AC16" s="6" t="s">
        <v>414</v>
      </c>
      <c r="AD16" s="6" t="s">
        <v>415</v>
      </c>
      <c r="AE16" s="6" t="s">
        <v>416</v>
      </c>
      <c r="AF16" s="6" t="s">
        <v>417</v>
      </c>
      <c r="AG16" s="6" t="s">
        <v>418</v>
      </c>
      <c r="AH16" s="6" t="s">
        <v>419</v>
      </c>
    </row>
    <row r="17" spans="1:34" ht="409.5">
      <c r="A17" s="4" t="s">
        <v>2688</v>
      </c>
      <c r="B17" s="4" t="s">
        <v>2695</v>
      </c>
      <c r="C17" s="3" t="s">
        <v>2661</v>
      </c>
      <c r="D17" s="6" t="s">
        <v>420</v>
      </c>
      <c r="E17" s="6" t="s">
        <v>421</v>
      </c>
      <c r="F17" s="6" t="s">
        <v>422</v>
      </c>
      <c r="G17" s="6" t="s">
        <v>423</v>
      </c>
      <c r="H17" s="6" t="s">
        <v>424</v>
      </c>
      <c r="I17" s="6" t="s">
        <v>425</v>
      </c>
      <c r="J17" s="6" t="s">
        <v>426</v>
      </c>
      <c r="K17" s="6" t="s">
        <v>427</v>
      </c>
      <c r="L17" s="6" t="s">
        <v>428</v>
      </c>
      <c r="M17" s="6" t="s">
        <v>429</v>
      </c>
      <c r="N17" s="6" t="s">
        <v>430</v>
      </c>
      <c r="O17" s="6" t="s">
        <v>431</v>
      </c>
      <c r="P17" s="6" t="s">
        <v>432</v>
      </c>
      <c r="Q17" s="6" t="s">
        <v>433</v>
      </c>
      <c r="R17" s="6" t="s">
        <v>434</v>
      </c>
      <c r="S17" s="6" t="s">
        <v>435</v>
      </c>
      <c r="T17" s="6" t="s">
        <v>436</v>
      </c>
      <c r="U17" s="6" t="s">
        <v>373</v>
      </c>
      <c r="V17" s="6" t="s">
        <v>437</v>
      </c>
      <c r="W17" s="6" t="s">
        <v>438</v>
      </c>
      <c r="X17" s="6" t="s">
        <v>431</v>
      </c>
      <c r="Y17" s="6" t="s">
        <v>439</v>
      </c>
      <c r="Z17" s="6" t="s">
        <v>440</v>
      </c>
      <c r="AA17" s="6" t="s">
        <v>431</v>
      </c>
      <c r="AB17" s="6" t="s">
        <v>441</v>
      </c>
      <c r="AC17" s="6" t="s">
        <v>442</v>
      </c>
      <c r="AD17" s="6" t="s">
        <v>443</v>
      </c>
      <c r="AE17" s="6" t="s">
        <v>425</v>
      </c>
      <c r="AF17" s="6" t="s">
        <v>444</v>
      </c>
      <c r="AG17" s="6" t="s">
        <v>445</v>
      </c>
      <c r="AH17" s="6" t="s">
        <v>431</v>
      </c>
    </row>
    <row r="18" spans="1:34" ht="135">
      <c r="A18" s="4" t="s">
        <v>2688</v>
      </c>
      <c r="B18" s="4" t="s">
        <v>2695</v>
      </c>
      <c r="C18" s="3" t="s">
        <v>2690</v>
      </c>
      <c r="D18" s="6" t="s">
        <v>446</v>
      </c>
      <c r="E18" s="6" t="s">
        <v>447</v>
      </c>
      <c r="F18" s="6" t="s">
        <v>448</v>
      </c>
      <c r="G18" s="6" t="s">
        <v>449</v>
      </c>
      <c r="H18" s="6" t="s">
        <v>450</v>
      </c>
      <c r="I18" s="6" t="s">
        <v>451</v>
      </c>
      <c r="J18" s="6" t="s">
        <v>452</v>
      </c>
      <c r="K18" s="6" t="s">
        <v>453</v>
      </c>
      <c r="L18" s="6" t="s">
        <v>454</v>
      </c>
      <c r="M18" s="6" t="s">
        <v>455</v>
      </c>
      <c r="N18" s="6" t="s">
        <v>447</v>
      </c>
      <c r="O18" s="6" t="s">
        <v>456</v>
      </c>
      <c r="P18" s="6" t="s">
        <v>457</v>
      </c>
      <c r="Q18" s="6" t="s">
        <v>458</v>
      </c>
      <c r="R18" s="6" t="s">
        <v>447</v>
      </c>
      <c r="S18" s="6" t="s">
        <v>459</v>
      </c>
      <c r="T18" s="6" t="s">
        <v>460</v>
      </c>
      <c r="U18" s="6" t="s">
        <v>461</v>
      </c>
      <c r="V18" s="6" t="s">
        <v>447</v>
      </c>
      <c r="W18" s="6" t="s">
        <v>462</v>
      </c>
      <c r="X18" s="6" t="s">
        <v>463</v>
      </c>
      <c r="Y18" s="6" t="s">
        <v>464</v>
      </c>
      <c r="Z18" s="6" t="s">
        <v>465</v>
      </c>
      <c r="AA18" s="6" t="s">
        <v>447</v>
      </c>
      <c r="AB18" s="6" t="s">
        <v>466</v>
      </c>
      <c r="AC18" s="6" t="s">
        <v>463</v>
      </c>
      <c r="AD18" s="6" t="s">
        <v>447</v>
      </c>
      <c r="AE18" s="6" t="s">
        <v>467</v>
      </c>
      <c r="AF18" s="6" t="s">
        <v>468</v>
      </c>
      <c r="AG18" s="6" t="s">
        <v>469</v>
      </c>
      <c r="AH18" s="6" t="s">
        <v>470</v>
      </c>
    </row>
    <row r="19" spans="1:34" ht="409.5">
      <c r="A19" s="4" t="s">
        <v>2688</v>
      </c>
      <c r="B19" s="4" t="s">
        <v>2695</v>
      </c>
      <c r="C19" s="3" t="s">
        <v>2662</v>
      </c>
      <c r="D19" s="6" t="s">
        <v>471</v>
      </c>
      <c r="E19" s="6" t="s">
        <v>472</v>
      </c>
      <c r="F19" s="6" t="s">
        <v>473</v>
      </c>
      <c r="G19" s="6" t="s">
        <v>474</v>
      </c>
      <c r="H19" s="6" t="s">
        <v>475</v>
      </c>
      <c r="I19" s="6" t="s">
        <v>476</v>
      </c>
      <c r="J19" s="6" t="s">
        <v>477</v>
      </c>
      <c r="K19" s="6" t="s">
        <v>478</v>
      </c>
      <c r="L19" s="6" t="s">
        <v>479</v>
      </c>
      <c r="M19" s="6" t="s">
        <v>480</v>
      </c>
      <c r="N19" s="6" t="s">
        <v>481</v>
      </c>
      <c r="O19" s="6" t="s">
        <v>474</v>
      </c>
      <c r="P19" s="6" t="s">
        <v>482</v>
      </c>
      <c r="Q19" s="6" t="s">
        <v>474</v>
      </c>
      <c r="R19" s="6" t="s">
        <v>483</v>
      </c>
      <c r="S19" s="6" t="s">
        <v>484</v>
      </c>
      <c r="T19" s="6" t="s">
        <v>485</v>
      </c>
      <c r="U19" s="6" t="s">
        <v>486</v>
      </c>
      <c r="V19" s="6" t="s">
        <v>474</v>
      </c>
      <c r="W19" s="6" t="s">
        <v>487</v>
      </c>
      <c r="X19" s="6" t="s">
        <v>488</v>
      </c>
      <c r="Y19" s="6" t="s">
        <v>489</v>
      </c>
      <c r="Z19" s="6" t="s">
        <v>490</v>
      </c>
      <c r="AA19" s="6" t="s">
        <v>491</v>
      </c>
      <c r="AB19" s="6" t="s">
        <v>492</v>
      </c>
      <c r="AC19" s="6" t="s">
        <v>493</v>
      </c>
      <c r="AD19" s="6" t="s">
        <v>494</v>
      </c>
      <c r="AE19" s="6" t="s">
        <v>495</v>
      </c>
      <c r="AF19" s="6" t="s">
        <v>496</v>
      </c>
      <c r="AG19" s="6" t="s">
        <v>497</v>
      </c>
      <c r="AH19" s="6" t="s">
        <v>498</v>
      </c>
    </row>
    <row r="20" spans="1:34" ht="409.5">
      <c r="A20" s="4" t="s">
        <v>2688</v>
      </c>
      <c r="B20" s="4" t="s">
        <v>2695</v>
      </c>
      <c r="C20" s="3" t="s">
        <v>2663</v>
      </c>
      <c r="D20" s="6" t="s">
        <v>499</v>
      </c>
      <c r="E20" s="6" t="s">
        <v>500</v>
      </c>
      <c r="F20" s="6" t="s">
        <v>501</v>
      </c>
      <c r="G20" s="6" t="s">
        <v>502</v>
      </c>
      <c r="H20" s="6" t="s">
        <v>503</v>
      </c>
      <c r="I20" s="6" t="s">
        <v>504</v>
      </c>
      <c r="J20" s="6" t="s">
        <v>505</v>
      </c>
      <c r="K20" s="6" t="s">
        <v>506</v>
      </c>
      <c r="L20" s="6" t="s">
        <v>507</v>
      </c>
      <c r="M20" s="6" t="s">
        <v>508</v>
      </c>
      <c r="N20" s="6" t="s">
        <v>509</v>
      </c>
      <c r="O20" s="6" t="s">
        <v>510</v>
      </c>
      <c r="P20" s="6" t="s">
        <v>511</v>
      </c>
      <c r="Q20" s="6" t="s">
        <v>512</v>
      </c>
      <c r="R20" s="6" t="s">
        <v>513</v>
      </c>
      <c r="S20" s="6" t="s">
        <v>514</v>
      </c>
      <c r="T20" s="6" t="s">
        <v>515</v>
      </c>
      <c r="U20" s="6" t="s">
        <v>516</v>
      </c>
      <c r="V20" s="6" t="s">
        <v>517</v>
      </c>
      <c r="W20" s="6" t="s">
        <v>518</v>
      </c>
      <c r="X20" s="6" t="s">
        <v>519</v>
      </c>
      <c r="Y20" s="6" t="s">
        <v>520</v>
      </c>
      <c r="Z20" s="6" t="s">
        <v>521</v>
      </c>
      <c r="AA20" s="6" t="s">
        <v>522</v>
      </c>
      <c r="AB20" s="6" t="s">
        <v>523</v>
      </c>
      <c r="AC20" s="6" t="s">
        <v>524</v>
      </c>
      <c r="AD20" s="6" t="s">
        <v>525</v>
      </c>
      <c r="AE20" s="6" t="s">
        <v>526</v>
      </c>
      <c r="AF20" s="6" t="s">
        <v>527</v>
      </c>
      <c r="AG20" s="6" t="s">
        <v>528</v>
      </c>
      <c r="AH20" s="6" t="s">
        <v>529</v>
      </c>
    </row>
    <row r="21" spans="1:34" ht="210">
      <c r="A21" s="4" t="s">
        <v>2688</v>
      </c>
      <c r="B21" s="4" t="s">
        <v>2695</v>
      </c>
      <c r="C21" s="3" t="s">
        <v>2664</v>
      </c>
      <c r="D21" s="6" t="s">
        <v>530</v>
      </c>
      <c r="E21" s="6" t="s">
        <v>95</v>
      </c>
      <c r="F21" s="6" t="s">
        <v>531</v>
      </c>
      <c r="G21" s="6" t="s">
        <v>532</v>
      </c>
      <c r="H21" s="6" t="s">
        <v>533</v>
      </c>
      <c r="I21" s="6" t="s">
        <v>534</v>
      </c>
      <c r="J21" s="6" t="s">
        <v>535</v>
      </c>
      <c r="K21" s="6" t="s">
        <v>536</v>
      </c>
      <c r="L21" s="6" t="s">
        <v>537</v>
      </c>
      <c r="M21" s="6" t="s">
        <v>538</v>
      </c>
      <c r="N21" s="6" t="s">
        <v>532</v>
      </c>
      <c r="O21" s="6" t="s">
        <v>539</v>
      </c>
      <c r="P21" s="6" t="s">
        <v>540</v>
      </c>
      <c r="Q21" s="6" t="s">
        <v>541</v>
      </c>
      <c r="R21" s="6" t="s">
        <v>542</v>
      </c>
      <c r="S21" s="6" t="s">
        <v>543</v>
      </c>
      <c r="T21" s="6" t="s">
        <v>544</v>
      </c>
      <c r="U21" s="6" t="s">
        <v>516</v>
      </c>
      <c r="V21" s="6" t="s">
        <v>545</v>
      </c>
      <c r="W21" s="6" t="s">
        <v>546</v>
      </c>
      <c r="X21" s="6" t="s">
        <v>547</v>
      </c>
      <c r="Y21" s="6" t="s">
        <v>532</v>
      </c>
      <c r="Z21" s="6" t="s">
        <v>548</v>
      </c>
      <c r="AA21" s="6" t="s">
        <v>532</v>
      </c>
      <c r="AB21" s="6" t="s">
        <v>549</v>
      </c>
      <c r="AC21" s="6" t="s">
        <v>550</v>
      </c>
      <c r="AD21" s="6" t="s">
        <v>551</v>
      </c>
      <c r="AE21" s="6" t="s">
        <v>552</v>
      </c>
      <c r="AF21" s="6" t="s">
        <v>553</v>
      </c>
      <c r="AG21" s="6" t="s">
        <v>554</v>
      </c>
      <c r="AH21" s="6" t="s">
        <v>555</v>
      </c>
    </row>
    <row r="22" spans="1:34" ht="345">
      <c r="A22" s="4" t="s">
        <v>2688</v>
      </c>
      <c r="B22" s="4" t="s">
        <v>2695</v>
      </c>
      <c r="C22" s="3" t="s">
        <v>2684</v>
      </c>
      <c r="D22" s="6" t="s">
        <v>556</v>
      </c>
      <c r="E22" s="6" t="s">
        <v>557</v>
      </c>
      <c r="F22" s="6" t="s">
        <v>558</v>
      </c>
      <c r="G22" s="6" t="s">
        <v>559</v>
      </c>
      <c r="H22" s="6" t="s">
        <v>560</v>
      </c>
      <c r="I22" s="6" t="s">
        <v>561</v>
      </c>
      <c r="J22" s="6" t="s">
        <v>562</v>
      </c>
      <c r="K22" s="6" t="s">
        <v>563</v>
      </c>
      <c r="L22" s="6" t="s">
        <v>564</v>
      </c>
      <c r="M22" s="6" t="s">
        <v>565</v>
      </c>
      <c r="N22" s="6" t="s">
        <v>566</v>
      </c>
      <c r="O22" s="6" t="s">
        <v>567</v>
      </c>
      <c r="P22" s="6" t="s">
        <v>568</v>
      </c>
      <c r="Q22" s="6" t="s">
        <v>569</v>
      </c>
      <c r="R22" s="6" t="s">
        <v>570</v>
      </c>
      <c r="S22" s="6" t="s">
        <v>571</v>
      </c>
      <c r="T22" s="6" t="s">
        <v>572</v>
      </c>
      <c r="U22" s="6" t="s">
        <v>229</v>
      </c>
      <c r="V22" s="6" t="s">
        <v>573</v>
      </c>
      <c r="W22" s="6" t="s">
        <v>574</v>
      </c>
      <c r="X22" s="6" t="s">
        <v>575</v>
      </c>
      <c r="Y22" s="6" t="s">
        <v>576</v>
      </c>
      <c r="Z22" s="6" t="s">
        <v>577</v>
      </c>
      <c r="AA22" s="6" t="s">
        <v>229</v>
      </c>
      <c r="AB22" s="6" t="s">
        <v>578</v>
      </c>
      <c r="AC22" s="6" t="s">
        <v>579</v>
      </c>
      <c r="AD22" s="6" t="s">
        <v>580</v>
      </c>
      <c r="AE22" s="6" t="s">
        <v>581</v>
      </c>
      <c r="AF22" s="6" t="s">
        <v>582</v>
      </c>
      <c r="AG22" s="6" t="s">
        <v>583</v>
      </c>
      <c r="AH22" s="6" t="s">
        <v>584</v>
      </c>
    </row>
    <row r="23" spans="1:34" ht="315">
      <c r="A23" s="4" t="s">
        <v>2688</v>
      </c>
      <c r="B23" s="4" t="s">
        <v>2695</v>
      </c>
      <c r="C23" s="3" t="s">
        <v>2691</v>
      </c>
      <c r="D23" s="6" t="s">
        <v>585</v>
      </c>
      <c r="E23" s="6" t="s">
        <v>586</v>
      </c>
      <c r="F23" s="6" t="s">
        <v>587</v>
      </c>
      <c r="G23" s="6" t="s">
        <v>588</v>
      </c>
      <c r="H23" s="6" t="s">
        <v>252</v>
      </c>
      <c r="I23" s="6" t="s">
        <v>589</v>
      </c>
      <c r="J23" s="6" t="s">
        <v>590</v>
      </c>
      <c r="K23" s="6" t="s">
        <v>591</v>
      </c>
      <c r="L23" s="6" t="s">
        <v>589</v>
      </c>
      <c r="M23" s="6" t="s">
        <v>592</v>
      </c>
      <c r="N23" s="6" t="s">
        <v>593</v>
      </c>
      <c r="O23" s="6" t="s">
        <v>594</v>
      </c>
      <c r="P23" s="6" t="s">
        <v>595</v>
      </c>
      <c r="Q23" s="6" t="s">
        <v>588</v>
      </c>
      <c r="R23" s="6" t="s">
        <v>596</v>
      </c>
      <c r="S23" s="6" t="s">
        <v>597</v>
      </c>
      <c r="T23" s="6" t="s">
        <v>598</v>
      </c>
      <c r="U23" s="6" t="s">
        <v>252</v>
      </c>
      <c r="V23" s="6" t="s">
        <v>599</v>
      </c>
      <c r="W23" s="6" t="s">
        <v>600</v>
      </c>
      <c r="X23" s="6" t="s">
        <v>601</v>
      </c>
      <c r="Y23" s="6" t="s">
        <v>602</v>
      </c>
      <c r="Z23" s="6" t="s">
        <v>603</v>
      </c>
      <c r="AA23" s="6" t="s">
        <v>589</v>
      </c>
      <c r="AB23" s="6" t="s">
        <v>256</v>
      </c>
      <c r="AC23" s="6" t="s">
        <v>604</v>
      </c>
      <c r="AD23" s="6" t="s">
        <v>605</v>
      </c>
      <c r="AE23" s="6" t="s">
        <v>606</v>
      </c>
      <c r="AF23" s="6" t="s">
        <v>607</v>
      </c>
      <c r="AG23" s="6" t="s">
        <v>608</v>
      </c>
      <c r="AH23" s="6" t="s">
        <v>609</v>
      </c>
    </row>
    <row r="24" spans="1:34" ht="409.5">
      <c r="A24" s="4" t="s">
        <v>2688</v>
      </c>
      <c r="B24" s="4" t="s">
        <v>2695</v>
      </c>
      <c r="C24" s="3" t="s">
        <v>2692</v>
      </c>
      <c r="D24" s="6" t="s">
        <v>610</v>
      </c>
      <c r="E24" s="6" t="s">
        <v>611</v>
      </c>
      <c r="F24" s="6" t="s">
        <v>612</v>
      </c>
      <c r="G24" s="6" t="s">
        <v>613</v>
      </c>
      <c r="H24" s="6" t="s">
        <v>614</v>
      </c>
      <c r="I24" s="6" t="s">
        <v>615</v>
      </c>
      <c r="J24" s="6" t="s">
        <v>616</v>
      </c>
      <c r="K24" s="6" t="s">
        <v>617</v>
      </c>
      <c r="L24" s="6" t="s">
        <v>618</v>
      </c>
      <c r="M24" s="6" t="s">
        <v>619</v>
      </c>
      <c r="N24" s="6" t="s">
        <v>620</v>
      </c>
      <c r="O24" s="6" t="s">
        <v>621</v>
      </c>
      <c r="P24" s="6" t="s">
        <v>622</v>
      </c>
      <c r="Q24" s="6" t="s">
        <v>623</v>
      </c>
      <c r="R24" s="6" t="s">
        <v>618</v>
      </c>
      <c r="S24" s="6" t="s">
        <v>624</v>
      </c>
      <c r="T24" s="6" t="s">
        <v>625</v>
      </c>
      <c r="U24" s="6" t="s">
        <v>618</v>
      </c>
      <c r="V24" s="6" t="s">
        <v>626</v>
      </c>
      <c r="W24" s="6" t="s">
        <v>627</v>
      </c>
      <c r="X24" s="6" t="s">
        <v>628</v>
      </c>
      <c r="Y24" s="6" t="s">
        <v>629</v>
      </c>
      <c r="Z24" s="6" t="s">
        <v>630</v>
      </c>
      <c r="AA24" s="6" t="s">
        <v>631</v>
      </c>
      <c r="AB24" s="6" t="s">
        <v>632</v>
      </c>
      <c r="AC24" s="6" t="s">
        <v>625</v>
      </c>
      <c r="AD24" s="6" t="s">
        <v>633</v>
      </c>
      <c r="AE24" s="6" t="s">
        <v>634</v>
      </c>
      <c r="AF24" s="6" t="s">
        <v>618</v>
      </c>
      <c r="AG24" s="6" t="s">
        <v>635</v>
      </c>
      <c r="AH24" s="6" t="s">
        <v>636</v>
      </c>
    </row>
    <row r="25" spans="1:34" ht="210">
      <c r="A25" s="4" t="s">
        <v>2688</v>
      </c>
      <c r="B25" s="4" t="s">
        <v>2695</v>
      </c>
      <c r="C25" s="3" t="s">
        <v>2693</v>
      </c>
      <c r="D25" s="6" t="s">
        <v>637</v>
      </c>
      <c r="E25" s="6" t="s">
        <v>638</v>
      </c>
      <c r="F25" s="6" t="s">
        <v>639</v>
      </c>
      <c r="G25" s="6" t="s">
        <v>640</v>
      </c>
      <c r="H25" s="6" t="s">
        <v>641</v>
      </c>
      <c r="I25" s="6" t="s">
        <v>642</v>
      </c>
      <c r="J25" s="6" t="s">
        <v>643</v>
      </c>
      <c r="K25" s="6" t="s">
        <v>644</v>
      </c>
      <c r="L25" s="6" t="s">
        <v>645</v>
      </c>
      <c r="M25" s="6" t="s">
        <v>646</v>
      </c>
      <c r="N25" s="6" t="s">
        <v>647</v>
      </c>
      <c r="O25" s="6" t="s">
        <v>648</v>
      </c>
      <c r="P25" s="6" t="s">
        <v>649</v>
      </c>
      <c r="Q25" s="6" t="s">
        <v>650</v>
      </c>
      <c r="R25" s="6" t="s">
        <v>651</v>
      </c>
      <c r="S25" s="6" t="s">
        <v>652</v>
      </c>
      <c r="T25" s="6" t="s">
        <v>653</v>
      </c>
      <c r="U25" s="6" t="s">
        <v>654</v>
      </c>
      <c r="V25" s="6" t="s">
        <v>655</v>
      </c>
      <c r="W25" s="6" t="s">
        <v>656</v>
      </c>
      <c r="X25" s="6" t="s">
        <v>657</v>
      </c>
      <c r="Y25" s="6" t="s">
        <v>658</v>
      </c>
      <c r="Z25" s="6" t="s">
        <v>659</v>
      </c>
      <c r="AA25" s="6" t="s">
        <v>660</v>
      </c>
      <c r="AB25" s="6" t="s">
        <v>661</v>
      </c>
      <c r="AC25" s="6" t="s">
        <v>662</v>
      </c>
      <c r="AD25" s="6" t="s">
        <v>663</v>
      </c>
      <c r="AE25" s="6" t="s">
        <v>664</v>
      </c>
      <c r="AF25" s="6" t="s">
        <v>665</v>
      </c>
      <c r="AG25" s="6" t="s">
        <v>666</v>
      </c>
      <c r="AH25" s="6" t="s">
        <v>667</v>
      </c>
    </row>
    <row r="26" spans="1:34" ht="409.5">
      <c r="A26" s="4" t="s">
        <v>2688</v>
      </c>
      <c r="B26" s="4" t="s">
        <v>2695</v>
      </c>
      <c r="C26" s="2" t="s">
        <v>2694</v>
      </c>
      <c r="D26" s="6" t="s">
        <v>668</v>
      </c>
      <c r="E26" s="6" t="s">
        <v>669</v>
      </c>
      <c r="F26" s="6" t="s">
        <v>670</v>
      </c>
      <c r="G26" s="6" t="s">
        <v>671</v>
      </c>
      <c r="H26" s="6" t="s">
        <v>672</v>
      </c>
      <c r="I26" s="6" t="s">
        <v>673</v>
      </c>
      <c r="J26" s="6" t="s">
        <v>674</v>
      </c>
      <c r="K26" s="6" t="s">
        <v>675</v>
      </c>
      <c r="L26" s="6" t="s">
        <v>676</v>
      </c>
      <c r="M26" s="6" t="s">
        <v>677</v>
      </c>
      <c r="N26" s="6" t="s">
        <v>678</v>
      </c>
      <c r="O26" s="6" t="s">
        <v>679</v>
      </c>
      <c r="P26" s="6" t="s">
        <v>680</v>
      </c>
      <c r="Q26" s="6" t="s">
        <v>681</v>
      </c>
      <c r="R26" s="6" t="s">
        <v>682</v>
      </c>
      <c r="S26" s="6" t="s">
        <v>683</v>
      </c>
      <c r="T26" s="6" t="s">
        <v>684</v>
      </c>
      <c r="U26" s="6" t="s">
        <v>685</v>
      </c>
      <c r="V26" s="6" t="s">
        <v>686</v>
      </c>
      <c r="W26" s="6" t="s">
        <v>687</v>
      </c>
      <c r="X26" s="6" t="s">
        <v>688</v>
      </c>
      <c r="Y26" s="6" t="s">
        <v>689</v>
      </c>
      <c r="Z26" s="6" t="s">
        <v>690</v>
      </c>
      <c r="AA26" s="6" t="s">
        <v>691</v>
      </c>
      <c r="AB26" s="6" t="s">
        <v>692</v>
      </c>
      <c r="AC26" s="6" t="s">
        <v>693</v>
      </c>
      <c r="AD26" s="6" t="s">
        <v>694</v>
      </c>
      <c r="AE26" s="6" t="s">
        <v>695</v>
      </c>
      <c r="AF26" s="6" t="s">
        <v>696</v>
      </c>
      <c r="AG26" s="6" t="s">
        <v>697</v>
      </c>
      <c r="AH26" s="6" t="s">
        <v>698</v>
      </c>
    </row>
    <row r="27" spans="1:34" ht="409.5">
      <c r="A27" s="4" t="s">
        <v>2688</v>
      </c>
      <c r="B27" s="4" t="s">
        <v>2695</v>
      </c>
      <c r="C27" s="2" t="s">
        <v>2697</v>
      </c>
      <c r="D27" s="6" t="s">
        <v>699</v>
      </c>
      <c r="E27" s="6" t="s">
        <v>700</v>
      </c>
      <c r="F27" s="6" t="s">
        <v>701</v>
      </c>
      <c r="G27" s="6" t="s">
        <v>702</v>
      </c>
      <c r="H27" s="6" t="s">
        <v>703</v>
      </c>
      <c r="I27" s="6" t="s">
        <v>704</v>
      </c>
      <c r="J27" s="6" t="s">
        <v>705</v>
      </c>
      <c r="K27" s="6" t="s">
        <v>706</v>
      </c>
      <c r="L27" s="6" t="s">
        <v>707</v>
      </c>
      <c r="M27" s="6" t="s">
        <v>708</v>
      </c>
      <c r="N27" s="6" t="s">
        <v>709</v>
      </c>
      <c r="O27" s="6" t="s">
        <v>710</v>
      </c>
      <c r="P27" s="6" t="s">
        <v>711</v>
      </c>
      <c r="Q27" s="6" t="s">
        <v>712</v>
      </c>
      <c r="R27" s="6" t="s">
        <v>713</v>
      </c>
      <c r="S27" s="6" t="s">
        <v>714</v>
      </c>
      <c r="T27" s="6" t="s">
        <v>715</v>
      </c>
      <c r="U27" s="6" t="s">
        <v>716</v>
      </c>
      <c r="V27" s="6" t="s">
        <v>717</v>
      </c>
      <c r="W27" s="6" t="s">
        <v>718</v>
      </c>
      <c r="X27" s="6" t="s">
        <v>719</v>
      </c>
      <c r="Y27" s="6" t="s">
        <v>720</v>
      </c>
      <c r="Z27" s="6" t="s">
        <v>721</v>
      </c>
      <c r="AA27" s="6" t="s">
        <v>722</v>
      </c>
      <c r="AB27" s="6" t="s">
        <v>723</v>
      </c>
      <c r="AC27" s="6" t="s">
        <v>724</v>
      </c>
      <c r="AD27" s="6" t="s">
        <v>725</v>
      </c>
      <c r="AE27" s="6" t="s">
        <v>726</v>
      </c>
      <c r="AF27" s="6" t="s">
        <v>727</v>
      </c>
      <c r="AG27" s="6" t="s">
        <v>728</v>
      </c>
      <c r="AH27" s="6" t="s">
        <v>729</v>
      </c>
    </row>
    <row r="28" spans="1:34" ht="285">
      <c r="A28" s="4" t="s">
        <v>2688</v>
      </c>
      <c r="B28" s="4" t="s">
        <v>2695</v>
      </c>
      <c r="C28" s="2" t="s">
        <v>2696</v>
      </c>
      <c r="D28" s="6" t="s">
        <v>730</v>
      </c>
      <c r="E28" s="6" t="s">
        <v>731</v>
      </c>
      <c r="F28" s="6" t="s">
        <v>732</v>
      </c>
      <c r="G28" s="6" t="s">
        <v>733</v>
      </c>
      <c r="H28" s="6" t="s">
        <v>734</v>
      </c>
      <c r="I28" s="6" t="s">
        <v>735</v>
      </c>
      <c r="J28" s="6" t="s">
        <v>736</v>
      </c>
      <c r="K28" s="6" t="s">
        <v>737</v>
      </c>
      <c r="L28" s="6" t="s">
        <v>738</v>
      </c>
      <c r="M28" s="6" t="s">
        <v>739</v>
      </c>
      <c r="N28" s="6" t="s">
        <v>740</v>
      </c>
      <c r="O28" s="6" t="s">
        <v>741</v>
      </c>
      <c r="P28" s="6" t="s">
        <v>742</v>
      </c>
      <c r="Q28" s="6" t="s">
        <v>743</v>
      </c>
      <c r="R28" s="6" t="s">
        <v>744</v>
      </c>
      <c r="S28" s="6" t="s">
        <v>745</v>
      </c>
      <c r="T28" s="6" t="s">
        <v>746</v>
      </c>
      <c r="U28" s="6" t="s">
        <v>747</v>
      </c>
      <c r="V28" s="6" t="s">
        <v>748</v>
      </c>
      <c r="W28" s="6" t="s">
        <v>749</v>
      </c>
      <c r="X28" s="6" t="s">
        <v>750</v>
      </c>
      <c r="Y28" s="6" t="s">
        <v>751</v>
      </c>
      <c r="Z28" s="6" t="s">
        <v>752</v>
      </c>
      <c r="AA28" s="6" t="s">
        <v>753</v>
      </c>
      <c r="AB28" s="6" t="s">
        <v>754</v>
      </c>
      <c r="AC28" s="6" t="s">
        <v>755</v>
      </c>
      <c r="AD28" s="6" t="s">
        <v>756</v>
      </c>
      <c r="AE28" s="6" t="s">
        <v>757</v>
      </c>
      <c r="AF28" s="6" t="s">
        <v>758</v>
      </c>
      <c r="AG28" s="6" t="s">
        <v>759</v>
      </c>
      <c r="AH28" s="6" t="s">
        <v>760</v>
      </c>
    </row>
    <row r="29" spans="1:34" ht="255">
      <c r="A29" s="4" t="s">
        <v>2688</v>
      </c>
      <c r="B29" s="4" t="s">
        <v>2695</v>
      </c>
      <c r="C29" s="3" t="s">
        <v>2665</v>
      </c>
      <c r="D29" s="6" t="s">
        <v>762</v>
      </c>
      <c r="E29" s="6" t="s">
        <v>763</v>
      </c>
      <c r="F29" s="6" t="s">
        <v>764</v>
      </c>
      <c r="G29" s="6" t="s">
        <v>765</v>
      </c>
      <c r="H29" s="6" t="s">
        <v>766</v>
      </c>
      <c r="I29" s="6" t="s">
        <v>767</v>
      </c>
      <c r="J29" s="6" t="s">
        <v>768</v>
      </c>
      <c r="K29" s="6" t="s">
        <v>769</v>
      </c>
      <c r="L29" s="6" t="s">
        <v>770</v>
      </c>
      <c r="M29" s="6" t="s">
        <v>771</v>
      </c>
      <c r="N29" s="6" t="s">
        <v>772</v>
      </c>
      <c r="O29" s="6" t="s">
        <v>762</v>
      </c>
      <c r="P29" s="6" t="s">
        <v>773</v>
      </c>
      <c r="Q29" s="6" t="s">
        <v>774</v>
      </c>
      <c r="R29" s="6" t="s">
        <v>775</v>
      </c>
      <c r="S29" s="6" t="s">
        <v>776</v>
      </c>
      <c r="T29" s="6" t="s">
        <v>777</v>
      </c>
      <c r="U29" s="6" t="s">
        <v>772</v>
      </c>
      <c r="V29" s="6" t="s">
        <v>772</v>
      </c>
      <c r="W29" s="6" t="s">
        <v>772</v>
      </c>
      <c r="X29" s="6" t="s">
        <v>778</v>
      </c>
      <c r="Y29" s="6" t="s">
        <v>779</v>
      </c>
      <c r="Z29" s="6" t="s">
        <v>780</v>
      </c>
      <c r="AA29" s="6" t="s">
        <v>781</v>
      </c>
      <c r="AB29" s="6" t="s">
        <v>782</v>
      </c>
      <c r="AC29" s="6" t="s">
        <v>783</v>
      </c>
      <c r="AD29" s="6" t="s">
        <v>784</v>
      </c>
      <c r="AE29" s="6" t="s">
        <v>772</v>
      </c>
      <c r="AF29" s="6" t="s">
        <v>785</v>
      </c>
      <c r="AG29" s="6" t="s">
        <v>786</v>
      </c>
      <c r="AH29" s="6" t="s">
        <v>787</v>
      </c>
    </row>
    <row r="30" spans="1:34" ht="285">
      <c r="A30" s="4" t="s">
        <v>2688</v>
      </c>
      <c r="B30" s="4" t="s">
        <v>837</v>
      </c>
      <c r="C30" s="3" t="s">
        <v>2666</v>
      </c>
      <c r="D30" s="6" t="s">
        <v>788</v>
      </c>
      <c r="E30" s="6" t="s">
        <v>789</v>
      </c>
      <c r="F30" s="6" t="s">
        <v>790</v>
      </c>
      <c r="G30" s="6" t="s">
        <v>791</v>
      </c>
      <c r="H30" s="6" t="s">
        <v>792</v>
      </c>
      <c r="I30" s="6" t="s">
        <v>793</v>
      </c>
      <c r="J30" s="6" t="s">
        <v>794</v>
      </c>
      <c r="K30" s="6" t="s">
        <v>795</v>
      </c>
      <c r="L30" s="6" t="s">
        <v>796</v>
      </c>
      <c r="M30" s="6" t="s">
        <v>797</v>
      </c>
      <c r="N30" s="6" t="s">
        <v>798</v>
      </c>
      <c r="O30" s="6" t="s">
        <v>799</v>
      </c>
      <c r="P30" s="6" t="s">
        <v>800</v>
      </c>
      <c r="Q30" s="6" t="s">
        <v>801</v>
      </c>
      <c r="R30" s="6" t="s">
        <v>789</v>
      </c>
      <c r="S30" s="6" t="s">
        <v>802</v>
      </c>
      <c r="T30" s="6" t="s">
        <v>803</v>
      </c>
      <c r="U30" s="6" t="s">
        <v>804</v>
      </c>
      <c r="V30" s="6" t="s">
        <v>805</v>
      </c>
      <c r="W30" s="6" t="s">
        <v>806</v>
      </c>
      <c r="X30" s="6" t="s">
        <v>807</v>
      </c>
      <c r="Y30" s="6" t="s">
        <v>808</v>
      </c>
      <c r="Z30" s="6" t="s">
        <v>809</v>
      </c>
      <c r="AA30" s="6" t="s">
        <v>796</v>
      </c>
      <c r="AB30" s="6" t="s">
        <v>810</v>
      </c>
      <c r="AC30" s="6" t="s">
        <v>811</v>
      </c>
      <c r="AD30" s="6" t="s">
        <v>812</v>
      </c>
      <c r="AE30" s="6" t="s">
        <v>813</v>
      </c>
      <c r="AF30" s="6" t="s">
        <v>814</v>
      </c>
      <c r="AG30" s="6" t="s">
        <v>815</v>
      </c>
      <c r="AH30" s="6" t="s">
        <v>804</v>
      </c>
    </row>
    <row r="31" spans="1:34" ht="210">
      <c r="A31" s="4" t="s">
        <v>2688</v>
      </c>
      <c r="B31" s="4" t="s">
        <v>837</v>
      </c>
      <c r="C31" s="3" t="s">
        <v>2667</v>
      </c>
      <c r="D31" s="6" t="s">
        <v>816</v>
      </c>
      <c r="E31" s="6" t="s">
        <v>817</v>
      </c>
      <c r="F31" s="6" t="s">
        <v>818</v>
      </c>
      <c r="G31" s="6" t="s">
        <v>819</v>
      </c>
      <c r="H31" s="6" t="s">
        <v>820</v>
      </c>
      <c r="I31" s="6" t="s">
        <v>821</v>
      </c>
      <c r="J31" s="6" t="s">
        <v>822</v>
      </c>
      <c r="K31" s="6" t="s">
        <v>823</v>
      </c>
      <c r="L31" s="6" t="s">
        <v>820</v>
      </c>
      <c r="M31" s="6" t="s">
        <v>820</v>
      </c>
      <c r="N31" s="6" t="s">
        <v>824</v>
      </c>
      <c r="O31" s="6" t="s">
        <v>825</v>
      </c>
      <c r="P31" s="6" t="s">
        <v>826</v>
      </c>
      <c r="Q31" s="6" t="s">
        <v>820</v>
      </c>
      <c r="R31" s="6" t="s">
        <v>827</v>
      </c>
      <c r="S31" s="6" t="s">
        <v>828</v>
      </c>
      <c r="T31" s="6" t="s">
        <v>825</v>
      </c>
      <c r="U31" s="6" t="s">
        <v>829</v>
      </c>
      <c r="V31" s="6" t="s">
        <v>830</v>
      </c>
      <c r="W31" s="6" t="s">
        <v>831</v>
      </c>
      <c r="X31" s="6" t="s">
        <v>832</v>
      </c>
      <c r="Y31" s="6" t="s">
        <v>833</v>
      </c>
      <c r="Z31" s="6" t="s">
        <v>827</v>
      </c>
      <c r="AA31" s="6" t="s">
        <v>825</v>
      </c>
      <c r="AB31" s="6" t="s">
        <v>834</v>
      </c>
      <c r="AC31" s="6" t="s">
        <v>825</v>
      </c>
      <c r="AD31" s="6" t="s">
        <v>835</v>
      </c>
      <c r="AE31" s="6" t="s">
        <v>820</v>
      </c>
      <c r="AF31" s="6" t="s">
        <v>820</v>
      </c>
      <c r="AG31" s="6" t="s">
        <v>836</v>
      </c>
      <c r="AH31" s="6" t="s">
        <v>820</v>
      </c>
    </row>
    <row r="32" spans="1:34" ht="165">
      <c r="A32" s="4" t="s">
        <v>2688</v>
      </c>
      <c r="B32" s="4" t="s">
        <v>837</v>
      </c>
      <c r="C32" s="3" t="s">
        <v>2708</v>
      </c>
      <c r="D32" s="6" t="s">
        <v>838</v>
      </c>
      <c r="E32" s="6" t="s">
        <v>839</v>
      </c>
      <c r="F32" s="6" t="s">
        <v>840</v>
      </c>
      <c r="G32" s="6" t="s">
        <v>841</v>
      </c>
      <c r="H32" s="6" t="s">
        <v>840</v>
      </c>
      <c r="I32" s="6" t="s">
        <v>842</v>
      </c>
      <c r="J32" s="6" t="s">
        <v>843</v>
      </c>
      <c r="K32" s="6" t="s">
        <v>844</v>
      </c>
      <c r="L32" s="6" t="s">
        <v>845</v>
      </c>
      <c r="M32" s="6" t="s">
        <v>846</v>
      </c>
      <c r="N32" s="6" t="s">
        <v>847</v>
      </c>
      <c r="O32" s="6" t="s">
        <v>848</v>
      </c>
      <c r="P32" s="6" t="s">
        <v>849</v>
      </c>
      <c r="Q32" s="6" t="s">
        <v>850</v>
      </c>
      <c r="R32" s="6" t="s">
        <v>851</v>
      </c>
      <c r="S32" s="6" t="s">
        <v>852</v>
      </c>
      <c r="T32" s="6" t="s">
        <v>853</v>
      </c>
      <c r="U32" s="6" t="s">
        <v>854</v>
      </c>
      <c r="V32" s="6" t="s">
        <v>855</v>
      </c>
      <c r="W32" s="6" t="s">
        <v>856</v>
      </c>
      <c r="X32" s="6" t="s">
        <v>857</v>
      </c>
      <c r="Y32" s="6" t="s">
        <v>858</v>
      </c>
      <c r="Z32" s="6" t="s">
        <v>849</v>
      </c>
      <c r="AA32" s="6" t="s">
        <v>849</v>
      </c>
      <c r="AB32" s="6" t="s">
        <v>859</v>
      </c>
      <c r="AC32" s="6" t="s">
        <v>860</v>
      </c>
      <c r="AD32" s="6" t="s">
        <v>860</v>
      </c>
      <c r="AE32" s="6" t="s">
        <v>861</v>
      </c>
      <c r="AF32" s="6" t="s">
        <v>840</v>
      </c>
      <c r="AG32" s="6" t="s">
        <v>840</v>
      </c>
      <c r="AH32" s="6" t="s">
        <v>862</v>
      </c>
    </row>
    <row r="33" spans="1:34" ht="360">
      <c r="A33" s="4" t="s">
        <v>2688</v>
      </c>
      <c r="B33" s="4" t="s">
        <v>837</v>
      </c>
      <c r="C33" s="3" t="s">
        <v>2709</v>
      </c>
      <c r="D33" s="6" t="s">
        <v>863</v>
      </c>
      <c r="E33" s="6" t="s">
        <v>864</v>
      </c>
      <c r="F33" s="6" t="s">
        <v>865</v>
      </c>
      <c r="G33" s="6" t="s">
        <v>866</v>
      </c>
      <c r="H33" s="6" t="s">
        <v>867</v>
      </c>
      <c r="I33" s="6" t="s">
        <v>868</v>
      </c>
      <c r="J33" s="6" t="s">
        <v>869</v>
      </c>
      <c r="K33" s="6" t="s">
        <v>870</v>
      </c>
      <c r="L33" s="6" t="s">
        <v>871</v>
      </c>
      <c r="M33" s="6" t="s">
        <v>872</v>
      </c>
      <c r="N33" s="6" t="s">
        <v>873</v>
      </c>
      <c r="O33" s="6" t="s">
        <v>874</v>
      </c>
      <c r="P33" s="6" t="s">
        <v>875</v>
      </c>
      <c r="Q33" s="6" t="s">
        <v>876</v>
      </c>
      <c r="R33" s="6" t="s">
        <v>877</v>
      </c>
      <c r="S33" s="6" t="s">
        <v>878</v>
      </c>
      <c r="T33" s="6" t="s">
        <v>879</v>
      </c>
      <c r="U33" s="6" t="s">
        <v>880</v>
      </c>
      <c r="V33" s="6" t="s">
        <v>881</v>
      </c>
      <c r="W33" s="6" t="s">
        <v>882</v>
      </c>
      <c r="X33" s="6" t="s">
        <v>883</v>
      </c>
      <c r="Y33" s="6" t="s">
        <v>884</v>
      </c>
      <c r="Z33" s="6" t="s">
        <v>885</v>
      </c>
      <c r="AA33" s="6" t="s">
        <v>886</v>
      </c>
      <c r="AB33" s="6" t="s">
        <v>887</v>
      </c>
      <c r="AC33" s="6" t="s">
        <v>888</v>
      </c>
      <c r="AD33" s="6" t="s">
        <v>879</v>
      </c>
      <c r="AE33" s="6" t="s">
        <v>889</v>
      </c>
      <c r="AF33" s="6" t="s">
        <v>890</v>
      </c>
      <c r="AG33" s="6" t="s">
        <v>876</v>
      </c>
      <c r="AH33" s="6" t="s">
        <v>891</v>
      </c>
    </row>
    <row r="34" spans="1:34" ht="270">
      <c r="A34" s="4" t="s">
        <v>2688</v>
      </c>
      <c r="B34" s="4" t="s">
        <v>837</v>
      </c>
      <c r="C34" s="3" t="s">
        <v>2710</v>
      </c>
      <c r="D34" s="6" t="s">
        <v>892</v>
      </c>
      <c r="E34" s="6" t="s">
        <v>893</v>
      </c>
      <c r="F34" s="6" t="s">
        <v>894</v>
      </c>
      <c r="G34" s="6" t="s">
        <v>895</v>
      </c>
      <c r="H34" s="6" t="s">
        <v>896</v>
      </c>
      <c r="I34" s="6" t="s">
        <v>897</v>
      </c>
      <c r="J34" s="6" t="s">
        <v>898</v>
      </c>
      <c r="K34" s="6" t="s">
        <v>899</v>
      </c>
      <c r="L34" s="6" t="s">
        <v>900</v>
      </c>
      <c r="M34" s="6" t="s">
        <v>901</v>
      </c>
      <c r="N34" s="6" t="s">
        <v>902</v>
      </c>
      <c r="O34" s="6" t="s">
        <v>903</v>
      </c>
      <c r="P34" s="6" t="s">
        <v>904</v>
      </c>
      <c r="Q34" s="6" t="s">
        <v>899</v>
      </c>
      <c r="R34" s="6" t="s">
        <v>905</v>
      </c>
      <c r="S34" s="6" t="s">
        <v>899</v>
      </c>
      <c r="T34" s="6" t="s">
        <v>906</v>
      </c>
      <c r="U34" s="6" t="s">
        <v>373</v>
      </c>
      <c r="V34" s="6" t="s">
        <v>907</v>
      </c>
      <c r="W34" s="6" t="s">
        <v>908</v>
      </c>
      <c r="X34" s="6" t="s">
        <v>909</v>
      </c>
      <c r="Y34" s="6" t="s">
        <v>910</v>
      </c>
      <c r="Z34" s="6" t="s">
        <v>911</v>
      </c>
      <c r="AA34" s="6" t="s">
        <v>912</v>
      </c>
      <c r="AB34" s="6" t="s">
        <v>913</v>
      </c>
      <c r="AC34" s="6" t="s">
        <v>914</v>
      </c>
      <c r="AD34" s="6" t="s">
        <v>915</v>
      </c>
      <c r="AE34" s="6" t="s">
        <v>916</v>
      </c>
      <c r="AF34" s="6" t="s">
        <v>899</v>
      </c>
      <c r="AG34" s="6" t="s">
        <v>899</v>
      </c>
      <c r="AH34" s="6" t="s">
        <v>917</v>
      </c>
    </row>
    <row r="35" spans="1:34" ht="345">
      <c r="A35" s="4" t="s">
        <v>2688</v>
      </c>
      <c r="B35" s="4" t="s">
        <v>837</v>
      </c>
      <c r="C35" s="3" t="s">
        <v>2698</v>
      </c>
      <c r="D35" s="6" t="s">
        <v>918</v>
      </c>
      <c r="E35" s="6" t="s">
        <v>919</v>
      </c>
      <c r="F35" s="6" t="s">
        <v>920</v>
      </c>
      <c r="G35" s="6" t="s">
        <v>921</v>
      </c>
      <c r="H35" s="6" t="s">
        <v>922</v>
      </c>
      <c r="I35" s="6" t="s">
        <v>920</v>
      </c>
      <c r="J35" s="6" t="s">
        <v>923</v>
      </c>
      <c r="K35" s="6" t="s">
        <v>924</v>
      </c>
      <c r="L35" s="6" t="s">
        <v>920</v>
      </c>
      <c r="M35" s="6" t="s">
        <v>920</v>
      </c>
      <c r="N35" s="6" t="s">
        <v>925</v>
      </c>
      <c r="O35" s="6" t="s">
        <v>920</v>
      </c>
      <c r="P35" s="6" t="s">
        <v>926</v>
      </c>
      <c r="Q35" s="6" t="s">
        <v>927</v>
      </c>
      <c r="R35" s="6" t="s">
        <v>920</v>
      </c>
      <c r="S35" s="6" t="s">
        <v>920</v>
      </c>
      <c r="T35" s="6" t="s">
        <v>928</v>
      </c>
      <c r="U35" s="6" t="s">
        <v>920</v>
      </c>
      <c r="V35" s="6" t="s">
        <v>920</v>
      </c>
      <c r="W35" s="6" t="s">
        <v>929</v>
      </c>
      <c r="X35" s="6" t="s">
        <v>930</v>
      </c>
      <c r="Y35" s="6" t="s">
        <v>931</v>
      </c>
      <c r="Z35" s="6" t="s">
        <v>932</v>
      </c>
      <c r="AA35" s="6" t="s">
        <v>933</v>
      </c>
      <c r="AB35" s="6" t="s">
        <v>934</v>
      </c>
      <c r="AC35" s="6" t="s">
        <v>935</v>
      </c>
      <c r="AD35" s="6" t="s">
        <v>936</v>
      </c>
      <c r="AE35" s="6" t="s">
        <v>937</v>
      </c>
      <c r="AF35" s="6" t="s">
        <v>938</v>
      </c>
      <c r="AG35" s="6" t="s">
        <v>920</v>
      </c>
      <c r="AH35" s="6" t="s">
        <v>933</v>
      </c>
    </row>
    <row r="36" spans="1:34" ht="405">
      <c r="A36" s="4" t="s">
        <v>2688</v>
      </c>
      <c r="B36" s="4" t="s">
        <v>837</v>
      </c>
      <c r="C36" s="3" t="s">
        <v>2699</v>
      </c>
      <c r="D36" s="6" t="s">
        <v>939</v>
      </c>
      <c r="E36" s="6" t="s">
        <v>917</v>
      </c>
      <c r="F36" s="6" t="s">
        <v>940</v>
      </c>
      <c r="G36" s="6" t="s">
        <v>941</v>
      </c>
      <c r="H36" s="6" t="s">
        <v>942</v>
      </c>
      <c r="I36" s="6" t="s">
        <v>942</v>
      </c>
      <c r="J36" s="6" t="s">
        <v>943</v>
      </c>
      <c r="K36" s="6" t="s">
        <v>940</v>
      </c>
      <c r="L36" s="6" t="s">
        <v>944</v>
      </c>
      <c r="M36" s="6" t="s">
        <v>917</v>
      </c>
      <c r="N36" s="6" t="s">
        <v>945</v>
      </c>
      <c r="O36" s="6" t="s">
        <v>917</v>
      </c>
      <c r="P36" s="6" t="s">
        <v>940</v>
      </c>
      <c r="Q36" s="6" t="s">
        <v>940</v>
      </c>
      <c r="R36" s="6" t="s">
        <v>917</v>
      </c>
      <c r="S36" s="6" t="s">
        <v>946</v>
      </c>
      <c r="T36" s="6" t="s">
        <v>942</v>
      </c>
      <c r="U36" s="6" t="s">
        <v>942</v>
      </c>
      <c r="V36" s="6" t="s">
        <v>942</v>
      </c>
      <c r="W36" s="6" t="s">
        <v>947</v>
      </c>
      <c r="X36" s="6" t="s">
        <v>948</v>
      </c>
      <c r="Y36" s="6" t="s">
        <v>949</v>
      </c>
      <c r="Z36" s="6" t="s">
        <v>940</v>
      </c>
      <c r="AA36" s="6" t="s">
        <v>917</v>
      </c>
      <c r="AB36" s="6" t="s">
        <v>950</v>
      </c>
      <c r="AC36" s="6" t="s">
        <v>942</v>
      </c>
      <c r="AD36" s="6" t="s">
        <v>942</v>
      </c>
      <c r="AE36" s="6" t="s">
        <v>951</v>
      </c>
      <c r="AF36" s="6" t="s">
        <v>942</v>
      </c>
      <c r="AG36" s="6" t="s">
        <v>940</v>
      </c>
      <c r="AH36" s="6" t="s">
        <v>917</v>
      </c>
    </row>
    <row r="37" spans="1:34" ht="409.5">
      <c r="A37" s="4" t="s">
        <v>2688</v>
      </c>
      <c r="B37" s="4" t="s">
        <v>837</v>
      </c>
      <c r="C37" s="3" t="s">
        <v>2700</v>
      </c>
      <c r="D37" s="6" t="s">
        <v>952</v>
      </c>
      <c r="E37" s="6" t="s">
        <v>917</v>
      </c>
      <c r="F37" s="6" t="s">
        <v>940</v>
      </c>
      <c r="G37" s="6" t="s">
        <v>953</v>
      </c>
      <c r="H37" s="6" t="s">
        <v>942</v>
      </c>
      <c r="I37" s="6" t="s">
        <v>942</v>
      </c>
      <c r="J37" s="6" t="s">
        <v>954</v>
      </c>
      <c r="K37" s="6" t="s">
        <v>955</v>
      </c>
      <c r="L37" s="6" t="s">
        <v>917</v>
      </c>
      <c r="M37" s="6" t="s">
        <v>917</v>
      </c>
      <c r="N37" s="6" t="s">
        <v>956</v>
      </c>
      <c r="O37" s="6" t="s">
        <v>917</v>
      </c>
      <c r="P37" s="6" t="s">
        <v>940</v>
      </c>
      <c r="Q37" s="6" t="s">
        <v>957</v>
      </c>
      <c r="R37" s="6" t="s">
        <v>917</v>
      </c>
      <c r="S37" s="6" t="s">
        <v>940</v>
      </c>
      <c r="T37" s="6" t="s">
        <v>958</v>
      </c>
      <c r="U37" s="6" t="s">
        <v>959</v>
      </c>
      <c r="V37" s="6" t="s">
        <v>942</v>
      </c>
      <c r="W37" s="6" t="s">
        <v>960</v>
      </c>
      <c r="X37" s="6" t="s">
        <v>961</v>
      </c>
      <c r="Y37" s="6" t="s">
        <v>962</v>
      </c>
      <c r="Z37" s="6" t="s">
        <v>940</v>
      </c>
      <c r="AA37" s="6" t="s">
        <v>917</v>
      </c>
      <c r="AB37" s="6" t="s">
        <v>950</v>
      </c>
      <c r="AC37" s="6" t="s">
        <v>942</v>
      </c>
      <c r="AD37" s="6" t="s">
        <v>942</v>
      </c>
      <c r="AE37" s="6" t="s">
        <v>963</v>
      </c>
      <c r="AF37" s="6" t="s">
        <v>964</v>
      </c>
      <c r="AG37" s="6" t="s">
        <v>940</v>
      </c>
      <c r="AH37" s="6" t="s">
        <v>917</v>
      </c>
    </row>
    <row r="38" spans="1:34" ht="73.5">
      <c r="A38" s="4" t="s">
        <v>2688</v>
      </c>
      <c r="B38" s="4" t="s">
        <v>837</v>
      </c>
      <c r="C38" s="3" t="s">
        <v>2701</v>
      </c>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row>
    <row r="39" spans="1:34" ht="75">
      <c r="A39" s="4" t="s">
        <v>2702</v>
      </c>
      <c r="B39" s="4" t="s">
        <v>2703</v>
      </c>
      <c r="C39" s="3" t="s">
        <v>2681</v>
      </c>
      <c r="D39" s="6" t="s">
        <v>965</v>
      </c>
      <c r="E39" s="6" t="s">
        <v>966</v>
      </c>
      <c r="F39" s="6" t="s">
        <v>940</v>
      </c>
      <c r="G39" s="6" t="s">
        <v>967</v>
      </c>
      <c r="H39" s="6" t="s">
        <v>942</v>
      </c>
      <c r="I39" s="6" t="s">
        <v>942</v>
      </c>
      <c r="J39" s="6" t="s">
        <v>940</v>
      </c>
      <c r="K39" s="6" t="s">
        <v>940</v>
      </c>
      <c r="L39" s="6" t="s">
        <v>968</v>
      </c>
      <c r="M39" s="6" t="s">
        <v>917</v>
      </c>
      <c r="N39" s="6" t="s">
        <v>969</v>
      </c>
      <c r="O39" s="6" t="s">
        <v>970</v>
      </c>
      <c r="P39" s="6" t="s">
        <v>940</v>
      </c>
      <c r="Q39" s="6" t="s">
        <v>940</v>
      </c>
      <c r="R39" s="6" t="s">
        <v>971</v>
      </c>
      <c r="S39" s="6" t="s">
        <v>940</v>
      </c>
      <c r="T39" s="6" t="s">
        <v>942</v>
      </c>
      <c r="U39" s="6" t="s">
        <v>972</v>
      </c>
      <c r="V39" s="6" t="s">
        <v>973</v>
      </c>
      <c r="W39" s="6" t="s">
        <v>974</v>
      </c>
      <c r="X39" s="6" t="s">
        <v>975</v>
      </c>
      <c r="Y39" s="6" t="s">
        <v>976</v>
      </c>
      <c r="Z39" s="6" t="s">
        <v>940</v>
      </c>
      <c r="AA39" s="6" t="s">
        <v>917</v>
      </c>
      <c r="AB39" s="6" t="s">
        <v>950</v>
      </c>
      <c r="AC39" s="6" t="s">
        <v>942</v>
      </c>
      <c r="AD39" s="6" t="s">
        <v>942</v>
      </c>
      <c r="AE39" s="6" t="s">
        <v>940</v>
      </c>
      <c r="AF39" s="6" t="s">
        <v>977</v>
      </c>
      <c r="AG39" s="6" t="s">
        <v>940</v>
      </c>
      <c r="AH39" s="6" t="s">
        <v>978</v>
      </c>
    </row>
    <row r="40" spans="1:34" ht="43.5">
      <c r="A40" s="4" t="s">
        <v>2702</v>
      </c>
      <c r="B40" s="4" t="s">
        <v>2709</v>
      </c>
      <c r="C40" s="3" t="s">
        <v>2683</v>
      </c>
      <c r="D40" s="6" t="s">
        <v>979</v>
      </c>
      <c r="E40" s="6" t="s">
        <v>980</v>
      </c>
      <c r="F40" s="6" t="s">
        <v>940</v>
      </c>
      <c r="G40" s="6" t="s">
        <v>981</v>
      </c>
      <c r="H40" s="6" t="s">
        <v>942</v>
      </c>
      <c r="I40" s="6" t="s">
        <v>942</v>
      </c>
      <c r="J40" s="6" t="s">
        <v>940</v>
      </c>
      <c r="K40" s="6" t="s">
        <v>940</v>
      </c>
      <c r="L40" s="6" t="s">
        <v>982</v>
      </c>
      <c r="M40" s="6" t="s">
        <v>373</v>
      </c>
      <c r="N40" s="6" t="s">
        <v>983</v>
      </c>
      <c r="O40" s="6" t="s">
        <v>917</v>
      </c>
      <c r="P40" s="6" t="s">
        <v>940</v>
      </c>
      <c r="Q40" s="6" t="s">
        <v>984</v>
      </c>
      <c r="R40" s="6" t="s">
        <v>985</v>
      </c>
      <c r="S40" s="6" t="s">
        <v>940</v>
      </c>
      <c r="T40" s="6" t="s">
        <v>942</v>
      </c>
      <c r="U40" s="6" t="s">
        <v>986</v>
      </c>
      <c r="V40" s="6" t="s">
        <v>942</v>
      </c>
      <c r="W40" s="6" t="s">
        <v>947</v>
      </c>
      <c r="X40" s="6" t="s">
        <v>975</v>
      </c>
      <c r="Y40" s="6" t="s">
        <v>987</v>
      </c>
      <c r="Z40" s="6" t="s">
        <v>940</v>
      </c>
      <c r="AA40" s="6" t="s">
        <v>917</v>
      </c>
      <c r="AB40" s="6" t="s">
        <v>950</v>
      </c>
      <c r="AC40" s="6" t="s">
        <v>942</v>
      </c>
      <c r="AD40" s="6" t="s">
        <v>942</v>
      </c>
      <c r="AE40" s="6" t="s">
        <v>940</v>
      </c>
      <c r="AF40" s="6" t="s">
        <v>988</v>
      </c>
      <c r="AG40" s="6" t="s">
        <v>940</v>
      </c>
      <c r="AH40" s="6" t="s">
        <v>989</v>
      </c>
    </row>
    <row r="41" spans="1:34" ht="409.5">
      <c r="A41" s="4" t="s">
        <v>2702</v>
      </c>
      <c r="B41" s="4" t="s">
        <v>2709</v>
      </c>
      <c r="C41" s="2" t="s">
        <v>2724</v>
      </c>
      <c r="D41" s="6" t="s">
        <v>990</v>
      </c>
      <c r="E41" s="6" t="s">
        <v>991</v>
      </c>
      <c r="F41" s="6" t="s">
        <v>992</v>
      </c>
      <c r="G41" s="6" t="s">
        <v>993</v>
      </c>
      <c r="H41" s="6" t="s">
        <v>994</v>
      </c>
      <c r="I41" s="6" t="s">
        <v>995</v>
      </c>
      <c r="J41" s="6" t="s">
        <v>996</v>
      </c>
      <c r="K41" s="6" t="s">
        <v>997</v>
      </c>
      <c r="L41" s="6" t="s">
        <v>39</v>
      </c>
      <c r="M41" s="6" t="s">
        <v>998</v>
      </c>
      <c r="N41" s="6" t="s">
        <v>999</v>
      </c>
      <c r="O41" s="6" t="s">
        <v>1000</v>
      </c>
      <c r="P41" s="6" t="s">
        <v>1001</v>
      </c>
      <c r="Q41" s="6" t="s">
        <v>1002</v>
      </c>
      <c r="R41" s="6" t="s">
        <v>1003</v>
      </c>
      <c r="S41" s="6" t="s">
        <v>46</v>
      </c>
      <c r="T41" s="6" t="s">
        <v>1004</v>
      </c>
      <c r="U41" s="6" t="s">
        <v>1005</v>
      </c>
      <c r="V41" s="6" t="s">
        <v>1006</v>
      </c>
      <c r="W41" s="6" t="s">
        <v>50</v>
      </c>
      <c r="X41" s="6" t="s">
        <v>1007</v>
      </c>
      <c r="Y41" s="6" t="s">
        <v>1008</v>
      </c>
      <c r="Z41" s="6" t="s">
        <v>1009</v>
      </c>
      <c r="AA41" s="6" t="s">
        <v>1010</v>
      </c>
      <c r="AB41" s="6" t="s">
        <v>55</v>
      </c>
      <c r="AC41" s="6" t="s">
        <v>1011</v>
      </c>
      <c r="AD41" s="6" t="s">
        <v>1012</v>
      </c>
      <c r="AE41" s="6" t="s">
        <v>1013</v>
      </c>
      <c r="AF41" s="6" t="s">
        <v>1014</v>
      </c>
      <c r="AG41" s="6" t="s">
        <v>1015</v>
      </c>
      <c r="AH41" s="6" t="s">
        <v>61</v>
      </c>
    </row>
    <row r="42" spans="1:34" ht="300">
      <c r="A42" s="4" t="s">
        <v>2702</v>
      </c>
      <c r="B42" s="4" t="s">
        <v>2709</v>
      </c>
      <c r="C42" s="2" t="s">
        <v>2709</v>
      </c>
      <c r="D42" s="6" t="s">
        <v>1016</v>
      </c>
      <c r="E42" s="6" t="s">
        <v>1017</v>
      </c>
      <c r="F42" s="6" t="s">
        <v>1018</v>
      </c>
      <c r="G42" s="6" t="s">
        <v>1019</v>
      </c>
      <c r="H42" s="6" t="s">
        <v>1020</v>
      </c>
      <c r="I42" s="6" t="s">
        <v>1021</v>
      </c>
      <c r="J42" s="6" t="s">
        <v>1022</v>
      </c>
      <c r="K42" s="6" t="s">
        <v>1023</v>
      </c>
      <c r="L42" s="6" t="s">
        <v>1024</v>
      </c>
      <c r="M42" s="6" t="s">
        <v>1025</v>
      </c>
      <c r="N42" s="6" t="s">
        <v>1026</v>
      </c>
      <c r="O42" s="6" t="s">
        <v>1027</v>
      </c>
      <c r="P42" s="6" t="s">
        <v>1028</v>
      </c>
      <c r="Q42" s="6" t="s">
        <v>1029</v>
      </c>
      <c r="R42" s="6" t="s">
        <v>1030</v>
      </c>
      <c r="S42" s="6" t="s">
        <v>1031</v>
      </c>
      <c r="T42" s="6" t="s">
        <v>1032</v>
      </c>
      <c r="U42" s="6" t="s">
        <v>1033</v>
      </c>
      <c r="V42" s="6" t="s">
        <v>1034</v>
      </c>
      <c r="W42" s="6" t="s">
        <v>1035</v>
      </c>
      <c r="X42" s="6" t="s">
        <v>1036</v>
      </c>
      <c r="Y42" s="6" t="s">
        <v>1037</v>
      </c>
      <c r="Z42" s="6" t="s">
        <v>1038</v>
      </c>
      <c r="AA42" s="6" t="s">
        <v>1039</v>
      </c>
      <c r="AB42" s="6" t="s">
        <v>1040</v>
      </c>
      <c r="AC42" s="6" t="s">
        <v>1041</v>
      </c>
      <c r="AD42" s="6" t="s">
        <v>1042</v>
      </c>
      <c r="AE42" s="6" t="s">
        <v>1043</v>
      </c>
      <c r="AF42" s="6" t="s">
        <v>1044</v>
      </c>
      <c r="AG42" s="6" t="s">
        <v>1045</v>
      </c>
      <c r="AH42" s="6" t="s">
        <v>1046</v>
      </c>
    </row>
    <row r="43" spans="1:34" ht="409.5">
      <c r="A43" s="4" t="s">
        <v>2702</v>
      </c>
      <c r="B43" s="4" t="s">
        <v>2709</v>
      </c>
      <c r="C43" s="2" t="s">
        <v>2725</v>
      </c>
      <c r="D43" s="6" t="s">
        <v>1047</v>
      </c>
      <c r="E43" s="6" t="s">
        <v>95</v>
      </c>
      <c r="F43" s="6" t="s">
        <v>1048</v>
      </c>
      <c r="G43" s="6" t="s">
        <v>1049</v>
      </c>
      <c r="H43" s="6" t="s">
        <v>1050</v>
      </c>
      <c r="I43" s="6" t="s">
        <v>1051</v>
      </c>
      <c r="J43" s="6" t="s">
        <v>1052</v>
      </c>
      <c r="K43" s="6" t="s">
        <v>1053</v>
      </c>
      <c r="L43" s="6" t="s">
        <v>1054</v>
      </c>
      <c r="M43" s="6" t="s">
        <v>1055</v>
      </c>
      <c r="N43" s="6" t="s">
        <v>1056</v>
      </c>
      <c r="O43" s="6" t="s">
        <v>1057</v>
      </c>
      <c r="P43" s="6" t="s">
        <v>1058</v>
      </c>
      <c r="Q43" s="6" t="s">
        <v>1059</v>
      </c>
      <c r="R43" s="6" t="s">
        <v>1060</v>
      </c>
      <c r="S43" s="6" t="s">
        <v>1061</v>
      </c>
      <c r="T43" s="6" t="s">
        <v>1062</v>
      </c>
      <c r="U43" s="6" t="s">
        <v>1063</v>
      </c>
      <c r="V43" s="6" t="s">
        <v>1050</v>
      </c>
      <c r="W43" s="6" t="s">
        <v>1064</v>
      </c>
      <c r="X43" s="6" t="s">
        <v>1065</v>
      </c>
      <c r="Y43" s="6" t="s">
        <v>1066</v>
      </c>
      <c r="Z43" s="6" t="s">
        <v>1067</v>
      </c>
      <c r="AA43" s="6" t="s">
        <v>1068</v>
      </c>
      <c r="AB43" s="6" t="s">
        <v>1069</v>
      </c>
      <c r="AC43" s="6" t="s">
        <v>1070</v>
      </c>
      <c r="AD43" s="6" t="s">
        <v>1071</v>
      </c>
      <c r="AE43" s="6" t="s">
        <v>1072</v>
      </c>
      <c r="AF43" s="6" t="s">
        <v>1073</v>
      </c>
      <c r="AG43" s="6" t="s">
        <v>1074</v>
      </c>
      <c r="AH43" s="6" t="s">
        <v>1075</v>
      </c>
    </row>
    <row r="44" spans="1:34" ht="240">
      <c r="A44" s="4" t="s">
        <v>2702</v>
      </c>
      <c r="B44" s="4" t="s">
        <v>149</v>
      </c>
      <c r="C44" s="2" t="s">
        <v>2729</v>
      </c>
      <c r="D44" s="6" t="s">
        <v>125</v>
      </c>
      <c r="E44" s="6" t="s">
        <v>95</v>
      </c>
      <c r="F44" s="6" t="s">
        <v>1076</v>
      </c>
      <c r="G44" s="6" t="s">
        <v>1077</v>
      </c>
      <c r="H44" s="6" t="s">
        <v>125</v>
      </c>
      <c r="I44" s="6" t="s">
        <v>1078</v>
      </c>
      <c r="J44" s="6" t="s">
        <v>125</v>
      </c>
      <c r="K44" s="6" t="s">
        <v>125</v>
      </c>
      <c r="L44" s="6" t="s">
        <v>1079</v>
      </c>
      <c r="M44" s="6" t="s">
        <v>132</v>
      </c>
      <c r="N44" s="6" t="s">
        <v>133</v>
      </c>
      <c r="O44" s="6" t="s">
        <v>1080</v>
      </c>
      <c r="P44" s="6" t="s">
        <v>125</v>
      </c>
      <c r="Q44" s="6" t="s">
        <v>1081</v>
      </c>
      <c r="R44" s="6" t="s">
        <v>1082</v>
      </c>
      <c r="S44" s="6" t="s">
        <v>1083</v>
      </c>
      <c r="T44" s="6" t="s">
        <v>1084</v>
      </c>
      <c r="U44" s="6" t="s">
        <v>125</v>
      </c>
      <c r="V44" s="6" t="s">
        <v>125</v>
      </c>
      <c r="W44" s="6" t="s">
        <v>139</v>
      </c>
      <c r="X44" s="6" t="s">
        <v>125</v>
      </c>
      <c r="Y44" s="6" t="s">
        <v>125</v>
      </c>
      <c r="Z44" s="6" t="s">
        <v>1085</v>
      </c>
      <c r="AA44" s="6" t="s">
        <v>125</v>
      </c>
      <c r="AB44" s="6" t="s">
        <v>1086</v>
      </c>
      <c r="AC44" s="6" t="s">
        <v>1087</v>
      </c>
      <c r="AD44" s="6" t="s">
        <v>144</v>
      </c>
      <c r="AE44" s="6" t="s">
        <v>1088</v>
      </c>
      <c r="AF44" s="6" t="s">
        <v>1089</v>
      </c>
      <c r="AG44" s="6" t="s">
        <v>125</v>
      </c>
      <c r="AH44" s="6" t="s">
        <v>1090</v>
      </c>
    </row>
    <row r="45" spans="1:34" ht="300">
      <c r="A45" s="4" t="s">
        <v>2702</v>
      </c>
      <c r="B45" s="4" t="s">
        <v>149</v>
      </c>
      <c r="C45" s="2" t="s">
        <v>2730</v>
      </c>
      <c r="D45" s="6" t="s">
        <v>1091</v>
      </c>
      <c r="E45" s="6" t="s">
        <v>1092</v>
      </c>
      <c r="F45" s="6" t="s">
        <v>1093</v>
      </c>
      <c r="G45" s="6" t="s">
        <v>1094</v>
      </c>
      <c r="H45" s="6" t="s">
        <v>1095</v>
      </c>
      <c r="I45" s="6" t="s">
        <v>1096</v>
      </c>
      <c r="J45" s="6" t="s">
        <v>1097</v>
      </c>
      <c r="K45" s="6" t="s">
        <v>1098</v>
      </c>
      <c r="L45" s="6" t="s">
        <v>1099</v>
      </c>
      <c r="M45" s="6" t="s">
        <v>1100</v>
      </c>
      <c r="N45" s="6" t="s">
        <v>1101</v>
      </c>
      <c r="O45" s="6" t="s">
        <v>1102</v>
      </c>
      <c r="P45" s="6" t="s">
        <v>1103</v>
      </c>
      <c r="Q45" s="6" t="s">
        <v>1104</v>
      </c>
      <c r="R45" s="6" t="s">
        <v>1105</v>
      </c>
      <c r="S45" s="6" t="s">
        <v>1106</v>
      </c>
      <c r="T45" s="6" t="s">
        <v>1107</v>
      </c>
      <c r="U45" s="6" t="s">
        <v>1108</v>
      </c>
      <c r="V45" s="6" t="s">
        <v>1109</v>
      </c>
      <c r="W45" s="6" t="s">
        <v>1110</v>
      </c>
      <c r="X45" s="6" t="s">
        <v>1111</v>
      </c>
      <c r="Y45" s="6" t="s">
        <v>1112</v>
      </c>
      <c r="Z45" s="6" t="s">
        <v>1113</v>
      </c>
      <c r="AA45" s="6" t="s">
        <v>1114</v>
      </c>
      <c r="AB45" s="6" t="s">
        <v>1115</v>
      </c>
      <c r="AC45" s="6" t="s">
        <v>1116</v>
      </c>
      <c r="AD45" s="6" t="s">
        <v>1117</v>
      </c>
      <c r="AE45" s="6" t="s">
        <v>1118</v>
      </c>
      <c r="AF45" s="6" t="s">
        <v>1119</v>
      </c>
      <c r="AG45" s="6" t="s">
        <v>1120</v>
      </c>
      <c r="AH45" s="6" t="s">
        <v>1121</v>
      </c>
    </row>
    <row r="46" spans="1:34" ht="409.5">
      <c r="A46" s="4" t="s">
        <v>2702</v>
      </c>
      <c r="B46" s="4" t="s">
        <v>149</v>
      </c>
      <c r="C46" s="3" t="s">
        <v>2668</v>
      </c>
      <c r="D46" s="6" t="s">
        <v>1122</v>
      </c>
      <c r="E46" s="6" t="s">
        <v>1123</v>
      </c>
      <c r="F46" s="6" t="s">
        <v>1124</v>
      </c>
      <c r="G46" s="6" t="s">
        <v>1125</v>
      </c>
      <c r="H46" s="6" t="s">
        <v>1126</v>
      </c>
      <c r="I46" s="6" t="s">
        <v>1127</v>
      </c>
      <c r="J46" s="6" t="s">
        <v>1128</v>
      </c>
      <c r="K46" s="6" t="s">
        <v>1129</v>
      </c>
      <c r="L46" s="6" t="s">
        <v>1130</v>
      </c>
      <c r="M46" s="6" t="s">
        <v>1131</v>
      </c>
      <c r="N46" s="6" t="s">
        <v>1132</v>
      </c>
      <c r="O46" s="6" t="s">
        <v>1133</v>
      </c>
      <c r="P46" s="6" t="s">
        <v>1134</v>
      </c>
      <c r="Q46" s="6" t="s">
        <v>1135</v>
      </c>
      <c r="R46" s="6" t="s">
        <v>1136</v>
      </c>
      <c r="S46" s="6" t="s">
        <v>1137</v>
      </c>
      <c r="T46" s="6" t="s">
        <v>1138</v>
      </c>
      <c r="U46" s="6" t="s">
        <v>1139</v>
      </c>
      <c r="V46" s="6" t="s">
        <v>1140</v>
      </c>
      <c r="W46" s="6" t="s">
        <v>1141</v>
      </c>
      <c r="X46" s="6" t="s">
        <v>1142</v>
      </c>
      <c r="Y46" s="6" t="s">
        <v>1143</v>
      </c>
      <c r="Z46" s="6" t="s">
        <v>1144</v>
      </c>
      <c r="AA46" s="6" t="s">
        <v>1145</v>
      </c>
      <c r="AB46" s="6" t="s">
        <v>1146</v>
      </c>
      <c r="AC46" s="6" t="s">
        <v>1147</v>
      </c>
      <c r="AD46" s="6" t="s">
        <v>1148</v>
      </c>
      <c r="AE46" s="6" t="s">
        <v>1149</v>
      </c>
      <c r="AF46" s="6" t="s">
        <v>1150</v>
      </c>
      <c r="AG46" s="6" t="s">
        <v>1151</v>
      </c>
      <c r="AH46" s="6" t="s">
        <v>1152</v>
      </c>
    </row>
    <row r="47" spans="1:34" ht="409.5">
      <c r="A47" s="4" t="s">
        <v>2702</v>
      </c>
      <c r="B47" s="4" t="s">
        <v>149</v>
      </c>
      <c r="C47" s="3" t="s">
        <v>2669</v>
      </c>
      <c r="D47" s="6" t="s">
        <v>1153</v>
      </c>
      <c r="E47" s="6" t="s">
        <v>1154</v>
      </c>
      <c r="F47" s="6" t="s">
        <v>1155</v>
      </c>
      <c r="G47" s="6" t="s">
        <v>1156</v>
      </c>
      <c r="H47" s="6" t="s">
        <v>1157</v>
      </c>
      <c r="I47" s="6" t="s">
        <v>1158</v>
      </c>
      <c r="J47" s="6" t="s">
        <v>1159</v>
      </c>
      <c r="K47" s="6" t="s">
        <v>1160</v>
      </c>
      <c r="L47" s="6" t="s">
        <v>1161</v>
      </c>
      <c r="M47" s="6" t="s">
        <v>1162</v>
      </c>
      <c r="N47" s="6" t="s">
        <v>1163</v>
      </c>
      <c r="O47" s="6" t="s">
        <v>1164</v>
      </c>
      <c r="P47" s="6" t="s">
        <v>1165</v>
      </c>
      <c r="Q47" s="6" t="s">
        <v>1166</v>
      </c>
      <c r="R47" s="6" t="s">
        <v>1167</v>
      </c>
      <c r="S47" s="6" t="s">
        <v>1168</v>
      </c>
      <c r="T47" s="6" t="s">
        <v>1169</v>
      </c>
      <c r="U47" s="6" t="s">
        <v>1170</v>
      </c>
      <c r="V47" s="6" t="s">
        <v>1171</v>
      </c>
      <c r="W47" s="6" t="s">
        <v>1172</v>
      </c>
      <c r="X47" s="6" t="s">
        <v>1173</v>
      </c>
      <c r="Y47" s="6" t="s">
        <v>1174</v>
      </c>
      <c r="Z47" s="6" t="s">
        <v>1175</v>
      </c>
      <c r="AA47" s="6" t="s">
        <v>1176</v>
      </c>
      <c r="AB47" s="6" t="s">
        <v>1177</v>
      </c>
      <c r="AC47" s="6" t="s">
        <v>1178</v>
      </c>
      <c r="AD47" s="6" t="s">
        <v>1179</v>
      </c>
      <c r="AE47" s="6" t="s">
        <v>1180</v>
      </c>
      <c r="AF47" s="6" t="s">
        <v>1181</v>
      </c>
      <c r="AG47" s="6" t="s">
        <v>1182</v>
      </c>
      <c r="AH47" s="6" t="s">
        <v>1183</v>
      </c>
    </row>
    <row r="48" spans="1:34" ht="270">
      <c r="A48" s="4" t="s">
        <v>2702</v>
      </c>
      <c r="B48" s="4" t="s">
        <v>149</v>
      </c>
      <c r="C48" s="3" t="s">
        <v>2670</v>
      </c>
      <c r="D48" s="6" t="s">
        <v>1184</v>
      </c>
      <c r="E48" s="6" t="s">
        <v>373</v>
      </c>
      <c r="F48" s="6" t="s">
        <v>1185</v>
      </c>
      <c r="G48" s="6" t="s">
        <v>1186</v>
      </c>
      <c r="H48" s="6" t="s">
        <v>1187</v>
      </c>
      <c r="I48" s="6" t="s">
        <v>1188</v>
      </c>
      <c r="J48" s="6" t="s">
        <v>1189</v>
      </c>
      <c r="K48" s="6" t="s">
        <v>1190</v>
      </c>
      <c r="L48" s="6" t="s">
        <v>1191</v>
      </c>
      <c r="M48" s="6" t="s">
        <v>1192</v>
      </c>
      <c r="N48" s="6" t="s">
        <v>1193</v>
      </c>
      <c r="O48" s="6" t="s">
        <v>1194</v>
      </c>
      <c r="P48" s="6" t="s">
        <v>1192</v>
      </c>
      <c r="Q48" s="6" t="s">
        <v>1195</v>
      </c>
      <c r="R48" s="6" t="s">
        <v>1196</v>
      </c>
      <c r="S48" s="6" t="s">
        <v>1197</v>
      </c>
      <c r="T48" s="6" t="s">
        <v>1198</v>
      </c>
      <c r="U48" s="6" t="s">
        <v>1199</v>
      </c>
      <c r="V48" s="6" t="s">
        <v>1200</v>
      </c>
      <c r="W48" s="6" t="s">
        <v>1201</v>
      </c>
      <c r="X48" s="6" t="s">
        <v>1202</v>
      </c>
      <c r="Y48" s="6" t="s">
        <v>1203</v>
      </c>
      <c r="Z48" s="6" t="s">
        <v>1204</v>
      </c>
      <c r="AA48" s="6" t="s">
        <v>1205</v>
      </c>
      <c r="AB48" s="6" t="s">
        <v>1206</v>
      </c>
      <c r="AC48" s="6" t="s">
        <v>1207</v>
      </c>
      <c r="AD48" s="6" t="s">
        <v>1208</v>
      </c>
      <c r="AE48" s="6" t="s">
        <v>1209</v>
      </c>
      <c r="AF48" s="6" t="s">
        <v>1210</v>
      </c>
      <c r="AG48" s="6" t="s">
        <v>1211</v>
      </c>
      <c r="AH48" s="6" t="s">
        <v>1192</v>
      </c>
    </row>
    <row r="49" spans="1:34" ht="409.5">
      <c r="A49" s="4" t="s">
        <v>2702</v>
      </c>
      <c r="B49" s="4" t="s">
        <v>149</v>
      </c>
      <c r="C49" s="3" t="s">
        <v>2671</v>
      </c>
      <c r="D49" s="6" t="s">
        <v>1192</v>
      </c>
      <c r="E49" s="6" t="s">
        <v>373</v>
      </c>
      <c r="F49" s="6" t="s">
        <v>1212</v>
      </c>
      <c r="G49" s="6" t="s">
        <v>1213</v>
      </c>
      <c r="H49" s="6" t="s">
        <v>1192</v>
      </c>
      <c r="I49" s="6" t="s">
        <v>1214</v>
      </c>
      <c r="J49" s="6" t="s">
        <v>373</v>
      </c>
      <c r="K49" s="6" t="s">
        <v>1215</v>
      </c>
      <c r="L49" s="6" t="s">
        <v>1216</v>
      </c>
      <c r="M49" s="6" t="s">
        <v>1217</v>
      </c>
      <c r="N49" s="6" t="s">
        <v>1218</v>
      </c>
      <c r="O49" s="6" t="s">
        <v>1219</v>
      </c>
      <c r="P49" s="6" t="s">
        <v>1192</v>
      </c>
      <c r="Q49" s="6" t="s">
        <v>1220</v>
      </c>
      <c r="R49" s="6" t="s">
        <v>1221</v>
      </c>
      <c r="S49" s="6" t="s">
        <v>1222</v>
      </c>
      <c r="T49" s="6" t="s">
        <v>1223</v>
      </c>
      <c r="U49" s="6" t="s">
        <v>1224</v>
      </c>
      <c r="V49" s="6" t="s">
        <v>1225</v>
      </c>
      <c r="W49" s="6" t="s">
        <v>1226</v>
      </c>
      <c r="X49" s="6" t="s">
        <v>373</v>
      </c>
      <c r="Y49" s="6" t="s">
        <v>1227</v>
      </c>
      <c r="Z49" s="6" t="s">
        <v>1204</v>
      </c>
      <c r="AA49" s="6" t="s">
        <v>1228</v>
      </c>
      <c r="AB49" s="6" t="s">
        <v>1229</v>
      </c>
      <c r="AC49" s="6" t="s">
        <v>1218</v>
      </c>
      <c r="AD49" s="6" t="s">
        <v>1230</v>
      </c>
      <c r="AE49" s="6" t="s">
        <v>1231</v>
      </c>
      <c r="AF49" s="6" t="s">
        <v>1232</v>
      </c>
      <c r="AG49" s="6" t="s">
        <v>1233</v>
      </c>
      <c r="AH49" s="6" t="s">
        <v>1192</v>
      </c>
    </row>
    <row r="50" spans="1:34" ht="285">
      <c r="A50" s="4" t="s">
        <v>2702</v>
      </c>
      <c r="B50" s="4" t="s">
        <v>296</v>
      </c>
      <c r="C50" s="3" t="s">
        <v>2672</v>
      </c>
      <c r="D50" s="6" t="s">
        <v>1234</v>
      </c>
      <c r="E50" s="6" t="s">
        <v>1235</v>
      </c>
      <c r="F50" s="6" t="s">
        <v>1236</v>
      </c>
      <c r="G50" s="6" t="s">
        <v>1237</v>
      </c>
      <c r="H50" s="6" t="s">
        <v>1238</v>
      </c>
      <c r="I50" s="6" t="s">
        <v>1239</v>
      </c>
      <c r="J50" s="6" t="s">
        <v>1240</v>
      </c>
      <c r="K50" s="6" t="s">
        <v>1241</v>
      </c>
      <c r="L50" s="6" t="s">
        <v>1242</v>
      </c>
      <c r="M50" s="6" t="s">
        <v>1243</v>
      </c>
      <c r="N50" s="6" t="s">
        <v>1244</v>
      </c>
      <c r="O50" s="6" t="s">
        <v>1245</v>
      </c>
      <c r="P50" s="6" t="s">
        <v>1246</v>
      </c>
      <c r="Q50" s="6" t="s">
        <v>1247</v>
      </c>
      <c r="R50" s="6" t="s">
        <v>1248</v>
      </c>
      <c r="S50" s="6" t="s">
        <v>1249</v>
      </c>
      <c r="T50" s="6" t="s">
        <v>1250</v>
      </c>
      <c r="U50" s="6" t="s">
        <v>1251</v>
      </c>
      <c r="V50" s="6" t="s">
        <v>1252</v>
      </c>
      <c r="W50" s="6" t="s">
        <v>1253</v>
      </c>
      <c r="X50" s="6" t="s">
        <v>1254</v>
      </c>
      <c r="Y50" s="6" t="s">
        <v>1255</v>
      </c>
      <c r="Z50" s="6" t="s">
        <v>1256</v>
      </c>
      <c r="AA50" s="6" t="s">
        <v>1257</v>
      </c>
      <c r="AB50" s="6" t="s">
        <v>1258</v>
      </c>
      <c r="AC50" s="6" t="s">
        <v>1259</v>
      </c>
      <c r="AD50" s="6" t="s">
        <v>1260</v>
      </c>
      <c r="AE50" s="6" t="s">
        <v>1261</v>
      </c>
      <c r="AF50" s="6" t="s">
        <v>1262</v>
      </c>
      <c r="AG50" s="6" t="s">
        <v>1263</v>
      </c>
      <c r="AH50" s="6" t="s">
        <v>1264</v>
      </c>
    </row>
    <row r="51" spans="1:34" ht="180">
      <c r="A51" s="4" t="s">
        <v>2702</v>
      </c>
      <c r="B51" s="4" t="s">
        <v>296</v>
      </c>
      <c r="C51" s="3" t="s">
        <v>2673</v>
      </c>
      <c r="D51" s="6" t="s">
        <v>1265</v>
      </c>
      <c r="E51" s="6" t="s">
        <v>1266</v>
      </c>
      <c r="F51" s="6" t="s">
        <v>373</v>
      </c>
      <c r="G51" s="6" t="s">
        <v>373</v>
      </c>
      <c r="H51" s="6" t="s">
        <v>1267</v>
      </c>
      <c r="I51" s="6" t="s">
        <v>373</v>
      </c>
      <c r="J51" s="6" t="s">
        <v>373</v>
      </c>
      <c r="K51" s="6" t="s">
        <v>373</v>
      </c>
      <c r="L51" s="6" t="s">
        <v>1265</v>
      </c>
      <c r="M51" s="6" t="s">
        <v>1268</v>
      </c>
      <c r="N51" s="6" t="s">
        <v>1269</v>
      </c>
      <c r="O51" s="6" t="s">
        <v>1270</v>
      </c>
      <c r="P51" s="6" t="s">
        <v>1271</v>
      </c>
      <c r="Q51" s="6" t="s">
        <v>1272</v>
      </c>
      <c r="R51" s="6" t="s">
        <v>373</v>
      </c>
      <c r="S51" s="6" t="s">
        <v>1273</v>
      </c>
      <c r="T51" s="6" t="s">
        <v>1274</v>
      </c>
      <c r="U51" s="6" t="s">
        <v>373</v>
      </c>
      <c r="V51" s="6" t="s">
        <v>373</v>
      </c>
      <c r="W51" s="6" t="s">
        <v>373</v>
      </c>
      <c r="X51" s="6" t="s">
        <v>1275</v>
      </c>
      <c r="Y51" s="6" t="s">
        <v>1276</v>
      </c>
      <c r="Z51" s="6" t="s">
        <v>1277</v>
      </c>
      <c r="AA51" s="6" t="s">
        <v>373</v>
      </c>
      <c r="AB51" s="6" t="s">
        <v>1278</v>
      </c>
      <c r="AC51" s="6" t="s">
        <v>373</v>
      </c>
      <c r="AD51" s="6" t="s">
        <v>1279</v>
      </c>
      <c r="AE51" s="6" t="s">
        <v>1280</v>
      </c>
      <c r="AF51" s="6" t="s">
        <v>373</v>
      </c>
      <c r="AG51" s="6" t="s">
        <v>1281</v>
      </c>
      <c r="AH51" s="6" t="s">
        <v>373</v>
      </c>
    </row>
    <row r="52" spans="1:34" ht="409.5">
      <c r="A52" s="4" t="s">
        <v>2702</v>
      </c>
      <c r="B52" s="4" t="s">
        <v>296</v>
      </c>
      <c r="C52" s="3" t="s">
        <v>2674</v>
      </c>
      <c r="D52" s="6" t="s">
        <v>1282</v>
      </c>
      <c r="E52" s="6" t="s">
        <v>1283</v>
      </c>
      <c r="F52" s="6" t="s">
        <v>1284</v>
      </c>
      <c r="G52" s="6" t="s">
        <v>1285</v>
      </c>
      <c r="H52" s="6" t="s">
        <v>1286</v>
      </c>
      <c r="I52" s="6" t="s">
        <v>1287</v>
      </c>
      <c r="J52" s="6" t="s">
        <v>1288</v>
      </c>
      <c r="K52" s="6" t="s">
        <v>1289</v>
      </c>
      <c r="L52" s="6" t="s">
        <v>1290</v>
      </c>
      <c r="M52" s="6" t="s">
        <v>1291</v>
      </c>
      <c r="N52" s="6" t="s">
        <v>1292</v>
      </c>
      <c r="O52" s="6" t="s">
        <v>1293</v>
      </c>
      <c r="P52" s="6" t="s">
        <v>1294</v>
      </c>
      <c r="Q52" s="6" t="s">
        <v>1295</v>
      </c>
      <c r="R52" s="6" t="s">
        <v>1296</v>
      </c>
      <c r="S52" s="6" t="s">
        <v>1297</v>
      </c>
      <c r="T52" s="6" t="s">
        <v>1298</v>
      </c>
      <c r="U52" s="6" t="s">
        <v>1299</v>
      </c>
      <c r="V52" s="6" t="s">
        <v>1300</v>
      </c>
      <c r="W52" s="6" t="s">
        <v>1301</v>
      </c>
      <c r="X52" s="6" t="s">
        <v>1302</v>
      </c>
      <c r="Y52" s="6" t="s">
        <v>1303</v>
      </c>
      <c r="Z52" s="6" t="s">
        <v>1304</v>
      </c>
      <c r="AA52" s="6" t="s">
        <v>1305</v>
      </c>
      <c r="AB52" s="6" t="s">
        <v>1306</v>
      </c>
      <c r="AC52" s="6" t="s">
        <v>1307</v>
      </c>
      <c r="AD52" s="6" t="s">
        <v>1308</v>
      </c>
      <c r="AE52" s="6" t="s">
        <v>1309</v>
      </c>
      <c r="AF52" s="6" t="s">
        <v>1310</v>
      </c>
      <c r="AG52" s="6" t="s">
        <v>1311</v>
      </c>
      <c r="AH52" s="6" t="s">
        <v>1312</v>
      </c>
    </row>
    <row r="53" spans="1:34" ht="150">
      <c r="A53" s="4" t="s">
        <v>2702</v>
      </c>
      <c r="B53" s="4" t="s">
        <v>296</v>
      </c>
      <c r="C53" s="3" t="s">
        <v>2675</v>
      </c>
      <c r="D53" s="6" t="s">
        <v>1313</v>
      </c>
      <c r="E53" s="6" t="s">
        <v>1314</v>
      </c>
      <c r="F53" s="6" t="s">
        <v>1315</v>
      </c>
      <c r="G53" s="6" t="s">
        <v>1316</v>
      </c>
      <c r="H53" s="6" t="s">
        <v>1317</v>
      </c>
      <c r="I53" s="6" t="s">
        <v>1318</v>
      </c>
      <c r="J53" s="6" t="s">
        <v>1319</v>
      </c>
      <c r="K53" s="6" t="s">
        <v>1320</v>
      </c>
      <c r="L53" s="6" t="s">
        <v>1321</v>
      </c>
      <c r="M53" s="6" t="s">
        <v>1322</v>
      </c>
      <c r="N53" s="6" t="s">
        <v>1323</v>
      </c>
      <c r="O53" s="6" t="s">
        <v>1324</v>
      </c>
      <c r="P53" s="6" t="s">
        <v>373</v>
      </c>
      <c r="Q53" s="6" t="s">
        <v>1325</v>
      </c>
      <c r="R53" s="6" t="s">
        <v>373</v>
      </c>
      <c r="S53" s="6" t="s">
        <v>1326</v>
      </c>
      <c r="T53" s="6" t="s">
        <v>1327</v>
      </c>
      <c r="U53" s="6" t="s">
        <v>1328</v>
      </c>
      <c r="V53" s="6" t="s">
        <v>1329</v>
      </c>
      <c r="W53" s="6" t="s">
        <v>1330</v>
      </c>
      <c r="X53" s="6" t="s">
        <v>1331</v>
      </c>
      <c r="Y53" s="6" t="s">
        <v>1332</v>
      </c>
      <c r="Z53" s="6" t="s">
        <v>1333</v>
      </c>
      <c r="AA53" s="6" t="s">
        <v>1334</v>
      </c>
      <c r="AB53" s="6" t="s">
        <v>1335</v>
      </c>
      <c r="AC53" s="6" t="s">
        <v>1336</v>
      </c>
      <c r="AD53" s="6" t="s">
        <v>1337</v>
      </c>
      <c r="AE53" s="6" t="s">
        <v>1338</v>
      </c>
      <c r="AF53" s="6" t="s">
        <v>1339</v>
      </c>
      <c r="AG53" s="6" t="s">
        <v>1340</v>
      </c>
      <c r="AH53" s="6" t="s">
        <v>1341</v>
      </c>
    </row>
    <row r="54" spans="1:34" ht="409.5">
      <c r="A54" s="4" t="s">
        <v>2702</v>
      </c>
      <c r="B54" s="4" t="s">
        <v>296</v>
      </c>
      <c r="C54" s="3" t="s">
        <v>2672</v>
      </c>
      <c r="D54" s="6" t="s">
        <v>1342</v>
      </c>
      <c r="E54" s="6" t="s">
        <v>1343</v>
      </c>
      <c r="F54" s="6" t="s">
        <v>1344</v>
      </c>
      <c r="G54" s="6" t="s">
        <v>1345</v>
      </c>
      <c r="H54" s="6" t="s">
        <v>1346</v>
      </c>
      <c r="I54" s="6" t="s">
        <v>1347</v>
      </c>
      <c r="J54" s="6" t="s">
        <v>1348</v>
      </c>
      <c r="K54" s="6" t="s">
        <v>1349</v>
      </c>
      <c r="L54" s="6" t="s">
        <v>1350</v>
      </c>
      <c r="M54" s="6" t="s">
        <v>1351</v>
      </c>
      <c r="N54" s="6" t="s">
        <v>1352</v>
      </c>
      <c r="O54" s="6" t="s">
        <v>1353</v>
      </c>
      <c r="P54" s="6" t="s">
        <v>1354</v>
      </c>
      <c r="Q54" s="6" t="s">
        <v>1355</v>
      </c>
      <c r="R54" s="6" t="s">
        <v>1356</v>
      </c>
      <c r="S54" s="6" t="s">
        <v>1357</v>
      </c>
      <c r="T54" s="6" t="s">
        <v>1358</v>
      </c>
      <c r="U54" s="6" t="s">
        <v>1359</v>
      </c>
      <c r="V54" s="6" t="s">
        <v>1360</v>
      </c>
      <c r="W54" s="6" t="s">
        <v>1361</v>
      </c>
      <c r="X54" s="6" t="s">
        <v>1362</v>
      </c>
      <c r="Y54" s="6" t="s">
        <v>1363</v>
      </c>
      <c r="Z54" s="6" t="s">
        <v>1364</v>
      </c>
      <c r="AA54" s="6" t="s">
        <v>1365</v>
      </c>
      <c r="AB54" s="6" t="s">
        <v>1366</v>
      </c>
      <c r="AC54" s="6" t="s">
        <v>1367</v>
      </c>
      <c r="AD54" s="6" t="s">
        <v>1368</v>
      </c>
      <c r="AE54" s="6" t="s">
        <v>1369</v>
      </c>
      <c r="AF54" s="6" t="s">
        <v>1370</v>
      </c>
      <c r="AG54" s="6" t="s">
        <v>1371</v>
      </c>
      <c r="AH54" s="6" t="s">
        <v>1372</v>
      </c>
    </row>
    <row r="55" spans="1:34" ht="225">
      <c r="A55" s="4" t="s">
        <v>2702</v>
      </c>
      <c r="B55" s="4" t="s">
        <v>296</v>
      </c>
      <c r="C55" s="3" t="s">
        <v>2676</v>
      </c>
      <c r="D55" s="6" t="s">
        <v>373</v>
      </c>
      <c r="E55" s="6" t="s">
        <v>1373</v>
      </c>
      <c r="F55" s="6" t="s">
        <v>373</v>
      </c>
      <c r="G55" s="6" t="s">
        <v>373</v>
      </c>
      <c r="H55" s="6" t="s">
        <v>1374</v>
      </c>
      <c r="I55" s="6" t="s">
        <v>373</v>
      </c>
      <c r="J55" s="6" t="s">
        <v>373</v>
      </c>
      <c r="K55" s="6" t="s">
        <v>373</v>
      </c>
      <c r="L55" s="6" t="s">
        <v>1265</v>
      </c>
      <c r="M55" s="6" t="s">
        <v>1268</v>
      </c>
      <c r="N55" s="6" t="s">
        <v>1375</v>
      </c>
      <c r="O55" s="6" t="s">
        <v>1376</v>
      </c>
      <c r="P55" s="6" t="s">
        <v>1377</v>
      </c>
      <c r="Q55" s="6" t="s">
        <v>1378</v>
      </c>
      <c r="R55" s="6" t="s">
        <v>373</v>
      </c>
      <c r="S55" s="6" t="s">
        <v>1379</v>
      </c>
      <c r="T55" s="6" t="s">
        <v>1380</v>
      </c>
      <c r="U55" s="6" t="s">
        <v>373</v>
      </c>
      <c r="V55" s="6" t="s">
        <v>373</v>
      </c>
      <c r="W55" s="6" t="s">
        <v>373</v>
      </c>
      <c r="X55" s="6" t="s">
        <v>1381</v>
      </c>
      <c r="Y55" s="6" t="s">
        <v>1382</v>
      </c>
      <c r="Z55" s="6" t="s">
        <v>1265</v>
      </c>
      <c r="AA55" s="6" t="s">
        <v>1383</v>
      </c>
      <c r="AB55" s="6" t="s">
        <v>1384</v>
      </c>
      <c r="AC55" s="6" t="s">
        <v>373</v>
      </c>
      <c r="AD55" s="6" t="s">
        <v>1385</v>
      </c>
      <c r="AE55" s="6" t="s">
        <v>1386</v>
      </c>
      <c r="AF55" s="6" t="s">
        <v>373</v>
      </c>
      <c r="AG55" s="6" t="s">
        <v>1387</v>
      </c>
      <c r="AH55" s="6" t="s">
        <v>1388</v>
      </c>
    </row>
    <row r="56" spans="1:34" ht="409.5">
      <c r="A56" s="4" t="s">
        <v>2702</v>
      </c>
      <c r="B56" s="4" t="s">
        <v>296</v>
      </c>
      <c r="C56" s="3" t="s">
        <v>2677</v>
      </c>
      <c r="D56" s="6" t="s">
        <v>373</v>
      </c>
      <c r="E56" s="6" t="s">
        <v>1389</v>
      </c>
      <c r="F56" s="6" t="s">
        <v>545</v>
      </c>
      <c r="G56" s="6" t="s">
        <v>1390</v>
      </c>
      <c r="H56" s="6" t="s">
        <v>1391</v>
      </c>
      <c r="I56" s="6" t="s">
        <v>1392</v>
      </c>
      <c r="J56" s="6" t="s">
        <v>1393</v>
      </c>
      <c r="K56" s="6" t="s">
        <v>1394</v>
      </c>
      <c r="L56" s="6" t="s">
        <v>545</v>
      </c>
      <c r="M56" s="6" t="s">
        <v>545</v>
      </c>
      <c r="N56" s="6" t="s">
        <v>1395</v>
      </c>
      <c r="O56" s="6" t="s">
        <v>1396</v>
      </c>
      <c r="P56" s="6" t="s">
        <v>1397</v>
      </c>
      <c r="Q56" s="6" t="s">
        <v>1398</v>
      </c>
      <c r="R56" s="6" t="s">
        <v>1399</v>
      </c>
      <c r="S56" s="6" t="s">
        <v>1400</v>
      </c>
      <c r="T56" s="6" t="s">
        <v>1401</v>
      </c>
      <c r="U56" s="6" t="s">
        <v>545</v>
      </c>
      <c r="V56" s="6" t="s">
        <v>545</v>
      </c>
      <c r="W56" s="6" t="s">
        <v>1402</v>
      </c>
      <c r="X56" s="6" t="s">
        <v>1403</v>
      </c>
      <c r="Y56" s="6" t="s">
        <v>1404</v>
      </c>
      <c r="Z56" s="6" t="s">
        <v>1405</v>
      </c>
      <c r="AA56" s="6" t="s">
        <v>1406</v>
      </c>
      <c r="AB56" s="6" t="s">
        <v>1407</v>
      </c>
      <c r="AC56" s="6" t="s">
        <v>1408</v>
      </c>
      <c r="AD56" s="6" t="s">
        <v>1409</v>
      </c>
      <c r="AE56" s="6" t="s">
        <v>1410</v>
      </c>
      <c r="AF56" s="6" t="s">
        <v>545</v>
      </c>
      <c r="AG56" s="6" t="s">
        <v>1411</v>
      </c>
      <c r="AH56" s="6" t="s">
        <v>1412</v>
      </c>
    </row>
    <row r="57" spans="1:34" ht="345">
      <c r="A57" s="4" t="s">
        <v>2702</v>
      </c>
      <c r="B57" s="4" t="s">
        <v>296</v>
      </c>
      <c r="C57" s="3" t="s">
        <v>2678</v>
      </c>
      <c r="D57" s="6" t="s">
        <v>1413</v>
      </c>
      <c r="E57" s="6" t="s">
        <v>1414</v>
      </c>
      <c r="F57" s="6" t="s">
        <v>1415</v>
      </c>
      <c r="G57" s="6" t="s">
        <v>1416</v>
      </c>
      <c r="H57" s="6" t="s">
        <v>1417</v>
      </c>
      <c r="I57" s="6" t="s">
        <v>1418</v>
      </c>
      <c r="J57" s="6" t="s">
        <v>1419</v>
      </c>
      <c r="K57" s="6" t="s">
        <v>1413</v>
      </c>
      <c r="L57" s="6" t="s">
        <v>1420</v>
      </c>
      <c r="M57" s="6" t="s">
        <v>1421</v>
      </c>
      <c r="N57" s="6" t="s">
        <v>1422</v>
      </c>
      <c r="O57" s="6" t="s">
        <v>1423</v>
      </c>
      <c r="P57" s="6" t="s">
        <v>1424</v>
      </c>
      <c r="Q57" s="6" t="s">
        <v>1425</v>
      </c>
      <c r="R57" s="6" t="s">
        <v>1426</v>
      </c>
      <c r="S57" s="6" t="s">
        <v>1427</v>
      </c>
      <c r="T57" s="6" t="s">
        <v>1428</v>
      </c>
      <c r="U57" s="6" t="s">
        <v>1429</v>
      </c>
      <c r="V57" s="6" t="s">
        <v>1430</v>
      </c>
      <c r="W57" s="6" t="s">
        <v>1431</v>
      </c>
      <c r="X57" s="6" t="s">
        <v>1432</v>
      </c>
      <c r="Y57" s="6" t="s">
        <v>1433</v>
      </c>
      <c r="Z57" s="6" t="s">
        <v>1434</v>
      </c>
      <c r="AA57" s="6" t="s">
        <v>1435</v>
      </c>
      <c r="AB57" s="6" t="s">
        <v>1436</v>
      </c>
      <c r="AC57" s="6" t="s">
        <v>1437</v>
      </c>
      <c r="AD57" s="6" t="s">
        <v>1438</v>
      </c>
      <c r="AE57" s="6" t="s">
        <v>1439</v>
      </c>
      <c r="AF57" s="6" t="s">
        <v>1440</v>
      </c>
      <c r="AG57" s="6" t="s">
        <v>1425</v>
      </c>
      <c r="AH57" s="6" t="s">
        <v>1441</v>
      </c>
    </row>
    <row r="58" spans="1:34" ht="409.5">
      <c r="A58" s="4" t="s">
        <v>2702</v>
      </c>
      <c r="B58" s="4" t="s">
        <v>296</v>
      </c>
      <c r="C58" s="3" t="s">
        <v>2679</v>
      </c>
      <c r="D58" s="6" t="s">
        <v>1442</v>
      </c>
      <c r="E58" s="6" t="s">
        <v>1443</v>
      </c>
      <c r="F58" s="6" t="s">
        <v>1444</v>
      </c>
      <c r="G58" s="6" t="s">
        <v>1445</v>
      </c>
      <c r="H58" s="6" t="s">
        <v>1446</v>
      </c>
      <c r="I58" s="6" t="s">
        <v>502</v>
      </c>
      <c r="J58" s="6" t="s">
        <v>1447</v>
      </c>
      <c r="K58" s="6" t="s">
        <v>1448</v>
      </c>
      <c r="L58" s="6" t="s">
        <v>1449</v>
      </c>
      <c r="M58" s="6" t="s">
        <v>1450</v>
      </c>
      <c r="N58" s="6" t="s">
        <v>1451</v>
      </c>
      <c r="O58" s="6" t="s">
        <v>1452</v>
      </c>
      <c r="P58" s="6" t="s">
        <v>1453</v>
      </c>
      <c r="Q58" s="6" t="s">
        <v>1454</v>
      </c>
      <c r="R58" s="6" t="s">
        <v>502</v>
      </c>
      <c r="S58" s="6" t="s">
        <v>1455</v>
      </c>
      <c r="T58" s="6" t="s">
        <v>1456</v>
      </c>
      <c r="U58" s="6" t="s">
        <v>1457</v>
      </c>
      <c r="V58" s="6" t="s">
        <v>1458</v>
      </c>
      <c r="W58" s="6" t="s">
        <v>1459</v>
      </c>
      <c r="X58" s="6" t="s">
        <v>1460</v>
      </c>
      <c r="Y58" s="6" t="s">
        <v>1461</v>
      </c>
      <c r="Z58" s="6" t="s">
        <v>1462</v>
      </c>
      <c r="AA58" s="6" t="s">
        <v>1463</v>
      </c>
      <c r="AB58" s="6" t="s">
        <v>1464</v>
      </c>
      <c r="AC58" s="6" t="s">
        <v>502</v>
      </c>
      <c r="AD58" s="6" t="s">
        <v>1465</v>
      </c>
      <c r="AE58" s="6" t="s">
        <v>1466</v>
      </c>
      <c r="AF58" s="6" t="s">
        <v>1467</v>
      </c>
      <c r="AG58" s="6" t="s">
        <v>1468</v>
      </c>
      <c r="AH58" s="6" t="s">
        <v>1469</v>
      </c>
    </row>
    <row r="59" spans="1:34" ht="150">
      <c r="A59" s="4" t="s">
        <v>2702</v>
      </c>
      <c r="B59" s="4" t="s">
        <v>296</v>
      </c>
      <c r="C59" s="3" t="s">
        <v>2680</v>
      </c>
      <c r="D59" s="6" t="s">
        <v>1470</v>
      </c>
      <c r="E59" s="6" t="s">
        <v>1471</v>
      </c>
      <c r="F59" s="6" t="s">
        <v>1472</v>
      </c>
      <c r="G59" s="6" t="s">
        <v>1473</v>
      </c>
      <c r="H59" s="6" t="s">
        <v>532</v>
      </c>
      <c r="I59" s="6" t="s">
        <v>532</v>
      </c>
      <c r="J59" s="6" t="s">
        <v>1474</v>
      </c>
      <c r="K59" s="6" t="s">
        <v>1475</v>
      </c>
      <c r="L59" s="6" t="s">
        <v>1449</v>
      </c>
      <c r="M59" s="6" t="s">
        <v>1476</v>
      </c>
      <c r="N59" s="6" t="s">
        <v>532</v>
      </c>
      <c r="O59" s="6" t="s">
        <v>1477</v>
      </c>
      <c r="P59" s="6" t="s">
        <v>545</v>
      </c>
      <c r="Q59" s="6" t="s">
        <v>1478</v>
      </c>
      <c r="R59" s="6" t="s">
        <v>532</v>
      </c>
      <c r="S59" s="6" t="s">
        <v>1479</v>
      </c>
      <c r="T59" s="6" t="s">
        <v>1480</v>
      </c>
      <c r="U59" s="6" t="s">
        <v>1481</v>
      </c>
      <c r="V59" s="6" t="s">
        <v>1482</v>
      </c>
      <c r="W59" s="6" t="s">
        <v>1483</v>
      </c>
      <c r="X59" s="6" t="s">
        <v>1484</v>
      </c>
      <c r="Y59" s="6" t="s">
        <v>532</v>
      </c>
      <c r="Z59" s="6" t="s">
        <v>1485</v>
      </c>
      <c r="AA59" s="6" t="s">
        <v>532</v>
      </c>
      <c r="AB59" s="6" t="s">
        <v>1486</v>
      </c>
      <c r="AC59" s="6" t="s">
        <v>532</v>
      </c>
      <c r="AD59" s="6" t="s">
        <v>1487</v>
      </c>
      <c r="AE59" s="6" t="s">
        <v>1488</v>
      </c>
      <c r="AF59" s="6" t="s">
        <v>1489</v>
      </c>
      <c r="AG59" s="6" t="s">
        <v>1485</v>
      </c>
      <c r="AH59" s="6" t="s">
        <v>1490</v>
      </c>
    </row>
    <row r="60" spans="1:34" ht="409.5">
      <c r="A60" s="4" t="s">
        <v>2702</v>
      </c>
      <c r="B60" s="4" t="s">
        <v>296</v>
      </c>
      <c r="C60" s="2" t="s">
        <v>2694</v>
      </c>
      <c r="D60" s="6" t="s">
        <v>1491</v>
      </c>
      <c r="E60" s="6" t="s">
        <v>1492</v>
      </c>
      <c r="F60" s="6" t="s">
        <v>1493</v>
      </c>
      <c r="G60" s="6" t="s">
        <v>1494</v>
      </c>
      <c r="H60" s="6" t="s">
        <v>1495</v>
      </c>
      <c r="I60" s="6" t="s">
        <v>1496</v>
      </c>
      <c r="J60" s="6" t="s">
        <v>1497</v>
      </c>
      <c r="K60" s="6" t="s">
        <v>1498</v>
      </c>
      <c r="L60" s="6" t="s">
        <v>1499</v>
      </c>
      <c r="M60" s="6" t="s">
        <v>1500</v>
      </c>
      <c r="N60" s="6" t="s">
        <v>1501</v>
      </c>
      <c r="O60" s="6" t="s">
        <v>1502</v>
      </c>
      <c r="P60" s="6" t="s">
        <v>1503</v>
      </c>
      <c r="Q60" s="6" t="s">
        <v>1504</v>
      </c>
      <c r="R60" s="6" t="s">
        <v>1505</v>
      </c>
      <c r="S60" s="6" t="s">
        <v>1506</v>
      </c>
      <c r="T60" s="6" t="s">
        <v>1507</v>
      </c>
      <c r="U60" s="6" t="s">
        <v>1508</v>
      </c>
      <c r="V60" s="6" t="s">
        <v>1509</v>
      </c>
      <c r="W60" s="6" t="s">
        <v>1510</v>
      </c>
      <c r="X60" s="6" t="s">
        <v>1511</v>
      </c>
      <c r="Y60" s="6" t="s">
        <v>1512</v>
      </c>
      <c r="Z60" s="6" t="s">
        <v>1513</v>
      </c>
      <c r="AA60" s="6" t="s">
        <v>1514</v>
      </c>
      <c r="AB60" s="6" t="s">
        <v>1515</v>
      </c>
      <c r="AC60" s="6" t="s">
        <v>1516</v>
      </c>
      <c r="AD60" s="6" t="s">
        <v>1517</v>
      </c>
      <c r="AE60" s="6" t="s">
        <v>695</v>
      </c>
      <c r="AF60" s="6" t="s">
        <v>1518</v>
      </c>
      <c r="AG60" s="6" t="s">
        <v>1519</v>
      </c>
      <c r="AH60" s="6" t="s">
        <v>1520</v>
      </c>
    </row>
    <row r="61" spans="1:34" ht="409.5">
      <c r="A61" s="4" t="s">
        <v>2702</v>
      </c>
      <c r="B61" s="4" t="s">
        <v>761</v>
      </c>
      <c r="C61" s="2" t="s">
        <v>2723</v>
      </c>
      <c r="D61" s="6" t="s">
        <v>1521</v>
      </c>
      <c r="E61" s="6" t="s">
        <v>1522</v>
      </c>
      <c r="F61" s="6" t="s">
        <v>1523</v>
      </c>
      <c r="G61" s="6" t="s">
        <v>1524</v>
      </c>
      <c r="H61" s="6" t="s">
        <v>1525</v>
      </c>
      <c r="I61" s="6" t="s">
        <v>1526</v>
      </c>
      <c r="J61" s="6" t="s">
        <v>1527</v>
      </c>
      <c r="K61" s="6" t="s">
        <v>1528</v>
      </c>
      <c r="L61" s="6" t="s">
        <v>1529</v>
      </c>
      <c r="M61" s="6" t="s">
        <v>1530</v>
      </c>
      <c r="N61" s="6" t="s">
        <v>1531</v>
      </c>
      <c r="O61" s="6" t="s">
        <v>1532</v>
      </c>
      <c r="P61" s="6" t="s">
        <v>1533</v>
      </c>
      <c r="Q61" s="6" t="s">
        <v>1534</v>
      </c>
      <c r="R61" s="6" t="s">
        <v>1535</v>
      </c>
      <c r="S61" s="6" t="s">
        <v>1536</v>
      </c>
      <c r="T61" s="6" t="s">
        <v>1537</v>
      </c>
      <c r="U61" s="6" t="s">
        <v>1538</v>
      </c>
      <c r="V61" s="6" t="s">
        <v>1539</v>
      </c>
      <c r="W61" s="6" t="s">
        <v>1540</v>
      </c>
      <c r="X61" s="6" t="s">
        <v>1541</v>
      </c>
      <c r="Y61" s="6" t="s">
        <v>1542</v>
      </c>
      <c r="Z61" s="6" t="s">
        <v>1543</v>
      </c>
      <c r="AA61" s="6" t="s">
        <v>1544</v>
      </c>
      <c r="AB61" s="6" t="s">
        <v>1545</v>
      </c>
      <c r="AC61" s="6" t="s">
        <v>1546</v>
      </c>
      <c r="AD61" s="6" t="s">
        <v>1547</v>
      </c>
      <c r="AE61" s="6" t="s">
        <v>1548</v>
      </c>
      <c r="AF61" s="6" t="s">
        <v>1549</v>
      </c>
      <c r="AG61" s="6" t="s">
        <v>1550</v>
      </c>
      <c r="AH61" s="6" t="s">
        <v>1551</v>
      </c>
    </row>
    <row r="62" spans="1:34" ht="409.5">
      <c r="A62" s="4" t="s">
        <v>2702</v>
      </c>
      <c r="B62" s="4" t="s">
        <v>761</v>
      </c>
      <c r="C62" s="2" t="s">
        <v>2731</v>
      </c>
      <c r="D62" s="6" t="s">
        <v>1552</v>
      </c>
      <c r="E62" s="6" t="s">
        <v>1553</v>
      </c>
      <c r="F62" s="6" t="s">
        <v>1554</v>
      </c>
      <c r="G62" s="6" t="s">
        <v>1555</v>
      </c>
      <c r="H62" s="6" t="s">
        <v>1556</v>
      </c>
      <c r="I62" s="6" t="s">
        <v>1557</v>
      </c>
      <c r="J62" s="6" t="s">
        <v>1558</v>
      </c>
      <c r="K62" s="6" t="s">
        <v>1559</v>
      </c>
      <c r="L62" s="6" t="s">
        <v>1560</v>
      </c>
      <c r="M62" s="6" t="s">
        <v>1561</v>
      </c>
      <c r="N62" s="6" t="s">
        <v>1562</v>
      </c>
      <c r="O62" s="6" t="s">
        <v>1563</v>
      </c>
      <c r="P62" s="6" t="s">
        <v>1564</v>
      </c>
      <c r="Q62" s="6" t="s">
        <v>1565</v>
      </c>
      <c r="R62" s="6" t="s">
        <v>1566</v>
      </c>
      <c r="S62" s="6" t="s">
        <v>1567</v>
      </c>
      <c r="T62" s="6" t="s">
        <v>1568</v>
      </c>
      <c r="U62" s="6" t="s">
        <v>1569</v>
      </c>
      <c r="V62" s="6" t="s">
        <v>1570</v>
      </c>
      <c r="W62" s="6" t="s">
        <v>1571</v>
      </c>
      <c r="X62" s="6" t="s">
        <v>1572</v>
      </c>
      <c r="Y62" s="6" t="s">
        <v>1573</v>
      </c>
      <c r="Z62" s="6" t="s">
        <v>1574</v>
      </c>
      <c r="AA62" s="6" t="s">
        <v>1575</v>
      </c>
      <c r="AB62" s="6" t="s">
        <v>1576</v>
      </c>
      <c r="AC62" s="6" t="s">
        <v>1577</v>
      </c>
      <c r="AD62" s="6" t="s">
        <v>1578</v>
      </c>
      <c r="AE62" s="6" t="s">
        <v>1579</v>
      </c>
      <c r="AF62" s="6" t="s">
        <v>1580</v>
      </c>
      <c r="AG62" s="6" t="s">
        <v>1581</v>
      </c>
      <c r="AH62" s="6" t="s">
        <v>1582</v>
      </c>
    </row>
    <row r="63" spans="1:34" ht="285">
      <c r="A63" s="4" t="s">
        <v>2702</v>
      </c>
      <c r="B63" s="4" t="s">
        <v>761</v>
      </c>
      <c r="C63" s="3" t="s">
        <v>2681</v>
      </c>
      <c r="D63" s="6" t="s">
        <v>1583</v>
      </c>
      <c r="E63" s="6" t="s">
        <v>1584</v>
      </c>
      <c r="F63" s="6" t="s">
        <v>1585</v>
      </c>
      <c r="G63" s="6" t="s">
        <v>1586</v>
      </c>
      <c r="H63" s="6" t="s">
        <v>1587</v>
      </c>
      <c r="I63" s="6" t="s">
        <v>1588</v>
      </c>
      <c r="J63" s="6" t="s">
        <v>762</v>
      </c>
      <c r="K63" s="6" t="s">
        <v>1589</v>
      </c>
      <c r="L63" s="6" t="s">
        <v>772</v>
      </c>
      <c r="M63" s="6" t="s">
        <v>1590</v>
      </c>
      <c r="N63" s="6" t="s">
        <v>1583</v>
      </c>
      <c r="O63" s="6" t="s">
        <v>762</v>
      </c>
      <c r="P63" s="6" t="s">
        <v>1591</v>
      </c>
      <c r="Q63" s="6" t="s">
        <v>1592</v>
      </c>
      <c r="R63" s="6" t="s">
        <v>1584</v>
      </c>
      <c r="S63" s="6" t="s">
        <v>1583</v>
      </c>
      <c r="T63" s="6" t="s">
        <v>1583</v>
      </c>
      <c r="U63" s="6" t="s">
        <v>762</v>
      </c>
      <c r="V63" s="6" t="s">
        <v>1593</v>
      </c>
      <c r="W63" s="6" t="s">
        <v>772</v>
      </c>
      <c r="X63" s="6" t="s">
        <v>1594</v>
      </c>
      <c r="Y63" s="6" t="s">
        <v>1583</v>
      </c>
      <c r="Z63" s="6" t="s">
        <v>1595</v>
      </c>
      <c r="AA63" s="6" t="s">
        <v>1596</v>
      </c>
      <c r="AB63" s="6" t="s">
        <v>1597</v>
      </c>
      <c r="AC63" s="6" t="s">
        <v>1584</v>
      </c>
      <c r="AD63" s="6" t="s">
        <v>1598</v>
      </c>
      <c r="AE63" s="6" t="s">
        <v>1599</v>
      </c>
      <c r="AF63" s="6" t="s">
        <v>785</v>
      </c>
      <c r="AG63" s="6" t="s">
        <v>1600</v>
      </c>
      <c r="AH63" s="6" t="s">
        <v>1601</v>
      </c>
    </row>
    <row r="64" spans="1:34" ht="165">
      <c r="A64" s="4" t="s">
        <v>837</v>
      </c>
      <c r="B64" s="4" t="s">
        <v>2708</v>
      </c>
      <c r="C64" s="3" t="s">
        <v>2682</v>
      </c>
      <c r="D64" s="6" t="s">
        <v>788</v>
      </c>
      <c r="E64" s="6" t="s">
        <v>1602</v>
      </c>
      <c r="F64" s="6" t="s">
        <v>1603</v>
      </c>
      <c r="G64" s="6" t="s">
        <v>1604</v>
      </c>
      <c r="H64" s="6" t="s">
        <v>1605</v>
      </c>
      <c r="I64" s="6" t="s">
        <v>1606</v>
      </c>
      <c r="J64" s="6" t="s">
        <v>1607</v>
      </c>
      <c r="K64" s="6" t="s">
        <v>1608</v>
      </c>
      <c r="L64" s="6" t="s">
        <v>1609</v>
      </c>
      <c r="M64" s="6" t="s">
        <v>1610</v>
      </c>
      <c r="N64" s="6" t="s">
        <v>1610</v>
      </c>
      <c r="O64" s="6" t="s">
        <v>799</v>
      </c>
      <c r="P64" s="6" t="s">
        <v>1611</v>
      </c>
      <c r="Q64" s="6" t="s">
        <v>1612</v>
      </c>
      <c r="R64" s="6" t="s">
        <v>789</v>
      </c>
      <c r="S64" s="6" t="s">
        <v>1613</v>
      </c>
      <c r="T64" s="6" t="s">
        <v>1614</v>
      </c>
      <c r="U64" s="6" t="s">
        <v>1615</v>
      </c>
      <c r="V64" s="6" t="s">
        <v>1616</v>
      </c>
      <c r="W64" s="6" t="s">
        <v>1617</v>
      </c>
      <c r="X64" s="6" t="s">
        <v>1618</v>
      </c>
      <c r="Y64" s="6" t="s">
        <v>808</v>
      </c>
      <c r="Z64" s="6" t="s">
        <v>1619</v>
      </c>
      <c r="AA64" s="6" t="s">
        <v>1620</v>
      </c>
      <c r="AB64" s="6" t="s">
        <v>1621</v>
      </c>
      <c r="AC64" s="6" t="s">
        <v>1622</v>
      </c>
      <c r="AD64" s="6" t="s">
        <v>812</v>
      </c>
      <c r="AE64" s="6" t="s">
        <v>1623</v>
      </c>
      <c r="AF64" s="6" t="s">
        <v>785</v>
      </c>
      <c r="AG64" s="6" t="s">
        <v>1602</v>
      </c>
      <c r="AH64" s="6" t="s">
        <v>1624</v>
      </c>
    </row>
    <row r="65" spans="1:34" ht="210">
      <c r="A65" s="4" t="s">
        <v>837</v>
      </c>
      <c r="B65" s="4" t="s">
        <v>2709</v>
      </c>
      <c r="C65" s="3" t="s">
        <v>2683</v>
      </c>
      <c r="D65" s="6" t="s">
        <v>1625</v>
      </c>
      <c r="E65" s="6" t="s">
        <v>827</v>
      </c>
      <c r="F65" s="6" t="s">
        <v>825</v>
      </c>
      <c r="G65" s="6" t="s">
        <v>1626</v>
      </c>
      <c r="H65" s="6" t="s">
        <v>820</v>
      </c>
      <c r="I65" s="6" t="s">
        <v>1627</v>
      </c>
      <c r="J65" s="6" t="s">
        <v>1628</v>
      </c>
      <c r="K65" s="6" t="s">
        <v>1629</v>
      </c>
      <c r="L65" s="6" t="s">
        <v>1630</v>
      </c>
      <c r="M65" s="6" t="s">
        <v>820</v>
      </c>
      <c r="N65" s="6" t="s">
        <v>824</v>
      </c>
      <c r="O65" s="6" t="s">
        <v>825</v>
      </c>
      <c r="P65" s="6" t="s">
        <v>1631</v>
      </c>
      <c r="Q65" s="6" t="s">
        <v>820</v>
      </c>
      <c r="R65" s="6" t="s">
        <v>1632</v>
      </c>
      <c r="S65" s="6" t="s">
        <v>1633</v>
      </c>
      <c r="T65" s="6" t="s">
        <v>825</v>
      </c>
      <c r="U65" s="6" t="s">
        <v>1634</v>
      </c>
      <c r="V65" s="6" t="s">
        <v>1635</v>
      </c>
      <c r="W65" s="6" t="s">
        <v>1636</v>
      </c>
      <c r="X65" s="6" t="s">
        <v>1637</v>
      </c>
      <c r="Y65" s="6" t="s">
        <v>1638</v>
      </c>
      <c r="Z65" s="6" t="s">
        <v>827</v>
      </c>
      <c r="AA65" s="6" t="s">
        <v>820</v>
      </c>
      <c r="AB65" s="6" t="s">
        <v>1639</v>
      </c>
      <c r="AC65" s="6" t="s">
        <v>820</v>
      </c>
      <c r="AD65" s="6" t="s">
        <v>1640</v>
      </c>
      <c r="AE65" s="6" t="s">
        <v>820</v>
      </c>
      <c r="AF65" s="6" t="s">
        <v>1641</v>
      </c>
      <c r="AG65" s="6" t="s">
        <v>820</v>
      </c>
      <c r="AH65" s="6" t="s">
        <v>825</v>
      </c>
    </row>
    <row r="66" spans="1:34" ht="165">
      <c r="A66" s="4" t="s">
        <v>837</v>
      </c>
      <c r="B66" s="4" t="s">
        <v>2709</v>
      </c>
      <c r="C66" s="3" t="s">
        <v>2708</v>
      </c>
      <c r="D66" s="6" t="s">
        <v>1642</v>
      </c>
      <c r="E66" s="6" t="s">
        <v>1643</v>
      </c>
      <c r="F66" s="6" t="s">
        <v>840</v>
      </c>
      <c r="G66" s="6" t="s">
        <v>841</v>
      </c>
      <c r="H66" s="6" t="s">
        <v>840</v>
      </c>
      <c r="I66" s="6" t="s">
        <v>1644</v>
      </c>
      <c r="J66" s="6" t="s">
        <v>1645</v>
      </c>
      <c r="K66" s="6" t="s">
        <v>849</v>
      </c>
      <c r="L66" s="6" t="s">
        <v>1646</v>
      </c>
      <c r="M66" s="6" t="s">
        <v>1647</v>
      </c>
      <c r="N66" s="6" t="s">
        <v>1648</v>
      </c>
      <c r="O66" s="6" t="s">
        <v>1649</v>
      </c>
      <c r="P66" s="6" t="s">
        <v>849</v>
      </c>
      <c r="Q66" s="6" t="s">
        <v>850</v>
      </c>
      <c r="R66" s="6" t="s">
        <v>860</v>
      </c>
      <c r="S66" s="6" t="s">
        <v>852</v>
      </c>
      <c r="T66" s="6" t="s">
        <v>1650</v>
      </c>
      <c r="U66" s="6" t="s">
        <v>1651</v>
      </c>
      <c r="V66" s="6" t="s">
        <v>1652</v>
      </c>
      <c r="W66" s="6" t="s">
        <v>1653</v>
      </c>
      <c r="X66" s="6" t="s">
        <v>1654</v>
      </c>
      <c r="Y66" s="6" t="s">
        <v>858</v>
      </c>
      <c r="Z66" s="6" t="s">
        <v>849</v>
      </c>
      <c r="AA66" s="6" t="s">
        <v>849</v>
      </c>
      <c r="AB66" s="6" t="s">
        <v>859</v>
      </c>
      <c r="AC66" s="6" t="s">
        <v>860</v>
      </c>
      <c r="AD66" s="6" t="s">
        <v>860</v>
      </c>
      <c r="AE66" s="6" t="s">
        <v>861</v>
      </c>
      <c r="AF66" s="6" t="s">
        <v>840</v>
      </c>
      <c r="AG66" s="6" t="s">
        <v>840</v>
      </c>
      <c r="AH66" s="6" t="s">
        <v>1655</v>
      </c>
    </row>
    <row r="67" spans="1:34" ht="409.5">
      <c r="A67" s="4" t="s">
        <v>837</v>
      </c>
      <c r="B67" s="4" t="s">
        <v>2709</v>
      </c>
      <c r="C67" s="3" t="s">
        <v>2709</v>
      </c>
      <c r="D67" s="6" t="s">
        <v>1656</v>
      </c>
      <c r="E67" s="6" t="s">
        <v>864</v>
      </c>
      <c r="F67" s="6" t="s">
        <v>1657</v>
      </c>
      <c r="G67" s="6" t="s">
        <v>1658</v>
      </c>
      <c r="H67" s="6" t="s">
        <v>1659</v>
      </c>
      <c r="I67" s="6" t="s">
        <v>1660</v>
      </c>
      <c r="J67" s="6" t="s">
        <v>869</v>
      </c>
      <c r="K67" s="6" t="s">
        <v>1661</v>
      </c>
      <c r="L67" s="6" t="s">
        <v>1662</v>
      </c>
      <c r="M67" s="6" t="s">
        <v>1663</v>
      </c>
      <c r="N67" s="6" t="s">
        <v>1664</v>
      </c>
      <c r="O67" s="6" t="s">
        <v>874</v>
      </c>
      <c r="P67" s="6" t="s">
        <v>875</v>
      </c>
      <c r="Q67" s="6" t="s">
        <v>1665</v>
      </c>
      <c r="R67" s="6" t="s">
        <v>1666</v>
      </c>
      <c r="S67" s="6" t="s">
        <v>878</v>
      </c>
      <c r="T67" s="6" t="s">
        <v>879</v>
      </c>
      <c r="U67" s="6" t="s">
        <v>1667</v>
      </c>
      <c r="V67" s="6" t="s">
        <v>881</v>
      </c>
      <c r="W67" s="6" t="s">
        <v>1668</v>
      </c>
      <c r="X67" s="6" t="s">
        <v>883</v>
      </c>
      <c r="Y67" s="6" t="s">
        <v>884</v>
      </c>
      <c r="Z67" s="6" t="s">
        <v>1669</v>
      </c>
      <c r="AA67" s="6" t="s">
        <v>1670</v>
      </c>
      <c r="AB67" s="6" t="s">
        <v>1671</v>
      </c>
      <c r="AC67" s="6" t="s">
        <v>888</v>
      </c>
      <c r="AD67" s="6" t="s">
        <v>879</v>
      </c>
      <c r="AE67" s="6" t="s">
        <v>889</v>
      </c>
      <c r="AF67" s="6" t="s">
        <v>890</v>
      </c>
      <c r="AG67" s="6" t="s">
        <v>876</v>
      </c>
      <c r="AH67" s="6" t="s">
        <v>1672</v>
      </c>
    </row>
    <row r="68" spans="1:34" ht="180">
      <c r="A68" s="4" t="s">
        <v>837</v>
      </c>
      <c r="B68" s="4" t="s">
        <v>2695</v>
      </c>
      <c r="C68" s="3" t="s">
        <v>2710</v>
      </c>
      <c r="D68" s="6" t="s">
        <v>1673</v>
      </c>
      <c r="E68" s="6" t="s">
        <v>1674</v>
      </c>
      <c r="F68" s="6" t="s">
        <v>940</v>
      </c>
      <c r="G68" s="6" t="s">
        <v>895</v>
      </c>
      <c r="H68" s="6" t="s">
        <v>1659</v>
      </c>
      <c r="I68" s="6" t="s">
        <v>1675</v>
      </c>
      <c r="J68" s="6" t="s">
        <v>898</v>
      </c>
      <c r="K68" s="6" t="s">
        <v>899</v>
      </c>
      <c r="L68" s="6" t="s">
        <v>1676</v>
      </c>
      <c r="M68" s="6" t="s">
        <v>901</v>
      </c>
      <c r="N68" s="6" t="s">
        <v>1677</v>
      </c>
      <c r="O68" s="6" t="s">
        <v>1669</v>
      </c>
      <c r="P68" s="6" t="s">
        <v>1669</v>
      </c>
      <c r="Q68" s="6" t="s">
        <v>899</v>
      </c>
      <c r="R68" s="6" t="s">
        <v>899</v>
      </c>
      <c r="S68" s="6" t="s">
        <v>899</v>
      </c>
      <c r="T68" s="6" t="s">
        <v>906</v>
      </c>
      <c r="U68" s="6" t="s">
        <v>899</v>
      </c>
      <c r="V68" s="6" t="s">
        <v>1678</v>
      </c>
      <c r="W68" s="6" t="s">
        <v>1679</v>
      </c>
      <c r="X68" s="6" t="s">
        <v>909</v>
      </c>
      <c r="Y68" s="6" t="s">
        <v>910</v>
      </c>
      <c r="Z68" s="6" t="s">
        <v>1669</v>
      </c>
      <c r="AA68" s="6" t="s">
        <v>912</v>
      </c>
      <c r="AB68" s="6" t="s">
        <v>913</v>
      </c>
      <c r="AC68" s="6" t="s">
        <v>1680</v>
      </c>
      <c r="AD68" s="6" t="s">
        <v>915</v>
      </c>
      <c r="AE68" s="6" t="s">
        <v>916</v>
      </c>
      <c r="AF68" s="6" t="s">
        <v>1681</v>
      </c>
      <c r="AG68" s="6" t="s">
        <v>899</v>
      </c>
      <c r="AH68" s="6" t="s">
        <v>917</v>
      </c>
    </row>
    <row r="69" spans="1:34" ht="345">
      <c r="A69" s="4" t="s">
        <v>837</v>
      </c>
      <c r="B69" s="4" t="s">
        <v>2695</v>
      </c>
      <c r="C69" s="3" t="s">
        <v>2698</v>
      </c>
      <c r="D69" s="6" t="s">
        <v>1682</v>
      </c>
      <c r="E69" s="6" t="s">
        <v>1683</v>
      </c>
      <c r="F69" s="6" t="s">
        <v>920</v>
      </c>
      <c r="G69" s="6" t="s">
        <v>1684</v>
      </c>
      <c r="H69" s="6" t="s">
        <v>1659</v>
      </c>
      <c r="I69" s="6" t="s">
        <v>920</v>
      </c>
      <c r="J69" s="6" t="s">
        <v>1685</v>
      </c>
      <c r="K69" s="6" t="s">
        <v>1686</v>
      </c>
      <c r="L69" s="6" t="s">
        <v>920</v>
      </c>
      <c r="M69" s="6" t="s">
        <v>920</v>
      </c>
      <c r="N69" s="6" t="s">
        <v>1687</v>
      </c>
      <c r="O69" s="6" t="s">
        <v>1669</v>
      </c>
      <c r="P69" s="6" t="s">
        <v>1669</v>
      </c>
      <c r="Q69" s="6" t="s">
        <v>927</v>
      </c>
      <c r="R69" s="6" t="s">
        <v>920</v>
      </c>
      <c r="S69" s="6" t="s">
        <v>920</v>
      </c>
      <c r="T69" s="6" t="s">
        <v>928</v>
      </c>
      <c r="U69" s="6" t="s">
        <v>920</v>
      </c>
      <c r="V69" s="6" t="s">
        <v>920</v>
      </c>
      <c r="W69" s="6" t="s">
        <v>1688</v>
      </c>
      <c r="X69" s="6" t="s">
        <v>930</v>
      </c>
      <c r="Y69" s="6" t="s">
        <v>910</v>
      </c>
      <c r="Z69" s="6" t="s">
        <v>1669</v>
      </c>
      <c r="AA69" s="6" t="s">
        <v>933</v>
      </c>
      <c r="AB69" s="6" t="s">
        <v>934</v>
      </c>
      <c r="AC69" s="6" t="s">
        <v>920</v>
      </c>
      <c r="AD69" s="6" t="s">
        <v>1689</v>
      </c>
      <c r="AE69" s="6" t="s">
        <v>1690</v>
      </c>
      <c r="AF69" s="6" t="s">
        <v>1691</v>
      </c>
      <c r="AG69" s="6" t="s">
        <v>920</v>
      </c>
      <c r="AH69" s="6" t="s">
        <v>933</v>
      </c>
    </row>
    <row r="70" spans="1:34" ht="120">
      <c r="A70" s="4" t="s">
        <v>837</v>
      </c>
      <c r="B70" s="4" t="s">
        <v>2701</v>
      </c>
      <c r="C70" s="3" t="s">
        <v>2699</v>
      </c>
      <c r="D70" s="6" t="s">
        <v>1692</v>
      </c>
      <c r="E70" s="6" t="s">
        <v>1693</v>
      </c>
      <c r="F70" s="6" t="s">
        <v>940</v>
      </c>
      <c r="G70" s="6" t="s">
        <v>1694</v>
      </c>
      <c r="H70" s="6" t="s">
        <v>1659</v>
      </c>
      <c r="I70" s="6" t="s">
        <v>942</v>
      </c>
      <c r="J70" s="6" t="s">
        <v>1695</v>
      </c>
      <c r="K70" s="6" t="s">
        <v>940</v>
      </c>
      <c r="L70" s="6" t="s">
        <v>1696</v>
      </c>
      <c r="M70" s="6" t="s">
        <v>917</v>
      </c>
      <c r="N70" s="6" t="s">
        <v>942</v>
      </c>
      <c r="O70" s="6" t="s">
        <v>1669</v>
      </c>
      <c r="P70" s="6" t="s">
        <v>940</v>
      </c>
      <c r="Q70" s="6" t="s">
        <v>1697</v>
      </c>
      <c r="R70" s="6" t="s">
        <v>917</v>
      </c>
      <c r="S70" s="6" t="s">
        <v>940</v>
      </c>
      <c r="T70" s="6" t="s">
        <v>942</v>
      </c>
      <c r="U70" s="6" t="s">
        <v>942</v>
      </c>
      <c r="V70" s="6" t="s">
        <v>942</v>
      </c>
      <c r="W70" s="6" t="s">
        <v>947</v>
      </c>
      <c r="X70" s="6" t="s">
        <v>975</v>
      </c>
      <c r="Y70" s="6" t="s">
        <v>942</v>
      </c>
      <c r="Z70" s="6" t="s">
        <v>940</v>
      </c>
      <c r="AA70" s="6" t="s">
        <v>917</v>
      </c>
      <c r="AB70" s="6" t="s">
        <v>950</v>
      </c>
      <c r="AC70" s="6" t="s">
        <v>942</v>
      </c>
      <c r="AD70" s="6" t="s">
        <v>942</v>
      </c>
      <c r="AE70" s="6" t="s">
        <v>951</v>
      </c>
      <c r="AF70" s="6" t="s">
        <v>942</v>
      </c>
      <c r="AG70" s="6" t="s">
        <v>940</v>
      </c>
      <c r="AH70" s="6" t="s">
        <v>917</v>
      </c>
    </row>
    <row r="71" spans="1:34" ht="195">
      <c r="A71" s="4" t="s">
        <v>2704</v>
      </c>
      <c r="B71" s="4" t="s">
        <v>2701</v>
      </c>
      <c r="C71" s="3" t="s">
        <v>2700</v>
      </c>
      <c r="D71" s="6" t="s">
        <v>1698</v>
      </c>
      <c r="E71" s="6" t="s">
        <v>917</v>
      </c>
      <c r="F71" s="6" t="s">
        <v>940</v>
      </c>
      <c r="G71" s="6" t="s">
        <v>1699</v>
      </c>
      <c r="H71" s="6" t="s">
        <v>1659</v>
      </c>
      <c r="I71" s="6" t="s">
        <v>942</v>
      </c>
      <c r="J71" s="6" t="s">
        <v>1700</v>
      </c>
      <c r="K71" s="6" t="s">
        <v>940</v>
      </c>
      <c r="L71" s="6" t="s">
        <v>917</v>
      </c>
      <c r="M71" s="6" t="s">
        <v>917</v>
      </c>
      <c r="N71" s="6" t="s">
        <v>942</v>
      </c>
      <c r="O71" s="6" t="s">
        <v>1669</v>
      </c>
      <c r="P71" s="6" t="s">
        <v>940</v>
      </c>
      <c r="Q71" s="6" t="s">
        <v>940</v>
      </c>
      <c r="R71" s="6" t="s">
        <v>917</v>
      </c>
      <c r="S71" s="6" t="s">
        <v>940</v>
      </c>
      <c r="T71" s="6" t="s">
        <v>942</v>
      </c>
      <c r="U71" s="6" t="s">
        <v>959</v>
      </c>
      <c r="V71" s="6" t="s">
        <v>942</v>
      </c>
      <c r="W71" s="6" t="s">
        <v>1701</v>
      </c>
      <c r="X71" s="6" t="s">
        <v>975</v>
      </c>
      <c r="Y71" s="6" t="s">
        <v>964</v>
      </c>
      <c r="Z71" s="6" t="s">
        <v>940</v>
      </c>
      <c r="AA71" s="6" t="s">
        <v>917</v>
      </c>
      <c r="AB71" s="6" t="s">
        <v>950</v>
      </c>
      <c r="AC71" s="6" t="s">
        <v>942</v>
      </c>
      <c r="AD71" s="6" t="s">
        <v>942</v>
      </c>
      <c r="AE71" s="6" t="s">
        <v>940</v>
      </c>
      <c r="AF71" s="6" t="s">
        <v>964</v>
      </c>
      <c r="AG71" s="6" t="s">
        <v>940</v>
      </c>
      <c r="AH71" s="6" t="s">
        <v>917</v>
      </c>
    </row>
    <row r="72" spans="1:34" ht="93">
      <c r="A72" s="4" t="s">
        <v>2705</v>
      </c>
      <c r="B72" s="4" t="s">
        <v>2703</v>
      </c>
      <c r="C72" s="3" t="s">
        <v>2732</v>
      </c>
      <c r="D72" s="6" t="s">
        <v>1702</v>
      </c>
      <c r="E72" s="6" t="s">
        <v>966</v>
      </c>
      <c r="F72" s="6" t="s">
        <v>940</v>
      </c>
      <c r="G72" s="6" t="s">
        <v>967</v>
      </c>
      <c r="H72" s="6" t="s">
        <v>1659</v>
      </c>
      <c r="I72" s="6" t="s">
        <v>942</v>
      </c>
      <c r="J72" s="6" t="s">
        <v>940</v>
      </c>
      <c r="K72" s="6" t="s">
        <v>940</v>
      </c>
      <c r="L72" s="6" t="s">
        <v>968</v>
      </c>
      <c r="M72" s="6" t="s">
        <v>917</v>
      </c>
      <c r="N72" s="6" t="s">
        <v>983</v>
      </c>
      <c r="O72" s="6" t="s">
        <v>1669</v>
      </c>
      <c r="P72" s="6" t="s">
        <v>940</v>
      </c>
      <c r="Q72" s="6" t="s">
        <v>940</v>
      </c>
      <c r="R72" s="6" t="s">
        <v>971</v>
      </c>
      <c r="S72" s="6" t="s">
        <v>940</v>
      </c>
      <c r="T72" s="6" t="s">
        <v>942</v>
      </c>
      <c r="U72" s="6" t="s">
        <v>972</v>
      </c>
      <c r="V72" s="6" t="s">
        <v>942</v>
      </c>
      <c r="W72" s="6" t="s">
        <v>1703</v>
      </c>
      <c r="X72" s="6" t="s">
        <v>975</v>
      </c>
      <c r="Y72" s="6" t="s">
        <v>976</v>
      </c>
      <c r="Z72" s="6" t="s">
        <v>940</v>
      </c>
      <c r="AA72" s="6" t="s">
        <v>917</v>
      </c>
      <c r="AB72" s="6" t="s">
        <v>950</v>
      </c>
      <c r="AC72" s="6" t="s">
        <v>942</v>
      </c>
      <c r="AD72" s="6" t="s">
        <v>942</v>
      </c>
      <c r="AE72" s="6" t="s">
        <v>940</v>
      </c>
      <c r="AF72" s="6" t="s">
        <v>1704</v>
      </c>
      <c r="AG72" s="6" t="s">
        <v>940</v>
      </c>
      <c r="AH72" s="6" t="s">
        <v>1705</v>
      </c>
    </row>
    <row r="73" spans="1:34" ht="93">
      <c r="A73" s="4" t="s">
        <v>2705</v>
      </c>
      <c r="B73" s="4" t="s">
        <v>2703</v>
      </c>
      <c r="C73" s="3" t="s">
        <v>2683</v>
      </c>
      <c r="D73" s="6" t="s">
        <v>1692</v>
      </c>
      <c r="E73" s="6" t="s">
        <v>980</v>
      </c>
      <c r="F73" s="6" t="s">
        <v>940</v>
      </c>
      <c r="G73" s="6" t="s">
        <v>981</v>
      </c>
      <c r="H73" s="6" t="s">
        <v>1659</v>
      </c>
      <c r="I73" s="6" t="s">
        <v>942</v>
      </c>
      <c r="J73" s="6" t="s">
        <v>940</v>
      </c>
      <c r="K73" s="6" t="s">
        <v>940</v>
      </c>
      <c r="L73" s="6" t="s">
        <v>1706</v>
      </c>
      <c r="M73" s="6" t="s">
        <v>373</v>
      </c>
      <c r="N73" s="6" t="s">
        <v>1707</v>
      </c>
      <c r="O73" s="6" t="s">
        <v>1669</v>
      </c>
      <c r="P73" s="6" t="s">
        <v>940</v>
      </c>
      <c r="Q73" s="6" t="s">
        <v>940</v>
      </c>
      <c r="R73" s="6" t="s">
        <v>1708</v>
      </c>
      <c r="S73" s="6" t="s">
        <v>940</v>
      </c>
      <c r="T73" s="6" t="s">
        <v>942</v>
      </c>
      <c r="U73" s="6" t="s">
        <v>986</v>
      </c>
      <c r="V73" s="6" t="s">
        <v>942</v>
      </c>
      <c r="W73" s="6" t="s">
        <v>947</v>
      </c>
      <c r="X73" s="6" t="s">
        <v>975</v>
      </c>
      <c r="Y73" s="6" t="s">
        <v>987</v>
      </c>
      <c r="Z73" s="6" t="s">
        <v>940</v>
      </c>
      <c r="AA73" s="6" t="s">
        <v>917</v>
      </c>
      <c r="AB73" s="6" t="s">
        <v>950</v>
      </c>
      <c r="AC73" s="6" t="s">
        <v>942</v>
      </c>
      <c r="AD73" s="6" t="s">
        <v>942</v>
      </c>
      <c r="AE73" s="6" t="s">
        <v>940</v>
      </c>
      <c r="AF73" s="6" t="s">
        <v>988</v>
      </c>
      <c r="AG73" s="6" t="s">
        <v>940</v>
      </c>
      <c r="AH73" s="6" t="s">
        <v>1709</v>
      </c>
    </row>
    <row r="74" spans="1:34" ht="409.5">
      <c r="A74" s="4" t="s">
        <v>2705</v>
      </c>
      <c r="B74" s="4" t="s">
        <v>1771</v>
      </c>
      <c r="C74" s="2" t="s">
        <v>2724</v>
      </c>
      <c r="D74" s="6" t="s">
        <v>1710</v>
      </c>
      <c r="E74" s="6" t="s">
        <v>1711</v>
      </c>
      <c r="F74" s="6" t="s">
        <v>1712</v>
      </c>
      <c r="G74" s="6" t="s">
        <v>1713</v>
      </c>
      <c r="H74" s="6" t="s">
        <v>1714</v>
      </c>
      <c r="I74" s="6" t="s">
        <v>1715</v>
      </c>
      <c r="J74" s="6" t="s">
        <v>1716</v>
      </c>
      <c r="K74" s="6" t="s">
        <v>1717</v>
      </c>
      <c r="L74" s="6" t="s">
        <v>1718</v>
      </c>
      <c r="M74" s="6" t="s">
        <v>1719</v>
      </c>
      <c r="N74" s="6" t="s">
        <v>1720</v>
      </c>
      <c r="O74" s="6" t="s">
        <v>1721</v>
      </c>
      <c r="P74" s="6" t="s">
        <v>1722</v>
      </c>
      <c r="Q74" s="6" t="s">
        <v>1723</v>
      </c>
      <c r="R74" s="6" t="s">
        <v>1724</v>
      </c>
      <c r="S74" s="6" t="s">
        <v>1725</v>
      </c>
      <c r="T74" s="6" t="s">
        <v>1726</v>
      </c>
      <c r="U74" s="6" t="s">
        <v>1727</v>
      </c>
      <c r="V74" s="6" t="s">
        <v>1728</v>
      </c>
      <c r="W74" s="6" t="s">
        <v>1729</v>
      </c>
      <c r="X74" s="6" t="s">
        <v>1730</v>
      </c>
      <c r="Y74" s="6" t="s">
        <v>1731</v>
      </c>
      <c r="Z74" s="6" t="s">
        <v>1732</v>
      </c>
      <c r="AA74" s="6" t="s">
        <v>1733</v>
      </c>
      <c r="AB74" s="6" t="s">
        <v>1734</v>
      </c>
      <c r="AC74" s="6" t="s">
        <v>1735</v>
      </c>
      <c r="AD74" s="6" t="s">
        <v>1736</v>
      </c>
      <c r="AE74" s="6" t="s">
        <v>1737</v>
      </c>
      <c r="AF74" s="6" t="s">
        <v>1738</v>
      </c>
      <c r="AG74" s="6" t="s">
        <v>1739</v>
      </c>
      <c r="AH74" s="6" t="s">
        <v>1740</v>
      </c>
    </row>
    <row r="75" spans="1:34" ht="285">
      <c r="A75" s="4" t="s">
        <v>2705</v>
      </c>
      <c r="B75" s="4" t="s">
        <v>1771</v>
      </c>
      <c r="C75" s="2" t="s">
        <v>2709</v>
      </c>
      <c r="D75" s="6" t="s">
        <v>1741</v>
      </c>
      <c r="E75" s="6" t="s">
        <v>1742</v>
      </c>
      <c r="F75" s="6" t="s">
        <v>1743</v>
      </c>
      <c r="G75" s="6" t="s">
        <v>1744</v>
      </c>
      <c r="H75" s="6" t="s">
        <v>1745</v>
      </c>
      <c r="I75" s="6" t="s">
        <v>1746</v>
      </c>
      <c r="J75" s="6" t="s">
        <v>1747</v>
      </c>
      <c r="K75" s="6" t="s">
        <v>1748</v>
      </c>
      <c r="L75" s="6" t="s">
        <v>1749</v>
      </c>
      <c r="M75" s="6" t="s">
        <v>1750</v>
      </c>
      <c r="N75" s="6" t="s">
        <v>1751</v>
      </c>
      <c r="O75" s="6" t="s">
        <v>1752</v>
      </c>
      <c r="P75" s="6" t="s">
        <v>1753</v>
      </c>
      <c r="Q75" s="6" t="s">
        <v>1754</v>
      </c>
      <c r="R75" s="6" t="s">
        <v>1755</v>
      </c>
      <c r="S75" s="6" t="s">
        <v>1756</v>
      </c>
      <c r="T75" s="6" t="s">
        <v>1757</v>
      </c>
      <c r="U75" s="6" t="s">
        <v>1758</v>
      </c>
      <c r="V75" s="6" t="s">
        <v>1759</v>
      </c>
      <c r="W75" s="6" t="s">
        <v>1760</v>
      </c>
      <c r="X75" s="6" t="s">
        <v>1761</v>
      </c>
      <c r="Y75" s="6" t="s">
        <v>1762</v>
      </c>
      <c r="Z75" s="6" t="s">
        <v>1763</v>
      </c>
      <c r="AA75" s="6" t="s">
        <v>1764</v>
      </c>
      <c r="AB75" s="6" t="s">
        <v>1765</v>
      </c>
      <c r="AC75" s="6" t="s">
        <v>1766</v>
      </c>
      <c r="AD75" s="6" t="s">
        <v>1767</v>
      </c>
      <c r="AE75" s="6" t="s">
        <v>1768</v>
      </c>
      <c r="AF75" s="6" t="s">
        <v>1769</v>
      </c>
      <c r="AG75" s="6" t="s">
        <v>1770</v>
      </c>
      <c r="AH75" s="6" t="s">
        <v>1046</v>
      </c>
    </row>
    <row r="76" spans="1:34" ht="270">
      <c r="A76" s="4" t="s">
        <v>2705</v>
      </c>
      <c r="B76" s="4" t="s">
        <v>93</v>
      </c>
      <c r="C76" s="3" t="s">
        <v>2711</v>
      </c>
      <c r="D76" s="6" t="s">
        <v>1772</v>
      </c>
      <c r="E76" s="6" t="s">
        <v>1773</v>
      </c>
      <c r="F76" s="6" t="s">
        <v>1774</v>
      </c>
      <c r="G76" s="6" t="s">
        <v>1775</v>
      </c>
      <c r="H76" s="6" t="s">
        <v>1776</v>
      </c>
      <c r="I76" s="6" t="s">
        <v>1777</v>
      </c>
      <c r="J76" s="6" t="s">
        <v>1778</v>
      </c>
      <c r="K76" s="6" t="s">
        <v>1779</v>
      </c>
      <c r="L76" s="6" t="s">
        <v>1780</v>
      </c>
      <c r="M76" s="6" t="s">
        <v>1781</v>
      </c>
      <c r="N76" s="6" t="s">
        <v>1782</v>
      </c>
      <c r="O76" s="6" t="s">
        <v>1783</v>
      </c>
      <c r="P76" s="6" t="s">
        <v>1784</v>
      </c>
      <c r="Q76" s="6" t="s">
        <v>1785</v>
      </c>
      <c r="R76" s="6" t="s">
        <v>1786</v>
      </c>
      <c r="S76" s="6" t="s">
        <v>1787</v>
      </c>
      <c r="T76" s="6" t="s">
        <v>1788</v>
      </c>
      <c r="U76" s="6" t="s">
        <v>1758</v>
      </c>
      <c r="V76" s="6" t="s">
        <v>1789</v>
      </c>
      <c r="W76" s="6" t="s">
        <v>1790</v>
      </c>
      <c r="X76" s="6" t="s">
        <v>1791</v>
      </c>
      <c r="Y76" s="6" t="s">
        <v>1792</v>
      </c>
      <c r="Z76" s="6" t="s">
        <v>1793</v>
      </c>
      <c r="AA76" s="6" t="s">
        <v>1794</v>
      </c>
      <c r="AB76" s="6" t="s">
        <v>1795</v>
      </c>
      <c r="AC76" s="6" t="s">
        <v>1796</v>
      </c>
      <c r="AD76" s="6" t="s">
        <v>1797</v>
      </c>
      <c r="AE76" s="6" t="s">
        <v>1798</v>
      </c>
      <c r="AF76" s="6" t="s">
        <v>1799</v>
      </c>
      <c r="AG76" s="6" t="s">
        <v>1800</v>
      </c>
      <c r="AH76" s="6" t="s">
        <v>1801</v>
      </c>
    </row>
    <row r="77" spans="1:34" ht="270">
      <c r="A77" s="4" t="s">
        <v>2705</v>
      </c>
      <c r="B77" s="4" t="s">
        <v>93</v>
      </c>
      <c r="C77" s="3" t="s">
        <v>2712</v>
      </c>
      <c r="D77" s="6" t="s">
        <v>1802</v>
      </c>
      <c r="E77" s="6" t="s">
        <v>1803</v>
      </c>
      <c r="F77" s="6" t="s">
        <v>1804</v>
      </c>
      <c r="G77" s="6" t="s">
        <v>1805</v>
      </c>
      <c r="H77" s="6" t="s">
        <v>1806</v>
      </c>
      <c r="I77" s="6" t="s">
        <v>1807</v>
      </c>
      <c r="J77" s="6" t="s">
        <v>1808</v>
      </c>
      <c r="K77" s="6" t="s">
        <v>1809</v>
      </c>
      <c r="L77" s="6" t="s">
        <v>1810</v>
      </c>
      <c r="M77" s="6" t="s">
        <v>1811</v>
      </c>
      <c r="N77" s="6" t="s">
        <v>1812</v>
      </c>
      <c r="O77" s="6" t="s">
        <v>1813</v>
      </c>
      <c r="P77" s="6" t="s">
        <v>1814</v>
      </c>
      <c r="Q77" s="6" t="s">
        <v>1815</v>
      </c>
      <c r="R77" s="6" t="s">
        <v>1816</v>
      </c>
      <c r="S77" s="6" t="s">
        <v>1817</v>
      </c>
      <c r="T77" s="6" t="s">
        <v>1818</v>
      </c>
      <c r="U77" s="6" t="s">
        <v>1758</v>
      </c>
      <c r="V77" s="6" t="s">
        <v>1819</v>
      </c>
      <c r="W77" s="6" t="s">
        <v>1820</v>
      </c>
      <c r="X77" s="6" t="s">
        <v>1821</v>
      </c>
      <c r="Y77" s="6" t="s">
        <v>1822</v>
      </c>
      <c r="Z77" s="6" t="s">
        <v>1823</v>
      </c>
      <c r="AA77" s="6" t="s">
        <v>1824</v>
      </c>
      <c r="AB77" s="6" t="s">
        <v>1825</v>
      </c>
      <c r="AC77" s="6" t="s">
        <v>1826</v>
      </c>
      <c r="AD77" s="6" t="s">
        <v>1827</v>
      </c>
      <c r="AE77" s="6" t="s">
        <v>1828</v>
      </c>
      <c r="AF77" s="6" t="s">
        <v>1829</v>
      </c>
      <c r="AG77" s="6" t="s">
        <v>1830</v>
      </c>
      <c r="AH77" s="6" t="s">
        <v>1831</v>
      </c>
    </row>
    <row r="78" spans="1:34" ht="270">
      <c r="A78" s="4" t="s">
        <v>2705</v>
      </c>
      <c r="B78" s="4" t="s">
        <v>1874</v>
      </c>
      <c r="C78" s="3" t="s">
        <v>2653</v>
      </c>
      <c r="D78" s="6" t="s">
        <v>1832</v>
      </c>
      <c r="E78" s="6" t="s">
        <v>1833</v>
      </c>
      <c r="F78" s="6" t="s">
        <v>1834</v>
      </c>
      <c r="G78" s="6" t="s">
        <v>1835</v>
      </c>
      <c r="H78" s="6" t="s">
        <v>1836</v>
      </c>
      <c r="I78" s="6" t="s">
        <v>1837</v>
      </c>
      <c r="J78" s="6" t="s">
        <v>1838</v>
      </c>
      <c r="K78" s="6" t="s">
        <v>1839</v>
      </c>
      <c r="L78" s="6" t="s">
        <v>1840</v>
      </c>
      <c r="M78" s="6" t="s">
        <v>1841</v>
      </c>
      <c r="N78" s="6" t="s">
        <v>1842</v>
      </c>
      <c r="O78" s="6" t="s">
        <v>1843</v>
      </c>
      <c r="P78" s="6" t="s">
        <v>1844</v>
      </c>
      <c r="Q78" s="6" t="s">
        <v>1845</v>
      </c>
      <c r="R78" s="6" t="s">
        <v>1846</v>
      </c>
      <c r="S78" s="6" t="s">
        <v>1847</v>
      </c>
      <c r="T78" s="6" t="s">
        <v>1848</v>
      </c>
      <c r="U78" s="6" t="s">
        <v>1758</v>
      </c>
      <c r="V78" s="6" t="s">
        <v>1849</v>
      </c>
      <c r="W78" s="6" t="s">
        <v>1850</v>
      </c>
      <c r="X78" s="6" t="s">
        <v>1851</v>
      </c>
      <c r="Y78" s="6" t="s">
        <v>1852</v>
      </c>
      <c r="Z78" s="6" t="s">
        <v>1853</v>
      </c>
      <c r="AA78" s="6" t="s">
        <v>1854</v>
      </c>
      <c r="AB78" s="6" t="s">
        <v>1855</v>
      </c>
      <c r="AC78" s="6" t="s">
        <v>1856</v>
      </c>
      <c r="AD78" s="6" t="s">
        <v>1857</v>
      </c>
      <c r="AE78" s="6" t="s">
        <v>1858</v>
      </c>
      <c r="AF78" s="6" t="s">
        <v>1859</v>
      </c>
      <c r="AG78" s="6" t="s">
        <v>1860</v>
      </c>
      <c r="AH78" s="6" t="s">
        <v>1861</v>
      </c>
    </row>
    <row r="79" spans="1:34" ht="195">
      <c r="A79" s="4" t="s">
        <v>2705</v>
      </c>
      <c r="B79" s="4" t="s">
        <v>1874</v>
      </c>
      <c r="C79" s="3" t="s">
        <v>2685</v>
      </c>
      <c r="D79" s="6" t="s">
        <v>125</v>
      </c>
      <c r="E79" s="6" t="s">
        <v>1862</v>
      </c>
      <c r="F79" s="6" t="s">
        <v>125</v>
      </c>
      <c r="G79" s="6" t="s">
        <v>1863</v>
      </c>
      <c r="H79" s="6" t="s">
        <v>125</v>
      </c>
      <c r="I79" s="6" t="s">
        <v>125</v>
      </c>
      <c r="J79" s="6" t="s">
        <v>125</v>
      </c>
      <c r="K79" s="6" t="s">
        <v>125</v>
      </c>
      <c r="L79" s="6" t="s">
        <v>1864</v>
      </c>
      <c r="M79" s="6" t="s">
        <v>1865</v>
      </c>
      <c r="N79" s="6" t="s">
        <v>1866</v>
      </c>
      <c r="O79" s="6" t="s">
        <v>125</v>
      </c>
      <c r="P79" s="6" t="s">
        <v>125</v>
      </c>
      <c r="Q79" s="6" t="s">
        <v>1867</v>
      </c>
      <c r="R79" s="6" t="s">
        <v>125</v>
      </c>
      <c r="S79" s="6" t="s">
        <v>1868</v>
      </c>
      <c r="T79" s="6" t="s">
        <v>1869</v>
      </c>
      <c r="U79" s="6" t="s">
        <v>1758</v>
      </c>
      <c r="V79" s="6" t="s">
        <v>125</v>
      </c>
      <c r="W79" s="6" t="s">
        <v>1870</v>
      </c>
      <c r="X79" s="6" t="s">
        <v>125</v>
      </c>
      <c r="Y79" s="6" t="s">
        <v>125</v>
      </c>
      <c r="Z79" s="6" t="s">
        <v>1871</v>
      </c>
      <c r="AA79" s="6" t="s">
        <v>125</v>
      </c>
      <c r="AB79" s="6" t="s">
        <v>1872</v>
      </c>
      <c r="AC79" s="6" t="s">
        <v>125</v>
      </c>
      <c r="AD79" s="6" t="s">
        <v>125</v>
      </c>
      <c r="AE79" s="6" t="s">
        <v>1088</v>
      </c>
      <c r="AF79" s="6" t="s">
        <v>125</v>
      </c>
      <c r="AG79" s="6" t="s">
        <v>125</v>
      </c>
      <c r="AH79" s="6" t="s">
        <v>1873</v>
      </c>
    </row>
    <row r="80" spans="1:34" ht="177.75">
      <c r="A80" s="4" t="s">
        <v>2705</v>
      </c>
      <c r="B80" s="4" t="s">
        <v>1874</v>
      </c>
      <c r="C80" s="3" t="s">
        <v>2686</v>
      </c>
      <c r="D80" s="6" t="s">
        <v>1875</v>
      </c>
      <c r="E80" s="6" t="s">
        <v>1876</v>
      </c>
      <c r="F80" s="6" t="s">
        <v>1877</v>
      </c>
      <c r="G80" s="6" t="s">
        <v>1878</v>
      </c>
      <c r="H80" s="6" t="s">
        <v>1879</v>
      </c>
      <c r="I80" s="6" t="s">
        <v>1880</v>
      </c>
      <c r="J80" s="6" t="s">
        <v>1881</v>
      </c>
      <c r="K80" s="6" t="s">
        <v>1882</v>
      </c>
      <c r="L80" s="6" t="s">
        <v>1883</v>
      </c>
      <c r="M80" s="6" t="s">
        <v>1884</v>
      </c>
      <c r="N80" s="6" t="s">
        <v>1885</v>
      </c>
      <c r="O80" s="6" t="s">
        <v>1886</v>
      </c>
      <c r="P80" s="6" t="s">
        <v>1887</v>
      </c>
      <c r="Q80" s="6" t="s">
        <v>1888</v>
      </c>
      <c r="R80" s="6" t="s">
        <v>1889</v>
      </c>
      <c r="S80" s="6" t="s">
        <v>1890</v>
      </c>
      <c r="T80" s="6" t="s">
        <v>1891</v>
      </c>
      <c r="U80" s="6" t="s">
        <v>1758</v>
      </c>
      <c r="V80" s="6" t="s">
        <v>1892</v>
      </c>
      <c r="W80" s="6" t="s">
        <v>1893</v>
      </c>
      <c r="X80" s="6" t="s">
        <v>1894</v>
      </c>
      <c r="Y80" s="6" t="s">
        <v>1895</v>
      </c>
      <c r="Z80" s="6" t="s">
        <v>1896</v>
      </c>
      <c r="AA80" s="6" t="s">
        <v>1897</v>
      </c>
      <c r="AB80" s="6" t="s">
        <v>1898</v>
      </c>
      <c r="AC80" s="6" t="s">
        <v>1899</v>
      </c>
      <c r="AD80" s="6" t="s">
        <v>1900</v>
      </c>
      <c r="AE80" s="6" t="s">
        <v>1901</v>
      </c>
      <c r="AF80" s="6" t="s">
        <v>1902</v>
      </c>
      <c r="AG80" s="6" t="s">
        <v>1903</v>
      </c>
      <c r="AH80" s="6" t="s">
        <v>1904</v>
      </c>
    </row>
    <row r="81" spans="1:34" ht="177.75">
      <c r="A81" s="4" t="s">
        <v>2705</v>
      </c>
      <c r="B81" s="4" t="s">
        <v>1874</v>
      </c>
      <c r="C81" s="3" t="s">
        <v>2687</v>
      </c>
      <c r="D81" s="6" t="s">
        <v>1905</v>
      </c>
      <c r="E81" s="6" t="s">
        <v>1906</v>
      </c>
      <c r="F81" s="6" t="s">
        <v>1907</v>
      </c>
      <c r="G81" s="6" t="s">
        <v>1908</v>
      </c>
      <c r="H81" s="6" t="s">
        <v>1909</v>
      </c>
      <c r="I81" s="6" t="s">
        <v>1910</v>
      </c>
      <c r="J81" s="6" t="s">
        <v>1911</v>
      </c>
      <c r="K81" s="6" t="s">
        <v>1912</v>
      </c>
      <c r="L81" s="6" t="s">
        <v>1913</v>
      </c>
      <c r="M81" s="6" t="s">
        <v>1914</v>
      </c>
      <c r="N81" s="6" t="s">
        <v>1915</v>
      </c>
      <c r="O81" s="6" t="s">
        <v>1916</v>
      </c>
      <c r="P81" s="6" t="s">
        <v>1917</v>
      </c>
      <c r="Q81" s="6" t="s">
        <v>1918</v>
      </c>
      <c r="R81" s="6" t="s">
        <v>1919</v>
      </c>
      <c r="S81" s="6" t="s">
        <v>1920</v>
      </c>
      <c r="T81" s="6" t="s">
        <v>1921</v>
      </c>
      <c r="U81" s="6" t="s">
        <v>1758</v>
      </c>
      <c r="V81" s="6" t="s">
        <v>1922</v>
      </c>
      <c r="W81" s="6" t="s">
        <v>1923</v>
      </c>
      <c r="X81" s="6" t="s">
        <v>1924</v>
      </c>
      <c r="Y81" s="6" t="s">
        <v>1925</v>
      </c>
      <c r="Z81" s="6" t="s">
        <v>1926</v>
      </c>
      <c r="AA81" s="6" t="s">
        <v>1927</v>
      </c>
      <c r="AB81" s="6" t="s">
        <v>1928</v>
      </c>
      <c r="AC81" s="6" t="s">
        <v>1929</v>
      </c>
      <c r="AD81" s="6" t="s">
        <v>1930</v>
      </c>
      <c r="AE81" s="6" t="s">
        <v>1931</v>
      </c>
      <c r="AF81" s="6" t="s">
        <v>1932</v>
      </c>
      <c r="AG81" s="6" t="s">
        <v>1933</v>
      </c>
      <c r="AH81" s="6" t="s">
        <v>1934</v>
      </c>
    </row>
    <row r="82" spans="1:34" ht="177.75">
      <c r="A82" s="4" t="s">
        <v>2705</v>
      </c>
      <c r="B82" s="4" t="s">
        <v>1874</v>
      </c>
      <c r="C82" s="2" t="s">
        <v>2733</v>
      </c>
      <c r="D82" s="6" t="s">
        <v>1935</v>
      </c>
      <c r="E82" s="6" t="s">
        <v>1936</v>
      </c>
      <c r="F82" s="6" t="s">
        <v>1937</v>
      </c>
      <c r="G82" s="6" t="s">
        <v>1938</v>
      </c>
      <c r="H82" s="6" t="s">
        <v>1939</v>
      </c>
      <c r="I82" s="6" t="s">
        <v>1940</v>
      </c>
      <c r="J82" s="6" t="s">
        <v>1941</v>
      </c>
      <c r="K82" s="6" t="s">
        <v>1937</v>
      </c>
      <c r="L82" s="6" t="s">
        <v>1942</v>
      </c>
      <c r="M82" s="6" t="s">
        <v>1943</v>
      </c>
      <c r="N82" s="6" t="s">
        <v>1944</v>
      </c>
      <c r="O82" s="6" t="s">
        <v>1945</v>
      </c>
      <c r="P82" s="6" t="s">
        <v>1946</v>
      </c>
      <c r="Q82" s="6" t="s">
        <v>1947</v>
      </c>
      <c r="R82" s="6" t="s">
        <v>1937</v>
      </c>
      <c r="S82" s="6" t="s">
        <v>1937</v>
      </c>
      <c r="T82" s="6" t="s">
        <v>1948</v>
      </c>
      <c r="U82" s="6" t="s">
        <v>1758</v>
      </c>
      <c r="V82" s="6" t="s">
        <v>1946</v>
      </c>
      <c r="W82" s="6" t="s">
        <v>1949</v>
      </c>
      <c r="X82" s="6" t="s">
        <v>1937</v>
      </c>
      <c r="Y82" s="6" t="s">
        <v>1946</v>
      </c>
      <c r="Z82" s="6" t="s">
        <v>1950</v>
      </c>
      <c r="AA82" s="6" t="s">
        <v>1951</v>
      </c>
      <c r="AB82" s="6" t="s">
        <v>1952</v>
      </c>
      <c r="AC82" s="6" t="s">
        <v>1953</v>
      </c>
      <c r="AD82" s="6" t="s">
        <v>1946</v>
      </c>
      <c r="AE82" s="6" t="s">
        <v>1946</v>
      </c>
      <c r="AF82" s="6" t="s">
        <v>1946</v>
      </c>
      <c r="AG82" s="6" t="s">
        <v>1954</v>
      </c>
      <c r="AH82" s="6" t="s">
        <v>1955</v>
      </c>
    </row>
    <row r="83" spans="1:34" ht="409.5">
      <c r="A83" s="4" t="s">
        <v>2705</v>
      </c>
      <c r="B83" s="4" t="s">
        <v>1874</v>
      </c>
      <c r="C83" s="2" t="s">
        <v>2734</v>
      </c>
      <c r="D83" s="6" t="s">
        <v>1956</v>
      </c>
      <c r="E83" s="6" t="s">
        <v>1957</v>
      </c>
      <c r="F83" s="6" t="s">
        <v>1958</v>
      </c>
      <c r="G83" s="6" t="s">
        <v>1959</v>
      </c>
      <c r="H83" s="6" t="s">
        <v>1960</v>
      </c>
      <c r="I83" s="6" t="s">
        <v>1961</v>
      </c>
      <c r="J83" s="6" t="s">
        <v>1962</v>
      </c>
      <c r="K83" s="6" t="s">
        <v>1963</v>
      </c>
      <c r="L83" s="6" t="s">
        <v>1964</v>
      </c>
      <c r="M83" s="6" t="s">
        <v>1965</v>
      </c>
      <c r="N83" s="6" t="s">
        <v>1966</v>
      </c>
      <c r="O83" s="6" t="s">
        <v>1960</v>
      </c>
      <c r="P83" s="6" t="s">
        <v>1967</v>
      </c>
      <c r="Q83" s="6" t="s">
        <v>1968</v>
      </c>
      <c r="R83" s="6" t="s">
        <v>1969</v>
      </c>
      <c r="S83" s="6" t="s">
        <v>1970</v>
      </c>
      <c r="T83" s="6" t="s">
        <v>1971</v>
      </c>
      <c r="U83" s="6" t="s">
        <v>1758</v>
      </c>
      <c r="V83" s="6" t="s">
        <v>1972</v>
      </c>
      <c r="W83" s="6" t="s">
        <v>1973</v>
      </c>
      <c r="X83" s="6" t="s">
        <v>1974</v>
      </c>
      <c r="Y83" s="6" t="s">
        <v>1975</v>
      </c>
      <c r="Z83" s="6" t="s">
        <v>1976</v>
      </c>
      <c r="AA83" s="6" t="s">
        <v>1957</v>
      </c>
      <c r="AB83" s="6" t="s">
        <v>1977</v>
      </c>
      <c r="AC83" s="6" t="s">
        <v>1978</v>
      </c>
      <c r="AD83" s="6" t="s">
        <v>1979</v>
      </c>
      <c r="AE83" s="6" t="s">
        <v>1980</v>
      </c>
      <c r="AF83" s="6" t="s">
        <v>1981</v>
      </c>
      <c r="AG83" s="6" t="s">
        <v>1982</v>
      </c>
      <c r="AH83" s="6" t="s">
        <v>1983</v>
      </c>
    </row>
    <row r="84" spans="1:34" ht="409.5">
      <c r="A84" s="4" t="s">
        <v>2705</v>
      </c>
      <c r="B84" s="4" t="s">
        <v>1874</v>
      </c>
      <c r="C84" s="2" t="s">
        <v>2735</v>
      </c>
      <c r="D84" s="6" t="s">
        <v>1984</v>
      </c>
      <c r="E84" s="6" t="s">
        <v>1985</v>
      </c>
      <c r="F84" s="6" t="s">
        <v>1986</v>
      </c>
      <c r="G84" s="6" t="s">
        <v>1987</v>
      </c>
      <c r="H84" s="6" t="s">
        <v>1988</v>
      </c>
      <c r="I84" s="6" t="s">
        <v>1989</v>
      </c>
      <c r="J84" s="6" t="s">
        <v>1990</v>
      </c>
      <c r="K84" s="6" t="s">
        <v>1991</v>
      </c>
      <c r="L84" s="6" t="s">
        <v>1992</v>
      </c>
      <c r="M84" s="6" t="s">
        <v>1993</v>
      </c>
      <c r="N84" s="6" t="s">
        <v>1994</v>
      </c>
      <c r="O84" s="6" t="s">
        <v>1995</v>
      </c>
      <c r="P84" s="6" t="s">
        <v>1996</v>
      </c>
      <c r="Q84" s="6" t="s">
        <v>1997</v>
      </c>
      <c r="R84" s="6" t="s">
        <v>1998</v>
      </c>
      <c r="S84" s="6" t="s">
        <v>1999</v>
      </c>
      <c r="T84" s="6" t="s">
        <v>2000</v>
      </c>
      <c r="U84" s="6" t="s">
        <v>1758</v>
      </c>
      <c r="V84" s="6" t="s">
        <v>2001</v>
      </c>
      <c r="W84" s="6" t="s">
        <v>2002</v>
      </c>
      <c r="X84" s="6" t="s">
        <v>2003</v>
      </c>
      <c r="Y84" s="6" t="s">
        <v>2004</v>
      </c>
      <c r="Z84" s="6" t="s">
        <v>2005</v>
      </c>
      <c r="AA84" s="6" t="s">
        <v>2006</v>
      </c>
      <c r="AB84" s="6" t="s">
        <v>2007</v>
      </c>
      <c r="AC84" s="6" t="s">
        <v>2008</v>
      </c>
      <c r="AD84" s="6" t="s">
        <v>2009</v>
      </c>
      <c r="AE84" s="6" t="s">
        <v>2010</v>
      </c>
      <c r="AF84" s="6" t="s">
        <v>2011</v>
      </c>
      <c r="AG84" s="6" t="s">
        <v>2012</v>
      </c>
      <c r="AH84" s="6" t="s">
        <v>2013</v>
      </c>
    </row>
    <row r="85" spans="1:34" ht="409.5">
      <c r="A85" s="4" t="s">
        <v>2705</v>
      </c>
      <c r="B85" s="4" t="s">
        <v>1874</v>
      </c>
      <c r="C85" s="2" t="s">
        <v>2736</v>
      </c>
      <c r="D85" s="6" t="s">
        <v>2014</v>
      </c>
      <c r="E85" s="6" t="s">
        <v>2015</v>
      </c>
      <c r="F85" s="6" t="s">
        <v>2016</v>
      </c>
      <c r="G85" s="6" t="s">
        <v>2017</v>
      </c>
      <c r="H85" s="6" t="s">
        <v>2018</v>
      </c>
      <c r="I85" s="6" t="s">
        <v>2019</v>
      </c>
      <c r="J85" s="6" t="s">
        <v>2020</v>
      </c>
      <c r="K85" s="6" t="s">
        <v>2021</v>
      </c>
      <c r="L85" s="6" t="s">
        <v>2022</v>
      </c>
      <c r="M85" s="6" t="s">
        <v>2023</v>
      </c>
      <c r="N85" s="6" t="s">
        <v>2024</v>
      </c>
      <c r="O85" s="6" t="s">
        <v>2025</v>
      </c>
      <c r="P85" s="6" t="s">
        <v>2026</v>
      </c>
      <c r="Q85" s="6" t="s">
        <v>2027</v>
      </c>
      <c r="R85" s="6" t="s">
        <v>2028</v>
      </c>
      <c r="S85" s="6" t="s">
        <v>2029</v>
      </c>
      <c r="T85" s="6" t="s">
        <v>2030</v>
      </c>
      <c r="U85" s="6" t="s">
        <v>1758</v>
      </c>
      <c r="V85" s="6" t="s">
        <v>2031</v>
      </c>
      <c r="W85" s="6" t="s">
        <v>2032</v>
      </c>
      <c r="X85" s="6" t="s">
        <v>2033</v>
      </c>
      <c r="Y85" s="6" t="s">
        <v>2034</v>
      </c>
      <c r="Z85" s="6" t="s">
        <v>2035</v>
      </c>
      <c r="AA85" s="6" t="s">
        <v>2036</v>
      </c>
      <c r="AB85" s="6" t="s">
        <v>2037</v>
      </c>
      <c r="AC85" s="6" t="s">
        <v>2038</v>
      </c>
      <c r="AD85" s="6" t="s">
        <v>2039</v>
      </c>
      <c r="AE85" s="6" t="s">
        <v>2040</v>
      </c>
      <c r="AF85" s="6" t="s">
        <v>2041</v>
      </c>
      <c r="AG85" s="6" t="s">
        <v>2042</v>
      </c>
      <c r="AH85" s="6" t="s">
        <v>2043</v>
      </c>
    </row>
    <row r="86" spans="1:34" ht="225">
      <c r="A86" s="4" t="s">
        <v>2705</v>
      </c>
      <c r="B86" s="4" t="s">
        <v>2103</v>
      </c>
      <c r="C86" s="2" t="s">
        <v>2737</v>
      </c>
      <c r="D86" s="6" t="s">
        <v>2044</v>
      </c>
      <c r="E86" s="6" t="s">
        <v>2045</v>
      </c>
      <c r="F86" s="6" t="s">
        <v>2046</v>
      </c>
      <c r="G86" s="6" t="s">
        <v>2047</v>
      </c>
      <c r="H86" s="6" t="s">
        <v>2048</v>
      </c>
      <c r="I86" s="6" t="s">
        <v>2049</v>
      </c>
      <c r="J86" s="6" t="s">
        <v>2050</v>
      </c>
      <c r="K86" s="6" t="s">
        <v>2051</v>
      </c>
      <c r="L86" s="6" t="s">
        <v>2052</v>
      </c>
      <c r="M86" s="6" t="s">
        <v>2053</v>
      </c>
      <c r="N86" s="6" t="s">
        <v>2054</v>
      </c>
      <c r="O86" s="6" t="s">
        <v>2055</v>
      </c>
      <c r="P86" s="6" t="s">
        <v>2056</v>
      </c>
      <c r="Q86" s="6" t="s">
        <v>2057</v>
      </c>
      <c r="R86" s="6" t="s">
        <v>2058</v>
      </c>
      <c r="S86" s="6" t="s">
        <v>2059</v>
      </c>
      <c r="T86" s="6" t="s">
        <v>2060</v>
      </c>
      <c r="U86" s="6" t="s">
        <v>1758</v>
      </c>
      <c r="V86" s="6" t="s">
        <v>2061</v>
      </c>
      <c r="W86" s="6" t="s">
        <v>2062</v>
      </c>
      <c r="X86" s="6" t="s">
        <v>2063</v>
      </c>
      <c r="Y86" s="6" t="s">
        <v>2064</v>
      </c>
      <c r="Z86" s="6" t="s">
        <v>2065</v>
      </c>
      <c r="AA86" s="6" t="s">
        <v>2066</v>
      </c>
      <c r="AB86" s="6" t="s">
        <v>2067</v>
      </c>
      <c r="AC86" s="6" t="s">
        <v>2068</v>
      </c>
      <c r="AD86" s="6" t="s">
        <v>2069</v>
      </c>
      <c r="AE86" s="6" t="s">
        <v>2070</v>
      </c>
      <c r="AF86" s="6" t="s">
        <v>2071</v>
      </c>
      <c r="AG86" s="6" t="s">
        <v>2072</v>
      </c>
      <c r="AH86" s="6" t="s">
        <v>2073</v>
      </c>
    </row>
    <row r="87" spans="1:34" ht="300">
      <c r="A87" s="4" t="s">
        <v>2705</v>
      </c>
      <c r="B87" s="4" t="s">
        <v>2103</v>
      </c>
      <c r="C87" s="2" t="s">
        <v>2738</v>
      </c>
      <c r="D87" s="6" t="s">
        <v>2074</v>
      </c>
      <c r="E87" s="6" t="s">
        <v>2075</v>
      </c>
      <c r="F87" s="6" t="s">
        <v>2076</v>
      </c>
      <c r="G87" s="6" t="s">
        <v>2077</v>
      </c>
      <c r="H87" s="6" t="s">
        <v>2078</v>
      </c>
      <c r="I87" s="6" t="s">
        <v>2079</v>
      </c>
      <c r="J87" s="6" t="s">
        <v>2080</v>
      </c>
      <c r="K87" s="6" t="s">
        <v>2081</v>
      </c>
      <c r="L87" s="6" t="s">
        <v>2082</v>
      </c>
      <c r="M87" s="6" t="s">
        <v>2083</v>
      </c>
      <c r="N87" s="6" t="s">
        <v>2084</v>
      </c>
      <c r="O87" s="6" t="s">
        <v>2085</v>
      </c>
      <c r="P87" s="6" t="s">
        <v>2086</v>
      </c>
      <c r="Q87" s="6" t="s">
        <v>2087</v>
      </c>
      <c r="R87" s="6" t="s">
        <v>2088</v>
      </c>
      <c r="S87" s="6" t="s">
        <v>2089</v>
      </c>
      <c r="T87" s="6" t="s">
        <v>2090</v>
      </c>
      <c r="U87" s="6" t="s">
        <v>1758</v>
      </c>
      <c r="V87" s="6" t="s">
        <v>2091</v>
      </c>
      <c r="W87" s="6" t="s">
        <v>2092</v>
      </c>
      <c r="X87" s="6" t="s">
        <v>2093</v>
      </c>
      <c r="Y87" s="6" t="s">
        <v>2094</v>
      </c>
      <c r="Z87" s="6" t="s">
        <v>2095</v>
      </c>
      <c r="AA87" s="6" t="s">
        <v>2096</v>
      </c>
      <c r="AB87" s="6" t="s">
        <v>2097</v>
      </c>
      <c r="AC87" s="6" t="s">
        <v>2098</v>
      </c>
      <c r="AD87" s="6" t="s">
        <v>2099</v>
      </c>
      <c r="AE87" s="6" t="s">
        <v>2099</v>
      </c>
      <c r="AF87" s="6" t="s">
        <v>2100</v>
      </c>
      <c r="AG87" s="6" t="s">
        <v>2101</v>
      </c>
      <c r="AH87" s="6" t="s">
        <v>2102</v>
      </c>
    </row>
    <row r="88" spans="1:34" ht="390">
      <c r="A88" s="4" t="s">
        <v>2705</v>
      </c>
      <c r="B88" s="4" t="s">
        <v>2103</v>
      </c>
      <c r="C88" s="3" t="s">
        <v>2713</v>
      </c>
      <c r="D88" s="7" t="s">
        <v>169</v>
      </c>
      <c r="E88" s="6" t="s">
        <v>2104</v>
      </c>
      <c r="F88" s="6" t="s">
        <v>2105</v>
      </c>
      <c r="G88" s="7" t="s">
        <v>169</v>
      </c>
      <c r="H88" s="6" t="s">
        <v>2106</v>
      </c>
      <c r="I88" s="6" t="s">
        <v>2107</v>
      </c>
      <c r="J88" s="6" t="s">
        <v>2108</v>
      </c>
      <c r="K88" s="6" t="s">
        <v>2109</v>
      </c>
      <c r="L88" s="6" t="s">
        <v>2110</v>
      </c>
      <c r="M88" s="6" t="s">
        <v>2111</v>
      </c>
      <c r="N88" s="6" t="s">
        <v>2112</v>
      </c>
      <c r="O88" s="6" t="s">
        <v>2113</v>
      </c>
      <c r="P88" s="6" t="s">
        <v>2114</v>
      </c>
      <c r="Q88" s="6" t="s">
        <v>2115</v>
      </c>
      <c r="R88" s="6" t="s">
        <v>2116</v>
      </c>
      <c r="S88" s="6" t="s">
        <v>2117</v>
      </c>
      <c r="T88" s="6" t="s">
        <v>2118</v>
      </c>
      <c r="U88" s="6" t="s">
        <v>1758</v>
      </c>
      <c r="V88" s="6" t="s">
        <v>2119</v>
      </c>
      <c r="W88" s="6" t="s">
        <v>2120</v>
      </c>
      <c r="X88" s="6" t="s">
        <v>2121</v>
      </c>
      <c r="Y88" s="6" t="s">
        <v>2122</v>
      </c>
      <c r="Z88" s="6" t="s">
        <v>2123</v>
      </c>
      <c r="AA88" s="6" t="s">
        <v>2124</v>
      </c>
      <c r="AB88" s="6" t="s">
        <v>2125</v>
      </c>
      <c r="AC88" s="6" t="s">
        <v>2126</v>
      </c>
      <c r="AD88" s="6" t="s">
        <v>2127</v>
      </c>
      <c r="AE88" s="6" t="s">
        <v>2128</v>
      </c>
      <c r="AF88" s="6" t="s">
        <v>2129</v>
      </c>
      <c r="AG88" s="6" t="s">
        <v>2130</v>
      </c>
      <c r="AH88" s="7" t="s">
        <v>169</v>
      </c>
    </row>
    <row r="89" spans="1:34" ht="180">
      <c r="A89" s="4" t="s">
        <v>2705</v>
      </c>
      <c r="B89" s="4" t="s">
        <v>2103</v>
      </c>
      <c r="C89" s="3" t="s">
        <v>2714</v>
      </c>
      <c r="D89" s="6" t="s">
        <v>2131</v>
      </c>
      <c r="E89" s="6" t="s">
        <v>373</v>
      </c>
      <c r="F89" s="6" t="s">
        <v>2132</v>
      </c>
      <c r="G89" s="6" t="s">
        <v>2133</v>
      </c>
      <c r="H89" s="6" t="s">
        <v>2134</v>
      </c>
      <c r="I89" s="6" t="s">
        <v>2135</v>
      </c>
      <c r="J89" s="6" t="s">
        <v>2136</v>
      </c>
      <c r="K89" s="6" t="s">
        <v>373</v>
      </c>
      <c r="L89" s="6" t="s">
        <v>2137</v>
      </c>
      <c r="M89" s="6" t="s">
        <v>2138</v>
      </c>
      <c r="N89" s="6" t="s">
        <v>2139</v>
      </c>
      <c r="O89" s="6" t="s">
        <v>2140</v>
      </c>
      <c r="P89" s="6" t="s">
        <v>2141</v>
      </c>
      <c r="Q89" s="6" t="s">
        <v>2142</v>
      </c>
      <c r="R89" s="6" t="s">
        <v>2139</v>
      </c>
      <c r="S89" s="6" t="s">
        <v>2143</v>
      </c>
      <c r="T89" s="6" t="s">
        <v>2139</v>
      </c>
      <c r="U89" s="6" t="s">
        <v>1758</v>
      </c>
      <c r="V89" s="6" t="s">
        <v>2144</v>
      </c>
      <c r="W89" s="6" t="s">
        <v>2145</v>
      </c>
      <c r="X89" s="6" t="s">
        <v>2139</v>
      </c>
      <c r="Y89" s="6" t="s">
        <v>2141</v>
      </c>
      <c r="Z89" s="6" t="s">
        <v>2146</v>
      </c>
      <c r="AA89" s="6" t="s">
        <v>2147</v>
      </c>
      <c r="AB89" s="6" t="s">
        <v>2148</v>
      </c>
      <c r="AC89" s="6" t="s">
        <v>373</v>
      </c>
      <c r="AD89" s="7" t="s">
        <v>169</v>
      </c>
      <c r="AE89" s="6" t="s">
        <v>2149</v>
      </c>
      <c r="AF89" s="6" t="s">
        <v>2150</v>
      </c>
      <c r="AG89" s="6" t="s">
        <v>2139</v>
      </c>
      <c r="AH89" s="6" t="s">
        <v>2151</v>
      </c>
    </row>
    <row r="90" spans="1:34" ht="315">
      <c r="A90" s="4" t="s">
        <v>2705</v>
      </c>
      <c r="B90" s="4" t="s">
        <v>2103</v>
      </c>
      <c r="C90" s="3" t="s">
        <v>2715</v>
      </c>
      <c r="D90" s="6" t="s">
        <v>2152</v>
      </c>
      <c r="E90" s="6" t="s">
        <v>2153</v>
      </c>
      <c r="F90" s="6" t="s">
        <v>2154</v>
      </c>
      <c r="G90" s="6" t="s">
        <v>2155</v>
      </c>
      <c r="H90" s="6" t="s">
        <v>2156</v>
      </c>
      <c r="I90" s="6" t="s">
        <v>2157</v>
      </c>
      <c r="J90" s="6" t="s">
        <v>2158</v>
      </c>
      <c r="K90" s="6" t="s">
        <v>2159</v>
      </c>
      <c r="L90" s="6" t="s">
        <v>376</v>
      </c>
      <c r="M90" s="6" t="s">
        <v>2160</v>
      </c>
      <c r="N90" s="6" t="s">
        <v>2161</v>
      </c>
      <c r="O90" s="6" t="s">
        <v>2162</v>
      </c>
      <c r="P90" s="6" t="s">
        <v>2163</v>
      </c>
      <c r="Q90" s="6" t="s">
        <v>2164</v>
      </c>
      <c r="R90" s="6" t="s">
        <v>2165</v>
      </c>
      <c r="S90" s="6" t="s">
        <v>2166</v>
      </c>
      <c r="T90" s="6" t="s">
        <v>2167</v>
      </c>
      <c r="U90" s="6" t="s">
        <v>1758</v>
      </c>
      <c r="V90" s="6" t="s">
        <v>2168</v>
      </c>
      <c r="W90" s="6" t="s">
        <v>2169</v>
      </c>
      <c r="X90" s="6" t="s">
        <v>2170</v>
      </c>
      <c r="Y90" s="6" t="s">
        <v>2171</v>
      </c>
      <c r="Z90" s="6" t="s">
        <v>2172</v>
      </c>
      <c r="AA90" s="6" t="s">
        <v>2173</v>
      </c>
      <c r="AB90" s="6" t="s">
        <v>2174</v>
      </c>
      <c r="AC90" s="6" t="s">
        <v>2175</v>
      </c>
      <c r="AD90" s="6" t="s">
        <v>2176</v>
      </c>
      <c r="AE90" s="6" t="s">
        <v>2177</v>
      </c>
      <c r="AF90" s="6" t="s">
        <v>2178</v>
      </c>
      <c r="AG90" s="6" t="s">
        <v>2179</v>
      </c>
      <c r="AH90" s="6" t="s">
        <v>2180</v>
      </c>
    </row>
    <row r="91" spans="1:34" ht="255">
      <c r="A91" s="4" t="s">
        <v>2705</v>
      </c>
      <c r="B91" s="4" t="s">
        <v>2103</v>
      </c>
      <c r="C91" s="3" t="s">
        <v>2716</v>
      </c>
      <c r="D91" s="6" t="s">
        <v>2181</v>
      </c>
      <c r="E91" s="6" t="s">
        <v>2182</v>
      </c>
      <c r="F91" s="6" t="s">
        <v>2183</v>
      </c>
      <c r="G91" s="6" t="s">
        <v>2184</v>
      </c>
      <c r="H91" s="6" t="s">
        <v>2185</v>
      </c>
      <c r="I91" s="6" t="s">
        <v>2186</v>
      </c>
      <c r="J91" s="6" t="s">
        <v>2187</v>
      </c>
      <c r="K91" s="6" t="s">
        <v>2188</v>
      </c>
      <c r="L91" s="6" t="s">
        <v>2189</v>
      </c>
      <c r="M91" s="6" t="s">
        <v>2190</v>
      </c>
      <c r="N91" s="6" t="s">
        <v>2191</v>
      </c>
      <c r="O91" s="6" t="s">
        <v>2192</v>
      </c>
      <c r="P91" s="6" t="s">
        <v>2193</v>
      </c>
      <c r="Q91" s="6" t="s">
        <v>2194</v>
      </c>
      <c r="R91" s="6" t="s">
        <v>2195</v>
      </c>
      <c r="S91" s="6" t="s">
        <v>2196</v>
      </c>
      <c r="T91" s="6" t="s">
        <v>2197</v>
      </c>
      <c r="U91" s="6" t="s">
        <v>1758</v>
      </c>
      <c r="V91" s="6" t="s">
        <v>2198</v>
      </c>
      <c r="W91" s="6" t="s">
        <v>2199</v>
      </c>
      <c r="X91" s="6" t="s">
        <v>2200</v>
      </c>
      <c r="Y91" s="6" t="s">
        <v>2201</v>
      </c>
      <c r="Z91" s="6" t="s">
        <v>2202</v>
      </c>
      <c r="AA91" s="6" t="s">
        <v>2203</v>
      </c>
      <c r="AB91" s="6" t="s">
        <v>2204</v>
      </c>
      <c r="AC91" s="6" t="s">
        <v>2186</v>
      </c>
      <c r="AD91" s="6" t="s">
        <v>2205</v>
      </c>
      <c r="AE91" s="6" t="s">
        <v>2206</v>
      </c>
      <c r="AF91" s="6" t="s">
        <v>2207</v>
      </c>
      <c r="AG91" s="6" t="s">
        <v>2208</v>
      </c>
      <c r="AH91" s="6" t="s">
        <v>2209</v>
      </c>
    </row>
    <row r="92" spans="1:34" ht="180">
      <c r="A92" s="4" t="s">
        <v>2705</v>
      </c>
      <c r="B92" s="4" t="s">
        <v>2103</v>
      </c>
      <c r="C92" s="3" t="s">
        <v>2717</v>
      </c>
      <c r="D92" s="6" t="s">
        <v>2210</v>
      </c>
      <c r="E92" s="6" t="s">
        <v>2211</v>
      </c>
      <c r="F92" s="6" t="s">
        <v>2212</v>
      </c>
      <c r="G92" s="6" t="s">
        <v>2213</v>
      </c>
      <c r="H92" s="6" t="s">
        <v>2214</v>
      </c>
      <c r="I92" s="6" t="s">
        <v>2215</v>
      </c>
      <c r="J92" s="6" t="s">
        <v>2216</v>
      </c>
      <c r="K92" s="6" t="s">
        <v>2217</v>
      </c>
      <c r="L92" s="6" t="s">
        <v>2218</v>
      </c>
      <c r="M92" s="6" t="s">
        <v>2219</v>
      </c>
      <c r="N92" s="6" t="s">
        <v>2220</v>
      </c>
      <c r="O92" s="6" t="s">
        <v>2221</v>
      </c>
      <c r="P92" s="6" t="s">
        <v>2222</v>
      </c>
      <c r="Q92" s="6" t="s">
        <v>2223</v>
      </c>
      <c r="R92" s="6" t="s">
        <v>2224</v>
      </c>
      <c r="S92" s="6" t="s">
        <v>2225</v>
      </c>
      <c r="T92" s="6" t="s">
        <v>2226</v>
      </c>
      <c r="U92" s="6" t="s">
        <v>1758</v>
      </c>
      <c r="V92" s="6" t="s">
        <v>2227</v>
      </c>
      <c r="W92" s="6" t="s">
        <v>2228</v>
      </c>
      <c r="X92" s="6" t="s">
        <v>2229</v>
      </c>
      <c r="Y92" s="6" t="s">
        <v>2230</v>
      </c>
      <c r="Z92" s="6" t="s">
        <v>2231</v>
      </c>
      <c r="AA92" s="6" t="s">
        <v>2232</v>
      </c>
      <c r="AB92" s="6" t="s">
        <v>2233</v>
      </c>
      <c r="AC92" s="6" t="s">
        <v>2234</v>
      </c>
      <c r="AD92" s="6" t="s">
        <v>2235</v>
      </c>
      <c r="AE92" s="6" t="s">
        <v>2236</v>
      </c>
      <c r="AF92" s="6" t="s">
        <v>2237</v>
      </c>
      <c r="AG92" s="6" t="s">
        <v>2238</v>
      </c>
      <c r="AH92" s="6" t="s">
        <v>2239</v>
      </c>
    </row>
    <row r="93" spans="1:34" ht="270">
      <c r="A93" s="4" t="s">
        <v>2705</v>
      </c>
      <c r="B93" s="4" t="s">
        <v>2103</v>
      </c>
      <c r="C93" s="3" t="s">
        <v>2690</v>
      </c>
      <c r="D93" s="6" t="s">
        <v>2240</v>
      </c>
      <c r="E93" s="6" t="s">
        <v>456</v>
      </c>
      <c r="F93" s="6" t="s">
        <v>456</v>
      </c>
      <c r="G93" s="6" t="s">
        <v>456</v>
      </c>
      <c r="H93" s="6" t="s">
        <v>456</v>
      </c>
      <c r="I93" s="6" t="s">
        <v>2241</v>
      </c>
      <c r="J93" s="6" t="s">
        <v>2242</v>
      </c>
      <c r="K93" s="6" t="s">
        <v>2243</v>
      </c>
      <c r="L93" s="6" t="s">
        <v>2244</v>
      </c>
      <c r="M93" s="6" t="s">
        <v>2245</v>
      </c>
      <c r="N93" s="6" t="s">
        <v>2246</v>
      </c>
      <c r="O93" s="6" t="s">
        <v>456</v>
      </c>
      <c r="P93" s="6" t="s">
        <v>2247</v>
      </c>
      <c r="Q93" s="6" t="s">
        <v>2248</v>
      </c>
      <c r="R93" s="6" t="s">
        <v>2247</v>
      </c>
      <c r="S93" s="6" t="s">
        <v>456</v>
      </c>
      <c r="T93" s="6" t="s">
        <v>2247</v>
      </c>
      <c r="U93" s="6" t="s">
        <v>1758</v>
      </c>
      <c r="V93" s="6" t="s">
        <v>2249</v>
      </c>
      <c r="W93" s="6" t="s">
        <v>2250</v>
      </c>
      <c r="X93" s="6" t="s">
        <v>2247</v>
      </c>
      <c r="Y93" s="6" t="s">
        <v>2251</v>
      </c>
      <c r="Z93" s="6" t="s">
        <v>456</v>
      </c>
      <c r="AA93" s="6" t="s">
        <v>2247</v>
      </c>
      <c r="AB93" s="6" t="s">
        <v>2247</v>
      </c>
      <c r="AC93" s="6" t="s">
        <v>2247</v>
      </c>
      <c r="AD93" s="6" t="s">
        <v>2247</v>
      </c>
      <c r="AE93" s="6" t="s">
        <v>2252</v>
      </c>
      <c r="AF93" s="6" t="s">
        <v>447</v>
      </c>
      <c r="AG93" s="6" t="s">
        <v>2247</v>
      </c>
      <c r="AH93" s="6" t="s">
        <v>2253</v>
      </c>
    </row>
    <row r="94" spans="1:34" ht="120">
      <c r="A94" s="4" t="s">
        <v>2705</v>
      </c>
      <c r="B94" s="4" t="s">
        <v>2103</v>
      </c>
      <c r="C94" s="3" t="s">
        <v>2718</v>
      </c>
      <c r="D94" s="6" t="s">
        <v>2254</v>
      </c>
      <c r="E94" s="6" t="s">
        <v>2255</v>
      </c>
      <c r="F94" s="6" t="s">
        <v>456</v>
      </c>
      <c r="G94" s="6" t="s">
        <v>2256</v>
      </c>
      <c r="H94" s="6" t="s">
        <v>456</v>
      </c>
      <c r="I94" s="6" t="s">
        <v>2257</v>
      </c>
      <c r="J94" s="6" t="s">
        <v>2258</v>
      </c>
      <c r="K94" s="6" t="s">
        <v>2259</v>
      </c>
      <c r="L94" s="6" t="s">
        <v>2260</v>
      </c>
      <c r="M94" s="6" t="s">
        <v>2261</v>
      </c>
      <c r="N94" s="6" t="s">
        <v>2262</v>
      </c>
      <c r="O94" s="6" t="s">
        <v>2263</v>
      </c>
      <c r="P94" s="6" t="s">
        <v>2264</v>
      </c>
      <c r="Q94" s="6" t="s">
        <v>2265</v>
      </c>
      <c r="R94" s="6" t="s">
        <v>2266</v>
      </c>
      <c r="S94" s="6" t="s">
        <v>2267</v>
      </c>
      <c r="T94" s="6" t="s">
        <v>2268</v>
      </c>
      <c r="U94" s="6" t="s">
        <v>1758</v>
      </c>
      <c r="V94" s="6" t="s">
        <v>2269</v>
      </c>
      <c r="W94" s="6" t="s">
        <v>2270</v>
      </c>
      <c r="X94" s="6" t="s">
        <v>2271</v>
      </c>
      <c r="Y94" s="6" t="s">
        <v>2272</v>
      </c>
      <c r="Z94" s="6" t="s">
        <v>2273</v>
      </c>
      <c r="AA94" s="6" t="s">
        <v>2274</v>
      </c>
      <c r="AB94" s="6" t="s">
        <v>2275</v>
      </c>
      <c r="AC94" s="6" t="s">
        <v>2276</v>
      </c>
      <c r="AD94" s="6" t="s">
        <v>2277</v>
      </c>
      <c r="AE94" s="6" t="s">
        <v>2278</v>
      </c>
      <c r="AF94" s="6" t="s">
        <v>2279</v>
      </c>
      <c r="AG94" s="6" t="s">
        <v>2280</v>
      </c>
      <c r="AH94" s="6" t="s">
        <v>2281</v>
      </c>
    </row>
    <row r="95" spans="1:34" ht="300">
      <c r="A95" s="4" t="s">
        <v>2705</v>
      </c>
      <c r="B95" s="4" t="s">
        <v>2328</v>
      </c>
      <c r="C95" s="3" t="s">
        <v>2719</v>
      </c>
      <c r="D95" s="6" t="s">
        <v>2282</v>
      </c>
      <c r="E95" s="6" t="s">
        <v>2283</v>
      </c>
      <c r="F95" s="6" t="s">
        <v>2284</v>
      </c>
      <c r="G95" s="6" t="s">
        <v>2285</v>
      </c>
      <c r="H95" s="6" t="s">
        <v>2286</v>
      </c>
      <c r="I95" s="6" t="s">
        <v>2287</v>
      </c>
      <c r="J95" s="6" t="s">
        <v>2288</v>
      </c>
      <c r="K95" s="6" t="s">
        <v>2289</v>
      </c>
      <c r="L95" s="6" t="s">
        <v>2290</v>
      </c>
      <c r="M95" s="6" t="s">
        <v>2291</v>
      </c>
      <c r="N95" s="6" t="s">
        <v>2292</v>
      </c>
      <c r="O95" s="6" t="s">
        <v>2293</v>
      </c>
      <c r="P95" s="6" t="s">
        <v>2294</v>
      </c>
      <c r="Q95" s="6" t="s">
        <v>2295</v>
      </c>
      <c r="R95" s="6" t="s">
        <v>2296</v>
      </c>
      <c r="S95" s="6" t="s">
        <v>2297</v>
      </c>
      <c r="T95" s="6" t="s">
        <v>2294</v>
      </c>
      <c r="U95" s="6" t="s">
        <v>1758</v>
      </c>
      <c r="V95" s="6" t="s">
        <v>2298</v>
      </c>
      <c r="W95" s="6" t="s">
        <v>2299</v>
      </c>
      <c r="X95" s="6" t="s">
        <v>2300</v>
      </c>
      <c r="Y95" s="6" t="s">
        <v>2301</v>
      </c>
      <c r="Z95" s="6" t="s">
        <v>2302</v>
      </c>
      <c r="AA95" s="6" t="s">
        <v>2303</v>
      </c>
      <c r="AB95" s="6" t="s">
        <v>2304</v>
      </c>
      <c r="AC95" s="6" t="s">
        <v>2305</v>
      </c>
      <c r="AD95" s="6" t="s">
        <v>2306</v>
      </c>
      <c r="AE95" s="6" t="s">
        <v>2307</v>
      </c>
      <c r="AF95" s="6" t="s">
        <v>2308</v>
      </c>
      <c r="AG95" s="6" t="s">
        <v>2294</v>
      </c>
      <c r="AH95" s="6" t="s">
        <v>1423</v>
      </c>
    </row>
    <row r="96" spans="1:34" ht="150">
      <c r="A96" s="4" t="s">
        <v>2705</v>
      </c>
      <c r="B96" s="4" t="s">
        <v>2328</v>
      </c>
      <c r="C96" s="3" t="s">
        <v>2720</v>
      </c>
      <c r="D96" s="6" t="s">
        <v>2309</v>
      </c>
      <c r="E96" s="6" t="s">
        <v>2310</v>
      </c>
      <c r="F96" s="6" t="s">
        <v>2311</v>
      </c>
      <c r="G96" s="6" t="s">
        <v>2312</v>
      </c>
      <c r="H96" s="6" t="s">
        <v>2313</v>
      </c>
      <c r="I96" s="6" t="s">
        <v>2314</v>
      </c>
      <c r="J96" s="6" t="s">
        <v>2315</v>
      </c>
      <c r="K96" s="6" t="s">
        <v>2310</v>
      </c>
      <c r="L96" s="6" t="s">
        <v>2316</v>
      </c>
      <c r="M96" s="6" t="s">
        <v>2317</v>
      </c>
      <c r="N96" s="6" t="s">
        <v>2318</v>
      </c>
      <c r="O96" s="6" t="s">
        <v>2310</v>
      </c>
      <c r="P96" s="6" t="s">
        <v>2310</v>
      </c>
      <c r="Q96" s="6" t="s">
        <v>2319</v>
      </c>
      <c r="R96" s="6" t="s">
        <v>2310</v>
      </c>
      <c r="S96" s="6" t="s">
        <v>2320</v>
      </c>
      <c r="T96" s="6" t="s">
        <v>2321</v>
      </c>
      <c r="U96" s="6" t="s">
        <v>1758</v>
      </c>
      <c r="V96" s="6" t="s">
        <v>2322</v>
      </c>
      <c r="W96" s="6" t="s">
        <v>2323</v>
      </c>
      <c r="X96" s="6" t="s">
        <v>2310</v>
      </c>
      <c r="Y96" s="6" t="s">
        <v>2324</v>
      </c>
      <c r="Z96" s="6" t="s">
        <v>2310</v>
      </c>
      <c r="AA96" s="6" t="s">
        <v>2313</v>
      </c>
      <c r="AB96" s="6" t="s">
        <v>2325</v>
      </c>
      <c r="AC96" s="6" t="s">
        <v>2326</v>
      </c>
      <c r="AD96" s="6" t="s">
        <v>2310</v>
      </c>
      <c r="AE96" s="6" t="s">
        <v>2327</v>
      </c>
      <c r="AF96" s="6" t="s">
        <v>2310</v>
      </c>
      <c r="AG96" s="6" t="s">
        <v>2310</v>
      </c>
      <c r="AH96" s="6" t="s">
        <v>2310</v>
      </c>
    </row>
    <row r="97" spans="1:34" ht="375">
      <c r="A97" s="4" t="s">
        <v>2705</v>
      </c>
      <c r="B97" s="4" t="s">
        <v>2707</v>
      </c>
      <c r="C97" s="3" t="s">
        <v>2721</v>
      </c>
      <c r="D97" s="6" t="s">
        <v>2329</v>
      </c>
      <c r="E97" s="6" t="s">
        <v>2330</v>
      </c>
      <c r="F97" s="6" t="s">
        <v>2331</v>
      </c>
      <c r="G97" s="6" t="s">
        <v>2332</v>
      </c>
      <c r="H97" s="6" t="s">
        <v>2333</v>
      </c>
      <c r="I97" s="6" t="s">
        <v>2334</v>
      </c>
      <c r="J97" s="6" t="s">
        <v>2335</v>
      </c>
      <c r="K97" s="6" t="s">
        <v>2336</v>
      </c>
      <c r="L97" s="6" t="s">
        <v>2337</v>
      </c>
      <c r="M97" s="6" t="s">
        <v>2338</v>
      </c>
      <c r="N97" s="6" t="s">
        <v>2339</v>
      </c>
      <c r="O97" s="6" t="s">
        <v>2340</v>
      </c>
      <c r="P97" s="6" t="s">
        <v>2341</v>
      </c>
      <c r="Q97" s="6" t="s">
        <v>2342</v>
      </c>
      <c r="R97" s="6" t="s">
        <v>2343</v>
      </c>
      <c r="S97" s="6" t="s">
        <v>2344</v>
      </c>
      <c r="T97" s="6" t="s">
        <v>2345</v>
      </c>
      <c r="U97" s="6" t="s">
        <v>1758</v>
      </c>
      <c r="V97" s="6" t="s">
        <v>2346</v>
      </c>
      <c r="W97" s="6" t="s">
        <v>2347</v>
      </c>
      <c r="X97" s="6" t="s">
        <v>2348</v>
      </c>
      <c r="Y97" s="6" t="s">
        <v>2349</v>
      </c>
      <c r="Z97" s="6" t="s">
        <v>2350</v>
      </c>
      <c r="AA97" s="6" t="s">
        <v>2351</v>
      </c>
      <c r="AB97" s="6" t="s">
        <v>2352</v>
      </c>
      <c r="AC97" s="6" t="s">
        <v>2353</v>
      </c>
      <c r="AD97" s="6" t="s">
        <v>2354</v>
      </c>
      <c r="AE97" s="6" t="s">
        <v>2355</v>
      </c>
      <c r="AF97" s="6" t="s">
        <v>2356</v>
      </c>
      <c r="AG97" s="6" t="s">
        <v>2357</v>
      </c>
      <c r="AH97" s="6" t="s">
        <v>2358</v>
      </c>
    </row>
    <row r="98" spans="1:34" ht="225">
      <c r="A98" s="4" t="s">
        <v>2705</v>
      </c>
      <c r="B98" s="4" t="s">
        <v>2707</v>
      </c>
      <c r="C98" s="2" t="s">
        <v>2722</v>
      </c>
      <c r="D98" s="6" t="s">
        <v>2359</v>
      </c>
      <c r="E98" s="6" t="s">
        <v>2360</v>
      </c>
      <c r="F98" s="6" t="s">
        <v>2361</v>
      </c>
      <c r="G98" s="6" t="s">
        <v>2362</v>
      </c>
      <c r="H98" s="6" t="s">
        <v>2363</v>
      </c>
      <c r="I98" s="6" t="s">
        <v>2364</v>
      </c>
      <c r="J98" s="6" t="s">
        <v>2365</v>
      </c>
      <c r="K98" s="6" t="s">
        <v>2366</v>
      </c>
      <c r="L98" s="6" t="s">
        <v>2360</v>
      </c>
      <c r="M98" s="6" t="s">
        <v>2367</v>
      </c>
      <c r="N98" s="6" t="s">
        <v>2368</v>
      </c>
      <c r="O98" s="6" t="s">
        <v>2369</v>
      </c>
      <c r="P98" s="6" t="s">
        <v>2370</v>
      </c>
      <c r="Q98" s="6" t="s">
        <v>2371</v>
      </c>
      <c r="R98" s="6" t="s">
        <v>2372</v>
      </c>
      <c r="S98" s="6" t="s">
        <v>2373</v>
      </c>
      <c r="T98" s="6" t="s">
        <v>2374</v>
      </c>
      <c r="U98" s="6" t="s">
        <v>1758</v>
      </c>
      <c r="V98" s="6" t="s">
        <v>2375</v>
      </c>
      <c r="W98" s="6" t="s">
        <v>2376</v>
      </c>
      <c r="X98" s="6" t="s">
        <v>2377</v>
      </c>
      <c r="Y98" s="6" t="s">
        <v>2378</v>
      </c>
      <c r="Z98" s="6" t="s">
        <v>2379</v>
      </c>
      <c r="AA98" s="6" t="s">
        <v>2380</v>
      </c>
      <c r="AB98" s="6" t="s">
        <v>2381</v>
      </c>
      <c r="AC98" s="6" t="s">
        <v>2382</v>
      </c>
      <c r="AD98" s="6" t="s">
        <v>2369</v>
      </c>
      <c r="AE98" s="6" t="s">
        <v>2383</v>
      </c>
      <c r="AF98" s="6" t="s">
        <v>2384</v>
      </c>
      <c r="AG98" s="6" t="s">
        <v>2385</v>
      </c>
      <c r="AH98" s="6" t="s">
        <v>2386</v>
      </c>
    </row>
    <row r="99" spans="1:34" ht="409.5">
      <c r="A99" s="4" t="s">
        <v>2705</v>
      </c>
      <c r="B99" s="4" t="s">
        <v>2707</v>
      </c>
      <c r="C99" s="3" t="s">
        <v>2706</v>
      </c>
      <c r="D99" s="6" t="s">
        <v>2387</v>
      </c>
      <c r="E99" s="6" t="s">
        <v>2388</v>
      </c>
      <c r="F99" s="6" t="s">
        <v>2389</v>
      </c>
      <c r="G99" s="6" t="s">
        <v>2390</v>
      </c>
      <c r="H99" s="6" t="s">
        <v>2391</v>
      </c>
      <c r="I99" s="6" t="s">
        <v>2392</v>
      </c>
      <c r="J99" s="6" t="s">
        <v>2393</v>
      </c>
      <c r="K99" s="6" t="s">
        <v>2394</v>
      </c>
      <c r="L99" s="6" t="s">
        <v>2395</v>
      </c>
      <c r="M99" s="6" t="s">
        <v>2396</v>
      </c>
      <c r="N99" s="6" t="s">
        <v>2397</v>
      </c>
      <c r="O99" s="6" t="s">
        <v>2398</v>
      </c>
      <c r="P99" s="6" t="s">
        <v>2399</v>
      </c>
      <c r="Q99" s="6" t="s">
        <v>2400</v>
      </c>
      <c r="R99" s="6" t="s">
        <v>2401</v>
      </c>
      <c r="S99" s="6" t="s">
        <v>2402</v>
      </c>
      <c r="T99" s="6" t="s">
        <v>2403</v>
      </c>
      <c r="U99" s="6" t="s">
        <v>1758</v>
      </c>
      <c r="V99" s="6" t="s">
        <v>2404</v>
      </c>
      <c r="W99" s="6" t="s">
        <v>2405</v>
      </c>
      <c r="X99" s="6" t="s">
        <v>2406</v>
      </c>
      <c r="Y99" s="6" t="s">
        <v>2407</v>
      </c>
      <c r="Z99" s="6" t="s">
        <v>2408</v>
      </c>
      <c r="AA99" s="6" t="s">
        <v>2409</v>
      </c>
      <c r="AB99" s="6" t="s">
        <v>2410</v>
      </c>
      <c r="AC99" s="6" t="s">
        <v>2411</v>
      </c>
      <c r="AD99" s="6" t="s">
        <v>2412</v>
      </c>
      <c r="AE99" s="6" t="s">
        <v>2413</v>
      </c>
      <c r="AF99" s="6" t="s">
        <v>2414</v>
      </c>
      <c r="AG99" s="6" t="s">
        <v>2415</v>
      </c>
      <c r="AH99" s="6" t="s">
        <v>2416</v>
      </c>
    </row>
    <row r="100" spans="1:34" ht="300">
      <c r="A100" s="4" t="s">
        <v>2705</v>
      </c>
      <c r="B100" s="4" t="s">
        <v>2707</v>
      </c>
      <c r="C100" s="2" t="s">
        <v>2694</v>
      </c>
      <c r="D100" s="6" t="s">
        <v>2417</v>
      </c>
      <c r="E100" s="6" t="s">
        <v>2418</v>
      </c>
      <c r="F100" s="6" t="s">
        <v>2419</v>
      </c>
      <c r="G100" s="6" t="s">
        <v>2420</v>
      </c>
      <c r="H100" s="6" t="s">
        <v>2421</v>
      </c>
      <c r="I100" s="6" t="s">
        <v>2422</v>
      </c>
      <c r="J100" s="6" t="s">
        <v>2423</v>
      </c>
      <c r="K100" s="6" t="s">
        <v>2424</v>
      </c>
      <c r="L100" s="6" t="s">
        <v>2425</v>
      </c>
      <c r="M100" s="6" t="s">
        <v>2426</v>
      </c>
      <c r="N100" s="6" t="s">
        <v>2427</v>
      </c>
      <c r="O100" s="6" t="s">
        <v>2428</v>
      </c>
      <c r="P100" s="6" t="s">
        <v>2429</v>
      </c>
      <c r="Q100" s="6" t="s">
        <v>2430</v>
      </c>
      <c r="R100" s="6" t="s">
        <v>2431</v>
      </c>
      <c r="S100" s="6" t="s">
        <v>2432</v>
      </c>
      <c r="T100" s="6" t="s">
        <v>2433</v>
      </c>
      <c r="U100" s="6" t="s">
        <v>1758</v>
      </c>
      <c r="V100" s="6" t="s">
        <v>2434</v>
      </c>
      <c r="W100" s="6" t="s">
        <v>2435</v>
      </c>
      <c r="X100" s="6" t="s">
        <v>2436</v>
      </c>
      <c r="Y100" s="6" t="s">
        <v>2437</v>
      </c>
      <c r="Z100" s="6" t="s">
        <v>2438</v>
      </c>
      <c r="AA100" s="6" t="s">
        <v>2439</v>
      </c>
      <c r="AB100" s="6" t="s">
        <v>2440</v>
      </c>
      <c r="AC100" s="6" t="s">
        <v>2441</v>
      </c>
      <c r="AD100" s="6" t="s">
        <v>2442</v>
      </c>
      <c r="AE100" s="6" t="s">
        <v>2443</v>
      </c>
      <c r="AF100" s="6" t="s">
        <v>2444</v>
      </c>
      <c r="AG100" s="6" t="s">
        <v>2445</v>
      </c>
      <c r="AH100" s="6" t="s">
        <v>2446</v>
      </c>
    </row>
    <row r="101" spans="1:34" ht="150">
      <c r="A101" s="4" t="s">
        <v>2705</v>
      </c>
      <c r="B101" s="4" t="s">
        <v>761</v>
      </c>
      <c r="C101" s="2" t="s">
        <v>2723</v>
      </c>
      <c r="D101" s="6" t="s">
        <v>2447</v>
      </c>
      <c r="E101" s="6" t="s">
        <v>2448</v>
      </c>
      <c r="F101" s="6" t="s">
        <v>2449</v>
      </c>
      <c r="G101" s="6" t="s">
        <v>2450</v>
      </c>
      <c r="H101" s="6" t="s">
        <v>2451</v>
      </c>
      <c r="I101" s="6" t="s">
        <v>2452</v>
      </c>
      <c r="J101" s="6" t="s">
        <v>2453</v>
      </c>
      <c r="K101" s="6" t="s">
        <v>2454</v>
      </c>
      <c r="L101" s="6" t="s">
        <v>2447</v>
      </c>
      <c r="M101" s="6" t="s">
        <v>2455</v>
      </c>
      <c r="N101" s="6" t="s">
        <v>2456</v>
      </c>
      <c r="O101" s="6" t="s">
        <v>2457</v>
      </c>
      <c r="P101" s="6" t="s">
        <v>2458</v>
      </c>
      <c r="Q101" s="6" t="s">
        <v>2459</v>
      </c>
      <c r="R101" s="6" t="s">
        <v>2460</v>
      </c>
      <c r="S101" s="6" t="s">
        <v>2461</v>
      </c>
      <c r="T101" s="6" t="s">
        <v>2462</v>
      </c>
      <c r="U101" s="6" t="s">
        <v>1758</v>
      </c>
      <c r="V101" s="6" t="s">
        <v>2463</v>
      </c>
      <c r="W101" s="6" t="s">
        <v>2447</v>
      </c>
      <c r="X101" s="6" t="s">
        <v>2464</v>
      </c>
      <c r="Y101" s="6" t="s">
        <v>2465</v>
      </c>
      <c r="Z101" s="6" t="s">
        <v>2466</v>
      </c>
      <c r="AA101" s="6" t="s">
        <v>2467</v>
      </c>
      <c r="AB101" s="6" t="s">
        <v>2468</v>
      </c>
      <c r="AC101" s="6" t="s">
        <v>2447</v>
      </c>
      <c r="AD101" s="6" t="s">
        <v>2469</v>
      </c>
      <c r="AE101" s="6" t="s">
        <v>2470</v>
      </c>
      <c r="AF101" s="6" t="s">
        <v>2471</v>
      </c>
      <c r="AG101" s="6" t="s">
        <v>2472</v>
      </c>
      <c r="AH101" s="6" t="s">
        <v>2473</v>
      </c>
    </row>
    <row r="102" spans="1:34" ht="345">
      <c r="A102" s="4" t="s">
        <v>2705</v>
      </c>
      <c r="B102" s="4" t="s">
        <v>761</v>
      </c>
      <c r="C102" s="2" t="s">
        <v>2696</v>
      </c>
      <c r="D102" s="6" t="s">
        <v>2474</v>
      </c>
      <c r="E102" s="6" t="s">
        <v>1553</v>
      </c>
      <c r="F102" s="6" t="s">
        <v>2475</v>
      </c>
      <c r="G102" s="6" t="s">
        <v>2476</v>
      </c>
      <c r="H102" s="6" t="s">
        <v>2477</v>
      </c>
      <c r="I102" s="6" t="s">
        <v>2478</v>
      </c>
      <c r="J102" s="6" t="s">
        <v>2479</v>
      </c>
      <c r="K102" s="6" t="s">
        <v>2480</v>
      </c>
      <c r="L102" s="6" t="s">
        <v>2481</v>
      </c>
      <c r="M102" s="6" t="s">
        <v>2482</v>
      </c>
      <c r="N102" s="6" t="s">
        <v>2483</v>
      </c>
      <c r="O102" s="6" t="s">
        <v>2484</v>
      </c>
      <c r="P102" s="6" t="s">
        <v>2485</v>
      </c>
      <c r="Q102" s="6" t="s">
        <v>2486</v>
      </c>
      <c r="R102" s="6" t="s">
        <v>2487</v>
      </c>
      <c r="S102" s="6" t="s">
        <v>2488</v>
      </c>
      <c r="T102" s="6" t="s">
        <v>2489</v>
      </c>
      <c r="U102" s="6" t="s">
        <v>1758</v>
      </c>
      <c r="V102" s="6" t="s">
        <v>2490</v>
      </c>
      <c r="W102" s="6" t="s">
        <v>2447</v>
      </c>
      <c r="X102" s="6" t="s">
        <v>2491</v>
      </c>
      <c r="Y102" s="6" t="s">
        <v>2492</v>
      </c>
      <c r="Z102" s="6" t="s">
        <v>2493</v>
      </c>
      <c r="AA102" s="6" t="s">
        <v>2494</v>
      </c>
      <c r="AB102" s="6" t="s">
        <v>2495</v>
      </c>
      <c r="AC102" s="6" t="s">
        <v>2496</v>
      </c>
      <c r="AD102" s="6" t="s">
        <v>2497</v>
      </c>
      <c r="AE102" s="6" t="s">
        <v>2498</v>
      </c>
      <c r="AF102" s="6" t="s">
        <v>2499</v>
      </c>
      <c r="AG102" s="6" t="s">
        <v>2500</v>
      </c>
      <c r="AH102" s="6" t="s">
        <v>2501</v>
      </c>
    </row>
    <row r="103" spans="1:34" ht="225">
      <c r="A103" s="4" t="s">
        <v>2705</v>
      </c>
      <c r="B103" s="4" t="s">
        <v>761</v>
      </c>
      <c r="C103" s="3" t="s">
        <v>2681</v>
      </c>
      <c r="D103" s="6" t="s">
        <v>2502</v>
      </c>
      <c r="E103" s="6" t="s">
        <v>1584</v>
      </c>
      <c r="F103" s="6" t="s">
        <v>2503</v>
      </c>
      <c r="G103" s="6" t="s">
        <v>2504</v>
      </c>
      <c r="H103" s="6" t="s">
        <v>2505</v>
      </c>
      <c r="I103" s="6" t="s">
        <v>2506</v>
      </c>
      <c r="J103" s="6" t="s">
        <v>2507</v>
      </c>
      <c r="K103" s="6" t="s">
        <v>1589</v>
      </c>
      <c r="L103" s="6" t="s">
        <v>2508</v>
      </c>
      <c r="M103" s="6" t="s">
        <v>2509</v>
      </c>
      <c r="N103" s="6" t="s">
        <v>2510</v>
      </c>
      <c r="O103" s="6" t="s">
        <v>2511</v>
      </c>
      <c r="P103" s="6" t="s">
        <v>2512</v>
      </c>
      <c r="Q103" s="6" t="s">
        <v>2513</v>
      </c>
      <c r="R103" s="6" t="s">
        <v>2514</v>
      </c>
      <c r="S103" s="6" t="s">
        <v>2515</v>
      </c>
      <c r="T103" s="6" t="s">
        <v>2516</v>
      </c>
      <c r="U103" s="6" t="s">
        <v>2517</v>
      </c>
      <c r="V103" s="6" t="s">
        <v>2518</v>
      </c>
      <c r="W103" s="6" t="s">
        <v>2519</v>
      </c>
      <c r="X103" s="6" t="s">
        <v>2520</v>
      </c>
      <c r="Y103" s="6" t="s">
        <v>1584</v>
      </c>
      <c r="Z103" s="6" t="s">
        <v>2521</v>
      </c>
      <c r="AA103" s="6" t="s">
        <v>2522</v>
      </c>
      <c r="AB103" s="6" t="s">
        <v>1583</v>
      </c>
      <c r="AC103" s="6" t="s">
        <v>2516</v>
      </c>
      <c r="AD103" s="6" t="s">
        <v>2523</v>
      </c>
      <c r="AE103" s="6" t="s">
        <v>2524</v>
      </c>
      <c r="AF103" s="6" t="s">
        <v>1583</v>
      </c>
      <c r="AG103" s="6" t="s">
        <v>2525</v>
      </c>
      <c r="AH103" s="6" t="s">
        <v>762</v>
      </c>
    </row>
    <row r="104" spans="1:34" ht="150">
      <c r="A104" s="4" t="s">
        <v>2705</v>
      </c>
      <c r="B104" s="4" t="s">
        <v>837</v>
      </c>
      <c r="C104" s="3" t="s">
        <v>2682</v>
      </c>
      <c r="D104" s="6" t="s">
        <v>788</v>
      </c>
      <c r="E104" s="6" t="s">
        <v>2526</v>
      </c>
      <c r="F104" s="6" t="s">
        <v>2527</v>
      </c>
      <c r="G104" s="6" t="s">
        <v>2526</v>
      </c>
      <c r="H104" s="6" t="s">
        <v>2528</v>
      </c>
      <c r="I104" s="6" t="s">
        <v>2529</v>
      </c>
      <c r="J104" s="6" t="s">
        <v>2530</v>
      </c>
      <c r="K104" s="6" t="s">
        <v>2531</v>
      </c>
      <c r="L104" s="6" t="s">
        <v>2532</v>
      </c>
      <c r="M104" s="6" t="s">
        <v>2533</v>
      </c>
      <c r="N104" s="6" t="s">
        <v>2534</v>
      </c>
      <c r="O104" s="6" t="s">
        <v>2535</v>
      </c>
      <c r="P104" s="6" t="s">
        <v>2536</v>
      </c>
      <c r="Q104" s="6" t="s">
        <v>2537</v>
      </c>
      <c r="R104" s="6" t="s">
        <v>2538</v>
      </c>
      <c r="S104" s="6" t="s">
        <v>2539</v>
      </c>
      <c r="T104" s="6" t="s">
        <v>2538</v>
      </c>
      <c r="U104" s="6" t="s">
        <v>1758</v>
      </c>
      <c r="V104" s="6" t="s">
        <v>2540</v>
      </c>
      <c r="W104" s="6" t="s">
        <v>2541</v>
      </c>
      <c r="X104" s="6" t="s">
        <v>2542</v>
      </c>
      <c r="Y104" s="6" t="s">
        <v>2543</v>
      </c>
      <c r="Z104" s="6" t="s">
        <v>2544</v>
      </c>
      <c r="AA104" s="6" t="s">
        <v>2545</v>
      </c>
      <c r="AB104" s="6" t="s">
        <v>2546</v>
      </c>
      <c r="AC104" s="6" t="s">
        <v>2547</v>
      </c>
      <c r="AD104" s="6" t="s">
        <v>812</v>
      </c>
      <c r="AE104" s="6" t="s">
        <v>2548</v>
      </c>
      <c r="AF104" s="6" t="s">
        <v>2546</v>
      </c>
      <c r="AG104" s="6" t="s">
        <v>2549</v>
      </c>
      <c r="AH104" s="6" t="s">
        <v>2550</v>
      </c>
    </row>
    <row r="105" spans="1:34" ht="105">
      <c r="A105" s="4" t="s">
        <v>2705</v>
      </c>
      <c r="B105" s="4" t="s">
        <v>837</v>
      </c>
      <c r="C105" s="3" t="s">
        <v>2683</v>
      </c>
      <c r="D105" s="6" t="s">
        <v>2551</v>
      </c>
      <c r="E105" s="6" t="s">
        <v>2552</v>
      </c>
      <c r="F105" s="6" t="s">
        <v>2553</v>
      </c>
      <c r="G105" s="6" t="s">
        <v>2554</v>
      </c>
      <c r="H105" s="6" t="s">
        <v>820</v>
      </c>
      <c r="I105" s="6" t="s">
        <v>825</v>
      </c>
      <c r="J105" s="6" t="s">
        <v>2555</v>
      </c>
      <c r="K105" s="6" t="s">
        <v>2556</v>
      </c>
      <c r="L105" s="6" t="s">
        <v>820</v>
      </c>
      <c r="M105" s="6" t="s">
        <v>820</v>
      </c>
      <c r="N105" s="6" t="s">
        <v>825</v>
      </c>
      <c r="O105" s="6" t="s">
        <v>2557</v>
      </c>
      <c r="P105" s="6" t="s">
        <v>820</v>
      </c>
      <c r="Q105" s="6" t="s">
        <v>827</v>
      </c>
      <c r="R105" s="6" t="s">
        <v>825</v>
      </c>
      <c r="S105" s="6" t="s">
        <v>2558</v>
      </c>
      <c r="T105" s="6" t="s">
        <v>825</v>
      </c>
      <c r="U105" s="6" t="s">
        <v>1758</v>
      </c>
      <c r="V105" s="6" t="s">
        <v>2559</v>
      </c>
      <c r="W105" s="6" t="s">
        <v>827</v>
      </c>
      <c r="X105" s="6" t="s">
        <v>2560</v>
      </c>
      <c r="Y105" s="6" t="s">
        <v>820</v>
      </c>
      <c r="Z105" s="6" t="s">
        <v>2561</v>
      </c>
      <c r="AA105" s="6" t="s">
        <v>825</v>
      </c>
      <c r="AB105" s="6" t="s">
        <v>820</v>
      </c>
      <c r="AC105" s="6" t="s">
        <v>2562</v>
      </c>
      <c r="AD105" s="6" t="s">
        <v>2563</v>
      </c>
      <c r="AE105" s="6" t="s">
        <v>2564</v>
      </c>
      <c r="AF105" s="6" t="s">
        <v>820</v>
      </c>
      <c r="AG105" s="6" t="s">
        <v>2565</v>
      </c>
      <c r="AH105" s="6" t="s">
        <v>820</v>
      </c>
    </row>
    <row r="106" spans="1:34" ht="225">
      <c r="A106" s="4" t="s">
        <v>2705</v>
      </c>
      <c r="B106" s="4" t="s">
        <v>837</v>
      </c>
      <c r="C106" s="3" t="s">
        <v>2708</v>
      </c>
      <c r="D106" s="6" t="s">
        <v>2566</v>
      </c>
      <c r="E106" s="6" t="s">
        <v>2567</v>
      </c>
      <c r="F106" s="6" t="s">
        <v>2568</v>
      </c>
      <c r="G106" s="6" t="s">
        <v>2569</v>
      </c>
      <c r="H106" s="6" t="s">
        <v>2570</v>
      </c>
      <c r="I106" s="6" t="s">
        <v>2571</v>
      </c>
      <c r="J106" s="6" t="s">
        <v>2572</v>
      </c>
      <c r="K106" s="6" t="s">
        <v>2573</v>
      </c>
      <c r="L106" s="6" t="s">
        <v>2574</v>
      </c>
      <c r="M106" s="6" t="s">
        <v>849</v>
      </c>
      <c r="N106" s="6" t="s">
        <v>2575</v>
      </c>
      <c r="O106" s="6" t="s">
        <v>852</v>
      </c>
      <c r="P106" s="6" t="s">
        <v>2576</v>
      </c>
      <c r="Q106" s="6" t="s">
        <v>2577</v>
      </c>
      <c r="R106" s="6" t="s">
        <v>2578</v>
      </c>
      <c r="S106" s="6" t="s">
        <v>852</v>
      </c>
      <c r="T106" s="6" t="s">
        <v>2579</v>
      </c>
      <c r="U106" s="6" t="s">
        <v>2580</v>
      </c>
      <c r="V106" s="6" t="s">
        <v>2581</v>
      </c>
      <c r="W106" s="6" t="s">
        <v>2582</v>
      </c>
      <c r="X106" s="6" t="s">
        <v>1654</v>
      </c>
      <c r="Y106" s="6" t="s">
        <v>2583</v>
      </c>
      <c r="Z106" s="6" t="s">
        <v>2584</v>
      </c>
      <c r="AA106" s="6" t="s">
        <v>849</v>
      </c>
      <c r="AB106" s="6" t="s">
        <v>2585</v>
      </c>
      <c r="AC106" s="6" t="s">
        <v>2567</v>
      </c>
      <c r="AD106" s="6" t="s">
        <v>860</v>
      </c>
      <c r="AE106" s="6" t="s">
        <v>861</v>
      </c>
      <c r="AF106" s="6" t="s">
        <v>2567</v>
      </c>
      <c r="AG106" s="6" t="s">
        <v>840</v>
      </c>
      <c r="AH106" s="6" t="s">
        <v>2586</v>
      </c>
    </row>
    <row r="107" spans="1:34" ht="180">
      <c r="A107" s="4" t="s">
        <v>2705</v>
      </c>
      <c r="B107" s="4" t="s">
        <v>837</v>
      </c>
      <c r="C107" s="3" t="s">
        <v>2709</v>
      </c>
      <c r="D107" s="6" t="s">
        <v>373</v>
      </c>
      <c r="E107" s="6" t="s">
        <v>373</v>
      </c>
      <c r="F107" s="6" t="s">
        <v>2587</v>
      </c>
      <c r="G107" s="6" t="s">
        <v>2588</v>
      </c>
      <c r="H107" s="6" t="s">
        <v>2589</v>
      </c>
      <c r="I107" s="6" t="s">
        <v>2590</v>
      </c>
      <c r="J107" s="6" t="s">
        <v>2591</v>
      </c>
      <c r="K107" s="6" t="s">
        <v>2592</v>
      </c>
      <c r="L107" s="6" t="s">
        <v>373</v>
      </c>
      <c r="M107" s="6" t="s">
        <v>2593</v>
      </c>
      <c r="N107" s="6" t="s">
        <v>2594</v>
      </c>
      <c r="O107" s="6" t="s">
        <v>874</v>
      </c>
      <c r="P107" s="6" t="s">
        <v>373</v>
      </c>
      <c r="Q107" s="6" t="s">
        <v>2595</v>
      </c>
      <c r="R107" s="6" t="s">
        <v>373</v>
      </c>
      <c r="S107" s="6" t="s">
        <v>878</v>
      </c>
      <c r="T107" s="6" t="s">
        <v>879</v>
      </c>
      <c r="U107" s="6" t="s">
        <v>2596</v>
      </c>
      <c r="V107" s="6" t="s">
        <v>2597</v>
      </c>
      <c r="W107" s="6" t="s">
        <v>2598</v>
      </c>
      <c r="X107" s="6" t="s">
        <v>883</v>
      </c>
      <c r="Y107" s="6" t="s">
        <v>2599</v>
      </c>
      <c r="Z107" s="6" t="s">
        <v>373</v>
      </c>
      <c r="AA107" s="6" t="s">
        <v>2600</v>
      </c>
      <c r="AB107" s="6" t="s">
        <v>2601</v>
      </c>
      <c r="AC107" s="6" t="s">
        <v>373</v>
      </c>
      <c r="AD107" s="6" t="s">
        <v>879</v>
      </c>
      <c r="AE107" s="6" t="s">
        <v>2602</v>
      </c>
      <c r="AF107" s="6" t="s">
        <v>373</v>
      </c>
      <c r="AG107" s="6" t="s">
        <v>876</v>
      </c>
      <c r="AH107" s="6" t="s">
        <v>2603</v>
      </c>
    </row>
    <row r="108" spans="1:34" ht="150">
      <c r="A108" s="4" t="s">
        <v>2705</v>
      </c>
      <c r="B108" s="4" t="s">
        <v>837</v>
      </c>
      <c r="C108" s="3" t="s">
        <v>2710</v>
      </c>
      <c r="D108" s="6" t="s">
        <v>373</v>
      </c>
      <c r="E108" s="6" t="s">
        <v>373</v>
      </c>
      <c r="F108" s="6" t="s">
        <v>899</v>
      </c>
      <c r="G108" s="6" t="s">
        <v>903</v>
      </c>
      <c r="H108" s="6" t="s">
        <v>2589</v>
      </c>
      <c r="I108" s="6" t="s">
        <v>2604</v>
      </c>
      <c r="J108" s="6" t="s">
        <v>2605</v>
      </c>
      <c r="K108" s="6" t="s">
        <v>899</v>
      </c>
      <c r="L108" s="6" t="s">
        <v>373</v>
      </c>
      <c r="M108" s="6" t="s">
        <v>901</v>
      </c>
      <c r="N108" s="6" t="s">
        <v>2606</v>
      </c>
      <c r="O108" s="6" t="s">
        <v>903</v>
      </c>
      <c r="P108" s="6" t="s">
        <v>373</v>
      </c>
      <c r="Q108" s="6" t="s">
        <v>2607</v>
      </c>
      <c r="R108" s="6" t="s">
        <v>373</v>
      </c>
      <c r="S108" s="6" t="s">
        <v>899</v>
      </c>
      <c r="T108" s="6" t="s">
        <v>2608</v>
      </c>
      <c r="U108" s="6" t="s">
        <v>2596</v>
      </c>
      <c r="V108" s="6" t="s">
        <v>2609</v>
      </c>
      <c r="W108" s="6" t="s">
        <v>2610</v>
      </c>
      <c r="X108" s="6" t="s">
        <v>909</v>
      </c>
      <c r="Y108" s="6" t="s">
        <v>2611</v>
      </c>
      <c r="Z108" s="6" t="s">
        <v>373</v>
      </c>
      <c r="AA108" s="6" t="s">
        <v>912</v>
      </c>
      <c r="AB108" s="6" t="s">
        <v>2612</v>
      </c>
      <c r="AC108" s="6" t="s">
        <v>373</v>
      </c>
      <c r="AD108" s="6" t="s">
        <v>915</v>
      </c>
      <c r="AE108" s="6" t="s">
        <v>916</v>
      </c>
      <c r="AF108" s="6" t="s">
        <v>373</v>
      </c>
      <c r="AG108" s="6" t="s">
        <v>899</v>
      </c>
      <c r="AH108" s="6" t="s">
        <v>2603</v>
      </c>
    </row>
    <row r="109" spans="1:34" ht="195">
      <c r="A109" s="4" t="s">
        <v>2705</v>
      </c>
      <c r="B109" s="4" t="s">
        <v>837</v>
      </c>
      <c r="C109" s="3" t="s">
        <v>2698</v>
      </c>
      <c r="D109" s="6" t="s">
        <v>373</v>
      </c>
      <c r="E109" s="6" t="s">
        <v>373</v>
      </c>
      <c r="F109" s="6" t="s">
        <v>920</v>
      </c>
      <c r="G109" s="6" t="s">
        <v>2613</v>
      </c>
      <c r="H109" s="6" t="s">
        <v>2589</v>
      </c>
      <c r="I109" s="6" t="s">
        <v>920</v>
      </c>
      <c r="J109" s="6" t="s">
        <v>2614</v>
      </c>
      <c r="K109" s="6" t="s">
        <v>2615</v>
      </c>
      <c r="L109" s="6" t="s">
        <v>373</v>
      </c>
      <c r="M109" s="6" t="s">
        <v>920</v>
      </c>
      <c r="N109" s="6" t="s">
        <v>2616</v>
      </c>
      <c r="O109" s="6" t="s">
        <v>920</v>
      </c>
      <c r="P109" s="6" t="s">
        <v>2617</v>
      </c>
      <c r="Q109" s="6" t="s">
        <v>2618</v>
      </c>
      <c r="R109" s="6" t="s">
        <v>920</v>
      </c>
      <c r="S109" s="6" t="s">
        <v>920</v>
      </c>
      <c r="T109" s="6" t="s">
        <v>2619</v>
      </c>
      <c r="U109" s="6" t="s">
        <v>2596</v>
      </c>
      <c r="V109" s="6" t="s">
        <v>920</v>
      </c>
      <c r="W109" s="6" t="s">
        <v>2620</v>
      </c>
      <c r="X109" s="6" t="s">
        <v>2621</v>
      </c>
      <c r="Y109" s="6" t="s">
        <v>588</v>
      </c>
      <c r="Z109" s="6" t="s">
        <v>373</v>
      </c>
      <c r="AA109" s="6" t="s">
        <v>933</v>
      </c>
      <c r="AB109" s="6" t="s">
        <v>920</v>
      </c>
      <c r="AC109" s="6" t="s">
        <v>373</v>
      </c>
      <c r="AD109" s="6" t="s">
        <v>2622</v>
      </c>
      <c r="AE109" s="6" t="s">
        <v>2623</v>
      </c>
      <c r="AF109" s="6" t="s">
        <v>373</v>
      </c>
      <c r="AG109" s="6" t="s">
        <v>920</v>
      </c>
      <c r="AH109" s="6" t="s">
        <v>588</v>
      </c>
    </row>
    <row r="110" spans="1:34" ht="300">
      <c r="A110" s="4" t="s">
        <v>2705</v>
      </c>
      <c r="B110" s="4" t="s">
        <v>837</v>
      </c>
      <c r="C110" s="3" t="s">
        <v>2699</v>
      </c>
      <c r="D110" s="6" t="s">
        <v>373</v>
      </c>
      <c r="E110" s="6" t="s">
        <v>373</v>
      </c>
      <c r="F110" s="6" t="s">
        <v>940</v>
      </c>
      <c r="G110" s="6" t="s">
        <v>2624</v>
      </c>
      <c r="H110" s="6" t="s">
        <v>2589</v>
      </c>
      <c r="I110" s="6" t="s">
        <v>942</v>
      </c>
      <c r="J110" s="6" t="s">
        <v>2625</v>
      </c>
      <c r="K110" s="6" t="s">
        <v>917</v>
      </c>
      <c r="L110" s="6" t="s">
        <v>373</v>
      </c>
      <c r="M110" s="6" t="s">
        <v>917</v>
      </c>
      <c r="N110" s="6" t="s">
        <v>942</v>
      </c>
      <c r="O110" s="6" t="s">
        <v>917</v>
      </c>
      <c r="P110" s="6" t="s">
        <v>373</v>
      </c>
      <c r="Q110" s="6" t="s">
        <v>940</v>
      </c>
      <c r="R110" s="6" t="s">
        <v>373</v>
      </c>
      <c r="S110" s="6" t="s">
        <v>940</v>
      </c>
      <c r="T110" s="6" t="s">
        <v>942</v>
      </c>
      <c r="U110" s="6" t="s">
        <v>2596</v>
      </c>
      <c r="V110" s="6" t="s">
        <v>942</v>
      </c>
      <c r="W110" s="6" t="s">
        <v>2626</v>
      </c>
      <c r="X110" s="6" t="s">
        <v>2627</v>
      </c>
      <c r="Y110" s="6" t="s">
        <v>964</v>
      </c>
      <c r="Z110" s="6" t="s">
        <v>373</v>
      </c>
      <c r="AA110" s="6" t="s">
        <v>917</v>
      </c>
      <c r="AB110" s="6" t="s">
        <v>940</v>
      </c>
      <c r="AC110" s="6" t="s">
        <v>373</v>
      </c>
      <c r="AD110" s="6" t="s">
        <v>942</v>
      </c>
      <c r="AE110" s="6" t="s">
        <v>951</v>
      </c>
      <c r="AF110" s="6" t="s">
        <v>373</v>
      </c>
      <c r="AG110" s="6" t="s">
        <v>940</v>
      </c>
      <c r="AH110" s="6" t="s">
        <v>2628</v>
      </c>
    </row>
    <row r="111" spans="1:34" ht="180">
      <c r="A111" s="4" t="s">
        <v>2705</v>
      </c>
      <c r="B111" s="4" t="s">
        <v>837</v>
      </c>
      <c r="C111" s="3" t="s">
        <v>2700</v>
      </c>
      <c r="D111" s="6" t="s">
        <v>373</v>
      </c>
      <c r="E111" s="6" t="s">
        <v>373</v>
      </c>
      <c r="F111" s="6" t="s">
        <v>940</v>
      </c>
      <c r="G111" s="6" t="s">
        <v>2629</v>
      </c>
      <c r="H111" s="6" t="s">
        <v>2630</v>
      </c>
      <c r="I111" s="6" t="s">
        <v>2631</v>
      </c>
      <c r="J111" s="6" t="s">
        <v>2632</v>
      </c>
      <c r="K111" s="6" t="s">
        <v>2633</v>
      </c>
      <c r="L111" s="6" t="s">
        <v>373</v>
      </c>
      <c r="M111" s="6" t="s">
        <v>2634</v>
      </c>
      <c r="N111" s="6" t="s">
        <v>942</v>
      </c>
      <c r="O111" s="6" t="s">
        <v>2635</v>
      </c>
      <c r="P111" s="6" t="s">
        <v>373</v>
      </c>
      <c r="Q111" s="6" t="s">
        <v>2636</v>
      </c>
      <c r="R111" s="6" t="s">
        <v>373</v>
      </c>
      <c r="S111" s="6" t="s">
        <v>940</v>
      </c>
      <c r="T111" s="6" t="s">
        <v>942</v>
      </c>
      <c r="U111" s="6" t="s">
        <v>2596</v>
      </c>
      <c r="V111" s="6" t="s">
        <v>2631</v>
      </c>
      <c r="W111" s="6" t="s">
        <v>2637</v>
      </c>
      <c r="X111" s="6" t="s">
        <v>2638</v>
      </c>
      <c r="Y111" s="6" t="s">
        <v>2639</v>
      </c>
      <c r="Z111" s="6" t="s">
        <v>373</v>
      </c>
      <c r="AA111" s="6" t="s">
        <v>2640</v>
      </c>
      <c r="AB111" s="6" t="s">
        <v>940</v>
      </c>
      <c r="AC111" s="6" t="s">
        <v>373</v>
      </c>
      <c r="AD111" s="6" t="s">
        <v>942</v>
      </c>
      <c r="AE111" s="6" t="s">
        <v>940</v>
      </c>
      <c r="AF111" s="6" t="s">
        <v>373</v>
      </c>
      <c r="AG111" s="6" t="s">
        <v>940</v>
      </c>
      <c r="AH111" s="6" t="s">
        <v>2641</v>
      </c>
    </row>
    <row r="112" spans="1:34" ht="93">
      <c r="A112" s="4" t="s">
        <v>2705</v>
      </c>
      <c r="B112" s="4" t="s">
        <v>837</v>
      </c>
      <c r="C112" s="3" t="s">
        <v>2681</v>
      </c>
      <c r="D112" s="6" t="s">
        <v>373</v>
      </c>
      <c r="E112" s="6" t="s">
        <v>373</v>
      </c>
      <c r="F112" s="6" t="s">
        <v>940</v>
      </c>
      <c r="G112" s="6" t="s">
        <v>967</v>
      </c>
      <c r="H112" s="6" t="s">
        <v>2589</v>
      </c>
      <c r="I112" s="6" t="s">
        <v>942</v>
      </c>
      <c r="J112" s="6" t="s">
        <v>2642</v>
      </c>
      <c r="K112" s="6" t="s">
        <v>940</v>
      </c>
      <c r="L112" s="6" t="s">
        <v>373</v>
      </c>
      <c r="M112" s="6" t="s">
        <v>917</v>
      </c>
      <c r="N112" s="6" t="s">
        <v>2643</v>
      </c>
      <c r="O112" s="6" t="s">
        <v>917</v>
      </c>
      <c r="P112" s="6" t="s">
        <v>373</v>
      </c>
      <c r="Q112" s="6" t="s">
        <v>940</v>
      </c>
      <c r="R112" s="6" t="s">
        <v>373</v>
      </c>
      <c r="S112" s="6" t="s">
        <v>940</v>
      </c>
      <c r="T112" s="6" t="s">
        <v>942</v>
      </c>
      <c r="U112" s="6" t="s">
        <v>2596</v>
      </c>
      <c r="V112" s="6" t="s">
        <v>2644</v>
      </c>
      <c r="W112" s="6" t="s">
        <v>2645</v>
      </c>
      <c r="X112" s="6" t="s">
        <v>975</v>
      </c>
      <c r="Y112" s="6" t="s">
        <v>2646</v>
      </c>
      <c r="Z112" s="6" t="s">
        <v>373</v>
      </c>
      <c r="AA112" s="6" t="s">
        <v>917</v>
      </c>
      <c r="AB112" s="6" t="s">
        <v>940</v>
      </c>
      <c r="AC112" s="6" t="s">
        <v>373</v>
      </c>
      <c r="AD112" s="6" t="s">
        <v>942</v>
      </c>
      <c r="AE112" s="6" t="s">
        <v>940</v>
      </c>
      <c r="AF112" s="6" t="s">
        <v>373</v>
      </c>
      <c r="AG112" s="6" t="s">
        <v>940</v>
      </c>
      <c r="AH112" s="6" t="s">
        <v>2647</v>
      </c>
    </row>
    <row r="113" spans="1:34" ht="93">
      <c r="A113" s="4" t="s">
        <v>2705</v>
      </c>
      <c r="B113" s="4" t="s">
        <v>837</v>
      </c>
      <c r="C113" s="3" t="s">
        <v>2683</v>
      </c>
      <c r="D113" s="6" t="s">
        <v>373</v>
      </c>
      <c r="E113" s="6" t="s">
        <v>373</v>
      </c>
      <c r="F113" s="6" t="s">
        <v>940</v>
      </c>
      <c r="G113" s="6" t="s">
        <v>2648</v>
      </c>
      <c r="H113" s="6" t="s">
        <v>2589</v>
      </c>
      <c r="I113" s="6" t="s">
        <v>942</v>
      </c>
      <c r="J113" s="6" t="s">
        <v>940</v>
      </c>
      <c r="K113" s="6" t="s">
        <v>940</v>
      </c>
      <c r="L113" s="6" t="s">
        <v>373</v>
      </c>
      <c r="M113" s="6" t="s">
        <v>917</v>
      </c>
      <c r="N113" s="6" t="s">
        <v>2649</v>
      </c>
      <c r="O113" s="6" t="s">
        <v>917</v>
      </c>
      <c r="P113" s="6" t="s">
        <v>373</v>
      </c>
      <c r="Q113" s="6" t="s">
        <v>940</v>
      </c>
      <c r="R113" s="6" t="s">
        <v>373</v>
      </c>
      <c r="S113" s="6" t="s">
        <v>940</v>
      </c>
      <c r="T113" s="6" t="s">
        <v>942</v>
      </c>
      <c r="U113" s="6" t="s">
        <v>2596</v>
      </c>
      <c r="V113" s="6" t="s">
        <v>373</v>
      </c>
      <c r="W113" s="6" t="s">
        <v>2650</v>
      </c>
      <c r="X113" s="6" t="s">
        <v>2651</v>
      </c>
      <c r="Y113" s="6" t="s">
        <v>2652</v>
      </c>
      <c r="Z113" s="6" t="s">
        <v>373</v>
      </c>
      <c r="AA113" s="6" t="s">
        <v>917</v>
      </c>
      <c r="AB113" s="6" t="s">
        <v>940</v>
      </c>
      <c r="AC113" s="6" t="s">
        <v>373</v>
      </c>
      <c r="AD113" s="6" t="s">
        <v>942</v>
      </c>
      <c r="AE113" s="6" t="s">
        <v>940</v>
      </c>
      <c r="AF113" s="6" t="s">
        <v>373</v>
      </c>
      <c r="AG113" s="6" t="s">
        <v>940</v>
      </c>
      <c r="AH113" s="6" t="s">
        <v>1709</v>
      </c>
    </row>
  </sheetData>
  <sheetProtection formatCells="0" formatColumns="0" formatRows="0" insertColumns="0" insertRows="0" insertHyperlinks="0" deleteColumns="0" deleteRows="0" sort="0" autoFilter="0" pivotTables="0"/>
  <autoFilter ref="A3:D113" xr:uid="{00000000-0001-0000-0000-000000000000}"/>
  <hyperlinks>
    <hyperlink ref="W8" location="'VI-05_AT'!A1" display="Click here to see information and table" xr:uid="{00000000-0004-0000-0000-000000000000}"/>
    <hyperlink ref="D88" location="'VIII-15_BE'!A1" display="Click here to see information and table" xr:uid="{00000000-0004-0000-0000-000001000000}"/>
    <hyperlink ref="G88" location="'VIII-15_DE'!A1" display="Click here to see information and table" xr:uid="{00000000-0004-0000-0000-000002000000}"/>
    <hyperlink ref="AH88" location="'VIII-15_CY'!A1" display="Click here to see information and table" xr:uid="{00000000-0004-0000-0000-000003000000}"/>
    <hyperlink ref="AD89" location="'VIII-16_SI'!A1" display="Click here to see information and table" xr:uid="{00000000-0004-0000-0000-000004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F4891-28F9-4FEC-9CE5-2B8975F8413A}">
  <sheetPr codeName="Tabelle33">
    <tabColor theme="4"/>
    <pageSetUpPr fitToPage="1"/>
  </sheetPr>
  <dimension ref="A1:BC45"/>
  <sheetViews>
    <sheetView showGridLines="0" showRowColHeaders="0" zoomScale="130" zoomScaleNormal="130" workbookViewId="0">
      <selection sqref="A1:B2"/>
      <extLst>
        <ext xmlns:xlsdti="http://schemas.microsoft.com/office/spreadsheetml/2023/showDataTypeIcons" uri="{77bfe23e-c014-4d31-8a63-9c772dbf06b6}">
          <xlsdti:showDataTypeIcons visible="0"/>
        </ext>
      </extLst>
    </sheetView>
  </sheetViews>
  <sheetFormatPr baseColWidth="10" defaultColWidth="0" defaultRowHeight="15" zeroHeight="1"/>
  <cols>
    <col min="1" max="1" width="2.7109375" style="556" customWidth="1"/>
    <col min="2" max="2" width="12.42578125" style="557" customWidth="1"/>
    <col min="3" max="3" width="47.140625" customWidth="1"/>
    <col min="4" max="4" width="14.7109375" customWidth="1"/>
    <col min="5" max="5" width="14" customWidth="1"/>
    <col min="6" max="6" width="16.5703125" customWidth="1"/>
    <col min="7" max="7" width="14.140625" customWidth="1"/>
    <col min="8" max="8" width="17.28515625" customWidth="1"/>
    <col min="9" max="9" width="15.5703125" customWidth="1"/>
    <col min="10" max="10" width="2.42578125" style="132" customWidth="1"/>
    <col min="11" max="11" width="6.85546875" customWidth="1"/>
    <col min="12" max="12" width="5.7109375" customWidth="1"/>
    <col min="13" max="14" width="8.5703125" customWidth="1"/>
    <col min="15" max="15" width="8.5703125" style="344" customWidth="1"/>
    <col min="16" max="16" width="15.42578125" customWidth="1"/>
    <col min="17" max="17" width="18.140625" customWidth="1"/>
    <col min="18" max="18" width="12.140625" customWidth="1"/>
    <col min="19" max="22" width="6" customWidth="1"/>
    <col min="23" max="23" width="6.28515625" customWidth="1"/>
    <col min="24" max="24" width="10.85546875" hidden="1" customWidth="1"/>
    <col min="25" max="25" width="11.42578125" hidden="1" customWidth="1"/>
    <col min="26" max="26" width="29.5703125" hidden="1" customWidth="1"/>
    <col min="27" max="31" width="11.42578125" hidden="1" customWidth="1"/>
    <col min="32" max="34" width="13.28515625" hidden="1" customWidth="1"/>
    <col min="35" max="35" width="11.85546875" hidden="1" customWidth="1"/>
    <col min="36" max="36" width="14.5703125" hidden="1" customWidth="1"/>
    <col min="37" max="42" width="16.42578125" hidden="1" customWidth="1"/>
    <col min="43" max="43" width="19.5703125" hidden="1" customWidth="1"/>
    <col min="44" max="44" width="16.42578125" hidden="1" customWidth="1"/>
    <col min="45" max="45" width="11.42578125" hidden="1" customWidth="1"/>
    <col min="46" max="48" width="12.42578125" hidden="1" customWidth="1"/>
    <col min="49" max="50" width="16.28515625" hidden="1" customWidth="1"/>
    <col min="51" max="51" width="17.28515625" hidden="1" customWidth="1"/>
    <col min="52" max="53" width="11.42578125" hidden="1" customWidth="1"/>
    <col min="54" max="54" width="13.42578125" hidden="1" customWidth="1"/>
    <col min="55" max="55" width="32.5703125" hidden="1" customWidth="1"/>
    <col min="56" max="16384" width="11.42578125" hidden="1"/>
  </cols>
  <sheetData>
    <row r="1" spans="1:54" ht="34.5" customHeight="1">
      <c r="A1" s="692" t="e" vm="1">
        <f>VLOOKUP(Länderwahl,Länderkennzeichen,3)</f>
        <v>#VALUE!</v>
      </c>
      <c r="B1" s="692"/>
      <c r="C1" s="695" t="s">
        <v>4492</v>
      </c>
      <c r="D1" s="695"/>
      <c r="E1" s="695"/>
      <c r="F1" s="695"/>
      <c r="G1" s="695"/>
      <c r="H1" s="695"/>
      <c r="I1" s="695"/>
      <c r="J1" s="571"/>
      <c r="K1" s="571"/>
      <c r="L1" s="695" t="str">
        <f>"Info-Box für "&amp;Länderwahl</f>
        <v>Info-Box für Italien</v>
      </c>
      <c r="M1" s="695"/>
      <c r="N1" s="695"/>
      <c r="O1" s="695"/>
      <c r="P1" s="695"/>
      <c r="Q1" s="695"/>
      <c r="R1" s="695"/>
      <c r="S1" s="695"/>
      <c r="T1" s="695"/>
      <c r="U1" s="693" t="e" vm="1">
        <f>VLOOKUP(Länderwahl,Länderkennzeichen,3)</f>
        <v>#VALUE!</v>
      </c>
      <c r="V1" s="693"/>
      <c r="W1" s="693"/>
      <c r="AA1" s="21" t="s">
        <v>4564</v>
      </c>
      <c r="AB1" s="341">
        <v>1</v>
      </c>
      <c r="AC1">
        <f>CHOOSE(AB1,Z10,Z11,Z12,Z13,Z14,Z15,Z16,Z17)</f>
        <v>36</v>
      </c>
      <c r="AD1">
        <f>CHOOSE(AB1,AA10,AA11,AA12,AA13,AA14,AA15,AA16,AA17)</f>
        <v>0</v>
      </c>
      <c r="AE1">
        <f>CHOOSE(AB1,AB10,AB11,AB12,AB13,AB14,AB15,AB16,AB17)</f>
        <v>0</v>
      </c>
      <c r="AF1">
        <f>CHOOSE(AB1,AC10,AC11,AC12,AC13,AC14,AC15,AC16,AC17)</f>
        <v>0</v>
      </c>
      <c r="AK1" s="685" t="s">
        <v>4388</v>
      </c>
      <c r="AL1" s="685" t="s">
        <v>4392</v>
      </c>
      <c r="AM1" s="685" t="s">
        <v>4400</v>
      </c>
      <c r="AN1" s="685" t="s">
        <v>4393</v>
      </c>
      <c r="AO1" s="685" t="s">
        <v>4406</v>
      </c>
      <c r="AP1" s="685" t="s">
        <v>4404</v>
      </c>
      <c r="AQ1" s="685" t="s">
        <v>4396</v>
      </c>
      <c r="AR1" s="685" t="s">
        <v>4407</v>
      </c>
      <c r="AS1" s="685" t="s">
        <v>4311</v>
      </c>
      <c r="AT1" s="685" t="s">
        <v>4403</v>
      </c>
      <c r="AU1" s="685" t="s">
        <v>4390</v>
      </c>
      <c r="AV1" s="685" t="s">
        <v>4401</v>
      </c>
      <c r="AW1" s="685" t="s">
        <v>4416</v>
      </c>
      <c r="AX1" s="685" t="s">
        <v>4418</v>
      </c>
      <c r="AY1" s="685" t="s">
        <v>4417</v>
      </c>
      <c r="AZ1" s="685" t="s">
        <v>4391</v>
      </c>
      <c r="BA1" s="685" t="s">
        <v>4402</v>
      </c>
      <c r="BB1" s="691"/>
    </row>
    <row r="2" spans="1:54" s="339" customFormat="1" ht="21.6" customHeight="1">
      <c r="A2" s="692"/>
      <c r="B2" s="692"/>
      <c r="C2" s="686" t="s">
        <v>3768</v>
      </c>
      <c r="D2" s="574"/>
      <c r="E2" s="455"/>
      <c r="F2" s="553"/>
      <c r="G2" s="554"/>
      <c r="H2" s="554"/>
      <c r="I2" s="554"/>
      <c r="J2" s="554"/>
      <c r="K2" s="630" t="str">
        <f>"Werden für staatliche Versorgung Auskünfte durch den Versorgungsträgers erteilt? "&amp;IFERROR(VLOOKUP(AB2,Auskunftgeber,4,FALSE),"")</f>
        <v>Werden für staatliche Versorgung Auskünfte durch den Versorgungsträgers erteilt? Ja</v>
      </c>
      <c r="L2" s="630"/>
      <c r="M2" s="630"/>
      <c r="N2" s="630"/>
      <c r="O2" s="631"/>
      <c r="P2" s="630"/>
      <c r="Q2" s="630"/>
      <c r="R2" s="630"/>
      <c r="S2" s="632"/>
      <c r="T2" s="632"/>
      <c r="U2" s="693"/>
      <c r="V2" s="693"/>
      <c r="W2" s="693"/>
      <c r="AA2" s="339" t="s">
        <v>2883</v>
      </c>
      <c r="AB2" s="343">
        <v>11</v>
      </c>
      <c r="AC2" s="339" t="str">
        <f>VLOOKUP(AB2,Länder1,2)</f>
        <v>Italien</v>
      </c>
      <c r="AD2" s="339">
        <f>+AB2+1</f>
        <v>12</v>
      </c>
      <c r="AK2" s="685"/>
      <c r="AL2" s="685"/>
      <c r="AM2" s="685"/>
      <c r="AN2" s="685"/>
      <c r="AO2" s="685"/>
      <c r="AP2" s="685"/>
      <c r="AQ2" s="685"/>
      <c r="AR2" s="685"/>
      <c r="AS2" s="685"/>
      <c r="AT2" s="685"/>
      <c r="AU2" s="685"/>
      <c r="AV2" s="685"/>
      <c r="AW2" s="685"/>
      <c r="AX2" s="685"/>
      <c r="AY2" s="685"/>
      <c r="AZ2" s="685"/>
      <c r="BA2" s="685"/>
      <c r="BB2" s="691"/>
    </row>
    <row r="3" spans="1:54" s="536" customFormat="1" ht="21.6" customHeight="1">
      <c r="A3" s="692" t="s">
        <v>5193</v>
      </c>
      <c r="B3" s="692"/>
      <c r="C3" s="686"/>
      <c r="D3" s="574"/>
      <c r="E3" s="455"/>
      <c r="F3" s="720" t="str">
        <f>IFERROR(HYPERLINK(VLOOKUP(Länderwahl,EUEFTA_Rentenrechner,3,FALSE),"→ Rentenrechner für "&amp;TEXT(Länderwahl,"")&amp;" öffnen ℹ"),"x Rentenrechner nicht verfügbar")</f>
        <v>→ Rentenrechner für Italien öffnen ℹ</v>
      </c>
      <c r="G3" s="720"/>
      <c r="H3" s="720"/>
      <c r="I3" s="720"/>
      <c r="J3" s="488"/>
      <c r="K3" s="698" t="str">
        <f>HYPERLINK("#'" &amp; AC2 &amp; "'!Y2", "→ Zum Länder-Datenblatt - Auszug aus EU-Datenbank ℹ")</f>
        <v>→ Zum Länder-Datenblatt - Auszug aus EU-Datenbank ℹ</v>
      </c>
      <c r="L3" s="698"/>
      <c r="M3" s="698"/>
      <c r="N3" s="698"/>
      <c r="O3" s="698"/>
      <c r="P3" s="698"/>
      <c r="Q3" s="698"/>
      <c r="R3" s="697" t="str">
        <f>IFERROR(HYPERLINK(VLOOKUP(Länderwahl,EU_Laender,2,FALSE),"ℹ→ EU-Broschüre zur Rente öffnen"),"x EU-Broschüre nicht verfügbar")</f>
        <v>ℹ→ EU-Broschüre zur Rente öffnen</v>
      </c>
      <c r="S3" s="697"/>
      <c r="T3" s="697"/>
      <c r="U3" s="697"/>
      <c r="V3" s="697"/>
      <c r="W3" s="340"/>
      <c r="AA3" s="537" t="s">
        <v>4205</v>
      </c>
      <c r="AB3" s="538" t="s">
        <v>4206</v>
      </c>
      <c r="AK3" s="539">
        <f>DATE(YEAR(Dat_BebDat_Ber)+RentenalterBer,MONTH(Dat_GebDat_Ber)+MOD(RentenalterBer,1)+1,1)</f>
        <v>53328</v>
      </c>
      <c r="AL3" s="540"/>
      <c r="AM3" s="541">
        <f>+Alter_Ber</f>
        <v>45</v>
      </c>
      <c r="AN3" s="542">
        <f>ROUND(YEARFRAC(Dat_BebDat_Ber,AK5,3),1)</f>
        <v>60.3</v>
      </c>
      <c r="AO3" s="542">
        <f>ROUND(YEARFRAC(Dat_BebDat_Ber,AL4,3),1)</f>
        <v>65</v>
      </c>
      <c r="AP3" s="541">
        <f>VLOOKUP(IF(RentenalterBer&lt;=Alter_Ber_sVA_Beginn,ROUND(Alter_Ber_sVA_Beginn,0),ROUND(RentenalterBer,0)),CHOOSE(GeschlechtsNr_Ber,Lx,Ly,Ln),YEAR(Dat_GebDat_Ber)+IF(MONTH(Dat_GebDat_Ber)&gt;6,1,0)-1900+2)</f>
        <v>25.99</v>
      </c>
      <c r="AQ3" s="541">
        <f>ROUND(VLOOKUP(Alter_Ber,CHOOSE(GeschlechtsNr_Ber,Kohorte_M,Kohorte_W,Kohorte_D),YEAR(Dat_GebDat_Ber)+IF(MONTH(Dat_GebDat_Ber)&gt;6,1,0)-1900+2),0)</f>
        <v>97524</v>
      </c>
      <c r="AR3" s="541">
        <f>ROUND(VLOOKUP(AO3,CHOOSE(GeschlechtsNr_Ber,Kohorte_M,Kohorte_W,Kohorte_D),YEAR(Dat_GebDat_Ber)+IF(MONTH(Dat_GebDat_Ber)&gt;6,1,0)-1900+2),0)</f>
        <v>93274</v>
      </c>
      <c r="AS3" s="541">
        <f>+Kohorte_LDat_Ber/Kohorte_BerDat_Ber</f>
        <v>0.9564209835527665</v>
      </c>
      <c r="AT3" s="541"/>
      <c r="AU3" s="543"/>
      <c r="AV3" s="690">
        <f>+AS3*AS5</f>
        <v>0.83755150391523492</v>
      </c>
      <c r="AW3" s="541">
        <f>IF(ROUND(Alter_Ber_sVA_Beginn-Alter_Ber,2)&lt;=0,0,ROUND(Alter_Ber_sVA_Beginn-Alter_Ber,2))</f>
        <v>15.3</v>
      </c>
      <c r="AX3" s="539">
        <f>DATE(YEAR(Dat_GebDat_Ber)+65,MONTH(Dat_GebDat_Ber)+VLOOKUP(YEAR(Dat_GebDat_Ber),DRV_Renteneintritt,2)+1,1)</f>
        <v>54058</v>
      </c>
      <c r="AY3" s="541">
        <f>ROUND(YEARFRAC(Dat_Ber,AX3,3),1)</f>
        <v>22</v>
      </c>
      <c r="AZ3" s="690">
        <f>MIN(L_Pfl_sVA_Beginn,L_Ber_absVA)</f>
        <v>18.64</v>
      </c>
      <c r="BA3" s="690">
        <f>ROUND(+AZ3*AV3,2)</f>
        <v>15.61</v>
      </c>
      <c r="BB3" s="689">
        <f>-PV(-ReDynamik_Leistung,BA3,AU5*ReAnzahlproJahr)</f>
        <v>165474.79692309932</v>
      </c>
    </row>
    <row r="4" spans="1:54" s="536" customFormat="1" ht="30" customHeight="1">
      <c r="A4" s="555">
        <v>1</v>
      </c>
      <c r="B4" s="558" t="s">
        <v>0</v>
      </c>
      <c r="C4" s="706" t="s">
        <v>3738</v>
      </c>
      <c r="D4" s="707"/>
      <c r="E4" s="708"/>
      <c r="F4" s="361">
        <v>46022</v>
      </c>
      <c r="G4" s="700" t="s">
        <v>5206</v>
      </c>
      <c r="H4" s="736" t="s">
        <v>5207</v>
      </c>
      <c r="I4" s="578" t="s">
        <v>5204</v>
      </c>
      <c r="J4" s="522"/>
      <c r="K4" s="688" t="s">
        <v>4487</v>
      </c>
      <c r="L4" s="688"/>
      <c r="M4" s="687" t="s">
        <v>4488</v>
      </c>
      <c r="N4" s="687"/>
      <c r="O4" s="687"/>
      <c r="P4" s="460" t="str" cm="1">
        <f t="array" aca="1" ref="P4" ca="1">HYPERLINK("#" &amp; CELL("Adresse",INDIRECT(KurzSprungziel)),"Zur Kurzinfo ℹ")</f>
        <v>Zur Kurzinfo ℹ</v>
      </c>
      <c r="Q4" s="687" t="s">
        <v>4489</v>
      </c>
      <c r="R4" s="687"/>
      <c r="S4" s="688" t="str">
        <f>"...RSpr. seit 2009"&amp;_xlfn.UNICHAR(9878)</f>
        <v>...RSpr. seit 2009⚖</v>
      </c>
      <c r="T4" s="688"/>
      <c r="U4" s="688"/>
      <c r="V4" s="688"/>
      <c r="W4" s="152"/>
      <c r="Y4" s="538" t="s">
        <v>2884</v>
      </c>
      <c r="Z4" s="537" t="s">
        <v>4988</v>
      </c>
      <c r="AA4" s="536">
        <f>VLOOKUP(Ländernr,Lebenshaltungskostenvergleich,6)</f>
        <v>-0.10799999999999998</v>
      </c>
      <c r="AK4" s="545" t="s">
        <v>4389</v>
      </c>
      <c r="AL4" s="539">
        <f>MAX(RentenBeginn_Ber,sVA_Leistungsbeginn)</f>
        <v>53328</v>
      </c>
      <c r="AM4" s="545" t="s">
        <v>4395</v>
      </c>
      <c r="AN4" s="546" t="s">
        <v>4394</v>
      </c>
      <c r="AO4" s="546" t="s">
        <v>4405</v>
      </c>
      <c r="AP4" s="545" t="s">
        <v>4398</v>
      </c>
      <c r="AQ4" s="545" t="s">
        <v>4397</v>
      </c>
      <c r="AR4" s="545" t="s">
        <v>4399</v>
      </c>
      <c r="AS4" s="543"/>
      <c r="AT4" s="543"/>
      <c r="AU4" s="543"/>
      <c r="AV4" s="690"/>
      <c r="AW4" s="541"/>
      <c r="AX4" s="541"/>
      <c r="AY4" s="541"/>
      <c r="AZ4" s="690"/>
      <c r="BA4" s="690"/>
      <c r="BB4" s="689"/>
    </row>
    <row r="5" spans="1:54" s="547" customFormat="1" ht="23.1" customHeight="1">
      <c r="A5" s="555">
        <v>2</v>
      </c>
      <c r="B5" s="559" t="s">
        <v>1</v>
      </c>
      <c r="C5" s="355" t="s">
        <v>5202</v>
      </c>
      <c r="D5" s="361">
        <v>44196</v>
      </c>
      <c r="E5" s="573" t="s">
        <v>5203</v>
      </c>
      <c r="F5" s="577" t="s">
        <v>5201</v>
      </c>
      <c r="G5" s="701"/>
      <c r="H5" s="737"/>
      <c r="I5" s="579">
        <f>MAX(Dat_Ber,Leistungsbeginn_Pfl,H7)</f>
        <v>53328</v>
      </c>
      <c r="J5" s="523"/>
      <c r="K5" s="718" t="str">
        <f>"ℹ Lebenshaltungskosten in "&amp;Länderwahl&amp;" "&amp;IF(AA4&gt;0," +","")&amp;TEXT(AA4,"0,0%")&amp;IF(AA4&gt;0," höher "," niedriger ")&amp;"als in Deutschland"</f>
        <v>ℹ Lebenshaltungskosten in Italien -10,8% niedriger als in Deutschland</v>
      </c>
      <c r="L5" s="718"/>
      <c r="M5" s="718"/>
      <c r="N5" s="718"/>
      <c r="O5" s="718"/>
      <c r="P5" s="718"/>
      <c r="Q5" s="718"/>
      <c r="R5" s="718"/>
      <c r="S5" s="718"/>
      <c r="T5" s="718"/>
      <c r="U5" s="718"/>
      <c r="V5" s="718"/>
      <c r="W5" s="131"/>
      <c r="Y5" s="548" t="s">
        <v>2885</v>
      </c>
      <c r="AA5" s="536"/>
      <c r="AB5" s="536"/>
      <c r="AC5" s="536" t="s">
        <v>4349</v>
      </c>
      <c r="AD5" s="536"/>
      <c r="AK5" s="539">
        <f>+Leistungsbeginn_Pfl</f>
        <v>51592</v>
      </c>
      <c r="AL5" s="540"/>
      <c r="AM5" s="541">
        <f>+Alter_Pfl</f>
        <v>50</v>
      </c>
      <c r="AN5" s="542">
        <f>ROUND(YEARFRAC(Dat_GebDat_Pfl,AK5,3),1)</f>
        <v>65.3</v>
      </c>
      <c r="AO5" s="542">
        <f>ROUND(YEARFRAC(Dat_GebDat_Pfl,AL4,3),1)</f>
        <v>70.099999999999994</v>
      </c>
      <c r="AP5" s="541">
        <f>ROUND(VLOOKUP(AO5,CHOOSE(GeschlechtsNr_Pfl,Lx,Ly,Ln),YEAR(Dat_GebDat_Pfl)+IF(MONTH(Dat_GebDat_Pfl)&gt;6,1,0)-1900+2),2)</f>
        <v>18.64</v>
      </c>
      <c r="AQ5" s="541">
        <f>ROUND(VLOOKUP(Alter_Pfl,CHOOSE(GeschlechtsNr_Pfl,Kohorte_M,Kohorte_W,Kohorte_D),YEAR(Dat_GebDat_Pfl)+IF(MONTH(Dat_GebDat_Pfl)&gt;6,1,0)-1900+2),0)</f>
        <v>93977</v>
      </c>
      <c r="AR5" s="541">
        <f>ROUND(VLOOKUP(AO5,CHOOSE(GeschlechtsNr_Pfl,Kohorte_M,Kohorte_W,Kohorte_D),YEAR(Dat_GebDat_Pfl)+IF(MONTH(Dat_GebDat_Pfl)&gt;6,1,0)-1900+2),0)</f>
        <v>82297</v>
      </c>
      <c r="AS5" s="549">
        <f>+Kohorte_LDat_Pfl/Kohorte_BerDat_pfl</f>
        <v>0.87571427051299788</v>
      </c>
      <c r="AT5" s="541">
        <f>ROUND(YEARFRAC(AK5,AL4,3),2)</f>
        <v>4.76</v>
      </c>
      <c r="AU5" s="544">
        <f>+ReHöhe_EZE_Pfl*(1+ReDyn_Anwartschaft)^sVA_AnwartZeit_Pfl*(1+ReDynamik_Leistung)^LZeitBis_sVA</f>
        <v>743.85699250575556</v>
      </c>
      <c r="AV5" s="690"/>
      <c r="AW5" s="541">
        <f>IF(ROUND(Alter_Pfl_sVABeginn-Alter_Pfl_sVA_Beginn,2)&lt;=0,0,ROUND(Alter_Pfl_sVABeginn-Alter_Pfl_sVA_Beginn,2))</f>
        <v>15.3</v>
      </c>
      <c r="AX5" s="541"/>
      <c r="AY5" s="541"/>
      <c r="AZ5" s="690"/>
      <c r="BA5" s="690"/>
      <c r="BB5" s="689"/>
    </row>
    <row r="6" spans="1:54" s="547" customFormat="1" ht="23.1" customHeight="1" thickBot="1">
      <c r="A6" s="555">
        <v>3</v>
      </c>
      <c r="B6" s="560" t="s">
        <v>2</v>
      </c>
      <c r="C6" s="355" t="s">
        <v>5196</v>
      </c>
      <c r="D6" s="423">
        <v>27759</v>
      </c>
      <c r="E6" s="575">
        <f>ROUND(YEARFRAC(Dat_GebDat_Pfl,EzE,3),2)</f>
        <v>45.03</v>
      </c>
      <c r="F6" s="464">
        <f>IFERROR(IF(Dat_GebDat_Pfl="","",ROUND(YEARFRAC(D6,F$4,3),1)),"")</f>
        <v>50</v>
      </c>
      <c r="G6" s="362">
        <v>65.3</v>
      </c>
      <c r="H6" s="457">
        <f>IF(ReAlter_Pfl="","",DATE(YEAR(Dat_GebDat_Pfl)+INT(ReAlter_Pfl),MONTH(Dat_GebDat_Pfl)+(ReAlter_Pfl-INT(G6))*12+1,1))</f>
        <v>51592</v>
      </c>
      <c r="I6" s="581">
        <f>+Alter_sVA_Pfl</f>
        <v>70.099999999999994</v>
      </c>
      <c r="J6" s="523"/>
      <c r="K6" s="719" t="str">
        <f>"ℹ Lebenserwartung einer 65 jährigen ausgleichspfl. Person in "&amp;Länderwahl&amp;" "&amp;TEXT(L_DzuAuswahlland,"0,00%")&amp;IF(L_DzuAuswahlland&gt;0," höher "," niedriger ")&amp;"als in Deutschland"</f>
        <v>ℹ Lebenserwartung einer 65 jährigen ausgleichspfl. Person in Italien 10,60% höher als in Deutschland</v>
      </c>
      <c r="L6" s="719"/>
      <c r="M6" s="719"/>
      <c r="N6" s="719"/>
      <c r="O6" s="719"/>
      <c r="P6" s="719"/>
      <c r="Q6" s="719"/>
      <c r="R6" s="719"/>
      <c r="S6" s="719"/>
      <c r="T6" s="719"/>
      <c r="U6" s="719"/>
      <c r="V6" s="719"/>
      <c r="W6" s="520"/>
      <c r="Y6" s="548" t="s">
        <v>2886</v>
      </c>
      <c r="AA6" s="550">
        <v>1</v>
      </c>
      <c r="AC6" s="547" t="e" cm="1">
        <f t="array" aca="1" ref="AC6" ca="1">VLOOKUP(Länderwahl,INDIRECT(Dynamisierungslinks),26)</f>
        <v>#N/A</v>
      </c>
      <c r="AD6" s="551" t="str">
        <f>HYPERLINK(VLOOKUP(Länderwahl,Dynamisierungslinks,26),"zur Quelle")</f>
        <v>zur Quelle</v>
      </c>
      <c r="AJ6" s="552" t="s">
        <v>3749</v>
      </c>
      <c r="AK6" s="547" t="str" cm="1">
        <f t="array" aca="1" ref="AK6" ca="1">IFERROR("► "&amp;INDIRECT("'"&amp;Länderwahl&amp;"'!b"&amp;Thema1)&amp;"; "&amp;INDIRECT("'"&amp;Länderwahl&amp;"'!c"&amp;Thema1)&amp;";  "&amp;INDIRECT("'"&amp;Länderwahl&amp;"'!d"&amp;Thema1)&amp;"(Nr. "&amp;Thema1&amp;"):  "&amp;CHAR(10)&amp;INDIRECT("'"&amp;Länderwahl&amp;"'!F"&amp;Thema1)&amp;CHAR(10),"")</f>
        <v xml:space="preserve">► Alter; Grundprinzipien;  Grundprinzipien(Nr. 36):  
Allgemeine Pflichtversicherung (Assicurazione Generale Obbligatoria, AGO) für Arbeitnehmer der Privatwirtschaft mit Leistungen basierend auf 2 bestimmenden Faktoren: Alter und geleistete Beiträge.
Es gibt ein zusätzliches freiwilliges, ergänzendes Berufssystem, welches sowohl aus offenen Fonds sowie geschlossenen, tarifvertraglich gebundenen Fonds besteht. Die geschlossenen Fonds können sowohl von Arbeitnehmern und Arbeitgebern finanziert werden als auch durch die freiwillige Umwandlung von TFR (privaten Abfindungszahlungen). Zusätzlich können Arbeitnehmer Mitglieder von privaten Rentenfonds werden.
In Tabelle VI werden nur Pflichtsysteme dargestellt.
Sonstige obligatorische Systeme für Selbstständige (siehe MISSOC-Informationen zum Sozialschutz für Selbstständige) und eine bestimmte Anzahl besonderer Gruppen von Arbeitern wie Beamte, Freiberufler, atypische Beschäftigte.
Die Mittel werden auf Umlagebasis verwaltet.Das Rentensystem basiert auf einem fiktiven beitragsdefinierten System (NDC) für Personen, die nach dem 1. Januar 1996 in den Arbeitsmarkt eingetreten sind. Für Personen, die vor diesem Datum in den Arbeitsmarkt eingetreten sind, gilt ein „hybrides“ System (eine Mischung aus DB und NDC). 
Es gibt ein gesetzliches, beitragsfreies Mindestleistungssystem, auf dessen Grundlage älteren mittellosen Menschen die wohlstandsbasierte Sozialhilfe (assegno sociale) gewährt wird (siehe Tabelle XI, „Mindestsicherung”).
</v>
      </c>
    </row>
    <row r="7" spans="1:54" s="23" customFormat="1" ht="23.1" customHeight="1">
      <c r="A7" s="555">
        <v>4</v>
      </c>
      <c r="B7" s="560" t="s">
        <v>3</v>
      </c>
      <c r="C7" s="355" t="s">
        <v>3789</v>
      </c>
      <c r="D7" s="423">
        <v>29586</v>
      </c>
      <c r="E7" s="627">
        <f>ROUND(YEARFRAC(Dat_BebDat_Ber,EzE,3),1)</f>
        <v>40</v>
      </c>
      <c r="F7" s="464">
        <f>IFERROR(IF(Dat_GebDat_Ber="","",ROUND(YEARFRAC(D7,F$4,3),1)),"")</f>
        <v>45</v>
      </c>
      <c r="G7" s="381">
        <v>65</v>
      </c>
      <c r="H7" s="457">
        <f>IF(RentenalterBer="","",DATE(YEAR(Dat_BebDat_Ber)+INT(RentenalterBer),MONTH(Dat_GebDat_Ber)+(RentenalterBer-INT(G7))*12+1,1))</f>
        <v>53328</v>
      </c>
      <c r="I7" s="581">
        <f>+Alter_sVA_Ber</f>
        <v>65</v>
      </c>
      <c r="J7" s="524"/>
      <c r="K7" s="709" t="str">
        <f ca="1">IF(InfoBereich=2,AK32,KTextZus1)</f>
        <v xml:space="preserve">► Alter; Grundprinzipien;  Grundprinzipien(Nr. 36):  
Allgemeine Pflichtversicherung (Assicurazione Generale Obbligatoria, AGO) für Arbeitnehmer der Privatwirtschaft mit Leistungen basierend auf 2 bestimmenden Faktoren: Alter und geleistete Beiträge.
Es gibt ein zusätzliches freiwilliges, ergänzendes Berufssystem, welches sowohl aus offenen Fonds sowie geschlossenen, tarifvertraglich gebundenen Fonds besteht. Die geschlossenen Fonds können sowohl von Arbeitnehmern und Arbeitgebern finanziert werden als auch durch die freiwillige Umwandlung von TFR (privaten Abfindungszahlungen). Zusätzlich können Arbeitnehmer Mitglieder von privaten Rentenfonds werden.
In Tabelle VI werden nur Pflichtsysteme dargestellt.
Sonstige obligatorische Systeme für Selbstständige (siehe MISSOC-Informationen zum Sozialschutz für Selbstständige) und eine bestimmte Anzahl besonderer Gruppen von Arbeitern wie Beamte, Freiberufler, atypische Beschäftigte.
Die Mittel werden auf Umlagebasis verwaltet.Das Rentensystem basiert auf einem fiktiven beitragsdefinierten System (NDC) für Personen, die nach dem 1. Januar 1996 in den Arbeitsmarkt eingetreten sind. Für Personen, die vor diesem Datum in den Arbeitsmarkt eingetreten sind, gilt ein „hybrides“ System (eine Mischung aus DB und NDC). 
Es gibt ein gesetzliches, beitragsfreies Mindestleistungssystem, auf dessen Grundlage älteren mittellosen Menschen die wohlstandsbasierte Sozialhilfe (assegno sociale) gewährt wird (siehe Tabelle XI, „Mindestsicherung”).
</v>
      </c>
      <c r="L7" s="710"/>
      <c r="M7" s="710"/>
      <c r="N7" s="710"/>
      <c r="O7" s="710"/>
      <c r="P7" s="710"/>
      <c r="Q7" s="710"/>
      <c r="R7" s="710"/>
      <c r="S7" s="710"/>
      <c r="T7" s="710"/>
      <c r="U7" s="710"/>
      <c r="V7" s="711"/>
      <c r="W7" s="648" t="s">
        <v>5232</v>
      </c>
      <c r="Z7" s="272" t="str" cm="1">
        <f t="array" aca="1" ref="Z7" ca="1">HYPERLINK("#"&amp;CELL("Adresse",INDIRECT(KurzSprungziel)),"Zur Kurzinfo")</f>
        <v>Zur Kurzinfo</v>
      </c>
      <c r="AA7" s="342">
        <v>2</v>
      </c>
      <c r="AC7" s="272" t="s">
        <v>4350</v>
      </c>
      <c r="AD7" s="167" t="s">
        <v>5213</v>
      </c>
      <c r="AE7" s="23">
        <f>ROUND(YEARFRAC(Dat_GebDat_Pfl,I5,3),1)</f>
        <v>70.099999999999994</v>
      </c>
      <c r="AF7" s="167" t="s">
        <v>5211</v>
      </c>
      <c r="AG7" s="23">
        <f>VLOOKUP(Alter_sVA_Pfl,CHOOSE(GeschlechtsNr_Ber,Lx,Ly,Ln),YEAR(Dat_GebDat_Ber)+IF(MONTH(Dat_GebDat_Ber)&gt;6,1,0)-1900+2)</f>
        <v>21.62</v>
      </c>
      <c r="AJ7" s="167" t="s">
        <v>3750</v>
      </c>
      <c r="AK7" s="23" t="str" cm="1">
        <f t="array" aca="1" ref="AK7" ca="1">IFERROR("► "&amp;INDIRECT("'"&amp;Länderwahl&amp;"'!b"&amp;Thema2)&amp;"; "&amp;INDIRECT("'"&amp;Länderwahl&amp;"'!c"&amp;Thema2)&amp;";  "&amp;INDIRECT("'"&amp;Länderwahl&amp;"'!d"&amp;Thema2)&amp;"(Nr. "&amp;Thema2&amp;"):  "&amp;CHAR(10)&amp;INDIRECT("'"&amp;Länderwahl&amp;"'!F"&amp;Thema2)&amp;CHAR(10),"")</f>
        <v/>
      </c>
    </row>
    <row r="8" spans="1:54" s="23" customFormat="1" ht="23.1" customHeight="1">
      <c r="A8" s="555">
        <v>5</v>
      </c>
      <c r="B8" s="560" t="s">
        <v>4</v>
      </c>
      <c r="C8" s="699" t="s">
        <v>3767</v>
      </c>
      <c r="D8" s="699"/>
      <c r="E8" s="699"/>
      <c r="F8" s="699"/>
      <c r="G8" s="699"/>
      <c r="H8" s="699"/>
      <c r="I8" s="406" t="s">
        <v>4563</v>
      </c>
      <c r="J8" s="521"/>
      <c r="K8" s="712"/>
      <c r="L8" s="713"/>
      <c r="M8" s="713"/>
      <c r="N8" s="713"/>
      <c r="O8" s="713"/>
      <c r="P8" s="713"/>
      <c r="Q8" s="713"/>
      <c r="R8" s="713"/>
      <c r="S8" s="713"/>
      <c r="T8" s="713"/>
      <c r="U8" s="713"/>
      <c r="V8" s="714"/>
      <c r="W8" s="555" t="s">
        <v>5229</v>
      </c>
      <c r="Z8" s="167"/>
      <c r="AD8" s="167" t="s">
        <v>5210</v>
      </c>
      <c r="AE8" s="580">
        <f>ROUND(YEARFRAC(Dat_BebDat_Ber,I5,3),1)</f>
        <v>65</v>
      </c>
      <c r="AF8" s="167" t="s">
        <v>5212</v>
      </c>
      <c r="AG8" s="23">
        <f>VLOOKUP(Alter_sVA_Ber,CHOOSE(GeschlechtsNr_Ber,Lx,Ly,Ln),YEAR(Dat_GebDat_Ber)+IF(MONTH(Dat_GebDat_Ber)&gt;6,1,0)-1900+2)</f>
        <v>25.99</v>
      </c>
      <c r="AJ8" s="167" t="s">
        <v>3751</v>
      </c>
      <c r="AK8" s="23" t="str" cm="1">
        <f t="array" aca="1" ref="AK8" ca="1">IFERROR("► "&amp;INDIRECT("'"&amp;Länderwahl&amp;"'!b"&amp;Thema3)&amp;"; "&amp;INDIRECT("'"&amp;Länderwahl&amp;"'!c"&amp;Thema3)&amp;";  "&amp;INDIRECT("'"&amp;Länderwahl&amp;"'!d"&amp;Thema3)&amp;"(Nr. "&amp;Thema3&amp;"):  "&amp;CHAR(10)&amp;INDIRECT("'"&amp;Länderwahl&amp;"'!F"&amp;Thema3)&amp;CHAR(10),"")</f>
        <v/>
      </c>
      <c r="AQ8" s="257"/>
      <c r="AR8" s="257"/>
      <c r="AV8" s="257"/>
    </row>
    <row r="9" spans="1:54" s="23" customFormat="1" ht="30" customHeight="1">
      <c r="A9" s="555">
        <v>6</v>
      </c>
      <c r="B9" s="560" t="s">
        <v>5</v>
      </c>
      <c r="C9" s="681" t="s">
        <v>5220</v>
      </c>
      <c r="D9" s="664"/>
      <c r="E9" s="456" t="str">
        <f>IFERROR(HYPERLINK(VLOOKUP(Länderwahl,EUEFTA_Rentenrechner,3,FALSE),"→ zum Rentenrechner"),"x Rentenrechner nicht verfügbar")</f>
        <v>→ zum Rentenrechner</v>
      </c>
      <c r="F9" s="348">
        <v>500</v>
      </c>
      <c r="G9" s="696" t="s">
        <v>4430</v>
      </c>
      <c r="H9" s="696"/>
      <c r="I9" s="362">
        <v>12</v>
      </c>
      <c r="J9" s="525"/>
      <c r="K9" s="712"/>
      <c r="L9" s="713"/>
      <c r="M9" s="713"/>
      <c r="N9" s="713"/>
      <c r="O9" s="713"/>
      <c r="P9" s="713"/>
      <c r="Q9" s="713"/>
      <c r="R9" s="713"/>
      <c r="S9" s="713"/>
      <c r="T9" s="713"/>
      <c r="U9" s="713"/>
      <c r="V9" s="714"/>
      <c r="W9" s="131"/>
      <c r="Z9" s="25"/>
      <c r="AA9" s="25"/>
      <c r="AB9" s="25"/>
      <c r="AC9" s="25"/>
      <c r="AJ9" s="167" t="s">
        <v>3752</v>
      </c>
      <c r="AK9" s="23" t="str" cm="1">
        <f t="array" aca="1" ref="AK9" ca="1">IFERROR("► "&amp;INDIRECT("'"&amp;Länderwahl&amp;"'!b"&amp;Thema4)&amp;"; "&amp;INDIRECT("'"&amp;Länderwahl&amp;"'!c"&amp;Thema4)&amp;";  "&amp;INDIRECT("'"&amp;Länderwahl&amp;"'!d"&amp;Thema4)&amp;"(Nr. "&amp;Thema4&amp;"):  "&amp;CHAR(10)&amp;INDIRECT("'"&amp;Länderwahl&amp;"'!F"&amp;Thema4)&amp;CHAR(10),"")</f>
        <v/>
      </c>
    </row>
    <row r="10" spans="1:54" s="23" customFormat="1" ht="23.1" customHeight="1">
      <c r="A10" s="555">
        <v>7</v>
      </c>
      <c r="B10" s="560" t="s">
        <v>6</v>
      </c>
      <c r="C10" s="682" t="s">
        <v>5209</v>
      </c>
      <c r="D10" s="683"/>
      <c r="E10" s="683"/>
      <c r="F10" s="683"/>
      <c r="G10" s="683"/>
      <c r="H10" s="683"/>
      <c r="I10" s="684"/>
      <c r="J10" s="526"/>
      <c r="K10" s="712"/>
      <c r="L10" s="713"/>
      <c r="M10" s="713"/>
      <c r="N10" s="713"/>
      <c r="O10" s="713"/>
      <c r="P10" s="713"/>
      <c r="Q10" s="713"/>
      <c r="R10" s="713"/>
      <c r="S10" s="713"/>
      <c r="T10" s="713"/>
      <c r="U10" s="713"/>
      <c r="V10" s="714"/>
      <c r="W10" s="131"/>
      <c r="Z10" s="28">
        <v>36</v>
      </c>
      <c r="AA10" s="25"/>
      <c r="AB10" s="25"/>
      <c r="AC10" s="25"/>
      <c r="AD10" s="167" t="s">
        <v>3739</v>
      </c>
      <c r="AF10" s="167" t="s">
        <v>4523</v>
      </c>
      <c r="AG10" s="23" t="str">
        <f>"K_"&amp;VLOOKUP(Länderwahl,Länderkennzeichen,2)</f>
        <v>K_I</v>
      </c>
      <c r="AJ10" s="167" t="s">
        <v>4566</v>
      </c>
      <c r="AK10" s="23" t="str">
        <f ca="1">Text1&amp;Text2&amp;Text3&amp;Text4&amp;Text5</f>
        <v xml:space="preserve">► Alter; Grundprinzipien;  Grundprinzipien(Nr. 36):  
Allgemeine Pflichtversicherung (Assicurazione Generale Obbligatoria, AGO) für Arbeitnehmer der Privatwirtschaft mit Leistungen basierend auf 2 bestimmenden Faktoren: Alter und geleistete Beiträge.
Es gibt ein zusätzliches freiwilliges, ergänzendes Berufssystem, welches sowohl aus offenen Fonds sowie geschlossenen, tarifvertraglich gebundenen Fonds besteht. Die geschlossenen Fonds können sowohl von Arbeitnehmern und Arbeitgebern finanziert werden als auch durch die freiwillige Umwandlung von TFR (privaten Abfindungszahlungen). Zusätzlich können Arbeitnehmer Mitglieder von privaten Rentenfonds werden.
In Tabelle VI werden nur Pflichtsysteme dargestellt.
Sonstige obligatorische Systeme für Selbstständige (siehe MISSOC-Informationen zum Sozialschutz für Selbstständige) und eine bestimmte Anzahl besonderer Gruppen von Arbeitern wie Beamte, Freiberufler, atypische Beschäftigte.
Die Mittel werden auf Umlagebasis verwaltet.Das Rentensystem basiert auf einem fiktiven beitragsdefinierten System (NDC) für Personen, die nach dem 1. Januar 1996 in den Arbeitsmarkt eingetreten sind. Für Personen, die vor diesem Datum in den Arbeitsmarkt eingetreten sind, gilt ein „hybrides“ System (eine Mischung aus DB und NDC). 
Es gibt ein gesetzliches, beitragsfreies Mindestleistungssystem, auf dessen Grundlage älteren mittellosen Menschen die wohlstandsbasierte Sozialhilfe (assegno sociale) gewährt wird (siehe Tabelle XI, „Mindestsicherung”).
</v>
      </c>
      <c r="AQ10" s="24"/>
    </row>
    <row r="11" spans="1:54" s="23" customFormat="1" ht="23.1" customHeight="1">
      <c r="A11" s="555">
        <v>8</v>
      </c>
      <c r="B11" s="560" t="s">
        <v>7</v>
      </c>
      <c r="C11" s="681" t="s">
        <v>3757</v>
      </c>
      <c r="D11" s="664"/>
      <c r="E11" s="665"/>
      <c r="F11" s="672" t="s">
        <v>3758</v>
      </c>
      <c r="G11" s="672"/>
      <c r="H11" s="672"/>
      <c r="I11" s="672"/>
      <c r="J11" s="527"/>
      <c r="K11" s="712"/>
      <c r="L11" s="713"/>
      <c r="M11" s="713"/>
      <c r="N11" s="713"/>
      <c r="O11" s="713"/>
      <c r="P11" s="713"/>
      <c r="Q11" s="713"/>
      <c r="R11" s="713"/>
      <c r="S11" s="713"/>
      <c r="T11" s="713"/>
      <c r="U11" s="713"/>
      <c r="V11" s="714"/>
      <c r="W11" s="131"/>
      <c r="Z11" s="25">
        <v>36</v>
      </c>
      <c r="AA11" s="25">
        <v>39</v>
      </c>
      <c r="AB11" s="25">
        <v>40</v>
      </c>
      <c r="AC11" s="25"/>
      <c r="AD11" s="167" t="s">
        <v>2780</v>
      </c>
      <c r="AE11" s="167"/>
      <c r="AF11" s="338" t="s">
        <v>0</v>
      </c>
      <c r="AG11" s="363" t="s">
        <v>4501</v>
      </c>
      <c r="AH11" t="e" vm="2">
        <v>#VALUE!</v>
      </c>
      <c r="AI11" s="167"/>
      <c r="AJ11" s="167" t="s">
        <v>4432</v>
      </c>
      <c r="AK11" s="23" t="str">
        <f>"❶ "&amp;VLOOKUP(1,Kurzübersicht,2)&amp;":      "&amp;VLOOKUP(1,Kurzübersicht,$AB$2+3)&amp;CHAR(10)</f>
        <v xml:space="preserve">❶ 1. Regelrenteneintrittsalter für männliche Person, Jahrgang 1976:      Mindestens 67 Jahre, aber ab 2027 an Lebenserwartung anzupassen. Für Jg. 1976 ist das genaue spätere Regelalter daher nicht endgültig bezifferbar; heutiger Ausgangswert: 67. (inps.it)
</v>
      </c>
    </row>
    <row r="12" spans="1:54" s="23" customFormat="1" ht="23.1" customHeight="1">
      <c r="A12" s="555">
        <v>9</v>
      </c>
      <c r="B12" s="560" t="s">
        <v>8</v>
      </c>
      <c r="C12" s="355" t="s">
        <v>4989</v>
      </c>
      <c r="D12" s="576"/>
      <c r="E12" s="356"/>
      <c r="F12" s="672" t="s">
        <v>3759</v>
      </c>
      <c r="G12" s="672"/>
      <c r="H12" s="672"/>
      <c r="I12" s="672"/>
      <c r="J12" s="527"/>
      <c r="K12" s="712"/>
      <c r="L12" s="713"/>
      <c r="M12" s="713"/>
      <c r="N12" s="713"/>
      <c r="O12" s="713"/>
      <c r="P12" s="713"/>
      <c r="Q12" s="713"/>
      <c r="R12" s="713"/>
      <c r="S12" s="713"/>
      <c r="T12" s="713"/>
      <c r="U12" s="713"/>
      <c r="V12" s="714"/>
      <c r="W12" s="131"/>
      <c r="Z12" s="25">
        <v>4</v>
      </c>
      <c r="AA12" s="25">
        <v>5</v>
      </c>
      <c r="AB12" s="25">
        <v>8</v>
      </c>
      <c r="AC12" s="25">
        <v>13</v>
      </c>
      <c r="AD12" s="167" t="s">
        <v>2740</v>
      </c>
      <c r="AE12" s="167"/>
      <c r="AF12" s="338" t="s">
        <v>1</v>
      </c>
      <c r="AG12" s="363" t="s">
        <v>4502</v>
      </c>
      <c r="AH12" t="e" vm="3">
        <v>#VALUE!</v>
      </c>
      <c r="AI12" s="167"/>
      <c r="AJ12" s="167" t="s">
        <v>4433</v>
      </c>
      <c r="AK12" s="23" t="str">
        <f>"❷ "&amp;VLOOKUP(2,Kurzübersicht,2)&amp;":      "&amp;VLOOKUP(2,Kurzübersicht,$AB$2+3)&amp;CHAR(10)</f>
        <v xml:space="preserve">❷ 2. Grundsatz des Versorgungserwerbs:      Beitrags-/versicherungsbezogen. Allgemeine Altersrente setzt grundsätzlich Beitragszeiten voraus; soziale Altersleistung ist gesonderte Sozialhilfe-/Mindestsicherungsleistung. (inps.it)
</v>
      </c>
      <c r="AS12" s="23">
        <f>500*0.026</f>
        <v>13</v>
      </c>
    </row>
    <row r="13" spans="1:54" s="23" customFormat="1" ht="23.1" customHeight="1">
      <c r="A13" s="555">
        <v>10</v>
      </c>
      <c r="B13" s="560" t="s">
        <v>9</v>
      </c>
      <c r="C13" s="681" t="s">
        <v>3761</v>
      </c>
      <c r="D13" s="664"/>
      <c r="E13" s="665"/>
      <c r="F13" s="672" t="s">
        <v>3760</v>
      </c>
      <c r="G13" s="672"/>
      <c r="H13" s="672"/>
      <c r="I13" s="672"/>
      <c r="J13" s="527"/>
      <c r="K13" s="712"/>
      <c r="L13" s="713"/>
      <c r="M13" s="713"/>
      <c r="N13" s="713"/>
      <c r="O13" s="713"/>
      <c r="P13" s="713"/>
      <c r="Q13" s="713"/>
      <c r="R13" s="713"/>
      <c r="S13" s="713"/>
      <c r="T13" s="713"/>
      <c r="U13" s="713"/>
      <c r="V13" s="714"/>
      <c r="W13" s="131"/>
      <c r="Z13" s="25">
        <v>75</v>
      </c>
      <c r="AA13" s="25">
        <v>77</v>
      </c>
      <c r="AB13" s="25">
        <v>78</v>
      </c>
      <c r="AC13" s="25">
        <v>83</v>
      </c>
      <c r="AD13" s="167" t="s">
        <v>2702</v>
      </c>
      <c r="AE13" s="167"/>
      <c r="AF13" s="338" t="s">
        <v>2</v>
      </c>
      <c r="AG13" s="363" t="s">
        <v>3467</v>
      </c>
      <c r="AH13" t="e" vm="4">
        <v>#VALUE!</v>
      </c>
      <c r="AI13" s="167"/>
      <c r="AJ13" s="167" t="s">
        <v>4434</v>
      </c>
      <c r="AK13" s="23" t="str">
        <f>"❷ "&amp;VLOOKUP(3,Kurzübersicht,2)&amp;":      "&amp;VLOOKUP(3,Kurzübersicht,$AB$2+3)&amp;CHAR(10)</f>
        <v xml:space="preserve">❷ 2.a. Erwerb aufgrund von Arbeitnehmer- und Arbeitgeberbeiträgen?:      Ja. Altersrente setzt regelmäßig 20 Beitragsjahre voraus; Beiträge werden im Erwerbsleben an INPS bzw. die zuständigen Systeme entrichtet. (inps.it)
</v>
      </c>
    </row>
    <row r="14" spans="1:54" s="23" customFormat="1" ht="23.1" customHeight="1">
      <c r="A14" s="555">
        <v>11</v>
      </c>
      <c r="B14" s="560" t="s">
        <v>10</v>
      </c>
      <c r="C14" s="357" t="s">
        <v>3762</v>
      </c>
      <c r="D14" s="357"/>
      <c r="E14" s="358" t="str">
        <f>IF(VLOOKUP(Länderwahl,Dynamisierungslinks,26)="","",HYPERLINK(VLOOKUP(Länderwahl,Dynamisierungslinks,26),"zur Quelle"))</f>
        <v>zur Quelle</v>
      </c>
      <c r="F14" s="353" t="s">
        <v>3728</v>
      </c>
      <c r="G14" s="354">
        <f>VLOOKUP(AB2,Dynamisierung,18)</f>
        <v>2.0474281079221557E-2</v>
      </c>
      <c r="H14" s="353" t="s">
        <v>3729</v>
      </c>
      <c r="I14" s="354">
        <f>VLOOKUP(AB2,Dynamisierung,25)</f>
        <v>3.6406482804212548E-2</v>
      </c>
      <c r="J14" s="528"/>
      <c r="K14" s="712"/>
      <c r="L14" s="713"/>
      <c r="M14" s="713"/>
      <c r="N14" s="713"/>
      <c r="O14" s="713"/>
      <c r="P14" s="713"/>
      <c r="Q14" s="713"/>
      <c r="R14" s="713"/>
      <c r="S14" s="713"/>
      <c r="T14" s="713"/>
      <c r="U14" s="713"/>
      <c r="V14" s="714"/>
      <c r="W14" s="131"/>
      <c r="Z14" s="25">
        <v>79</v>
      </c>
      <c r="AA14" s="25"/>
      <c r="AB14" s="25"/>
      <c r="AC14" s="25"/>
      <c r="AD14" s="167" t="s">
        <v>3747</v>
      </c>
      <c r="AE14" s="167"/>
      <c r="AF14" s="338" t="s">
        <v>3</v>
      </c>
      <c r="AG14" s="363" t="s">
        <v>4503</v>
      </c>
      <c r="AH14" t="e" vm="5">
        <v>#VALUE!</v>
      </c>
      <c r="AI14" s="167"/>
      <c r="AJ14" s="167" t="s">
        <v>4435</v>
      </c>
      <c r="AK14" s="23" t="str">
        <f>"❷ "&amp;VLOOKUP(4,Kurzübersicht,2)&amp;":      "&amp;VLOOKUP(4,Kurzübersicht,$AB$2+3)&amp;CHAR(10)</f>
        <v xml:space="preserve">❷ 2.b. Erwerb allein aufgrund legalen Aufenthalts?:      Nicht für die beitragsbezogene Altersrente. Es gibt aber einen einkommensabhängigen Sozialzuschuss/assegno sociale bei langjährigem Aufenthalt. (Social Security)
</v>
      </c>
      <c r="AL14" s="26"/>
    </row>
    <row r="15" spans="1:54" s="23" customFormat="1" ht="23.1" customHeight="1">
      <c r="A15" s="555">
        <v>12</v>
      </c>
      <c r="B15" s="560" t="s">
        <v>11</v>
      </c>
      <c r="C15" s="679" t="s">
        <v>5198</v>
      </c>
      <c r="D15" s="680"/>
      <c r="E15" s="702" t="s">
        <v>5199</v>
      </c>
      <c r="F15" s="703"/>
      <c r="G15" s="346">
        <v>0.02</v>
      </c>
      <c r="H15" s="458" t="s">
        <v>5200</v>
      </c>
      <c r="I15" s="347">
        <v>0.02</v>
      </c>
      <c r="J15" s="529"/>
      <c r="K15" s="712"/>
      <c r="L15" s="713"/>
      <c r="M15" s="713"/>
      <c r="N15" s="713"/>
      <c r="O15" s="713"/>
      <c r="P15" s="713"/>
      <c r="Q15" s="713"/>
      <c r="R15" s="713"/>
      <c r="S15" s="713"/>
      <c r="T15" s="713"/>
      <c r="U15" s="713"/>
      <c r="V15" s="714"/>
      <c r="W15" s="131"/>
      <c r="Z15" s="25">
        <v>21</v>
      </c>
      <c r="AA15" s="25">
        <v>57</v>
      </c>
      <c r="AB15" s="25">
        <v>91</v>
      </c>
      <c r="AC15" s="25"/>
      <c r="AD15" s="167" t="s">
        <v>3748</v>
      </c>
      <c r="AE15" s="167"/>
      <c r="AF15" s="338" t="s">
        <v>4</v>
      </c>
      <c r="AG15" s="363" t="s">
        <v>4505</v>
      </c>
      <c r="AH15" t="e" vm="6">
        <v>#VALUE!</v>
      </c>
      <c r="AJ15" s="167" t="s">
        <v>4436</v>
      </c>
      <c r="AK15" s="23" t="str">
        <f>"❸ "&amp;VLOOKUP(5,Kurzübersicht,2)&amp;":      "&amp;VLOOKUP(5,Kurzübersicht,$AB$2+3)&amp;CHAR(10)</f>
        <v xml:space="preserve">❸ 3.a. Dynamisierung in der Anwartschaftsphase:      Im NDC-System werden fiktive Beitragskonten jährlich anhand des durchschnittlichen BIP-Wachstums aufgewertet; Alt-/Mischsysteme enthalten lohn-/preisbezogene Rechenbestandteile. (Social Security)
</v>
      </c>
      <c r="AL15" s="26"/>
      <c r="AN15" s="26"/>
      <c r="AO15" s="26"/>
    </row>
    <row r="16" spans="1:54" s="23" customFormat="1" ht="27.75" customHeight="1">
      <c r="A16" s="555">
        <v>13</v>
      </c>
      <c r="B16" s="560" t="s">
        <v>12</v>
      </c>
      <c r="C16" s="679" t="str">
        <f>IF(Rentenhöhe_Fälligkeit&gt;0,"Die Höhe der Fälligkeitrente wurde manuell eingegeben und nicht errechnet",IF(ReAlter_Pfl="","Bitte Renteneintrittsalter eingeben (E10)",IFERROR(IF(Dat_Ber&lt;Leistungsbeginn_Pfl,"voraussichtliche Höhe der ","")&amp;"sVA-Rente bei Fälligkeit ("&amp;TEXT(I5,"T.M.JJ")&amp;"): "&amp;TEXT(ReHöhe_EZE_Pfl*ReAnzahlproJahr/12,"#.##0,0")&amp;" x (1 + "&amp;TEXT(ReDyn_Anwartschaft,"0,00%")&amp;")^"&amp;TEXT('Abfindung Methode 1'!H8,"0,0")&amp;IF(LeistungsphaseBerztpkt_Pfl&gt;0," x (1 + "&amp;TEXT(ReDynamik_Leistung,"0,00%")&amp;")^"&amp;TEXT(LeistungsphaseBerztpkt_Pfl,"0,0"),"")&amp;" = ","Es fehlen notwendige Dateneingaben im Blatt . Bitte 'gelbe' Zellen kontrollieren")))</f>
        <v xml:space="preserve">voraussichtliche Höhe der sVA-Rente bei Fälligkeit (1.1.46): 500,0 x (1 + 2,00%)^20,3 x (1 + 2,00%)^4,8 = </v>
      </c>
      <c r="D16" s="680"/>
      <c r="E16" s="680"/>
      <c r="F16" s="680"/>
      <c r="G16" s="359">
        <f>IFERROR(IF(I16&gt;0,I16,ReHöhe_EZE_Pfl*(1+ReDyn_Anwartschaft)^(AnwZeitbisBer_Ztpkt)*(1+ReDynamik_Leistung)^LeistungsphaseBerztpkt_Pfl),"")</f>
        <v>821.92902213166792</v>
      </c>
      <c r="H16" s="459" t="s">
        <v>4557</v>
      </c>
      <c r="I16" s="348"/>
      <c r="J16" s="530"/>
      <c r="K16" s="712"/>
      <c r="L16" s="713"/>
      <c r="M16" s="713"/>
      <c r="N16" s="713"/>
      <c r="O16" s="713"/>
      <c r="P16" s="713"/>
      <c r="Q16" s="713"/>
      <c r="R16" s="713"/>
      <c r="S16" s="713"/>
      <c r="T16" s="713"/>
      <c r="U16" s="713"/>
      <c r="V16" s="714"/>
      <c r="W16" s="131"/>
      <c r="Z16" s="25">
        <v>60</v>
      </c>
      <c r="AA16" s="25">
        <v>61</v>
      </c>
      <c r="AB16" s="25">
        <v>62</v>
      </c>
      <c r="AC16" s="25">
        <v>70</v>
      </c>
      <c r="AD16" s="167" t="s">
        <v>4208</v>
      </c>
      <c r="AF16" s="338" t="s">
        <v>5</v>
      </c>
      <c r="AG16" s="363" t="s">
        <v>3472</v>
      </c>
      <c r="AH16" t="e" vm="7">
        <v>#VALUE!</v>
      </c>
      <c r="AJ16" s="167" t="s">
        <v>4437</v>
      </c>
      <c r="AK16" s="23" t="str">
        <f>"❸ "&amp;VLOOKUP(6,Kurzübersicht,2)&amp;":      "&amp;VLOOKUP(6,Kurzübersicht,$AB$2+3)&amp;CHAR(10)</f>
        <v xml:space="preserve">❸ 3.b. Dynamisierung in der Leistungsphase:      Laufende Renten werden jährlich nach der durchschnittlichen Entwicklung der Lebenshaltungskosten angepasst. (Social Security)
</v>
      </c>
      <c r="AN16" s="26"/>
      <c r="AO16" s="26"/>
    </row>
    <row r="17" spans="1:46" s="23" customFormat="1" ht="23.1" customHeight="1" thickBot="1">
      <c r="A17" s="555">
        <v>14</v>
      </c>
      <c r="B17" s="560" t="s">
        <v>13</v>
      </c>
      <c r="C17" s="671" t="str">
        <f>"von welchem ReZins (Inflation) soll ausgegangen werden? Inflation ("&amp;AC2&amp;"): Ø 5Jahre: "&amp;TEXT(VLOOKUP(AB2,Inflation,13),"0,00%") &amp; "  Ø 10Jahre: "&amp;TEXT(VLOOKUP(AB2,Inflation,14),"0,00%")</f>
        <v>von welchem ReZins (Inflation) soll ausgegangen werden? Inflation (Italien): Ø 5Jahre: 3,12%  Ø 10Jahre: 1,79%</v>
      </c>
      <c r="D17" s="671"/>
      <c r="E17" s="671"/>
      <c r="F17" s="671"/>
      <c r="G17" s="671"/>
      <c r="H17" s="671"/>
      <c r="I17" s="350">
        <v>2.1999999999999999E-2</v>
      </c>
      <c r="J17" s="529"/>
      <c r="K17" s="712"/>
      <c r="L17" s="713"/>
      <c r="M17" s="713"/>
      <c r="N17" s="713"/>
      <c r="O17" s="713"/>
      <c r="P17" s="713"/>
      <c r="Q17" s="713"/>
      <c r="R17" s="713"/>
      <c r="S17" s="713"/>
      <c r="T17" s="713"/>
      <c r="U17" s="713"/>
      <c r="V17" s="714"/>
      <c r="W17" s="131"/>
      <c r="Z17" s="25">
        <v>26</v>
      </c>
      <c r="AA17" s="25">
        <v>62</v>
      </c>
      <c r="AB17" s="25">
        <v>70</v>
      </c>
      <c r="AC17" s="25">
        <v>105</v>
      </c>
      <c r="AD17" s="167" t="s">
        <v>4209</v>
      </c>
      <c r="AF17" s="338" t="s">
        <v>6</v>
      </c>
      <c r="AG17" s="363" t="s">
        <v>4506</v>
      </c>
      <c r="AH17" t="e" vm="8">
        <v>#VALUE!</v>
      </c>
      <c r="AJ17" s="167" t="s">
        <v>4438</v>
      </c>
      <c r="AK17" s="23" t="str">
        <f>"❹ "&amp;VLOOKUP(7,Kurzübersicht,2)&amp;":      "&amp;VLOOKUP(7,Kurzübersicht,$AB$2+3)&amp;CHAR(10)</f>
        <v xml:space="preserve">❹ 4.a. Invaliditätsrente? Quote zur Altersrente?:      Ja. Ordinary invalidity allowance bei Reduktion der Arbeitsfähigkeit auf unter ein Drittel; inabilità pension bei vollständiger Unfähigkeit zu jeder Erwerbstätigkeit. Keine pauschale Quote zur Altersrente. (ambpanama.esteri.it)
</v>
      </c>
    </row>
    <row r="18" spans="1:46" s="23" customFormat="1" ht="23.1" customHeight="1">
      <c r="A18" s="555">
        <v>15</v>
      </c>
      <c r="B18" s="560" t="s">
        <v>14</v>
      </c>
      <c r="C18" s="583" t="s">
        <v>4210</v>
      </c>
      <c r="D18" s="584"/>
      <c r="E18" s="584"/>
      <c r="F18" s="584"/>
      <c r="G18" s="666" t="s">
        <v>4972</v>
      </c>
      <c r="H18" s="667"/>
      <c r="I18" s="585" t="s">
        <v>5214</v>
      </c>
      <c r="J18" s="531"/>
      <c r="K18" s="712"/>
      <c r="L18" s="713"/>
      <c r="M18" s="713"/>
      <c r="N18" s="713"/>
      <c r="O18" s="713"/>
      <c r="P18" s="713"/>
      <c r="Q18" s="713"/>
      <c r="R18" s="713"/>
      <c r="S18" s="713"/>
      <c r="T18" s="713"/>
      <c r="U18" s="713"/>
      <c r="V18" s="714"/>
      <c r="W18" s="131"/>
      <c r="Z18" s="25"/>
      <c r="AA18" s="25"/>
      <c r="AB18" s="25"/>
      <c r="AC18" s="25"/>
      <c r="AF18" s="338" t="s">
        <v>7</v>
      </c>
      <c r="AG18" s="363" t="s">
        <v>4507</v>
      </c>
      <c r="AH18" t="e" vm="9">
        <v>#VALUE!</v>
      </c>
      <c r="AJ18" s="167" t="s">
        <v>4439</v>
      </c>
      <c r="AK18" s="23" t="str">
        <f>"❹ "&amp;VLOOKUP(8,Kurzübersicht,2)&amp;":      "&amp;VLOOKUP(8,Kurzübersicht,$AB$2+3)&amp;CHAR(10)</f>
        <v xml:space="preserve">❹ 4.b. Hinterbliebenenversorgung? Quote zur Altersrente?:      Ja. Ehegatte ohne Kinder: 60 % der Rente des Verstorbenen; mit einem Kind 80 %, mit zwei oder mehr Kindern 100 %, jeweils unter Einkommens-/Kombinationsgrenzen. (Social Security)
</v>
      </c>
    </row>
    <row r="19" spans="1:46" s="23" customFormat="1" ht="23.1" customHeight="1">
      <c r="A19" s="555">
        <v>16</v>
      </c>
      <c r="B19" s="560" t="s">
        <v>15</v>
      </c>
      <c r="C19" s="663" t="s">
        <v>4497</v>
      </c>
      <c r="D19" s="664"/>
      <c r="E19" s="665"/>
      <c r="F19" s="416">
        <v>1</v>
      </c>
      <c r="G19" s="353" t="s">
        <v>4428</v>
      </c>
      <c r="H19" s="360">
        <f>IF(I19&gt;0,I19,VLOOKUP(Alter_Pfl,CHOOSE(IF(ReAlter_Pfl&lt;60,60,IF(ReAlter_Pfl&gt;67,67,ReAlter_Pfl))-59,HRIR60,HRIR61,HRIR62,HRIR63,HRIR64,HRIR65,HRIR66,HRIR67),CHOOSE(GeschlechtsNr_Pfl,7,16,25))*F19)</f>
        <v>6.8893745446976795E-2</v>
      </c>
      <c r="I19" s="424"/>
      <c r="J19" s="532"/>
      <c r="K19" s="712"/>
      <c r="L19" s="713"/>
      <c r="M19" s="713"/>
      <c r="N19" s="713"/>
      <c r="O19" s="713"/>
      <c r="P19" s="713"/>
      <c r="Q19" s="713"/>
      <c r="R19" s="713"/>
      <c r="S19" s="713"/>
      <c r="T19" s="713"/>
      <c r="U19" s="713"/>
      <c r="V19" s="714"/>
      <c r="W19" s="131"/>
      <c r="Z19" s="25"/>
      <c r="AA19" s="25"/>
      <c r="AB19" s="25"/>
      <c r="AC19" s="25"/>
      <c r="AF19" s="338" t="s">
        <v>8</v>
      </c>
      <c r="AG19" s="363" t="s">
        <v>4510</v>
      </c>
      <c r="AH19" t="e" vm="10">
        <v>#VALUE!</v>
      </c>
      <c r="AJ19" s="167" t="s">
        <v>4440</v>
      </c>
      <c r="AK19" s="23" t="str">
        <f>"❹ "&amp;VLOOKUP(9,Kurzübersicht,2)&amp;":      "&amp;VLOOKUP(9,Kurzübersicht,$AB$2+3)&amp;CHAR(10)</f>
        <v xml:space="preserve">❹ 4.c. Geschiedenen-Hinterbliebenenversorgung?:      Ja. Auch rechtlich getrennte oder geschiedene Ehegatten können unter Bedingungen Hinterbliebenenleistungen erhalten. (consedimburgo.esteri.it)
</v>
      </c>
    </row>
    <row r="20" spans="1:46" s="23" customFormat="1" ht="23.1" customHeight="1">
      <c r="A20" s="555">
        <v>17</v>
      </c>
      <c r="B20" s="560" t="s">
        <v>16</v>
      </c>
      <c r="C20" s="663" t="s">
        <v>4498</v>
      </c>
      <c r="D20" s="664"/>
      <c r="E20" s="665"/>
      <c r="F20" s="349">
        <v>0.6</v>
      </c>
      <c r="G20" s="353" t="s">
        <v>4429</v>
      </c>
      <c r="H20" s="354">
        <f>IF(I20&gt;0,I20,VLOOKUP(Alter_Pfl,CHOOSE(IF(ReAlter_Pfl&lt;60,60,IF(ReAlter_Pfl&gt;67,67,ReAlter_Pfl))-59,HRIR60,HRIR61,HRIR62,HRIR63,HRIR64,HRIR65,HRIR66,HRIR67),CHOOSE(GeschlechtsNr_Pfl,8,17,26))*F20)</f>
        <v>0.17652201061504838</v>
      </c>
      <c r="I20" s="424"/>
      <c r="J20" s="532"/>
      <c r="K20" s="712"/>
      <c r="L20" s="713"/>
      <c r="M20" s="713"/>
      <c r="N20" s="713"/>
      <c r="O20" s="713"/>
      <c r="P20" s="713"/>
      <c r="Q20" s="713"/>
      <c r="R20" s="713"/>
      <c r="S20" s="713"/>
      <c r="T20" s="713"/>
      <c r="U20" s="713"/>
      <c r="V20" s="714"/>
      <c r="W20" s="131"/>
      <c r="Z20" s="25"/>
      <c r="AA20" s="25"/>
      <c r="AB20" s="25"/>
      <c r="AC20" s="25"/>
      <c r="AF20" s="338" t="s">
        <v>9</v>
      </c>
      <c r="AG20" s="363" t="s">
        <v>4508</v>
      </c>
      <c r="AH20" t="e" vm="11">
        <v>#VALUE!</v>
      </c>
      <c r="AJ20" s="167" t="s">
        <v>4441</v>
      </c>
      <c r="AK20" s="23" t="str">
        <f>"❺ "&amp;VLOOKUP(10,Kurzübersicht,2)&amp;":      "&amp;VLOOKUP(10,Kurzübersicht,$AB$2+3)&amp;CHAR(10)</f>
        <v xml:space="preserve">❺ 5. Steuerpflicht der Leistungen:      Renten sind grundsätzlich einkommensteuerpflichtig; italienische Renten werden in der Regel nach den allgemeinen italienischen Steuerregeln erfasst. (agenziaentrate.gov.it)
</v>
      </c>
    </row>
    <row r="21" spans="1:46" s="23" customFormat="1" ht="23.1" customHeight="1">
      <c r="A21" s="555">
        <v>18</v>
      </c>
      <c r="B21" s="560" t="s">
        <v>17</v>
      </c>
      <c r="C21" s="663" t="s">
        <v>3766</v>
      </c>
      <c r="D21" s="664"/>
      <c r="E21" s="665"/>
      <c r="F21" s="349">
        <v>0.1</v>
      </c>
      <c r="G21" s="673" t="s">
        <v>4444</v>
      </c>
      <c r="H21" s="674"/>
      <c r="I21" s="675"/>
      <c r="J21" s="533"/>
      <c r="K21" s="712"/>
      <c r="L21" s="713"/>
      <c r="M21" s="713"/>
      <c r="N21" s="713"/>
      <c r="O21" s="713"/>
      <c r="P21" s="713"/>
      <c r="Q21" s="713"/>
      <c r="R21" s="713"/>
      <c r="S21" s="713"/>
      <c r="T21" s="713"/>
      <c r="U21" s="713"/>
      <c r="V21" s="714"/>
      <c r="W21" s="131"/>
      <c r="Z21" s="25"/>
      <c r="AA21" s="25"/>
      <c r="AB21" s="25"/>
      <c r="AC21" s="25"/>
      <c r="AF21" s="338" t="s">
        <v>10</v>
      </c>
      <c r="AG21" s="363" t="s">
        <v>4509</v>
      </c>
      <c r="AH21" t="e" vm="12">
        <v>#VALUE!</v>
      </c>
      <c r="AJ21" s="167" t="s">
        <v>4442</v>
      </c>
      <c r="AK21" s="23" t="str">
        <f>"❻ "&amp;VLOOKUP(11,Kurzübersicht,2)&amp;":      "&amp;VLOOKUP(11,Kurzübersicht,$AB$2+3)&amp;CHAR(10)</f>
        <v xml:space="preserve">❻ 6. Sozialabgaben auf Versorgungsleistungen:      Auf Rentenleistungen fallen regelmäßig keine arbeitnehmerähnlichen Sozialversicherungsbeiträge wie auf Erwerbseinkommen an; Sozialbeiträge betreffen grundsätzlich Arbeitsvergütung. (taxsummaries.pwc.com)
</v>
      </c>
    </row>
    <row r="22" spans="1:46" s="23" customFormat="1" ht="23.1" customHeight="1" thickBot="1">
      <c r="A22" s="555">
        <v>19</v>
      </c>
      <c r="B22" s="560" t="s">
        <v>18</v>
      </c>
      <c r="C22" s="668" t="str">
        <f>"pauschaler Steuerabschlag in % "&amp;IF(LEFT(DBA,12)="DBA gelistet","   ("&amp;DBA&amp;")","")</f>
        <v>pauschaler Steuerabschlag in %    (DBA gelistet)</v>
      </c>
      <c r="D22" s="669"/>
      <c r="E22" s="670"/>
      <c r="F22" s="351">
        <v>0.1</v>
      </c>
      <c r="G22" s="676" t="s">
        <v>3769</v>
      </c>
      <c r="H22" s="677"/>
      <c r="I22" s="678"/>
      <c r="J22" s="534"/>
      <c r="K22" s="712"/>
      <c r="L22" s="713"/>
      <c r="M22" s="713"/>
      <c r="N22" s="713"/>
      <c r="O22" s="713"/>
      <c r="P22" s="713"/>
      <c r="Q22" s="713"/>
      <c r="R22" s="713"/>
      <c r="S22" s="713"/>
      <c r="T22" s="713"/>
      <c r="U22" s="713"/>
      <c r="V22" s="714"/>
      <c r="W22" s="131"/>
      <c r="Z22" s="25"/>
      <c r="AA22" s="25"/>
      <c r="AB22" s="25"/>
      <c r="AC22" s="25"/>
      <c r="AF22" s="338" t="s">
        <v>11</v>
      </c>
      <c r="AG22" s="363" t="s">
        <v>4528</v>
      </c>
      <c r="AH22" t="e" vm="13">
        <v>#VALUE!</v>
      </c>
      <c r="AJ22" s="167" t="s">
        <v>4493</v>
      </c>
      <c r="AK22" s="23" t="str">
        <f>KText1&amp;CHAR(10)&amp;KText2&amp;CHAR(10)&amp;KText3&amp;CHAR(10)&amp;KText4&amp;CHAR(10)&amp;KText5&amp;CHAR(10)&amp;KText6&amp;CHAR(10)&amp;KText7&amp;CHAR(10)&amp;KText8&amp;CHAR(10)&amp;KText9&amp;CHAR(10)&amp;KText10&amp;CHAR(10)&amp;KText11</f>
        <v xml:space="preserve">❶ 1. Regelrenteneintrittsalter für männliche Person, Jahrgang 1976:      Mindestens 67 Jahre, aber ab 2027 an Lebenserwartung anzupassen. Für Jg. 1976 ist das genaue spätere Regelalter daher nicht endgültig bezifferbar; heutiger Ausgangswert: 67. (inps.it)
❷ 2. Grundsatz des Versorgungserwerbs:      Beitrags-/versicherungsbezogen. Allgemeine Altersrente setzt grundsätzlich Beitragszeiten voraus; soziale Altersleistung ist gesonderte Sozialhilfe-/Mindestsicherungsleistung. (inps.it)
❷ 2.a. Erwerb aufgrund von Arbeitnehmer- und Arbeitgeberbeiträgen?:      Ja. Altersrente setzt regelmäßig 20 Beitragsjahre voraus; Beiträge werden im Erwerbsleben an INPS bzw. die zuständigen Systeme entrichtet. (inps.it)
❷ 2.b. Erwerb allein aufgrund legalen Aufenthalts?:      Nicht für die beitragsbezogene Altersrente. Es gibt aber einen einkommensabhängigen Sozialzuschuss/assegno sociale bei langjährigem Aufenthalt. (Social Security)
❸ 3.a. Dynamisierung in der Anwartschaftsphase:      Im NDC-System werden fiktive Beitragskonten jährlich anhand des durchschnittlichen BIP-Wachstums aufgewertet; Alt-/Mischsysteme enthalten lohn-/preisbezogene Rechenbestandteile. (Social Security)
❸ 3.b. Dynamisierung in der Leistungsphase:      Laufende Renten werden jährlich nach der durchschnittlichen Entwicklung der Lebenshaltungskosten angepasst. (Social Security)
❹ 4.a. Invaliditätsrente? Quote zur Altersrente?:      Ja. Ordinary invalidity allowance bei Reduktion der Arbeitsfähigkeit auf unter ein Drittel; inabilità pension bei vollständiger Unfähigkeit zu jeder Erwerbstätigkeit. Keine pauschale Quote zur Altersrente. (ambpanama.esteri.it)
❹ 4.b. Hinterbliebenenversorgung? Quote zur Altersrente?:      Ja. Ehegatte ohne Kinder: 60 % der Rente des Verstorbenen; mit einem Kind 80 %, mit zwei oder mehr Kindern 100 %, jeweils unter Einkommens-/Kombinationsgrenzen. (Social Security)
❹ 4.c. Geschiedenen-Hinterbliebenenversorgung?:      Ja. Auch rechtlich getrennte oder geschiedene Ehegatten können unter Bedingungen Hinterbliebenenleistungen erhalten. (consedimburgo.esteri.it)
❺ 5. Steuerpflicht der Leistungen:      Renten sind grundsätzlich einkommensteuerpflichtig; italienische Renten werden in der Regel nach den allgemeinen italienischen Steuerregeln erfasst. (agenziaentrate.gov.it)
❻ 6. Sozialabgaben auf Versorgungsleistungen:      Auf Rentenleistungen fallen regelmäßig keine arbeitnehmerähnlichen Sozialversicherungsbeiträge wie auf Erwerbseinkommen an; Sozialbeiträge betreffen grundsätzlich Arbeitsvergütung. (taxsummaries.pwc.com)
</v>
      </c>
      <c r="AM22" s="257"/>
      <c r="AN22" s="257"/>
      <c r="AO22" s="257"/>
    </row>
    <row r="23" spans="1:46" s="23" customFormat="1" ht="23.1" customHeight="1">
      <c r="A23" s="555">
        <v>20</v>
      </c>
      <c r="B23" s="560" t="s">
        <v>19</v>
      </c>
      <c r="C23" s="721" t="s">
        <v>4214</v>
      </c>
      <c r="D23" s="721"/>
      <c r="E23" s="721"/>
      <c r="F23" s="721"/>
      <c r="G23" s="721"/>
      <c r="H23" s="721"/>
      <c r="I23" s="721"/>
      <c r="J23" s="27"/>
      <c r="K23" s="712"/>
      <c r="L23" s="713"/>
      <c r="M23" s="713"/>
      <c r="N23" s="713"/>
      <c r="O23" s="713"/>
      <c r="P23" s="713"/>
      <c r="Q23" s="713"/>
      <c r="R23" s="713"/>
      <c r="S23" s="713"/>
      <c r="T23" s="713"/>
      <c r="U23" s="713"/>
      <c r="V23" s="714"/>
      <c r="W23" s="131"/>
      <c r="X23" s="342" t="b">
        <v>0</v>
      </c>
      <c r="AF23" s="338" t="s">
        <v>12</v>
      </c>
      <c r="AG23" s="363" t="s">
        <v>4511</v>
      </c>
      <c r="AH23" t="e" vm="14">
        <v>#VALUE!</v>
      </c>
      <c r="AI23" s="167" t="s">
        <v>4443</v>
      </c>
      <c r="AJ23" s="342">
        <v>3</v>
      </c>
      <c r="AM23" s="257"/>
      <c r="AN23" s="257"/>
      <c r="AO23" s="257"/>
    </row>
    <row r="24" spans="1:46" s="23" customFormat="1" ht="23.1" customHeight="1">
      <c r="A24" s="555">
        <v>21</v>
      </c>
      <c r="B24" s="560" t="s">
        <v>20</v>
      </c>
      <c r="C24" s="722" t="str">
        <f>IF(Kurzinfo,_xlfn._LONGTEXT("In dieses Datenblatt tragen Sie die 'Grundinformationen' Ihres Falles ein. Dabei werden Sie von hinterlegten Datenbanken unterstützt. Das Programm hat rechts eine Info-Box. Diese zeigt Ihnen Informationen für das von Ihnen ausgewählte Land, wenn die Optio","n-Box in der ersten Zeile des Arbeitsblattes aktiviert ist.  Die 'Info-Box für Abfindungsberechnung' liefert Ihnen länderspezifische Informationen zu den durch Option-Boxen 'Info' im linken Teilfenster bezeichneten Fragestellungen. Einfach die jeweilige '","Info'-Option anklicken. In der rechten hälfte erhalten Sie bei Aktivierung der Info-Option länderspezifische Informationen :
in der Kurzübersicht zu den für die Abfindungsberechnung maßgeblichen Daten aus der Kurzübersicht zum (beispielhaften) Musterpromt",". Reicht Ihnen das nicht, wechseln Sie einfach in die Kurzübersicht zum entsprechenden Land und klicken auf den Text zu Ihrer Frage. Die Texte sind verlinkt zu belastbaren Informationsmaterialien aus dem Internet (meist aus den jeweiligen Ländern).
Wenn S","ie in der ersten Zeile des Blattes die Länderauswahl treffen, wird Ihnen angezeigt, ob es zu Versorgungssystemen des ausgewählten Landes bereits Entscheidungen deutscher Gerichte gibt und über der rechts angeordneten Infobox wird angezeigt, ob die Versorg","ungsträger des Auswahllandes Auskünfte zum VA erteilen.
Aufgabe des Blattes ist aber die Datenerfassung für die Berechnung der Abfindung einer im VA auszugleichenden ausländischen Versorgung. Da wahrscheinlich niemand die einzelnen Parameter der europäisc","hen Versorgungssysteme im Kopf hat, gibt es die Kurz-Infobox, in der ihre Wunschinformation (hoffentlich) erscheint, wenn die entsprechende Option-Box aktiviert wird.
Falls das nicht weiterhilft, nutzen Sie mit gezielten Aufträgen das Internet und insbeso","ndere unter Anwndung von KI-Systemen (z.B. ChatGPT), mit denen auch diese Datenbank optimiert wurde.
Dieses Datenblatt unterstützt Sie auch in der Entscheidung zur Dynamisierungsannahme. Wo Daten ermittelbar waren, sind diese aufbereitet worden und auch i","n den gesonderten Datenblättern &lt;Inflation&gt; und &lt;Dynamisierung&gt; einsehbar. Die Pfleile in Zeilen 11 und 14 führen Sie dorthin."),"")</f>
        <v/>
      </c>
      <c r="D24" s="723"/>
      <c r="E24" s="724"/>
      <c r="F24" s="725"/>
      <c r="G24" s="725"/>
      <c r="H24" s="725"/>
      <c r="I24" s="726"/>
      <c r="J24" s="535"/>
      <c r="K24" s="712"/>
      <c r="L24" s="713"/>
      <c r="M24" s="713"/>
      <c r="N24" s="713"/>
      <c r="O24" s="713"/>
      <c r="P24" s="713"/>
      <c r="Q24" s="713"/>
      <c r="R24" s="713"/>
      <c r="S24" s="713"/>
      <c r="T24" s="713"/>
      <c r="U24" s="713"/>
      <c r="V24" s="714"/>
      <c r="W24" s="131"/>
      <c r="Z24" s="167" t="s">
        <v>4500</v>
      </c>
      <c r="AA24" s="352" t="b">
        <v>1</v>
      </c>
      <c r="AF24" s="338" t="s">
        <v>13</v>
      </c>
      <c r="AG24" s="363" t="s">
        <v>4513</v>
      </c>
      <c r="AH24" t="e" vm="15">
        <v>#VALUE!</v>
      </c>
    </row>
    <row r="25" spans="1:46" s="23" customFormat="1" ht="23.1" customHeight="1">
      <c r="A25" s="555">
        <v>22</v>
      </c>
      <c r="B25" s="560" t="s">
        <v>21</v>
      </c>
      <c r="C25" s="727"/>
      <c r="D25" s="728"/>
      <c r="E25" s="729"/>
      <c r="F25" s="729"/>
      <c r="G25" s="729"/>
      <c r="H25" s="729"/>
      <c r="I25" s="730"/>
      <c r="J25" s="535"/>
      <c r="K25" s="712"/>
      <c r="L25" s="713"/>
      <c r="M25" s="713"/>
      <c r="N25" s="713"/>
      <c r="O25" s="713"/>
      <c r="P25" s="713"/>
      <c r="Q25" s="713"/>
      <c r="R25" s="713"/>
      <c r="S25" s="713"/>
      <c r="T25" s="713"/>
      <c r="U25" s="713"/>
      <c r="V25" s="714"/>
      <c r="W25" s="131"/>
      <c r="Z25" s="167" t="s">
        <v>4499</v>
      </c>
      <c r="AA25" s="215" t="b">
        <v>0</v>
      </c>
      <c r="AD25" s="345" t="str">
        <f>IF(VLOOKUP(Länderwahl,Dynamisierungslinks,26,FALSE)="","",VLOOKUP(Länderwahl,Dynamisierungslinks,26,FALSE))</f>
        <v>https://journals.sagepub.com/action/downloadSupplement?doi=10.1177%2F09589287261430475&amp;file=sj-pdf-1-esp-10.1177_09589287261430475.pdf</v>
      </c>
      <c r="AF25" s="338" t="s">
        <v>14</v>
      </c>
      <c r="AG25" s="363" t="s">
        <v>4512</v>
      </c>
      <c r="AH25" t="e" vm="16">
        <v>#VALUE!</v>
      </c>
      <c r="AJ25" s="167" t="s">
        <v>4479</v>
      </c>
      <c r="AK25" s="23" t="str">
        <f>"◊ "&amp;"1. Säule – Staatliche Rente (Art/Finanzierung):     "&amp;VLOOKUP(Länderwahl,EU_Laender,3)&amp;CHAR(10)</f>
        <v xml:space="preserve">◊ 1. Säule – Staatliche Rente (Art/Finanzierung):     Umlage (NDC-ähnlich) + Mindestsicherung
</v>
      </c>
    </row>
    <row r="26" spans="1:46" s="23" customFormat="1" ht="23.1" customHeight="1">
      <c r="A26" s="555">
        <v>23</v>
      </c>
      <c r="B26" s="560" t="s">
        <v>22</v>
      </c>
      <c r="C26" s="727"/>
      <c r="D26" s="728"/>
      <c r="E26" s="729"/>
      <c r="F26" s="729"/>
      <c r="G26" s="729"/>
      <c r="H26" s="729"/>
      <c r="I26" s="730"/>
      <c r="J26" s="535"/>
      <c r="K26" s="712"/>
      <c r="L26" s="713"/>
      <c r="M26" s="713"/>
      <c r="N26" s="713"/>
      <c r="O26" s="713"/>
      <c r="P26" s="713"/>
      <c r="Q26" s="713"/>
      <c r="R26" s="713"/>
      <c r="S26" s="713"/>
      <c r="T26" s="713"/>
      <c r="U26" s="713"/>
      <c r="V26" s="714"/>
      <c r="W26" s="131"/>
      <c r="AF26" s="338" t="s">
        <v>15</v>
      </c>
      <c r="AG26" s="363" t="s">
        <v>4514</v>
      </c>
      <c r="AH26" t="e" vm="17">
        <v>#VALUE!</v>
      </c>
      <c r="AJ26" s="167" t="s">
        <v>4480</v>
      </c>
      <c r="AK26" s="23" t="str">
        <f>"◊ "&amp;"2. Säule – Betriebliche Vorsorge:                                  "&amp;VLOOKUP(Länderwahl,EU_Laender,4)&amp;CHAR(10)</f>
        <v xml:space="preserve">◊ 2. Säule – Betriebliche Vorsorge:                                  TFR (Abfertigung) lenkbar in Fonds; freiwillig
</v>
      </c>
    </row>
    <row r="27" spans="1:46" s="23" customFormat="1" ht="23.1" customHeight="1">
      <c r="A27" s="555">
        <v>24</v>
      </c>
      <c r="B27" s="560" t="s">
        <v>23</v>
      </c>
      <c r="C27" s="727"/>
      <c r="D27" s="728"/>
      <c r="E27" s="729"/>
      <c r="F27" s="729"/>
      <c r="G27" s="729"/>
      <c r="H27" s="729"/>
      <c r="I27" s="730"/>
      <c r="J27" s="535"/>
      <c r="K27" s="712"/>
      <c r="L27" s="713"/>
      <c r="M27" s="713"/>
      <c r="N27" s="713"/>
      <c r="O27" s="713"/>
      <c r="P27" s="713"/>
      <c r="Q27" s="713"/>
      <c r="R27" s="713"/>
      <c r="S27" s="713"/>
      <c r="T27" s="713"/>
      <c r="U27" s="713"/>
      <c r="V27" s="714"/>
      <c r="W27" s="131"/>
      <c r="AF27" s="338" t="s">
        <v>16</v>
      </c>
      <c r="AG27" s="363" t="s">
        <v>4515</v>
      </c>
      <c r="AH27" t="e" vm="18">
        <v>#VALUE!</v>
      </c>
      <c r="AJ27" s="167" t="s">
        <v>4481</v>
      </c>
      <c r="AK27" s="23" t="str">
        <f>"◊ "&amp;"3. Säule – Private Vorsorge:                                             "&amp;VLOOKUP(Länderwahl,EU_Laender,5)&amp;CHAR(10)</f>
        <v xml:space="preserve">◊ 3. Säule – Private Vorsorge:                                             Private Pensionsfonds/Lebensversicherungen, steuerlich begünstigt
</v>
      </c>
    </row>
    <row r="28" spans="1:46" s="23" customFormat="1" ht="23.1" customHeight="1">
      <c r="A28" s="555">
        <v>25</v>
      </c>
      <c r="B28" s="560" t="s">
        <v>24</v>
      </c>
      <c r="C28" s="727"/>
      <c r="D28" s="728"/>
      <c r="E28" s="729"/>
      <c r="F28" s="729"/>
      <c r="G28" s="729"/>
      <c r="H28" s="729"/>
      <c r="I28" s="730"/>
      <c r="J28" s="535"/>
      <c r="K28" s="712"/>
      <c r="L28" s="713"/>
      <c r="M28" s="713"/>
      <c r="N28" s="713"/>
      <c r="O28" s="713"/>
      <c r="P28" s="713"/>
      <c r="Q28" s="713"/>
      <c r="R28" s="713"/>
      <c r="S28" s="713"/>
      <c r="T28" s="713"/>
      <c r="U28" s="713"/>
      <c r="V28" s="714"/>
      <c r="W28" s="131"/>
      <c r="Z28" s="334" t="s">
        <v>4531</v>
      </c>
      <c r="AA28" s="25">
        <f>ROUND(IF(AA31-AA32&lt;0,0,IF(AND(AlterEzEBerZtpkt_Plf&gt;AA32,AlterEzE_Pfl&gt;AA32),AlterEzEBerZtpkt_Plf-AlterEzE_Pfl,AA31-AA32)),1)</f>
        <v>0</v>
      </c>
      <c r="AB28" s="25"/>
      <c r="AF28" s="338" t="s">
        <v>17</v>
      </c>
      <c r="AG28" s="363" t="s">
        <v>4516</v>
      </c>
      <c r="AH28" t="e" vm="19">
        <v>#VALUE!</v>
      </c>
      <c r="AJ28" s="167" t="s">
        <v>4494</v>
      </c>
      <c r="AK28" s="23" t="str">
        <f>"Grundinformation: "&amp;Länderwahl &amp;CHAR(10)&amp;K2_Text1&amp;K2_Text2&amp;K2_Text3&amp;CHAR(10)</f>
        <v xml:space="preserve">Grundinformation: Italien
◊ 1. Säule – Staatliche Rente (Art/Finanzierung):     Umlage (NDC-ähnlich) + Mindestsicherung
◊ 2. Säule – Betriebliche Vorsorge:                                  TFR (Abfertigung) lenkbar in Fonds; freiwillig
◊ 3. Säule – Private Vorsorge:                                             Private Pensionsfonds/Lebensversicherungen, steuerlich begünstigt
</v>
      </c>
    </row>
    <row r="29" spans="1:46" s="23" customFormat="1" ht="23.1" customHeight="1">
      <c r="A29" s="555">
        <v>26</v>
      </c>
      <c r="B29" s="560" t="s">
        <v>25</v>
      </c>
      <c r="C29" s="727"/>
      <c r="D29" s="728"/>
      <c r="E29" s="729"/>
      <c r="F29" s="729"/>
      <c r="G29" s="729"/>
      <c r="H29" s="729"/>
      <c r="I29" s="730"/>
      <c r="J29" s="535"/>
      <c r="K29" s="712"/>
      <c r="L29" s="713"/>
      <c r="M29" s="713"/>
      <c r="N29" s="713"/>
      <c r="O29" s="713"/>
      <c r="P29" s="713"/>
      <c r="Q29" s="713"/>
      <c r="R29" s="713"/>
      <c r="S29" s="713"/>
      <c r="T29" s="713"/>
      <c r="U29" s="713"/>
      <c r="V29" s="714"/>
      <c r="W29" s="131"/>
      <c r="Z29" s="25"/>
      <c r="AA29" s="25"/>
      <c r="AB29" s="25"/>
      <c r="AD29" s="23" t="str" cm="1">
        <f t="array" ref="AD29">_xlfn.TEXTJOIN("; ",TRUE,E_Land=Länderwahl,E_Beschlüsse)</f>
        <v>FALSCH; FALSCH; FALSCH; FALSCH; FALSCH; FALSCH; FALSCH; WAHR; WAHR;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Keine konkret bezeichnete ausländische Versorgung; Entscheidung betrifft fehlende Mitwirkung im Versorgungsausgleich; ATP; Pension Danmark; Udbetaling Danmark; Anrechte bei staatlichen Versorgungsträgern in Frankreich; Versicherungssystem für Selbständige; Betriebliche Altersvorsorge bei Versorgungsträger (Y), Unternehmen mit Hauptsitz in Irland; In Italien bestehende Versorgungsanrechte beider Ehegatten; Italienische Rentenversicherung / italienische Versorgungsanrechte beider Ehegatten; Luxemburgische Renten-/Versicherungsanrechte des Ehemanns (Versicherungszeiten in Luxemburg 2007–2010); Luxemburgische Pensionsversicherung; Zwei Anrechte auf private Rentenversicherung bei der P… AG / ausländischem Versorgungsträger; Drei ausländische Versorgungsanrechte des Antragstellers (nicht näher bezeichnet); Ausländische Versorgungsanwartschaften der beteiligten Ehegatten (nicht näher bezeichnet); Einwohnerversicherung (AOW) / AOW-Anwartschaft bei T. in den Niederlanden; AOW-Altersleistung / AOW-Anwartschaft bei der Sociale Verzekeringsbank (SVB); Anrecht der Ehefrau bei der österreichischen Sozialversicherung; Österreichische Versorgungsanrechte des Ehemanns (nicht näher bezeichnet); Fiktive österreichische Pension der früheren Ehefrau bei der österreichischen Pensionsversicherungsanstalt; Österreichische Anwartschaften des früheren Ehemanns (Höhe nicht ermittelt); Österreichische Pensionsanwartschaft / Alterspension; Polnische Altersrente / polnischer Rentenversicherungsträger; In Portugal erworbene Versorgungsanrechte / Rentenanwartschaften; Rumänische Pensionskasse / rumänische Rentenanwartschaften; Rumänische Rentenversicherung / rumänischer Versorgungsträger; Anrechte bei einem schweizerischen Versorgungsträger; Anrechte nach dem Drei-Säulen-System der Schweiz; Alters- und Hinterlassenenversicherung (AHV); Versorgungsstiftung A.; A. Pensionskasse Schweiz; Schweizerische AHV/IV-Anwartschaft; Schweizer Freizügigkeitsguthaben / Schweizer Versorgungsanwartschaften; Schweizerisches Vorsorgeanrecht auf einem Freizügigkeitskonto bei der C.S. Freizügigkeitsstiftung; Alters- und Hinterlassenenversicherung der Schweiz (AHV) bei der AHV-Ausgleichskasse des Kantons …; Schweizerische Pensionskasse; Schweizerische Alters- und Hinterlassenenversicherung / schweizerische Rentenkasse; Alters- und Hinterlassenenversicherung / Invalidenversicherung (AHV/IV); Schweizerische betriebliche Vorsorge bei der M.-Pensionskasse; Alters- und Hinterlassenenversicherung (AHV) Schweiz; Schweizer Pensionskasse; Alters- und Hinterlassenenversicherung / Invalidenversicherung (AHV/IV); Schweizerische betriebliche Altersvorsorge / A. Pensionskasse bzw. T.-Pensionskasse; Anrechte bei Versorgungsträger G.; Freiwilliger Rentenfonds bei Versorgungsträger D.; Serbische gesetzliche Rentenversicherung; In Spanien erworbene Anrechte auf Altersversorgung bei einem spanischen Versorgungsträger (Höhe unbekannt); Etwaige nicht ehezeitlich erworbene ausländische Anrechte der Ehefrau in Tschechien (konkret nicht festgestellt); US-amerikanische Anrechte / Social-Security-Anrechte bei der Social Security Administration; US-amerikanischer Rentenplan bei der F… Bank aus Arbeitgeberleistungen; In den USA bestehende Versorgungsanrechte des Antragstellers (nicht näher bezeichnet); Federal Employees Retirement System (FERS); Social Security; Thrift Savings Plan (TSP); „Retirement Benefits“ / Altersbezüge aus Partnerschaftsvertrag einer US-amerikanischen Anwaltssozietät; „Retirement Benefits“ / Altersbezüge aus Partnerschaftsvertrag der US-amerikanischen Sozietät M. LLP; Staatliche Sozialversicherung Großbritanniens / britische Rentenanwartschaft; Anrecht bei HM Revenue &amp; Customs; monatliche Rente 78,21 EUR (69,77 GBP)</v>
      </c>
      <c r="AF29" s="338" t="s">
        <v>18</v>
      </c>
      <c r="AG29" s="363" t="s">
        <v>4529</v>
      </c>
      <c r="AH29" t="e" vm="20">
        <v>#VALUE!</v>
      </c>
    </row>
    <row r="30" spans="1:46" s="23" customFormat="1" ht="23.1" customHeight="1">
      <c r="A30" s="555">
        <v>27</v>
      </c>
      <c r="B30" s="560" t="s">
        <v>26</v>
      </c>
      <c r="C30" s="727"/>
      <c r="D30" s="728"/>
      <c r="E30" s="729"/>
      <c r="F30" s="729"/>
      <c r="G30" s="729"/>
      <c r="H30" s="729"/>
      <c r="I30" s="730"/>
      <c r="J30" s="535"/>
      <c r="K30" s="712"/>
      <c r="L30" s="713"/>
      <c r="M30" s="713"/>
      <c r="N30" s="713"/>
      <c r="O30" s="713"/>
      <c r="P30" s="713"/>
      <c r="Q30" s="713"/>
      <c r="R30" s="713"/>
      <c r="S30" s="713"/>
      <c r="T30" s="713"/>
      <c r="U30" s="713"/>
      <c r="V30" s="714"/>
      <c r="W30" s="131"/>
      <c r="Z30" s="334" t="s">
        <v>4276</v>
      </c>
      <c r="AA30" s="25">
        <f>ROUND(YEARFRAC(Dat_GebDat_Pfl,D5,3),1)</f>
        <v>45</v>
      </c>
      <c r="AB30" s="735">
        <f>IF(OR(AlterEzEBerZtpkt_Plf-AlterEzE_Pfl&lt;0,AlterEzE_Pfl&gt;AA32),0,AlterEzEBerZtpkt_Plf-AlterEzE_Pfl)</f>
        <v>5</v>
      </c>
      <c r="AF30" s="338" t="s">
        <v>19</v>
      </c>
      <c r="AG30" s="363" t="s">
        <v>4517</v>
      </c>
      <c r="AH30" t="e" vm="21">
        <v>#VALUE!</v>
      </c>
      <c r="AI30" s="167" t="s">
        <v>4490</v>
      </c>
      <c r="AJ30" s="167" t="s">
        <v>4491</v>
      </c>
      <c r="AK30" s="694" t="str" cm="1">
        <f t="array" ref="AK30">_xlfn.TEXTJOIN(CHAR(10), TRUE,_xlfn._xlws.FILTER(E_Aktenzeichen &amp; " – " &amp; E_BeschlussThema,E_Land = Länderwahl,"Keine Entscheidungen gefunden"))</f>
        <v>OLG Frankfurt, 21.07.2014 – 5 UF 149/14 – In Italien bestehende Versorgungsanrechte beider Ehegatten
OLG Düsseldorf, 07.09.2018 – II-8 UF 36/17 – Italienische Rentenversicherung / italienische Versorgungsanrechte beider Ehegatten</v>
      </c>
      <c r="AL30" s="694"/>
      <c r="AM30" s="694"/>
      <c r="AN30" s="694"/>
      <c r="AO30" s="694"/>
      <c r="AP30" s="694"/>
      <c r="AQ30" s="694"/>
      <c r="AR30" s="694"/>
      <c r="AS30" s="694"/>
      <c r="AT30" s="694"/>
    </row>
    <row r="31" spans="1:46" s="23" customFormat="1" ht="23.1" customHeight="1">
      <c r="A31" s="555">
        <v>28</v>
      </c>
      <c r="B31" s="560" t="s">
        <v>27</v>
      </c>
      <c r="C31" s="727"/>
      <c r="D31" s="728"/>
      <c r="E31" s="729"/>
      <c r="F31" s="729"/>
      <c r="G31" s="729"/>
      <c r="H31" s="729"/>
      <c r="I31" s="730"/>
      <c r="J31" s="535"/>
      <c r="K31" s="712"/>
      <c r="L31" s="713"/>
      <c r="M31" s="713"/>
      <c r="N31" s="713"/>
      <c r="O31" s="713"/>
      <c r="P31" s="713"/>
      <c r="Q31" s="713"/>
      <c r="R31" s="713"/>
      <c r="S31" s="713"/>
      <c r="T31" s="713"/>
      <c r="U31" s="713"/>
      <c r="V31" s="714"/>
      <c r="W31" s="131"/>
      <c r="Z31" s="334" t="s">
        <v>4279</v>
      </c>
      <c r="AA31" s="25">
        <f>+Alter_Pfl</f>
        <v>50</v>
      </c>
      <c r="AB31" s="735"/>
      <c r="AD31" s="405"/>
      <c r="AF31" s="338" t="s">
        <v>20</v>
      </c>
      <c r="AG31" s="363" t="s">
        <v>3486</v>
      </c>
      <c r="AH31" t="e" vm="22">
        <v>#VALUE!</v>
      </c>
      <c r="AK31" s="694"/>
      <c r="AL31" s="694"/>
      <c r="AM31" s="694"/>
      <c r="AN31" s="694"/>
      <c r="AO31" s="694"/>
      <c r="AP31" s="694"/>
      <c r="AQ31" s="694"/>
      <c r="AR31" s="694"/>
      <c r="AS31" s="694"/>
      <c r="AT31" s="694"/>
    </row>
    <row r="32" spans="1:46" s="23" customFormat="1" ht="23.1" customHeight="1">
      <c r="A32" s="555">
        <v>29</v>
      </c>
      <c r="B32" s="560" t="s">
        <v>3501</v>
      </c>
      <c r="C32" s="727"/>
      <c r="D32" s="728"/>
      <c r="E32" s="729"/>
      <c r="F32" s="729"/>
      <c r="G32" s="729"/>
      <c r="H32" s="729"/>
      <c r="I32" s="730"/>
      <c r="J32" s="535"/>
      <c r="K32" s="712"/>
      <c r="L32" s="713"/>
      <c r="M32" s="713"/>
      <c r="N32" s="713"/>
      <c r="O32" s="713"/>
      <c r="P32" s="713"/>
      <c r="Q32" s="713"/>
      <c r="R32" s="713"/>
      <c r="S32" s="713"/>
      <c r="T32" s="713"/>
      <c r="U32" s="713"/>
      <c r="V32" s="714"/>
      <c r="W32" s="131"/>
      <c r="Z32" s="334" t="s">
        <v>4282</v>
      </c>
      <c r="AA32" s="25">
        <f>+ReAlter_Pfl</f>
        <v>65.3</v>
      </c>
      <c r="AB32" s="25"/>
      <c r="AD32" s="405"/>
      <c r="AF32" s="338" t="s">
        <v>21</v>
      </c>
      <c r="AG32" s="363" t="s">
        <v>4518</v>
      </c>
      <c r="AH32" t="e" vm="23">
        <v>#VALUE!</v>
      </c>
      <c r="AI32" s="167" t="s">
        <v>4565</v>
      </c>
      <c r="AK32" s="23" t="str">
        <f>KTextZus3&amp;CHOOSE(O_Box_K_L,KText,KTextZus1,,,,Rspr)</f>
        <v xml:space="preserve">Grundinformation: Italien
◊ 1. Säule – Staatliche Rente (Art/Finanzierung):     Umlage (NDC-ähnlich) + Mindestsicherung
◊ 2. Säule – Betriebliche Vorsorge:                                  TFR (Abfertigung) lenkbar in Fonds; freiwillig
◊ 3. Säule – Private Vorsorge:                                             Private Pensionsfonds/Lebensversicherungen, steuerlich begünstigt
</v>
      </c>
    </row>
    <row r="33" spans="1:37" ht="23.1" customHeight="1">
      <c r="A33" s="555">
        <v>30</v>
      </c>
      <c r="B33" s="560" t="s">
        <v>29</v>
      </c>
      <c r="C33" s="727"/>
      <c r="D33" s="728"/>
      <c r="E33" s="729"/>
      <c r="F33" s="729"/>
      <c r="G33" s="729"/>
      <c r="H33" s="729"/>
      <c r="I33" s="730"/>
      <c r="J33" s="535"/>
      <c r="K33" s="712"/>
      <c r="L33" s="713"/>
      <c r="M33" s="713"/>
      <c r="N33" s="713"/>
      <c r="O33" s="713"/>
      <c r="P33" s="713"/>
      <c r="Q33" s="713"/>
      <c r="R33" s="713"/>
      <c r="S33" s="713"/>
      <c r="T33" s="713"/>
      <c r="U33" s="713"/>
      <c r="V33" s="714"/>
      <c r="W33" s="132"/>
      <c r="Z33" s="376" t="s">
        <v>4532</v>
      </c>
      <c r="AA33">
        <f>ROUND(IF(AA32-AlterEzE_Pfl&lt;0,0,AA32-AlterEzE_Pfl),1)</f>
        <v>20.3</v>
      </c>
      <c r="AD33" s="405"/>
      <c r="AF33" s="338" t="s">
        <v>22</v>
      </c>
      <c r="AG33" s="363" t="s">
        <v>3490</v>
      </c>
      <c r="AH33" t="e" vm="24">
        <v>#VALUE!</v>
      </c>
    </row>
    <row r="34" spans="1:37" ht="23.1" customHeight="1">
      <c r="A34" s="555">
        <v>31</v>
      </c>
      <c r="B34" s="560" t="s">
        <v>30</v>
      </c>
      <c r="C34" s="727"/>
      <c r="D34" s="728"/>
      <c r="E34" s="729"/>
      <c r="F34" s="729"/>
      <c r="G34" s="729"/>
      <c r="H34" s="729"/>
      <c r="I34" s="730"/>
      <c r="J34" s="535"/>
      <c r="K34" s="712"/>
      <c r="L34" s="713"/>
      <c r="M34" s="713"/>
      <c r="N34" s="713"/>
      <c r="O34" s="713"/>
      <c r="P34" s="713"/>
      <c r="Q34" s="713"/>
      <c r="R34" s="713"/>
      <c r="S34" s="713"/>
      <c r="T34" s="713"/>
      <c r="U34" s="713"/>
      <c r="V34" s="714"/>
      <c r="W34" s="132"/>
      <c r="Z34" s="334" t="s">
        <v>4278</v>
      </c>
      <c r="AA34" s="25">
        <f>IF(AA32-AlterEzE_Pfl&gt;0,AA32-AlterEzE_Pfl,0)</f>
        <v>20.299999999999997</v>
      </c>
      <c r="AB34" s="25"/>
      <c r="AD34" s="405"/>
      <c r="AF34" s="338" t="s">
        <v>23</v>
      </c>
      <c r="AG34" s="363" t="s">
        <v>4519</v>
      </c>
      <c r="AH34" t="e" vm="25">
        <v>#VALUE!</v>
      </c>
      <c r="AI34" s="24" t="s">
        <v>4496</v>
      </c>
      <c r="AJ34" s="404">
        <v>1</v>
      </c>
    </row>
    <row r="35" spans="1:37" ht="23.1" customHeight="1">
      <c r="B35" s="561"/>
      <c r="C35" s="727"/>
      <c r="D35" s="728"/>
      <c r="E35" s="729"/>
      <c r="F35" s="729"/>
      <c r="G35" s="729"/>
      <c r="H35" s="729"/>
      <c r="I35" s="730"/>
      <c r="J35" s="535"/>
      <c r="K35" s="712"/>
      <c r="L35" s="713"/>
      <c r="M35" s="713"/>
      <c r="N35" s="713"/>
      <c r="O35" s="713"/>
      <c r="P35" s="713"/>
      <c r="Q35" s="713"/>
      <c r="R35" s="713"/>
      <c r="S35" s="713"/>
      <c r="T35" s="713"/>
      <c r="U35" s="713"/>
      <c r="V35" s="714"/>
      <c r="W35" s="132"/>
      <c r="Z35" s="334" t="s">
        <v>4277</v>
      </c>
      <c r="AA35" s="335">
        <f>IF(+sVA_Rente_Fälligkeit-ReAlter_Pfl&lt;0,0,sVA_Rente_Fälligkeit-ReAlter_Pfl)</f>
        <v>4.7999999999999972</v>
      </c>
      <c r="AB35" s="25"/>
      <c r="AF35" s="338" t="s">
        <v>24</v>
      </c>
      <c r="AG35" s="363" t="s">
        <v>4206</v>
      </c>
      <c r="AH35" t="e" vm="26">
        <v>#VALUE!</v>
      </c>
      <c r="AI35" s="21" t="s">
        <v>5060</v>
      </c>
    </row>
    <row r="36" spans="1:37" ht="23.1" customHeight="1">
      <c r="A36" s="555"/>
      <c r="B36" s="560"/>
      <c r="C36" s="727"/>
      <c r="D36" s="728"/>
      <c r="E36" s="729"/>
      <c r="F36" s="729"/>
      <c r="G36" s="729"/>
      <c r="H36" s="729"/>
      <c r="I36" s="730"/>
      <c r="J36" s="535"/>
      <c r="K36" s="712"/>
      <c r="L36" s="713"/>
      <c r="M36" s="713"/>
      <c r="N36" s="713"/>
      <c r="O36" s="713"/>
      <c r="P36" s="713"/>
      <c r="Q36" s="713"/>
      <c r="R36" s="713"/>
      <c r="S36" s="713"/>
      <c r="T36" s="713"/>
      <c r="U36" s="713"/>
      <c r="V36" s="714"/>
      <c r="W36" s="132"/>
      <c r="Z36" s="334" t="s">
        <v>4280</v>
      </c>
      <c r="AA36" s="25">
        <f>IF(AA32-AlterEzE_Pfl&gt;0,AA32-AlterEzE_Pfl,0)</f>
        <v>20.299999999999997</v>
      </c>
      <c r="AB36" s="25"/>
      <c r="AF36" s="338" t="s">
        <v>25</v>
      </c>
      <c r="AG36" s="363" t="s">
        <v>3494</v>
      </c>
      <c r="AH36" t="e" vm="27">
        <v>#VALUE!</v>
      </c>
      <c r="AJ36" s="21" t="s">
        <v>5061</v>
      </c>
      <c r="AK36" t="str">
        <f>IF(Info_Thema=5,CHAR(10)&amp;TEXT('Geschiedenen-HR-Rente'!C6,"#")&amp;VLOOKUP(Länderwahl,Geschiedenen_HR_Rente,2)&amp;CHAR(10)&amp;CHAR(10)&amp;'Geschiedenen-HR-Rente'!D6&amp;VLOOKUP(Länderwahl,Geschiedenen_HR_Rente,3)&amp;CHAR(10)&amp;CHAR(10)&amp;'Geschiedenen-HR-Rente'!E6&amp;VLOOKUP(Länderwahl,Geschiedenen_HR_Rente,4),"")</f>
        <v/>
      </c>
    </row>
    <row r="37" spans="1:37" ht="23.1" customHeight="1">
      <c r="B37" s="561"/>
      <c r="C37" s="727"/>
      <c r="D37" s="728"/>
      <c r="E37" s="729"/>
      <c r="F37" s="729"/>
      <c r="G37" s="729"/>
      <c r="H37" s="729"/>
      <c r="I37" s="730"/>
      <c r="J37" s="535"/>
      <c r="K37" s="712"/>
      <c r="L37" s="713"/>
      <c r="M37" s="713"/>
      <c r="N37" s="713"/>
      <c r="O37" s="713"/>
      <c r="P37" s="713"/>
      <c r="Q37" s="713"/>
      <c r="R37" s="713"/>
      <c r="S37" s="713"/>
      <c r="T37" s="713"/>
      <c r="U37" s="713"/>
      <c r="V37" s="714"/>
      <c r="W37" s="132"/>
      <c r="Z37" s="334" t="s">
        <v>4281</v>
      </c>
      <c r="AA37" s="336">
        <f>IF(AlterEzEBerZtpkt_Plf-AA32&gt;0,AlterEzEBerZtpkt_Plf-AA32,0)</f>
        <v>0</v>
      </c>
      <c r="AB37" s="25"/>
      <c r="AF37" s="338" t="s">
        <v>26</v>
      </c>
      <c r="AG37" s="363" t="s">
        <v>4520</v>
      </c>
      <c r="AH37" t="e" vm="28">
        <v>#VALUE!</v>
      </c>
    </row>
    <row r="38" spans="1:37" ht="23.1" customHeight="1">
      <c r="B38" s="561"/>
      <c r="C38" s="727"/>
      <c r="D38" s="728"/>
      <c r="E38" s="729"/>
      <c r="F38" s="729"/>
      <c r="G38" s="729"/>
      <c r="H38" s="729"/>
      <c r="I38" s="730"/>
      <c r="J38" s="535"/>
      <c r="K38" s="712"/>
      <c r="L38" s="713"/>
      <c r="M38" s="713"/>
      <c r="N38" s="713"/>
      <c r="O38" s="713"/>
      <c r="P38" s="713"/>
      <c r="Q38" s="713"/>
      <c r="R38" s="713"/>
      <c r="S38" s="713"/>
      <c r="T38" s="713"/>
      <c r="U38" s="713"/>
      <c r="V38" s="714"/>
      <c r="W38" s="132"/>
      <c r="Z38" s="25"/>
      <c r="AA38" s="25"/>
      <c r="AB38" s="25"/>
      <c r="AF38" s="338" t="s">
        <v>27</v>
      </c>
      <c r="AG38" s="363" t="s">
        <v>4504</v>
      </c>
      <c r="AH38" t="e" vm="29">
        <v>#VALUE!</v>
      </c>
    </row>
    <row r="39" spans="1:37" ht="23.1" customHeight="1">
      <c r="B39" s="561"/>
      <c r="C39" s="727"/>
      <c r="D39" s="728"/>
      <c r="E39" s="729"/>
      <c r="F39" s="729"/>
      <c r="G39" s="729"/>
      <c r="H39" s="729"/>
      <c r="I39" s="730"/>
      <c r="J39" s="535"/>
      <c r="K39" s="712"/>
      <c r="L39" s="713"/>
      <c r="M39" s="713"/>
      <c r="N39" s="713"/>
      <c r="O39" s="713"/>
      <c r="P39" s="713"/>
      <c r="Q39" s="713"/>
      <c r="R39" s="713"/>
      <c r="S39" s="713"/>
      <c r="T39" s="713"/>
      <c r="U39" s="713"/>
      <c r="V39" s="714"/>
      <c r="W39" s="132"/>
      <c r="Z39" s="337" t="s">
        <v>4283</v>
      </c>
      <c r="AA39" s="25"/>
      <c r="AB39" s="25"/>
      <c r="AF39" s="338" t="s">
        <v>3501</v>
      </c>
      <c r="AG39" s="363" t="s">
        <v>3500</v>
      </c>
      <c r="AH39" t="e" vm="30">
        <v>#VALUE!</v>
      </c>
    </row>
    <row r="40" spans="1:37" ht="23.1" customHeight="1">
      <c r="B40" s="561"/>
      <c r="C40" s="727"/>
      <c r="D40" s="728"/>
      <c r="E40" s="729"/>
      <c r="F40" s="729"/>
      <c r="G40" s="729"/>
      <c r="H40" s="729"/>
      <c r="I40" s="730"/>
      <c r="J40" s="535"/>
      <c r="K40" s="712"/>
      <c r="L40" s="713"/>
      <c r="M40" s="713"/>
      <c r="N40" s="713"/>
      <c r="O40" s="713"/>
      <c r="P40" s="713"/>
      <c r="Q40" s="713"/>
      <c r="R40" s="713"/>
      <c r="S40" s="713"/>
      <c r="T40" s="713"/>
      <c r="U40" s="713"/>
      <c r="V40" s="714"/>
      <c r="W40" s="132"/>
      <c r="AF40" s="338" t="s">
        <v>29</v>
      </c>
      <c r="AG40" s="363" t="s">
        <v>4521</v>
      </c>
      <c r="AH40" t="e" vm="31">
        <v>#VALUE!</v>
      </c>
    </row>
    <row r="41" spans="1:37" ht="23.1" customHeight="1">
      <c r="B41" s="561"/>
      <c r="C41" s="727"/>
      <c r="D41" s="728"/>
      <c r="E41" s="729"/>
      <c r="F41" s="729"/>
      <c r="G41" s="729"/>
      <c r="H41" s="729"/>
      <c r="I41" s="730"/>
      <c r="J41" s="535"/>
      <c r="K41" s="712"/>
      <c r="L41" s="713"/>
      <c r="M41" s="713"/>
      <c r="N41" s="713"/>
      <c r="O41" s="713"/>
      <c r="P41" s="713"/>
      <c r="Q41" s="713"/>
      <c r="R41" s="713"/>
      <c r="S41" s="713"/>
      <c r="T41" s="713"/>
      <c r="U41" s="713"/>
      <c r="V41" s="714"/>
      <c r="W41" s="132"/>
      <c r="AF41" s="338" t="s">
        <v>30</v>
      </c>
      <c r="AG41" s="363" t="s">
        <v>4522</v>
      </c>
      <c r="AH41" t="e" vm="32">
        <v>#VALUE!</v>
      </c>
    </row>
    <row r="42" spans="1:37" ht="23.1" customHeight="1">
      <c r="B42" s="561"/>
      <c r="C42" s="727"/>
      <c r="D42" s="728"/>
      <c r="E42" s="729"/>
      <c r="F42" s="729"/>
      <c r="G42" s="729"/>
      <c r="H42" s="729"/>
      <c r="I42" s="730"/>
      <c r="J42" s="535"/>
      <c r="K42" s="712"/>
      <c r="L42" s="713"/>
      <c r="M42" s="713"/>
      <c r="N42" s="713"/>
      <c r="O42" s="713"/>
      <c r="P42" s="713"/>
      <c r="Q42" s="713"/>
      <c r="R42" s="713"/>
      <c r="S42" s="713"/>
      <c r="T42" s="713"/>
      <c r="U42" s="713"/>
      <c r="V42" s="714"/>
      <c r="W42" s="132"/>
    </row>
    <row r="43" spans="1:37" ht="23.1" customHeight="1">
      <c r="B43" s="561"/>
      <c r="C43" s="727"/>
      <c r="D43" s="728"/>
      <c r="E43" s="729"/>
      <c r="F43" s="729"/>
      <c r="G43" s="729"/>
      <c r="H43" s="729"/>
      <c r="I43" s="730"/>
      <c r="J43" s="535"/>
      <c r="K43" s="712"/>
      <c r="L43" s="713"/>
      <c r="M43" s="713"/>
      <c r="N43" s="713"/>
      <c r="O43" s="713"/>
      <c r="P43" s="713"/>
      <c r="Q43" s="713"/>
      <c r="R43" s="713"/>
      <c r="S43" s="713"/>
      <c r="T43" s="713"/>
      <c r="U43" s="713"/>
      <c r="V43" s="714"/>
      <c r="W43" s="132"/>
    </row>
    <row r="44" spans="1:37" ht="23.1" customHeight="1" thickBot="1">
      <c r="B44" s="561"/>
      <c r="C44" s="731"/>
      <c r="D44" s="732"/>
      <c r="E44" s="733"/>
      <c r="F44" s="733"/>
      <c r="G44" s="733"/>
      <c r="H44" s="733"/>
      <c r="I44" s="734"/>
      <c r="J44" s="535"/>
      <c r="K44" s="715"/>
      <c r="L44" s="716"/>
      <c r="M44" s="716"/>
      <c r="N44" s="716"/>
      <c r="O44" s="716"/>
      <c r="P44" s="716"/>
      <c r="Q44" s="716"/>
      <c r="R44" s="716"/>
      <c r="S44" s="716"/>
      <c r="T44" s="716"/>
      <c r="U44" s="716"/>
      <c r="V44" s="717"/>
      <c r="W44" s="132"/>
    </row>
    <row r="45" spans="1:37" ht="17.25" hidden="1">
      <c r="C45" s="21" t="s">
        <v>4284</v>
      </c>
      <c r="D45" s="21"/>
      <c r="E45" s="21"/>
      <c r="K45" s="704" t="s">
        <v>4973</v>
      </c>
      <c r="L45" s="705"/>
      <c r="M45" s="705"/>
      <c r="N45" s="705"/>
      <c r="O45" s="705"/>
      <c r="P45" s="705"/>
      <c r="Q45" s="705"/>
      <c r="R45" s="705"/>
      <c r="S45" s="705"/>
      <c r="T45" s="705"/>
      <c r="U45" s="705"/>
      <c r="V45" s="705"/>
      <c r="W45" s="132"/>
    </row>
  </sheetData>
  <sheetProtection algorithmName="SHA-512" hashValue="ZKstqpXA1uBZaw2QRVBJ5Q5HuYQMcgLUPthf9JuDqCRii10K3N86DuaQdaIbJp+KsRQR5FsOjX69y3vU2qOTfw==" saltValue="yxlmsZJ9AeCWKhPAMn6Klw==" spinCount="100000" sheet="1" objects="1" scenarios="1"/>
  <mergeCells count="66">
    <mergeCell ref="K45:V45"/>
    <mergeCell ref="AM1:AM2"/>
    <mergeCell ref="Q4:R4"/>
    <mergeCell ref="AL1:AL2"/>
    <mergeCell ref="C4:E4"/>
    <mergeCell ref="L1:T1"/>
    <mergeCell ref="K7:V44"/>
    <mergeCell ref="K5:V5"/>
    <mergeCell ref="K6:V6"/>
    <mergeCell ref="F3:I3"/>
    <mergeCell ref="C23:I23"/>
    <mergeCell ref="C24:I44"/>
    <mergeCell ref="AB30:AB31"/>
    <mergeCell ref="H4:H5"/>
    <mergeCell ref="C9:D9"/>
    <mergeCell ref="C11:E11"/>
    <mergeCell ref="A1:B2"/>
    <mergeCell ref="A3:B3"/>
    <mergeCell ref="U1:W2"/>
    <mergeCell ref="K4:L4"/>
    <mergeCell ref="AK30:AT31"/>
    <mergeCell ref="C1:I1"/>
    <mergeCell ref="G9:H9"/>
    <mergeCell ref="R3:V3"/>
    <mergeCell ref="K3:Q3"/>
    <mergeCell ref="AR1:AR2"/>
    <mergeCell ref="C8:H8"/>
    <mergeCell ref="G4:G5"/>
    <mergeCell ref="AS1:AS2"/>
    <mergeCell ref="E15:F15"/>
    <mergeCell ref="F12:I12"/>
    <mergeCell ref="C19:E19"/>
    <mergeCell ref="BB3:BB5"/>
    <mergeCell ref="AT1:AT2"/>
    <mergeCell ref="AV3:AV5"/>
    <mergeCell ref="AZ3:AZ5"/>
    <mergeCell ref="BA1:BA2"/>
    <mergeCell ref="BA3:BA5"/>
    <mergeCell ref="BB1:BB2"/>
    <mergeCell ref="AU1:AU2"/>
    <mergeCell ref="AZ1:AZ2"/>
    <mergeCell ref="AV1:AV2"/>
    <mergeCell ref="AW1:AW2"/>
    <mergeCell ref="AY1:AY2"/>
    <mergeCell ref="AX1:AX2"/>
    <mergeCell ref="C10:I10"/>
    <mergeCell ref="AK1:AK2"/>
    <mergeCell ref="F11:I11"/>
    <mergeCell ref="C2:C3"/>
    <mergeCell ref="AQ1:AQ2"/>
    <mergeCell ref="AN1:AN2"/>
    <mergeCell ref="AP1:AP2"/>
    <mergeCell ref="AO1:AO2"/>
    <mergeCell ref="M4:O4"/>
    <mergeCell ref="S4:V4"/>
    <mergeCell ref="C21:E21"/>
    <mergeCell ref="G18:H18"/>
    <mergeCell ref="C22:E22"/>
    <mergeCell ref="C17:H17"/>
    <mergeCell ref="F13:I13"/>
    <mergeCell ref="G21:I21"/>
    <mergeCell ref="G22:I22"/>
    <mergeCell ref="C16:F16"/>
    <mergeCell ref="C13:E13"/>
    <mergeCell ref="C15:D15"/>
    <mergeCell ref="C20:E20"/>
  </mergeCells>
  <phoneticPr fontId="106" type="noConversion"/>
  <conditionalFormatting sqref="C16:F16">
    <cfRule type="expression" dxfId="29" priority="36">
      <formula>$G$6=""</formula>
    </cfRule>
    <cfRule type="expression" dxfId="28" priority="37">
      <formula>$D$6=""</formula>
    </cfRule>
  </conditionalFormatting>
  <conditionalFormatting sqref="F4 D5:D7">
    <cfRule type="expression" dxfId="27" priority="14">
      <formula>D4=""</formula>
    </cfRule>
  </conditionalFormatting>
  <conditionalFormatting sqref="F9">
    <cfRule type="expression" dxfId="26" priority="13">
      <formula>F9=""</formula>
    </cfRule>
  </conditionalFormatting>
  <conditionalFormatting sqref="F21:F22">
    <cfRule type="expression" dxfId="25" priority="10">
      <formula>F21=""</formula>
    </cfRule>
  </conditionalFormatting>
  <conditionalFormatting sqref="G6">
    <cfRule type="expression" dxfId="24" priority="18">
      <formula>ReAlter_Pfl=""</formula>
    </cfRule>
  </conditionalFormatting>
  <conditionalFormatting sqref="G6:G7">
    <cfRule type="expression" dxfId="23" priority="4">
      <formula>G6=""</formula>
    </cfRule>
  </conditionalFormatting>
  <conditionalFormatting sqref="G15">
    <cfRule type="expression" dxfId="22" priority="17">
      <formula>G15=""</formula>
    </cfRule>
  </conditionalFormatting>
  <conditionalFormatting sqref="I9">
    <cfRule type="expression" dxfId="21" priority="11">
      <formula>I9=""</formula>
    </cfRule>
  </conditionalFormatting>
  <conditionalFormatting sqref="I15">
    <cfRule type="expression" dxfId="20" priority="16">
      <formula>I15=""</formula>
    </cfRule>
  </conditionalFormatting>
  <conditionalFormatting sqref="I17:J17">
    <cfRule type="expression" dxfId="19" priority="3">
      <formula>Rechnungszins=""</formula>
    </cfRule>
  </conditionalFormatting>
  <conditionalFormatting sqref="S2">
    <cfRule type="expression" dxfId="18" priority="6">
      <formula>S2="eingeschränkt"</formula>
    </cfRule>
    <cfRule type="expression" dxfId="17" priority="7">
      <formula>S2="Zurzeit nicht bekannt"</formula>
    </cfRule>
    <cfRule type="expression" dxfId="16" priority="8">
      <formula>S2="nein"</formula>
    </cfRule>
    <cfRule type="expression" dxfId="15" priority="9">
      <formula>S2="Ja"</formula>
    </cfRule>
  </conditionalFormatting>
  <dataValidations count="10">
    <dataValidation type="date" operator="greaterThan" allowBlank="1" showInputMessage="1" showErrorMessage="1" errorTitle="Eingabefehler" error="Es sind nur Datumseingaben ab 1.1.1920 zulässig" sqref="D7" xr:uid="{2D222520-C195-409A-A348-C0CE13B56562}">
      <formula1>7306</formula1>
    </dataValidation>
    <dataValidation type="decimal" allowBlank="1" showInputMessage="1" showErrorMessage="1" errorTitle="Eingabefehler!" error="Es sind nur Zahleneingaben &lt;100 zulässig!" sqref="G6" xr:uid="{DCA7110B-C387-45F8-B918-456DE6B373CF}">
      <formula1>1</formula1>
      <formula2>100</formula2>
    </dataValidation>
    <dataValidation allowBlank="1" showInputMessage="1" showErrorMessage="1" errorTitle="Eingabefehler!" error="Es sind nur Zahleneingaben &lt;18 zulässig_x000a_" sqref="I9:J9" xr:uid="{4CE28B71-CEF2-4968-9C25-3133FB268EB8}"/>
    <dataValidation allowBlank="1" showInputMessage="1" showErrorMessage="1" errorTitle="Eingabefehler" error="Es sind nur Zahleneingaben &lt; 10.000 zulässig" sqref="F9" xr:uid="{6242DA56-5696-417D-966D-D21BF14EC2F2}"/>
    <dataValidation type="decimal" allowBlank="1" showInputMessage="1" showErrorMessage="1" errorTitle="Eingabefehler!" error="Es sind nur Werte &lt;15% zulässig (und plausibel)" sqref="G15" xr:uid="{40A27905-0961-48A1-9BD5-BF3CA2804424}">
      <formula1>0</formula1>
      <formula2>0.15</formula2>
    </dataValidation>
    <dataValidation type="decimal" allowBlank="1" showInputMessage="1" showErrorMessage="1" errorTitle="Eingabefehler" error="Es sind nur Werte bis 15% zulässig (und plausibel)" sqref="I15:J15" xr:uid="{7149A28C-5F40-4E74-9ABE-06EACAD937EE}">
      <formula1>0</formula1>
      <formula2>0.15</formula2>
    </dataValidation>
    <dataValidation type="decimal" allowBlank="1" showInputMessage="1" showErrorMessage="1" errorTitle="Eingabefehler!" error="Es sind nur Zahleneingaben zulässig" sqref="I16:J16" xr:uid="{F6257731-4A37-4E35-B8E1-68342AADA9B6}">
      <formula1>0</formula1>
      <formula2>10000</formula2>
    </dataValidation>
    <dataValidation type="decimal" allowBlank="1" showInputMessage="1" showErrorMessage="1" errorTitle="Eingabefehler!" error="Es sind nur Zahleneingaben zwischen 0% und 100% zulässig!_x000a_" sqref="F19:F22 I19:J20" xr:uid="{6D4A1532-F0F5-421A-A65A-8C8CC5D1708C}">
      <formula1>0</formula1>
      <formula2>1</formula2>
    </dataValidation>
    <dataValidation type="date" operator="greaterThan" allowBlank="1" showInputMessage="1" showErrorMessage="1" errorTitle="Eingabefehler!" error="Es sind nur Datumseingaben ab 1.1.1920 zulässig" sqref="D5:D6 F4" xr:uid="{80654326-32AB-42A2-B895-8AC976FD0E0C}">
      <formula1>7306</formula1>
    </dataValidation>
    <dataValidation type="decimal" allowBlank="1" showInputMessage="1" showErrorMessage="1" errorTitle="Eingabefehler" error="Es sind nur Zahleneingaben &lt;100 zulässig" sqref="J7 G7" xr:uid="{223D3A77-1A30-4D05-8BC8-505677B8FB17}">
      <formula1>1</formula1>
      <formula2>100</formula2>
    </dataValidation>
  </dataValidations>
  <hyperlinks>
    <hyperlink ref="B10" location="Frankreich!A1" display="Frankreich" xr:uid="{E004A4B6-6879-4D48-9D37-A374F9760305}"/>
    <hyperlink ref="B4" location="B" display="Belgien" xr:uid="{0BBC94FF-9478-4CE3-AA96-BC20F8115890}"/>
    <hyperlink ref="B5" location="BG" display="Bulgarien" xr:uid="{DCA67628-2D65-490E-ABBA-2C0B6D779935}"/>
    <hyperlink ref="B6" location="DK" display="Dänemark" xr:uid="{D98E37AA-B040-41AA-9F59-593FD33D26BD}"/>
    <hyperlink ref="B7" location="D" display="Deutschland" xr:uid="{F587D7DE-9851-46A9-9962-2C4C24349897}"/>
    <hyperlink ref="B8" location="EST" display="Estland" xr:uid="{39657D28-3F83-4CA4-A400-31AFEE2FB0FD}"/>
    <hyperlink ref="B9" location="FIN" display="Finnland" xr:uid="{9A4C917C-DA04-4BD4-B127-2DEF8A9DFFD2}"/>
    <hyperlink ref="B11" location="GR" display="Griechenland" xr:uid="{71086555-7B78-4DCA-AA74-C1639182E554}"/>
    <hyperlink ref="B12" location="I" display="Irland" xr:uid="{546E065D-DDB2-40E5-AE86-5D2F06E34C7A}"/>
    <hyperlink ref="B13" location="IS" display="Island" xr:uid="{217B9D3D-0A63-49A2-B707-C39B07E2E6C9}"/>
    <hyperlink ref="B14" location="I" display="Italien" xr:uid="{B76635B8-1335-4DD2-AB8A-5781EA3D549A}"/>
    <hyperlink ref="B15" location="HR" display="Kroatien" xr:uid="{CCA7476C-5597-4B22-85B2-FAE3823BC8D9}"/>
    <hyperlink ref="B16" location="LV" display="Lettland" xr:uid="{A4A6CF13-51A9-4AAA-B6A6-258FC0E2AB6E}"/>
    <hyperlink ref="B17" location="FL" display="Liechtenstein" xr:uid="{F7996F9B-DB33-4EFB-B352-0B1FCCD3DBFC}"/>
    <hyperlink ref="B18" location="LT" display="Litauen" xr:uid="{5ABA009B-ED18-46FE-80A2-7EF02982B4A6}"/>
    <hyperlink ref="B19" location="L" display="Luxemburg" xr:uid="{019E5DF2-AB68-4FAD-B786-A4227F6D71FB}"/>
    <hyperlink ref="B20" location="M" display="Malta" xr:uid="{E1270C23-0DE9-4545-A833-4298EEB7FF4F}"/>
    <hyperlink ref="B21" location="NL" display="Niederlande" xr:uid="{CC0CA254-655D-4F34-9F39-54829FE46964}"/>
    <hyperlink ref="B22" location="N" display="Norwegen" xr:uid="{593DCDA4-DCE9-4DC9-A400-CBFBCECB5DA6}"/>
    <hyperlink ref="B23" location="A" display="Österreich" xr:uid="{9791C570-7587-4BE1-BE4D-819AD718E27D}"/>
    <hyperlink ref="B24" location="PL" display="Polen" xr:uid="{50F9628A-78EC-4ED4-B460-0670620A1DB0}"/>
    <hyperlink ref="B25" location="P" display="Portugal" xr:uid="{F11A9F32-B1BD-45D2-A730-040C4A01955C}"/>
    <hyperlink ref="B26" location="RO" display="Rumänien" xr:uid="{DDC12622-2CBD-453D-ABA3-6250A559C152}"/>
    <hyperlink ref="B28" location="CH" display="Schweiz" xr:uid="{775D2B5B-784C-4A07-B966-A061B2A3C5E0}"/>
    <hyperlink ref="B29" location="SK" display="Slowakei" xr:uid="{0E337002-657B-4795-B910-7D862BC04632}"/>
    <hyperlink ref="B30" location="SLO" display="Slowenien" xr:uid="{29FE57A1-0CDB-4CA2-B3A3-C9A8E7880FDF}"/>
    <hyperlink ref="B31" location="E" display="Spanien" xr:uid="{D0FC7683-75AE-4D70-A68A-15AD1EF9434A}"/>
    <hyperlink ref="B32" location="CZ" display="Tschechische Republik" xr:uid="{526F90B2-EBBE-4B77-8004-7034E8260F94}"/>
    <hyperlink ref="B33" location="H" display="Ungarn" xr:uid="{1BC26F16-06F9-427C-A382-972288B250CC}"/>
    <hyperlink ref="B34" location="CY" display="Zypern" xr:uid="{4345AD51-5CC2-4054-A598-3E2AC39AEEC9}"/>
    <hyperlink ref="B27" location="Schwe" display="Schweden" xr:uid="{32C93550-22CD-4AC0-BA0E-630604D8FC7F}"/>
    <hyperlink ref="G22" r:id="rId1" xr:uid="{FE8B8E37-BF91-4BDE-B0AA-F09422D08396}"/>
    <hyperlink ref="AC7" location="Dynamisierungslinks" display="Dyn" xr:uid="{24FC7974-E0EE-488F-81B2-52745C917F4F}"/>
    <hyperlink ref="P4" location="K_SLO" display="Sprung" xr:uid="{02100530-72A2-4726-B2B9-6429F0024298}"/>
  </hyperlinks>
  <printOptions horizontalCentered="1" verticalCentered="1"/>
  <pageMargins left="0.11811023622047245" right="0.11811023622047245" top="0.19685039370078741" bottom="0.19685039370078741" header="0.31496062992125984" footer="0.31496062992125984"/>
  <pageSetup paperSize="9" scale="80"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3793" r:id="rId5" name="Drop Down 1">
              <controlPr defaultSize="0" autoLine="0" autoPict="0">
                <anchor moveWithCells="1">
                  <from>
                    <xdr:col>2</xdr:col>
                    <xdr:colOff>4210050</xdr:colOff>
                    <xdr:row>2</xdr:row>
                    <xdr:rowOff>19050</xdr:rowOff>
                  </from>
                  <to>
                    <xdr:col>4</xdr:col>
                    <xdr:colOff>76200</xdr:colOff>
                    <xdr:row>2</xdr:row>
                    <xdr:rowOff>247650</xdr:rowOff>
                  </to>
                </anchor>
              </controlPr>
            </control>
          </mc:Choice>
        </mc:AlternateContent>
        <mc:AlternateContent xmlns:mc="http://schemas.openxmlformats.org/markup-compatibility/2006">
          <mc:Choice Requires="x14">
            <control shapeId="33802" r:id="rId6" name="Drop Down 10">
              <controlPr defaultSize="0" autoLine="0" autoPict="0">
                <anchor moveWithCells="1">
                  <from>
                    <xdr:col>4</xdr:col>
                    <xdr:colOff>371475</xdr:colOff>
                    <xdr:row>5</xdr:row>
                    <xdr:rowOff>38100</xdr:rowOff>
                  </from>
                  <to>
                    <xdr:col>4</xdr:col>
                    <xdr:colOff>914400</xdr:colOff>
                    <xdr:row>5</xdr:row>
                    <xdr:rowOff>257175</xdr:rowOff>
                  </to>
                </anchor>
              </controlPr>
            </control>
          </mc:Choice>
        </mc:AlternateContent>
        <mc:AlternateContent xmlns:mc="http://schemas.openxmlformats.org/markup-compatibility/2006">
          <mc:Choice Requires="x14">
            <control shapeId="33803" r:id="rId7" name="Drop Down 11">
              <controlPr defaultSize="0" autoLine="0" autoPict="0">
                <anchor moveWithCells="1">
                  <from>
                    <xdr:col>4</xdr:col>
                    <xdr:colOff>371475</xdr:colOff>
                    <xdr:row>6</xdr:row>
                    <xdr:rowOff>38100</xdr:rowOff>
                  </from>
                  <to>
                    <xdr:col>4</xdr:col>
                    <xdr:colOff>914400</xdr:colOff>
                    <xdr:row>6</xdr:row>
                    <xdr:rowOff>257175</xdr:rowOff>
                  </to>
                </anchor>
              </controlPr>
            </control>
          </mc:Choice>
        </mc:AlternateContent>
        <mc:AlternateContent xmlns:mc="http://schemas.openxmlformats.org/markup-compatibility/2006">
          <mc:Choice Requires="x14">
            <control shapeId="33808" r:id="rId8" name="Check Box 16">
              <controlPr defaultSize="0" autoFill="0" autoLine="0" autoPict="0">
                <anchor moveWithCells="1">
                  <from>
                    <xdr:col>2</xdr:col>
                    <xdr:colOff>19050</xdr:colOff>
                    <xdr:row>18</xdr:row>
                    <xdr:rowOff>28575</xdr:rowOff>
                  </from>
                  <to>
                    <xdr:col>5</xdr:col>
                    <xdr:colOff>9525</xdr:colOff>
                    <xdr:row>18</xdr:row>
                    <xdr:rowOff>238125</xdr:rowOff>
                  </to>
                </anchor>
              </controlPr>
            </control>
          </mc:Choice>
        </mc:AlternateContent>
        <mc:AlternateContent xmlns:mc="http://schemas.openxmlformats.org/markup-compatibility/2006">
          <mc:Choice Requires="x14">
            <control shapeId="33809" r:id="rId9" name="Check Box 17">
              <controlPr defaultSize="0" autoFill="0" autoLine="0" autoPict="0">
                <anchor moveWithCells="1">
                  <from>
                    <xdr:col>2</xdr:col>
                    <xdr:colOff>19050</xdr:colOff>
                    <xdr:row>19</xdr:row>
                    <xdr:rowOff>38100</xdr:rowOff>
                  </from>
                  <to>
                    <xdr:col>5</xdr:col>
                    <xdr:colOff>9525</xdr:colOff>
                    <xdr:row>19</xdr:row>
                    <xdr:rowOff>247650</xdr:rowOff>
                  </to>
                </anchor>
              </controlPr>
            </control>
          </mc:Choice>
        </mc:AlternateContent>
        <mc:AlternateContent xmlns:mc="http://schemas.openxmlformats.org/markup-compatibility/2006">
          <mc:Choice Requires="x14">
            <control shapeId="33828" r:id="rId10" name="Option Button 36">
              <controlPr defaultSize="0" autoFill="0" autoLine="0" autoPict="0">
                <anchor moveWithCells="1">
                  <from>
                    <xdr:col>12</xdr:col>
                    <xdr:colOff>200025</xdr:colOff>
                    <xdr:row>3</xdr:row>
                    <xdr:rowOff>9525</xdr:rowOff>
                  </from>
                  <to>
                    <xdr:col>15</xdr:col>
                    <xdr:colOff>9525</xdr:colOff>
                    <xdr:row>3</xdr:row>
                    <xdr:rowOff>333375</xdr:rowOff>
                  </to>
                </anchor>
              </controlPr>
            </control>
          </mc:Choice>
        </mc:AlternateContent>
        <mc:AlternateContent xmlns:mc="http://schemas.openxmlformats.org/markup-compatibility/2006">
          <mc:Choice Requires="x14">
            <control shapeId="33832" r:id="rId11" name="Option Button 40">
              <controlPr defaultSize="0" autoFill="0" autoLine="0" autoPict="0">
                <anchor moveWithCells="1">
                  <from>
                    <xdr:col>16</xdr:col>
                    <xdr:colOff>85725</xdr:colOff>
                    <xdr:row>3</xdr:row>
                    <xdr:rowOff>9525</xdr:rowOff>
                  </from>
                  <to>
                    <xdr:col>17</xdr:col>
                    <xdr:colOff>295275</xdr:colOff>
                    <xdr:row>3</xdr:row>
                    <xdr:rowOff>285750</xdr:rowOff>
                  </to>
                </anchor>
              </controlPr>
            </control>
          </mc:Choice>
        </mc:AlternateContent>
        <mc:AlternateContent xmlns:mc="http://schemas.openxmlformats.org/markup-compatibility/2006">
          <mc:Choice Requires="x14">
            <control shapeId="33835" r:id="rId12" name="Group Box 43">
              <controlPr defaultSize="0" autoFill="0" autoPict="0">
                <anchor moveWithCells="1">
                  <from>
                    <xdr:col>1</xdr:col>
                    <xdr:colOff>819150</xdr:colOff>
                    <xdr:row>3</xdr:row>
                    <xdr:rowOff>0</xdr:rowOff>
                  </from>
                  <to>
                    <xdr:col>9</xdr:col>
                    <xdr:colOff>0</xdr:colOff>
                    <xdr:row>21</xdr:row>
                    <xdr:rowOff>266700</xdr:rowOff>
                  </to>
                </anchor>
              </controlPr>
            </control>
          </mc:Choice>
        </mc:AlternateContent>
        <mc:AlternateContent xmlns:mc="http://schemas.openxmlformats.org/markup-compatibility/2006">
          <mc:Choice Requires="x14">
            <control shapeId="33837" r:id="rId13" name="Option Button 45">
              <controlPr defaultSize="0" autoFill="0" autoLine="0" autoPict="0">
                <anchor moveWithCells="1">
                  <from>
                    <xdr:col>7</xdr:col>
                    <xdr:colOff>857250</xdr:colOff>
                    <xdr:row>7</xdr:row>
                    <xdr:rowOff>0</xdr:rowOff>
                  </from>
                  <to>
                    <xdr:col>8</xdr:col>
                    <xdr:colOff>857250</xdr:colOff>
                    <xdr:row>8</xdr:row>
                    <xdr:rowOff>0</xdr:rowOff>
                  </to>
                </anchor>
              </controlPr>
            </control>
          </mc:Choice>
        </mc:AlternateContent>
        <mc:AlternateContent xmlns:mc="http://schemas.openxmlformats.org/markup-compatibility/2006">
          <mc:Choice Requires="x14">
            <control shapeId="33845" r:id="rId14" name="Option Button 53">
              <controlPr defaultSize="0" autoFill="0" autoLine="0" autoPict="0">
                <anchor moveWithCells="1">
                  <from>
                    <xdr:col>6</xdr:col>
                    <xdr:colOff>314325</xdr:colOff>
                    <xdr:row>4</xdr:row>
                    <xdr:rowOff>38100</xdr:rowOff>
                  </from>
                  <to>
                    <xdr:col>6</xdr:col>
                    <xdr:colOff>866775</xdr:colOff>
                    <xdr:row>5</xdr:row>
                    <xdr:rowOff>0</xdr:rowOff>
                  </to>
                </anchor>
              </controlPr>
            </control>
          </mc:Choice>
        </mc:AlternateContent>
        <mc:AlternateContent xmlns:mc="http://schemas.openxmlformats.org/markup-compatibility/2006">
          <mc:Choice Requires="x14">
            <control shapeId="33846" r:id="rId15" name="Option Button 54">
              <controlPr defaultSize="0" autoFill="0" autoLine="0" autoPict="0">
                <anchor moveWithCells="1">
                  <from>
                    <xdr:col>4</xdr:col>
                    <xdr:colOff>200025</xdr:colOff>
                    <xdr:row>10</xdr:row>
                    <xdr:rowOff>28575</xdr:rowOff>
                  </from>
                  <to>
                    <xdr:col>4</xdr:col>
                    <xdr:colOff>914400</xdr:colOff>
                    <xdr:row>10</xdr:row>
                    <xdr:rowOff>266700</xdr:rowOff>
                  </to>
                </anchor>
              </controlPr>
            </control>
          </mc:Choice>
        </mc:AlternateContent>
        <mc:AlternateContent xmlns:mc="http://schemas.openxmlformats.org/markup-compatibility/2006">
          <mc:Choice Requires="x14">
            <control shapeId="33847" r:id="rId16" name="Option Button 55">
              <controlPr defaultSize="0" autoFill="0" autoLine="0" autoPict="0">
                <anchor moveWithCells="1">
                  <from>
                    <xdr:col>8</xdr:col>
                    <xdr:colOff>381000</xdr:colOff>
                    <xdr:row>9</xdr:row>
                    <xdr:rowOff>276225</xdr:rowOff>
                  </from>
                  <to>
                    <xdr:col>8</xdr:col>
                    <xdr:colOff>923925</xdr:colOff>
                    <xdr:row>11</xdr:row>
                    <xdr:rowOff>9525</xdr:rowOff>
                  </to>
                </anchor>
              </controlPr>
            </control>
          </mc:Choice>
        </mc:AlternateContent>
        <mc:AlternateContent xmlns:mc="http://schemas.openxmlformats.org/markup-compatibility/2006">
          <mc:Choice Requires="x14">
            <control shapeId="33848" r:id="rId17" name="Option Button 56">
              <controlPr defaultSize="0" autoFill="0" autoLine="0" autoPict="0">
                <anchor moveWithCells="1">
                  <from>
                    <xdr:col>4</xdr:col>
                    <xdr:colOff>200025</xdr:colOff>
                    <xdr:row>11</xdr:row>
                    <xdr:rowOff>28575</xdr:rowOff>
                  </from>
                  <to>
                    <xdr:col>4</xdr:col>
                    <xdr:colOff>914400</xdr:colOff>
                    <xdr:row>11</xdr:row>
                    <xdr:rowOff>266700</xdr:rowOff>
                  </to>
                </anchor>
              </controlPr>
            </control>
          </mc:Choice>
        </mc:AlternateContent>
        <mc:AlternateContent xmlns:mc="http://schemas.openxmlformats.org/markup-compatibility/2006">
          <mc:Choice Requires="x14">
            <control shapeId="33849" r:id="rId18" name="Option Button 57">
              <controlPr defaultSize="0" autoFill="0" autoLine="0" autoPict="0">
                <anchor moveWithCells="1">
                  <from>
                    <xdr:col>8</xdr:col>
                    <xdr:colOff>381000</xdr:colOff>
                    <xdr:row>10</xdr:row>
                    <xdr:rowOff>266700</xdr:rowOff>
                  </from>
                  <to>
                    <xdr:col>8</xdr:col>
                    <xdr:colOff>923925</xdr:colOff>
                    <xdr:row>12</xdr:row>
                    <xdr:rowOff>0</xdr:rowOff>
                  </to>
                </anchor>
              </controlPr>
            </control>
          </mc:Choice>
        </mc:AlternateContent>
        <mc:AlternateContent xmlns:mc="http://schemas.openxmlformats.org/markup-compatibility/2006">
          <mc:Choice Requires="x14">
            <control shapeId="33850" r:id="rId19" name="Option Button 58">
              <controlPr defaultSize="0" autoFill="0" autoLine="0" autoPict="0">
                <anchor moveWithCells="1">
                  <from>
                    <xdr:col>4</xdr:col>
                    <xdr:colOff>209550</xdr:colOff>
                    <xdr:row>12</xdr:row>
                    <xdr:rowOff>28575</xdr:rowOff>
                  </from>
                  <to>
                    <xdr:col>4</xdr:col>
                    <xdr:colOff>923925</xdr:colOff>
                    <xdr:row>12</xdr:row>
                    <xdr:rowOff>266700</xdr:rowOff>
                  </to>
                </anchor>
              </controlPr>
            </control>
          </mc:Choice>
        </mc:AlternateContent>
        <mc:AlternateContent xmlns:mc="http://schemas.openxmlformats.org/markup-compatibility/2006">
          <mc:Choice Requires="x14">
            <control shapeId="33851" r:id="rId20" name="Option Button 59">
              <controlPr defaultSize="0" autoFill="0" autoLine="0" autoPict="0">
                <anchor moveWithCells="1">
                  <from>
                    <xdr:col>8</xdr:col>
                    <xdr:colOff>381000</xdr:colOff>
                    <xdr:row>11</xdr:row>
                    <xdr:rowOff>266700</xdr:rowOff>
                  </from>
                  <to>
                    <xdr:col>8</xdr:col>
                    <xdr:colOff>923925</xdr:colOff>
                    <xdr:row>13</xdr:row>
                    <xdr:rowOff>0</xdr:rowOff>
                  </to>
                </anchor>
              </controlPr>
            </control>
          </mc:Choice>
        </mc:AlternateContent>
        <mc:AlternateContent xmlns:mc="http://schemas.openxmlformats.org/markup-compatibility/2006">
          <mc:Choice Requires="x14">
            <control shapeId="33852" r:id="rId21" name="Group Box 60">
              <controlPr defaultSize="0" print="0" autoFill="0" autoPict="0">
                <anchor moveWithCells="1">
                  <from>
                    <xdr:col>0</xdr:col>
                    <xdr:colOff>9525</xdr:colOff>
                    <xdr:row>0</xdr:row>
                    <xdr:rowOff>19050</xdr:rowOff>
                  </from>
                  <to>
                    <xdr:col>22</xdr:col>
                    <xdr:colOff>400050</xdr:colOff>
                    <xdr:row>2</xdr:row>
                    <xdr:rowOff>19050</xdr:rowOff>
                  </to>
                </anchor>
              </controlPr>
            </control>
          </mc:Choice>
        </mc:AlternateContent>
        <mc:AlternateContent xmlns:mc="http://schemas.openxmlformats.org/markup-compatibility/2006">
          <mc:Choice Requires="x14">
            <control shapeId="33853" r:id="rId22" name="Option Button 61">
              <controlPr defaultSize="0" autoFill="0" autoLine="0" autoPict="0">
                <anchor moveWithCells="1">
                  <from>
                    <xdr:col>2</xdr:col>
                    <xdr:colOff>2257425</xdr:colOff>
                    <xdr:row>0</xdr:row>
                    <xdr:rowOff>66675</xdr:rowOff>
                  </from>
                  <to>
                    <xdr:col>7</xdr:col>
                    <xdr:colOff>133350</xdr:colOff>
                    <xdr:row>0</xdr:row>
                    <xdr:rowOff>390525</xdr:rowOff>
                  </to>
                </anchor>
              </controlPr>
            </control>
          </mc:Choice>
        </mc:AlternateContent>
        <mc:AlternateContent xmlns:mc="http://schemas.openxmlformats.org/markup-compatibility/2006">
          <mc:Choice Requires="x14">
            <control shapeId="33854" r:id="rId23" name="Option Button 62">
              <controlPr defaultSize="0" autoFill="0" autoLine="0" autoPict="0">
                <anchor moveWithCells="1">
                  <from>
                    <xdr:col>13</xdr:col>
                    <xdr:colOff>438150</xdr:colOff>
                    <xdr:row>0</xdr:row>
                    <xdr:rowOff>76200</xdr:rowOff>
                  </from>
                  <to>
                    <xdr:col>17</xdr:col>
                    <xdr:colOff>390525</xdr:colOff>
                    <xdr:row>0</xdr:row>
                    <xdr:rowOff>381000</xdr:rowOff>
                  </to>
                </anchor>
              </controlPr>
            </control>
          </mc:Choice>
        </mc:AlternateContent>
        <mc:AlternateContent xmlns:mc="http://schemas.openxmlformats.org/markup-compatibility/2006">
          <mc:Choice Requires="x14">
            <control shapeId="33860" r:id="rId24" name="Option Button 68">
              <controlPr defaultSize="0" autoFill="0" autoLine="0" autoPict="0">
                <anchor moveWithCells="1">
                  <from>
                    <xdr:col>17</xdr:col>
                    <xdr:colOff>714375</xdr:colOff>
                    <xdr:row>3</xdr:row>
                    <xdr:rowOff>28575</xdr:rowOff>
                  </from>
                  <to>
                    <xdr:col>22</xdr:col>
                    <xdr:colOff>219075</xdr:colOff>
                    <xdr:row>3</xdr:row>
                    <xdr:rowOff>314325</xdr:rowOff>
                  </to>
                </anchor>
              </controlPr>
            </control>
          </mc:Choice>
        </mc:AlternateContent>
        <mc:AlternateContent xmlns:mc="http://schemas.openxmlformats.org/markup-compatibility/2006">
          <mc:Choice Requires="x14">
            <control shapeId="33864" r:id="rId25" name="Check Box 72">
              <controlPr defaultSize="0" autoFill="0" autoLine="0" autoPict="0">
                <anchor moveWithCells="1">
                  <from>
                    <xdr:col>2</xdr:col>
                    <xdr:colOff>2324100</xdr:colOff>
                    <xdr:row>22</xdr:row>
                    <xdr:rowOff>28575</xdr:rowOff>
                  </from>
                  <to>
                    <xdr:col>6</xdr:col>
                    <xdr:colOff>714375</xdr:colOff>
                    <xdr:row>23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445D3-2152-4EEB-B9A9-57385CE61C28}">
  <sheetPr codeName="Tabelle55">
    <tabColor rgb="FF00B050"/>
    <pageSetUpPr fitToPage="1"/>
  </sheetPr>
  <dimension ref="A1:XFC65"/>
  <sheetViews>
    <sheetView showGridLines="0" showRowColHeaders="0" zoomScale="160" zoomScaleNormal="160" workbookViewId="0">
      <selection activeCell="K5" sqref="K5"/>
      <extLst>
        <ext xmlns:xlsdti="http://schemas.microsoft.com/office/spreadsheetml/2023/showDataTypeIcons" uri="{77bfe23e-c014-4d31-8a63-9c772dbf06b6}">
          <xlsdti:showDataTypeIcons visible="0"/>
        </ext>
      </extLst>
    </sheetView>
  </sheetViews>
  <sheetFormatPr baseColWidth="10" defaultColWidth="0" defaultRowHeight="15" zeroHeight="1"/>
  <cols>
    <col min="1" max="1" width="3.42578125" customWidth="1"/>
    <col min="2" max="2" width="48.42578125" customWidth="1"/>
    <col min="3" max="3" width="13.7109375" customWidth="1"/>
    <col min="4" max="5" width="13.42578125" customWidth="1"/>
    <col min="6" max="6" width="13.5703125" customWidth="1"/>
    <col min="7" max="7" width="13" customWidth="1"/>
    <col min="8" max="8" width="14" customWidth="1"/>
    <col min="9" max="9" width="13.140625" customWidth="1"/>
    <col min="10" max="10" width="15.28515625" customWidth="1"/>
    <col min="11" max="11" width="7.28515625" customWidth="1"/>
    <col min="12" max="12" width="44" hidden="1" customWidth="1"/>
    <col min="13" max="13" width="19.7109375" hidden="1" customWidth="1"/>
    <col min="14" max="22" width="16.85546875" hidden="1" customWidth="1"/>
    <col min="23" max="26" width="11.42578125" hidden="1" customWidth="1"/>
    <col min="27" max="27" width="0" hidden="1" customWidth="1"/>
    <col min="28" max="16383" width="11.42578125" hidden="1"/>
    <col min="16384" max="16384" width="1" hidden="1" customWidth="1"/>
  </cols>
  <sheetData>
    <row r="1" spans="1:18">
      <c r="A1" s="323"/>
      <c r="B1" s="738" t="s">
        <v>5217</v>
      </c>
      <c r="C1" s="738"/>
      <c r="D1" s="738"/>
      <c r="E1" s="738"/>
      <c r="F1" s="738"/>
      <c r="G1" s="738"/>
      <c r="H1" s="738"/>
      <c r="I1" s="738"/>
      <c r="J1" s="738"/>
      <c r="K1" s="323"/>
      <c r="L1" s="21" t="s">
        <v>5225</v>
      </c>
    </row>
    <row r="2" spans="1:18" ht="18.75">
      <c r="A2" s="323"/>
      <c r="B2" s="739"/>
      <c r="C2" s="739"/>
      <c r="D2" s="739"/>
      <c r="E2" s="739"/>
      <c r="F2" s="739"/>
      <c r="G2" s="739"/>
      <c r="H2" s="739"/>
      <c r="I2" s="739"/>
      <c r="J2" s="739"/>
      <c r="K2" s="596"/>
    </row>
    <row r="3" spans="1:18" ht="45">
      <c r="A3" s="323"/>
      <c r="B3" s="751" t="s">
        <v>3738</v>
      </c>
      <c r="C3" s="751"/>
      <c r="D3" s="751"/>
      <c r="E3" s="592"/>
      <c r="F3" s="598">
        <f>+Dat_Ber</f>
        <v>46022</v>
      </c>
      <c r="G3" s="752" t="s">
        <v>5206</v>
      </c>
      <c r="H3" s="752" t="s">
        <v>5207</v>
      </c>
      <c r="I3" s="587" t="s">
        <v>5204</v>
      </c>
      <c r="J3" s="599"/>
      <c r="K3" s="649" t="s">
        <v>5233</v>
      </c>
    </row>
    <row r="4" spans="1:18">
      <c r="A4" s="323"/>
      <c r="B4" s="593" t="s">
        <v>5202</v>
      </c>
      <c r="C4" s="600">
        <f>+EzE</f>
        <v>44196</v>
      </c>
      <c r="D4" s="594" t="s">
        <v>5218</v>
      </c>
      <c r="E4" s="594" t="s">
        <v>5219</v>
      </c>
      <c r="F4" s="594" t="s">
        <v>5201</v>
      </c>
      <c r="G4" s="752"/>
      <c r="H4" s="752"/>
      <c r="I4" s="588">
        <f>+Abfindungsberechnung!I5</f>
        <v>53328</v>
      </c>
      <c r="J4" s="599"/>
      <c r="K4" s="597"/>
    </row>
    <row r="5" spans="1:18">
      <c r="A5" s="323"/>
      <c r="B5" s="593" t="s">
        <v>5196</v>
      </c>
      <c r="C5" s="601">
        <f>+Dat_GebDat_Pfl</f>
        <v>27759</v>
      </c>
      <c r="D5" s="595">
        <f>+Abfindungsberechnung!E6</f>
        <v>45.03</v>
      </c>
      <c r="E5" s="595" t="str">
        <f>CHOOSE(GeschlechtsNr_Pfl,"m","w","d")</f>
        <v>m</v>
      </c>
      <c r="F5" s="589">
        <f>+Alter_Pfl</f>
        <v>50</v>
      </c>
      <c r="G5" s="633">
        <f>+ReAlter_Pfl</f>
        <v>65.3</v>
      </c>
      <c r="H5" s="590">
        <f>+Leistungsbeginn_Pfl</f>
        <v>51592</v>
      </c>
      <c r="I5" s="745" t="s">
        <v>5216</v>
      </c>
      <c r="J5" s="591">
        <f>+sVA_Rente_Fälligkeit</f>
        <v>70.099999999999994</v>
      </c>
      <c r="K5" s="597"/>
    </row>
    <row r="6" spans="1:18">
      <c r="A6" s="323"/>
      <c r="B6" s="593" t="s">
        <v>3789</v>
      </c>
      <c r="C6" s="601">
        <f>+Dat_BebDat_Ber</f>
        <v>29586</v>
      </c>
      <c r="D6" s="595">
        <f>+Geschlecht_Ber</f>
        <v>40</v>
      </c>
      <c r="E6" s="595" t="str">
        <f>CHOOSE(GeschlechtsNr_Ber,"m","w","d")</f>
        <v>w</v>
      </c>
      <c r="F6" s="589">
        <f>+Alter_Ber</f>
        <v>45</v>
      </c>
      <c r="G6" s="633">
        <f>+RentenalterBer</f>
        <v>65</v>
      </c>
      <c r="H6" s="590">
        <f>+Abfindungsberechnung!H7</f>
        <v>53328</v>
      </c>
      <c r="I6" s="746"/>
      <c r="J6" s="591">
        <f>+Abfindungsberechnung!I7</f>
        <v>65</v>
      </c>
      <c r="K6" s="597"/>
    </row>
    <row r="7" spans="1:18" ht="15" customHeight="1" thickBot="1">
      <c r="A7" s="323"/>
      <c r="B7" s="753" t="s">
        <v>5208</v>
      </c>
      <c r="C7" s="753"/>
      <c r="D7" s="749" t="str">
        <f>IFERROR(HYPERLINK(VLOOKUP(Länderwahl,EUEFTA_Rentenrechner,3,FALSE),"→ zum Rentenrechner"),"x Rentenrechner nicht verfügbar")</f>
        <v>→ zum Rentenrechner</v>
      </c>
      <c r="E7" s="750"/>
      <c r="F7" s="634">
        <f>+ReHöhe_EZE_Pfl</f>
        <v>500</v>
      </c>
      <c r="G7" s="754" t="s">
        <v>4430</v>
      </c>
      <c r="H7" s="754"/>
      <c r="I7" s="636">
        <f>+ReAnzahlproJahr</f>
        <v>12</v>
      </c>
      <c r="J7" s="602"/>
      <c r="K7" s="597"/>
    </row>
    <row r="8" spans="1:18" ht="15.75" thickBot="1">
      <c r="A8" s="323"/>
      <c r="B8" s="747" t="str">
        <f>+Abfindungsberechnung!C16</f>
        <v xml:space="preserve">voraussichtliche Höhe der sVA-Rente bei Fälligkeit (1.1.46): 500,0 x (1 + 2,00%)^20,3 x (1 + 2,00%)^4,8 = </v>
      </c>
      <c r="C8" s="748"/>
      <c r="D8" s="748"/>
      <c r="E8" s="748"/>
      <c r="F8" s="637">
        <f>+ReHöhe_Berdat</f>
        <v>821.92902213166792</v>
      </c>
      <c r="G8" s="603" t="s">
        <v>5221</v>
      </c>
      <c r="H8" s="604">
        <f>IF(G5-D5&lt;0,0,G5-D5)</f>
        <v>20.269999999999996</v>
      </c>
      <c r="I8" s="603" t="s">
        <v>5222</v>
      </c>
      <c r="J8" s="605">
        <f>IF(J5-G5&lt;0,0,J5-G5)</f>
        <v>4.7999999999999972</v>
      </c>
      <c r="K8" s="597"/>
    </row>
    <row r="9" spans="1:18" ht="27" customHeight="1" thickBot="1">
      <c r="A9" s="323"/>
      <c r="B9" s="742" t="str">
        <f>"Methode 1: Berechnung der Abfindung des Anrechts der im Berechnungszeitpunkt "&amp;TEXT(Alter_Pfl,"0,0")&amp;" Jahre alten ausgleichspflichtigen Person"</f>
        <v>Methode 1: Berechnung der Abfindung des Anrechts der im Berechnungszeitpunkt 50,0 Jahre alten ausgleichspflichtigen Person</v>
      </c>
      <c r="C9" s="743"/>
      <c r="D9" s="743"/>
      <c r="E9" s="743"/>
      <c r="F9" s="743"/>
      <c r="G9" s="743"/>
      <c r="H9" s="743"/>
      <c r="I9" s="743"/>
      <c r="J9" s="744"/>
      <c r="K9" s="323"/>
    </row>
    <row r="10" spans="1:18" ht="18.75" customHeight="1">
      <c r="A10" s="332">
        <v>1</v>
      </c>
      <c r="B10" s="790" t="str">
        <f>IFERROR(IF(Anwartschaftszeit_Pfl=0,"Keine Anwartschaftszeit: ","Anwartschaftszeit von "&amp;TEXT(Dat_Ber,"TT.MM.JJJ")&amp;" (Berechnungsdatum) bis Renteneintritt Pfl. Am "&amp;TEXT(Leistungsbeginn_Pfl,"TT.MM.JJJJ")&amp;": "),"")</f>
        <v xml:space="preserve">Anwartschaftszeit von 31.12.2025 (Berechnungsdatum) bis Renteneintritt Pfl. Am 01.04.2041: </v>
      </c>
      <c r="C10" s="790"/>
      <c r="D10" s="790"/>
      <c r="E10" s="790"/>
      <c r="F10" s="791"/>
      <c r="G10" s="395">
        <f>IFERROR(ROUND(IF(ReAlter_Pfl-Alter_Pfl&lt;0,0,ReAlter_Pfl-Alter_Pfl),1),"")</f>
        <v>15.3</v>
      </c>
      <c r="H10" s="783" t="s">
        <v>5205</v>
      </c>
      <c r="I10" s="784"/>
      <c r="J10" s="395">
        <f>ROUND(MIN(L_sVABeginn_Ber,L_sVABeginn_Pfl),1)</f>
        <v>21.6</v>
      </c>
      <c r="K10" s="323"/>
      <c r="L10" s="21" t="s">
        <v>4383</v>
      </c>
    </row>
    <row r="11" spans="1:18" ht="18.95" customHeight="1">
      <c r="A11" s="332">
        <v>2</v>
      </c>
      <c r="B11" s="785" t="str">
        <f>+Abfindungsberechnung!C16</f>
        <v xml:space="preserve">voraussichtliche Höhe der sVA-Rente bei Fälligkeit (1.1.46): 500,0 x (1 + 2,00%)^20,3 x (1 + 2,00%)^4,8 = </v>
      </c>
      <c r="C11" s="786"/>
      <c r="D11" s="786"/>
      <c r="E11" s="786"/>
      <c r="F11" s="786"/>
      <c r="G11" s="787"/>
      <c r="H11" s="635">
        <f>+ReHöhe_Berdat</f>
        <v>821.92902213166792</v>
      </c>
      <c r="I11" s="477" t="s">
        <v>3754</v>
      </c>
      <c r="J11" s="396">
        <f>IFERROR(ROUND(Monatsrente_Pfl*ReAnzahlproJahr,2),"")</f>
        <v>9863.15</v>
      </c>
      <c r="K11" s="323"/>
      <c r="L11" s="378" t="s">
        <v>4534</v>
      </c>
      <c r="M11" s="380" t="s">
        <v>4535</v>
      </c>
      <c r="N11" s="380" t="s">
        <v>4536</v>
      </c>
      <c r="P11">
        <f>6060*19.02</f>
        <v>115261.2</v>
      </c>
    </row>
    <row r="12" spans="1:18" ht="18.95" customHeight="1">
      <c r="A12" s="332"/>
      <c r="B12" s="771" t="str">
        <f>IFERROR("Barwert des AusglWerts bei Rentenbeginn d. ausglpfl. Person ("&amp;TEXT(H5,"TT.MM.JJ")&amp;"): "&amp;TEXT(Jahresrente_Pfl,"#.##0,00 €")&amp;" x (1-(1 + "&amp;TEXT(Rechnungszins,"0,00%")&amp;" - "&amp;TEXT(ReDynamik_Leistung,"0,00%")&amp;")^-"&amp;TEXT(Leistungszeit_Pfl,"0,0")&amp;")/("&amp;TEXT(Rechnungszins,"0,00%")&amp;" - "&amp;TEXT(Abfindungsberechnung!I15,"0,00%")&amp;") = ","")</f>
        <v xml:space="preserve">Barwert des AusglWerts bei Rentenbeginn d. ausglpfl. Person (01.04.41): 9.863,15 € x (1-(1 + 2,20% - 2,00%)^-21,6)/(2,20% - 2,00%) = </v>
      </c>
      <c r="C12" s="772"/>
      <c r="D12" s="772"/>
      <c r="E12" s="772"/>
      <c r="F12" s="772"/>
      <c r="G12" s="773"/>
      <c r="H12" s="397">
        <f>IFERROR(ROUND(-PV(Rechnungszins-ReDynamik_Leistung,Leistungszeit_Pfl,Jahresrente_Pfl,,0),0),"")</f>
        <v>208304</v>
      </c>
      <c r="I12" s="788"/>
      <c r="J12" s="789"/>
      <c r="K12" s="323"/>
      <c r="L12" s="378" t="s">
        <v>4537</v>
      </c>
      <c r="M12" s="379">
        <f>+Leistungsbeginn_Pfl</f>
        <v>51592</v>
      </c>
      <c r="N12" s="379">
        <f>DATE(YEAR(Dat_BebDat_Ber)+INT(RentenalterBer),MONTH(Dat_BebDat_Ber)+(RentenalterBer-INT(RentenalterBer))*12+1,1)</f>
        <v>53328</v>
      </c>
      <c r="O12" s="21" t="s">
        <v>4384</v>
      </c>
      <c r="P12" s="21" t="s">
        <v>4385</v>
      </c>
      <c r="Q12" s="21" t="s">
        <v>4386</v>
      </c>
      <c r="R12" s="21" t="s">
        <v>4387</v>
      </c>
    </row>
    <row r="13" spans="1:18" ht="18.95" customHeight="1">
      <c r="A13" s="332"/>
      <c r="B13" s="771" t="str">
        <f>IF(Anwartschaftszeit_Pfl=0,"Keine Abzinsung auf den Berechnungszeitpunkt, da der Berechnungszeitpunkt in den Versorgungsbezug fällt","Mit "&amp;TEXT(Abfindungsberechnung!I17,"0,00%")&amp;" abgezinster Barwert der Versorgung zum Berechnungszeitpunkt "&amp;TEXT(F3,"t.M.JJ")&amp;" bis "&amp;TEXT(H5,"t.M.JJ")&amp;": "&amp;TEXT(BW_Pfl_Leistngsbeginn,"###.##0")&amp;IF(Anwartschaftszeit_Pfl=0,""," x (1 + "&amp;TEXT(Rechnungszins,"0,00%")&amp;")^-"&amp;TEXT(Anwartschaftszeit_Pfl,"0,0"))&amp;" = ")</f>
        <v xml:space="preserve">Mit 2,20% abgezinster Barwert der Versorgung zum Berechnungszeitpunkt 31.12.25 bis 1.4.41: 208.304 x (1 + 2,20%)^-15,3 = </v>
      </c>
      <c r="C13" s="772"/>
      <c r="D13" s="772"/>
      <c r="E13" s="772"/>
      <c r="F13" s="772"/>
      <c r="G13" s="773"/>
      <c r="H13" s="397">
        <f>IFERROR(ROUND(BW_Pfl_Leistngsbeginn*(1+Rechnungszins)^-Anwartschaftszeit_Pfl,0),"")</f>
        <v>149313</v>
      </c>
      <c r="I13" s="398"/>
      <c r="J13" s="399"/>
      <c r="K13" s="323"/>
      <c r="L13" s="378" t="s">
        <v>4538</v>
      </c>
      <c r="M13" s="755">
        <f>MAX(M12,N12)</f>
        <v>53328</v>
      </c>
      <c r="N13" s="756"/>
      <c r="O13">
        <f>RentenalterBer</f>
        <v>65</v>
      </c>
      <c r="P13">
        <f>+Alter_Ber</f>
        <v>45</v>
      </c>
      <c r="Q13" s="311">
        <f>ROUND(VLOOKUP(IF(RentenalterBer&lt;=Alter_Ber,ROUND(Alter_Ber,0),ROUND(RentenalterBer,0)),CHOOSE(GeschlechtsNr_Ber,Lx,Ly,Ln),YEAR(Dat_GebDat_Ber)+IF(MONTH(Dat_GebDat_Ber)&gt;6,1,0)-1900+2),2)</f>
        <v>25.99</v>
      </c>
    </row>
    <row r="14" spans="1:18" ht="18.95" customHeight="1">
      <c r="A14" s="332">
        <v>3</v>
      </c>
      <c r="B14" s="771" t="str">
        <f>IF(Alter_Pfl&lt;=ReAlter_Pfl,"Überlebenswahrscheinlichkeit d. Pfl. vom: "&amp;TEXT(Dat_Ber,"T.M.JJJJ")&amp;" (BerDatum) bis Leistungsbeginn der Rente ("&amp;TEXT(I4,"TT.MM.JJJJ")&amp;"): "&amp;TEXT(VLOOKUP(ReAlter_Pfl,CHOOSE(GeschlechtsNr_Pfl,Kohorte_M,Kohorte_W,Kohorte_D),YEAR(Dat_GebDat_Pfl)+IF(MONTH(Dat_GebDat_Pfl)&gt;6,1,0)-1900+2),"###.##0")&amp;" / "&amp;TEXT(VLOOKUP(Alter_Pfl,CHOOSE(GeschlechtsNr_Pfl,Kohorte_M,Kohorte_W,Kohorte_D),YEAR(Dat_GebDat_Pfl)+IF(MONTH(Dat_GebDat_Pfl)&gt;6,1,0)-1900+2),"###.##0")&amp;"= ","Kein Vorversterbensrisiko, da bereits Leistungsbezug. Leistungsewartung im Berechnungszeitpunkt beträgt "&amp;TEXT(Leistungszeit_Pfl,"0,0")&amp;IF(VVR_Pfl=1," Jahre"," Jahre:"))</f>
        <v xml:space="preserve">Überlebenswahrscheinlichkeit d. Pfl. vom: 31.12.2025 (BerDatum) bis Leistungsbeginn der Rente (01.01.2046): 86.551 / 93.977= </v>
      </c>
      <c r="C14" s="772"/>
      <c r="D14" s="772"/>
      <c r="E14" s="772"/>
      <c r="F14" s="772"/>
      <c r="G14" s="773"/>
      <c r="H14" s="394">
        <f>IFERROR(IF(Anwartschaftszeit_Pfl=0,1,ROUND(VLOOKUP(ReAlter_Pfl,CHOOSE(GeschlechtsNr_Pfl,Kohorte_M,Kohorte_W,Kohorte_D),YEAR(Dat_GebDat_Pfl)+IF(MONTH(Dat_GebDat_Pfl)&gt;6,1,0)-1900+2)/VLOOKUP(Alter_Pfl,CHOOSE(GeschlechtsNr_Pfl,Kohorte_M,Kohorte_W,Kohorte_D),YEAR(Dat_GebDat_Pfl)+IF(MONTH(Dat_GebDat_Pfl)&gt;6,1,0)-1900+2),4)),"")</f>
        <v>0.92100000000000004</v>
      </c>
      <c r="I14" s="400"/>
      <c r="J14" s="401"/>
      <c r="K14" s="323"/>
      <c r="L14" s="377" t="s">
        <v>4539</v>
      </c>
      <c r="M14" s="382">
        <f>IF(YEARFRAC(Leistungsbeginn_Pfl,Fälligkeit_sVA,3)&lt;0,0,YEARFRAC(Leistungsbeginn_Pfl,Fälligkeit_sVA,3))</f>
        <v>4.7561643835616438</v>
      </c>
      <c r="N14" s="1"/>
    </row>
    <row r="15" spans="1:18" ht="18.95" customHeight="1">
      <c r="A15" s="332">
        <v>4</v>
      </c>
      <c r="B15" s="785" t="str">
        <f>IF(VVR_Pfl=1,"Keine Korrektur, da sVA-Fäligkeit gegeben.","Mit "&amp;TEXT(Rechnungszins,"0,00%")&amp;" abgezinster Barwert unter Berücksichtigung des Versterbensrisikos der ausglpf. Person: "&amp;TEXT(BW_Pfl_Berechnungsdatum,"###.##0")&amp;IF(VVR_Pfl=1,""," x "&amp;TEXT(VVR_Pfl,"0,0000"))&amp;" = ")</f>
        <v xml:space="preserve">Mit 2,20% abgezinster Barwert unter Berücksichtigung des Versterbensrisikos der ausglpf. Person: 149.313 x 0,9210 = </v>
      </c>
      <c r="C15" s="786"/>
      <c r="D15" s="786"/>
      <c r="E15" s="786"/>
      <c r="F15" s="786"/>
      <c r="G15" s="787"/>
      <c r="H15" s="402">
        <f>IFERROR(ROUND(BW_Pfl_Berechnungsdatum*VVR_Pfl,0),"")</f>
        <v>137517</v>
      </c>
      <c r="I15" s="792" t="s">
        <v>4408</v>
      </c>
      <c r="J15" s="793"/>
      <c r="K15" s="323"/>
      <c r="L15" s="1"/>
      <c r="M15" s="1"/>
      <c r="N15" s="1"/>
      <c r="O15">
        <f>0.25*12</f>
        <v>3</v>
      </c>
      <c r="P15" s="740" t="s">
        <v>5223</v>
      </c>
      <c r="Q15" s="741"/>
    </row>
    <row r="16" spans="1:18" ht="18.95" customHeight="1">
      <c r="A16" s="332">
        <v>5</v>
      </c>
      <c r="B16" s="771" t="str">
        <f>IF(Anwartschaftszeit_Pfl=0,"Kein Invaliditätszuschlag da bereits Versorgungsbezugbezug","Höhe der zu berücksichtigenden Invaliditätsabsicherung im Verhältnis zur Altersrente (Änderungen in Blatt &lt;Abfindungsberechnung&gt;):")</f>
        <v>Höhe der zu berücksichtigenden Invaliditätsabsicherung im Verhältnis zur Altersrente (Änderungen in Blatt &lt;Abfindungsberechnung&gt;):</v>
      </c>
      <c r="C16" s="772"/>
      <c r="D16" s="772"/>
      <c r="E16" s="772"/>
      <c r="F16" s="772"/>
      <c r="G16" s="773"/>
      <c r="H16" s="396">
        <f>IFERROR(ROUND(IF(info_IRZuschlag,Invaliditätszuschlag*BarwertMethode1,0),0),"")</f>
        <v>9475</v>
      </c>
      <c r="I16" s="781">
        <f>IF(ReAlter_Pfl&gt;Alter_Pfl,ROUND(VLOOKUP(Alter_Pfl,CHOOSE(ReAlter_Pfl-59,HRIT60,HRIR61,HRIR62,HRIR63,HRIR64,HRIR65,HRIR66,HRIR67),CHOOSE(GeschlechtsNr_Pfl,7,16,25))*IR_Quote,4),0)</f>
        <v>6.8900000000000003E-2</v>
      </c>
      <c r="J16" s="782"/>
      <c r="K16" s="323"/>
      <c r="L16" s="1"/>
      <c r="M16" s="1"/>
      <c r="N16" s="1"/>
      <c r="P16" s="378" t="s">
        <v>4272</v>
      </c>
      <c r="Q16" s="606">
        <f>ROUND(AbfindungMethode1*VLOOKUP(Abfindungsberechnung!F4,'Parameter DRV'!T5:V100,2),4)</f>
        <v>15.651300000000001</v>
      </c>
    </row>
    <row r="17" spans="1:26" ht="18.95" customHeight="1">
      <c r="A17" s="332">
        <v>6</v>
      </c>
      <c r="B17" s="771" t="s">
        <v>4274</v>
      </c>
      <c r="C17" s="772"/>
      <c r="D17" s="772"/>
      <c r="E17" s="772"/>
      <c r="F17" s="772"/>
      <c r="G17" s="773"/>
      <c r="H17" s="396">
        <f>IFERROR(ROUND(IF(info_HRZuschlag,BarwertMethode1*Hinterbliebenenzuschlag,0),0),"")</f>
        <v>0</v>
      </c>
      <c r="I17" s="781">
        <f>IFERROR(ROUND(VLOOKUP(Alter_Pfl,CHOOSE(ReAlter_Pfl-59,HRIR60,HRIR61,HRIR62,HRIR63,HRIR64,HRIR65,HRIR66,HRIR67),CHOOSE(GeschlechtsNr_Pfl,8,17,26))*HR_Quote,4),"")</f>
        <v>0.17649999999999999</v>
      </c>
      <c r="J17" s="782"/>
      <c r="K17" s="323"/>
      <c r="P17" s="378" t="s">
        <v>4533</v>
      </c>
      <c r="Q17" s="607">
        <f>VLOOKUP(Abfindungsberechnung!F4,'Parameter DRV'!G5:I100,2)</f>
        <v>40.79</v>
      </c>
    </row>
    <row r="18" spans="1:26" ht="18.95" customHeight="1">
      <c r="A18" s="332">
        <v>7</v>
      </c>
      <c r="B18" s="768" t="str">
        <f>"Brutto-Abfindungssumme: "&amp;TEXT(BarwertMethode1,"#.##0")&amp;IF(H16&gt;0," + "&amp;TEXT(H16,"#.##0"),"")&amp;IF(H17&gt;0," + "&amp;TEXT(H17,"#.##0"),"")&amp;" = "</f>
        <v xml:space="preserve">Brutto-Abfindungssumme: 137.517 + 9.475 = </v>
      </c>
      <c r="C18" s="769"/>
      <c r="D18" s="769"/>
      <c r="E18" s="769"/>
      <c r="F18" s="769"/>
      <c r="G18" s="770"/>
      <c r="H18" s="402">
        <f>ROUND(SUM(H15:H17),0)</f>
        <v>146992</v>
      </c>
      <c r="I18" s="777" t="str">
        <f>+I15</f>
        <v>Berücksichtigungssatz</v>
      </c>
      <c r="J18" s="778"/>
      <c r="K18" s="323"/>
      <c r="L18" s="169">
        <f>+Abfindungsberechnung!F19</f>
        <v>1</v>
      </c>
      <c r="N18" s="161" t="b">
        <v>1</v>
      </c>
      <c r="P18" s="378" t="s">
        <v>5224</v>
      </c>
      <c r="Q18" s="608">
        <f>+EP_BerDat*aktRW_BerDat</f>
        <v>638.41652699999997</v>
      </c>
    </row>
    <row r="19" spans="1:26" ht="18.95" customHeight="1">
      <c r="A19" s="332">
        <v>8</v>
      </c>
      <c r="B19" s="771" t="s">
        <v>3766</v>
      </c>
      <c r="C19" s="772"/>
      <c r="D19" s="772"/>
      <c r="E19" s="772"/>
      <c r="F19" s="772"/>
      <c r="G19" s="773"/>
      <c r="H19" s="638">
        <f>IF(info_SozAbgaben,ROUND(IF(SV_Abschlag&gt;0,SV_Abschlag*-1,SV_Abschlag)*BW_Methode1,0),0)</f>
        <v>0</v>
      </c>
      <c r="I19" s="779">
        <f>+Abfindungsberechnung!F21</f>
        <v>0.1</v>
      </c>
      <c r="J19" s="780"/>
      <c r="K19" s="323"/>
      <c r="L19" s="169">
        <f>+Abfindungsberechnung!F20</f>
        <v>0.6</v>
      </c>
      <c r="N19" s="161" t="b">
        <v>1</v>
      </c>
      <c r="P19" s="609" t="s">
        <v>4308</v>
      </c>
      <c r="Q19" s="609" t="s">
        <v>4309</v>
      </c>
      <c r="R19" s="609" t="s">
        <v>4310</v>
      </c>
      <c r="S19" s="609" t="s">
        <v>4312</v>
      </c>
      <c r="T19" s="609" t="s">
        <v>4313</v>
      </c>
      <c r="U19" s="609" t="s">
        <v>4311</v>
      </c>
      <c r="V19" s="609" t="s">
        <v>4314</v>
      </c>
      <c r="W19" s="609" t="s">
        <v>4315</v>
      </c>
      <c r="X19" s="610" t="s">
        <v>4316</v>
      </c>
      <c r="Z19" t="b">
        <v>1</v>
      </c>
    </row>
    <row r="20" spans="1:26" ht="18.95" customHeight="1">
      <c r="A20" s="332">
        <v>9</v>
      </c>
      <c r="B20" s="774" t="s">
        <v>4561</v>
      </c>
      <c r="C20" s="774"/>
      <c r="D20" s="774"/>
      <c r="E20" s="774"/>
      <c r="F20" s="774"/>
      <c r="G20" s="774"/>
      <c r="H20" s="638">
        <f>IF(Info_Steuern,ROUND(IF(Steuer_Abschlag&gt;0,Steuer_Abschlag*-1,Steuer_Abschlag)*BW_Methode1,0),0)</f>
        <v>0</v>
      </c>
      <c r="I20" s="775">
        <f>+Abfindungsberechnung!F22</f>
        <v>0.1</v>
      </c>
      <c r="J20" s="775"/>
      <c r="K20" s="323"/>
      <c r="P20" s="378" t="s">
        <v>4410</v>
      </c>
      <c r="Q20" s="378"/>
      <c r="R20" s="378"/>
      <c r="S20" s="378"/>
      <c r="T20" s="378"/>
      <c r="U20" s="380"/>
      <c r="V20" s="378"/>
      <c r="W20" s="378"/>
      <c r="X20" s="611"/>
      <c r="Z20" t="b">
        <v>0</v>
      </c>
    </row>
    <row r="21" spans="1:26" ht="18.95" customHeight="1">
      <c r="A21" s="332">
        <v>10</v>
      </c>
      <c r="B21" s="767" t="str">
        <f>"Netto-Abfindungsbetrag Methode 1: "&amp;TEXT(BW_Methode1,"#.##0")&amp;IF(H19&lt;0," - "&amp;TEXT(ABS(H19),"#.##0"),"")&amp;IF(H20&lt;0," - "&amp;TEXT(ABS(H20),"#.##0"),"")&amp;" = "</f>
        <v xml:space="preserve">Netto-Abfindungsbetrag Methode 1: 146.992 = </v>
      </c>
      <c r="C21" s="767"/>
      <c r="D21" s="767"/>
      <c r="E21" s="767"/>
      <c r="F21" s="767"/>
      <c r="G21" s="767"/>
      <c r="H21" s="403">
        <f>SUM(H18:H20)</f>
        <v>146992</v>
      </c>
      <c r="I21" s="776"/>
      <c r="J21" s="776"/>
      <c r="K21" s="323"/>
      <c r="N21" s="613"/>
      <c r="O21" s="258" t="s">
        <v>4411</v>
      </c>
      <c r="P21" s="582">
        <f>VLOOKUP(YEAR(Dat_GebDat_Ber),DRV_Renteneintritt,2)</f>
        <v>24</v>
      </c>
      <c r="Q21" s="582">
        <f>65+P21/12</f>
        <v>67</v>
      </c>
      <c r="R21" s="262">
        <f>ROUND(VLOOKUP(IF(Q21&lt;=Alter_Ber,ROUND(Alter_Ber,0),ROUND(Q21,0)),CHOOSE(GeschlechtsNr_Ber,Lx,Ly,Ln),YEAR(Dat_GebDat_Ber)+IF(MONTH(Dat_GebDat_Ber)&gt;6,1,0)-1900+2),2)</f>
        <v>24.23</v>
      </c>
      <c r="S21" s="1">
        <f>ROUND(VLOOKUP(Q21,CHOOSE(GeschlechtsNr_Ber,Kohorte_M,Kohorte_W,Kohorte_D),YEAR(Dat_GebDat_Ber)+IF(MONTH(Dat_GebDat_Ber)&gt;6,1,0)-1900+2),2)</f>
        <v>92468</v>
      </c>
      <c r="T21" s="1">
        <f>ROUND(VLOOKUP(Alter_Ber,CHOOSE(GeschlechtsNr_Ber,Kohorte_M,Kohorte_W,Kohorte_D),YEAR(Dat_GebDat_Ber)+IF(MONTH(Dat_GebDat_Ber)&gt;6,1,0)-1900+2),2)</f>
        <v>97524</v>
      </c>
      <c r="U21" s="612">
        <f>ROUND(+IF(S21/T21&gt;1,1,S21/T21),3)</f>
        <v>0.94799999999999995</v>
      </c>
      <c r="V21" s="582">
        <f>IF(Q21-Alter_Ber&lt;0,0,Q21-Alter_Ber)</f>
        <v>22</v>
      </c>
      <c r="W21" s="608">
        <f>Q18*(1+G24)^V21</f>
        <v>1122.9128672148361</v>
      </c>
      <c r="X21" s="608">
        <f>-PV(-G24,R21,W21*12)*U21</f>
        <v>438887.6437065301</v>
      </c>
    </row>
    <row r="22" spans="1:26" ht="18.75" customHeight="1">
      <c r="A22" s="332">
        <v>11</v>
      </c>
      <c r="B22" s="758" t="str">
        <f>"ℹ: ∑ erwartbarer Altersrentenzahlungen an die ausglpfl. Person aus der abzufindenden Versorgung über "&amp;TEXT(Leistungszeit_Pfl,"0,0")&amp;" Jahre bei Startbetrag i.H.v. "&amp;TEXT(H11,"#.##0,00 €")&amp;" bei Dynamik von "&amp;TEXT(Abfindungsberechnung!I15,"0,00%")&amp;" = "</f>
        <v xml:space="preserve">ℹ: ∑ erwartbarer Altersrentenzahlungen an die ausglpfl. Person aus der abzufindenden Versorgung über 21,6 Jahre bei Startbetrag i.H.v. 821,93 € bei Dynamik von 2,00% = </v>
      </c>
      <c r="C22" s="758"/>
      <c r="D22" s="758"/>
      <c r="E22" s="758"/>
      <c r="F22" s="758"/>
      <c r="G22" s="758"/>
      <c r="H22" s="758"/>
      <c r="I22" s="758"/>
      <c r="J22" s="483">
        <f>IFERROR(-PV(-ReDynamik_Leistung,Leistungszeit_Pfl,Jahresrente_Pfl),"")</f>
        <v>269803.62035156327</v>
      </c>
      <c r="K22" s="323"/>
      <c r="L22" s="317"/>
    </row>
    <row r="23" spans="1:26" ht="18.75" customHeight="1">
      <c r="A23" s="332">
        <v>12</v>
      </c>
      <c r="B23" s="758" t="str">
        <f>IFERROR("ℹ: ∑ erwartbarer sVA-Zahlungen für ausglber. Person über von "&amp;TEXT(Abfindungsberechnung!BA3,"0,0")&amp;" Jahren*: Startrente unter Berücksichtigung der Anwartschafts- und Leistungsdynamik von "&amp;TEXT(ReDyn_Anwartschaft,"0,00%")&amp;"/"&amp;TEXT(ReDynamik_Leistung,"0,00%")&amp;": "&amp;TEXT(sVA_Starrente,"#.##,00")&amp;" = ","")</f>
        <v xml:space="preserve">ℹ: ∑ erwartbarer sVA-Zahlungen für ausglber. Person über von 15,6 Jahren*: Startrente unter Berücksichtigung der Anwartschafts- und Leistungsdynamik von 2,00%/2,00%: 743,86 = </v>
      </c>
      <c r="C23" s="758"/>
      <c r="D23" s="758"/>
      <c r="E23" s="758"/>
      <c r="F23" s="758"/>
      <c r="G23" s="758"/>
      <c r="H23" s="758"/>
      <c r="I23" s="758"/>
      <c r="J23" s="483">
        <f>IFERROR(+Abfindungsberechnung!BB3,"")</f>
        <v>165474.79692309932</v>
      </c>
      <c r="K23" s="323"/>
      <c r="L23" s="317"/>
    </row>
    <row r="24" spans="1:26">
      <c r="A24" s="332">
        <v>13</v>
      </c>
      <c r="B24" s="764" t="str">
        <f>IFERROR("ℹ: ∑ erwartb. Renten der ausglber. Person bei Zahlung von "&amp;TEXT(CHOOSE(L30,BW_Methode1,AbfindungMethode1),"#.##0")&amp;" in die DRV, Berztpkt.: "&amp;TEXT(Q18,"#.##0,00")&amp;" bei ReEintritt: "&amp;TEXT(W21,"#.##0")&amp;" Dynamik von ","")</f>
        <v xml:space="preserve">ℹ: ∑ erwartb. Renten der ausglber. Person bei Zahlung von 146.992 in die DRV, Berztpkt.: 638,42 bei ReEintritt: 1.123 Dynamik von </v>
      </c>
      <c r="C24" s="765"/>
      <c r="D24" s="765"/>
      <c r="E24" s="765"/>
      <c r="F24" s="766"/>
      <c r="G24" s="484">
        <v>2.5999999999999999E-2</v>
      </c>
      <c r="H24" s="762" t="str">
        <f>IFERROR("über "&amp;TEXT(R21*U21,"0,0")&amp;"* Jahre=","")</f>
        <v>über 23,0* Jahre=</v>
      </c>
      <c r="I24" s="762"/>
      <c r="J24" s="485">
        <f>IFERROR(+X21,"")</f>
        <v>438887.6437065301</v>
      </c>
      <c r="K24" s="333"/>
    </row>
    <row r="25" spans="1:26">
      <c r="A25" s="332">
        <v>14</v>
      </c>
      <c r="B25" s="759" t="s">
        <v>4556</v>
      </c>
      <c r="C25" s="759"/>
      <c r="D25" s="759"/>
      <c r="E25" s="759"/>
      <c r="F25" s="759"/>
      <c r="G25" s="759"/>
      <c r="H25" s="486">
        <f>IFERROR(+AbfindungMethode2,"")</f>
        <v>124442</v>
      </c>
      <c r="I25" s="487" t="s">
        <v>4412</v>
      </c>
      <c r="J25" s="485">
        <f>IFERROR('Abfindung Methode 2'!Q23,"")</f>
        <v>389097.66037089552</v>
      </c>
      <c r="K25" s="323"/>
    </row>
    <row r="26" spans="1:26" hidden="1">
      <c r="A26" s="332">
        <v>17</v>
      </c>
      <c r="B26" s="760" t="s">
        <v>4246</v>
      </c>
      <c r="C26" s="760"/>
      <c r="D26" s="760"/>
      <c r="E26" s="760"/>
      <c r="F26" s="760"/>
      <c r="G26" s="760"/>
      <c r="H26" s="482">
        <f>AbfindungMethode3</f>
        <v>137505</v>
      </c>
      <c r="I26" s="407" t="s">
        <v>4412</v>
      </c>
      <c r="J26" s="408"/>
      <c r="K26" s="319"/>
    </row>
    <row r="27" spans="1:26">
      <c r="A27" s="323"/>
      <c r="B27" s="763" t="s">
        <v>4495</v>
      </c>
      <c r="C27" s="763"/>
      <c r="D27" s="763"/>
      <c r="E27" s="763"/>
      <c r="F27" s="763"/>
      <c r="G27" s="763"/>
      <c r="H27" s="763"/>
      <c r="I27" s="763"/>
      <c r="J27" s="763"/>
      <c r="K27" s="323"/>
    </row>
    <row r="28" spans="1:26" ht="18.75">
      <c r="A28" s="409"/>
      <c r="B28" s="761" t="s">
        <v>5171</v>
      </c>
      <c r="C28" s="761"/>
      <c r="D28" s="761"/>
      <c r="E28" s="761"/>
      <c r="F28" s="761"/>
      <c r="G28" s="761"/>
      <c r="H28" s="761"/>
      <c r="I28" s="761"/>
      <c r="J28" s="761"/>
      <c r="K28" s="409"/>
      <c r="L28" s="251">
        <f>+BW_Methode1</f>
        <v>146992</v>
      </c>
    </row>
    <row r="29" spans="1:26" ht="14.45" customHeight="1">
      <c r="A29" s="410"/>
      <c r="B29" s="757" t="s">
        <v>5170</v>
      </c>
      <c r="C29" s="757"/>
      <c r="D29" s="757"/>
      <c r="E29" s="757"/>
      <c r="F29" s="757"/>
      <c r="G29" s="757"/>
      <c r="H29" s="757"/>
      <c r="I29" s="757"/>
      <c r="J29" s="757"/>
      <c r="K29" s="410"/>
      <c r="L29" s="251">
        <f>+AbfindungMethode1</f>
        <v>146992</v>
      </c>
    </row>
    <row r="30" spans="1:26">
      <c r="A30" s="410"/>
      <c r="B30" s="757"/>
      <c r="C30" s="757"/>
      <c r="D30" s="757"/>
      <c r="E30" s="757"/>
      <c r="F30" s="757"/>
      <c r="G30" s="757"/>
      <c r="H30" s="757"/>
      <c r="I30" s="757"/>
      <c r="J30" s="757"/>
      <c r="K30" s="410"/>
      <c r="L30" s="341">
        <v>2</v>
      </c>
    </row>
    <row r="31" spans="1:26">
      <c r="A31" s="410"/>
      <c r="B31" s="757"/>
      <c r="C31" s="757"/>
      <c r="D31" s="757"/>
      <c r="E31" s="757"/>
      <c r="F31" s="757"/>
      <c r="G31" s="757"/>
      <c r="H31" s="757"/>
      <c r="I31" s="757"/>
      <c r="J31" s="757"/>
      <c r="K31" s="410"/>
      <c r="L31">
        <f>CHOOSE(L30,L28,L29)</f>
        <v>146992</v>
      </c>
    </row>
    <row r="32" spans="1:26">
      <c r="A32" s="410"/>
      <c r="B32" s="757"/>
      <c r="C32" s="757"/>
      <c r="D32" s="757"/>
      <c r="E32" s="757"/>
      <c r="F32" s="757"/>
      <c r="G32" s="757"/>
      <c r="H32" s="757"/>
      <c r="I32" s="757"/>
      <c r="J32" s="757"/>
      <c r="K32" s="410"/>
    </row>
    <row r="33" spans="1:11">
      <c r="A33" s="410"/>
      <c r="B33" s="757"/>
      <c r="C33" s="757"/>
      <c r="D33" s="757"/>
      <c r="E33" s="757"/>
      <c r="F33" s="757"/>
      <c r="G33" s="757"/>
      <c r="H33" s="757"/>
      <c r="I33" s="757"/>
      <c r="J33" s="757"/>
      <c r="K33" s="410"/>
    </row>
    <row r="34" spans="1:11" ht="139.5" customHeight="1">
      <c r="A34" s="410"/>
      <c r="B34" s="757" t="s">
        <v>4273</v>
      </c>
      <c r="C34" s="757"/>
      <c r="D34" s="757"/>
      <c r="E34" s="757"/>
      <c r="F34" s="757"/>
      <c r="G34" s="757"/>
      <c r="H34" s="757"/>
      <c r="I34" s="757"/>
      <c r="J34" s="757"/>
      <c r="K34" s="410"/>
    </row>
    <row r="35" spans="1:11" ht="14.45" customHeight="1">
      <c r="A35" s="410"/>
      <c r="B35" s="757" t="s">
        <v>5172</v>
      </c>
      <c r="C35" s="757"/>
      <c r="D35" s="757"/>
      <c r="E35" s="757"/>
      <c r="F35" s="757"/>
      <c r="G35" s="757"/>
      <c r="H35" s="757"/>
      <c r="I35" s="757"/>
      <c r="J35" s="757"/>
      <c r="K35" s="410"/>
    </row>
    <row r="36" spans="1:11">
      <c r="A36" s="410"/>
      <c r="B36" s="757"/>
      <c r="C36" s="757"/>
      <c r="D36" s="757"/>
      <c r="E36" s="757"/>
      <c r="F36" s="757"/>
      <c r="G36" s="757"/>
      <c r="H36" s="757"/>
      <c r="I36" s="757"/>
      <c r="J36" s="757"/>
      <c r="K36" s="410"/>
    </row>
    <row r="37" spans="1:11">
      <c r="A37" s="410"/>
      <c r="B37" s="757"/>
      <c r="C37" s="757"/>
      <c r="D37" s="757"/>
      <c r="E37" s="757"/>
      <c r="F37" s="757"/>
      <c r="G37" s="757"/>
      <c r="H37" s="757"/>
      <c r="I37" s="757"/>
      <c r="J37" s="757"/>
      <c r="K37" s="410"/>
    </row>
    <row r="38" spans="1:11">
      <c r="A38" s="410"/>
      <c r="B38" s="757"/>
      <c r="C38" s="757"/>
      <c r="D38" s="757"/>
      <c r="E38" s="757"/>
      <c r="F38" s="757"/>
      <c r="G38" s="757"/>
      <c r="H38" s="757"/>
      <c r="I38" s="757"/>
      <c r="J38" s="757"/>
      <c r="K38" s="410"/>
    </row>
    <row r="39" spans="1:11">
      <c r="A39" s="410"/>
      <c r="B39" s="757"/>
      <c r="C39" s="757"/>
      <c r="D39" s="757"/>
      <c r="E39" s="757"/>
      <c r="F39" s="757"/>
      <c r="G39" s="757"/>
      <c r="H39" s="757"/>
      <c r="I39" s="757"/>
      <c r="J39" s="757"/>
      <c r="K39" s="410"/>
    </row>
    <row r="40" spans="1:11">
      <c r="A40" s="410"/>
      <c r="B40" s="757"/>
      <c r="C40" s="757"/>
      <c r="D40" s="757"/>
      <c r="E40" s="757"/>
      <c r="F40" s="757"/>
      <c r="G40" s="757"/>
      <c r="H40" s="757"/>
      <c r="I40" s="757"/>
      <c r="J40" s="757"/>
      <c r="K40" s="410"/>
    </row>
    <row r="41" spans="1:11">
      <c r="A41" s="410"/>
      <c r="B41" s="757"/>
      <c r="C41" s="757"/>
      <c r="D41" s="757"/>
      <c r="E41" s="757"/>
      <c r="F41" s="757"/>
      <c r="G41" s="757"/>
      <c r="H41" s="757"/>
      <c r="I41" s="757"/>
      <c r="J41" s="757"/>
      <c r="K41" s="410"/>
    </row>
    <row r="42" spans="1:11">
      <c r="A42" s="410"/>
      <c r="B42" s="757"/>
      <c r="C42" s="757"/>
      <c r="D42" s="757"/>
      <c r="E42" s="757"/>
      <c r="F42" s="757"/>
      <c r="G42" s="757"/>
      <c r="H42" s="757"/>
      <c r="I42" s="757"/>
      <c r="J42" s="757"/>
      <c r="K42" s="410"/>
    </row>
    <row r="43" spans="1:11">
      <c r="A43" s="410"/>
      <c r="B43" s="757"/>
      <c r="C43" s="757"/>
      <c r="D43" s="757"/>
      <c r="E43" s="757"/>
      <c r="F43" s="757"/>
      <c r="G43" s="757"/>
      <c r="H43" s="757"/>
      <c r="I43" s="757"/>
      <c r="J43" s="757"/>
      <c r="K43" s="410"/>
    </row>
    <row r="44" spans="1:11">
      <c r="A44" s="410"/>
      <c r="B44" s="757"/>
      <c r="C44" s="757"/>
      <c r="D44" s="757"/>
      <c r="E44" s="757"/>
      <c r="F44" s="757"/>
      <c r="G44" s="757"/>
      <c r="H44" s="757"/>
      <c r="I44" s="757"/>
      <c r="J44" s="757"/>
      <c r="K44" s="410"/>
    </row>
    <row r="45" spans="1:11">
      <c r="A45" s="410"/>
      <c r="B45" s="757"/>
      <c r="C45" s="757"/>
      <c r="D45" s="757"/>
      <c r="E45" s="757"/>
      <c r="F45" s="757"/>
      <c r="G45" s="757"/>
      <c r="H45" s="757"/>
      <c r="I45" s="757"/>
      <c r="J45" s="757"/>
      <c r="K45" s="410"/>
    </row>
    <row r="46" spans="1:11" ht="14.45" customHeight="1">
      <c r="A46" s="410"/>
      <c r="B46" s="757"/>
      <c r="C46" s="757"/>
      <c r="D46" s="757"/>
      <c r="E46" s="757"/>
      <c r="F46" s="757"/>
      <c r="G46" s="757"/>
      <c r="H46" s="757"/>
      <c r="I46" s="757"/>
      <c r="J46" s="757"/>
      <c r="K46" s="410"/>
    </row>
    <row r="47" spans="1:11">
      <c r="A47" s="410"/>
      <c r="B47" s="411"/>
      <c r="C47" s="411"/>
      <c r="D47" s="411"/>
      <c r="E47" s="411"/>
      <c r="F47" s="411"/>
      <c r="G47" s="411"/>
      <c r="H47" s="411"/>
      <c r="I47" s="411"/>
      <c r="J47" s="411"/>
      <c r="K47" s="410"/>
    </row>
    <row r="48" spans="1:11" hidden="1">
      <c r="B48" s="183"/>
      <c r="C48" s="183"/>
      <c r="D48" s="183"/>
      <c r="E48" s="183"/>
      <c r="F48" s="183"/>
      <c r="G48" s="183"/>
      <c r="H48" s="183"/>
      <c r="I48" s="183"/>
      <c r="J48" s="183"/>
    </row>
    <row r="49" spans="2:10" hidden="1">
      <c r="B49" s="183"/>
      <c r="C49" s="183"/>
      <c r="D49" s="183"/>
      <c r="E49" s="183"/>
      <c r="F49" s="183"/>
      <c r="G49" s="183"/>
      <c r="H49" s="183"/>
      <c r="I49" s="183"/>
      <c r="J49" s="183"/>
    </row>
    <row r="50" spans="2:10" hidden="1">
      <c r="B50" s="183"/>
      <c r="C50" s="183"/>
      <c r="D50" s="183"/>
      <c r="E50" s="183"/>
      <c r="F50" s="183"/>
      <c r="G50" s="183"/>
      <c r="H50" s="183"/>
      <c r="I50" s="183"/>
      <c r="J50" s="183"/>
    </row>
    <row r="51" spans="2:10" hidden="1">
      <c r="B51" s="183"/>
      <c r="C51" s="183"/>
      <c r="D51" s="183"/>
      <c r="E51" s="183"/>
      <c r="F51" s="183"/>
      <c r="G51" s="183"/>
      <c r="H51" s="183"/>
      <c r="I51" s="183"/>
      <c r="J51" s="183"/>
    </row>
    <row r="52" spans="2:10" hidden="1">
      <c r="B52" s="183"/>
      <c r="C52" s="183"/>
      <c r="D52" s="183"/>
      <c r="E52" s="183"/>
      <c r="F52" s="183"/>
      <c r="G52" s="183"/>
      <c r="H52" s="183"/>
      <c r="I52" s="183"/>
      <c r="J52" s="183"/>
    </row>
    <row r="53" spans="2:10" hidden="1">
      <c r="B53" s="183"/>
      <c r="C53" s="183"/>
      <c r="D53" s="183"/>
      <c r="E53" s="183"/>
      <c r="F53" s="183"/>
      <c r="G53" s="183"/>
      <c r="H53" s="183"/>
      <c r="I53" s="183"/>
      <c r="J53" s="183"/>
    </row>
    <row r="54" spans="2:10" hidden="1">
      <c r="B54" s="183"/>
      <c r="C54" s="183"/>
      <c r="D54" s="183"/>
      <c r="E54" s="183"/>
      <c r="F54" s="183"/>
      <c r="G54" s="183"/>
      <c r="H54" s="183"/>
      <c r="I54" s="183"/>
      <c r="J54" s="183"/>
    </row>
    <row r="55" spans="2:10" hidden="1">
      <c r="B55" s="183"/>
      <c r="C55" s="183"/>
      <c r="D55" s="183"/>
      <c r="E55" s="183"/>
      <c r="F55" s="183"/>
      <c r="G55" s="183"/>
      <c r="H55" s="183"/>
      <c r="I55" s="183"/>
      <c r="J55" s="183"/>
    </row>
    <row r="56" spans="2:10" hidden="1">
      <c r="B56" s="183"/>
      <c r="C56" s="183"/>
      <c r="D56" s="183"/>
      <c r="E56" s="183"/>
      <c r="F56" s="183"/>
      <c r="G56" s="183"/>
      <c r="H56" s="183"/>
      <c r="I56" s="183"/>
      <c r="J56" s="183"/>
    </row>
    <row r="57" spans="2:10" hidden="1">
      <c r="B57" s="183"/>
      <c r="C57" s="183"/>
      <c r="D57" s="183"/>
      <c r="E57" s="183"/>
      <c r="F57" s="183"/>
      <c r="G57" s="183"/>
      <c r="H57" s="183"/>
      <c r="I57" s="183"/>
      <c r="J57" s="183"/>
    </row>
    <row r="58" spans="2:10" hidden="1">
      <c r="B58" s="183"/>
      <c r="C58" s="183"/>
      <c r="D58" s="183"/>
      <c r="E58" s="183"/>
      <c r="F58" s="183"/>
      <c r="G58" s="183"/>
      <c r="H58" s="183"/>
      <c r="I58" s="183"/>
    </row>
    <row r="59" spans="2:10" hidden="1">
      <c r="B59" s="183"/>
      <c r="C59" s="183"/>
      <c r="D59" s="183"/>
      <c r="E59" s="183"/>
      <c r="F59" s="183"/>
      <c r="G59" s="183"/>
      <c r="H59" s="183"/>
      <c r="I59" s="183"/>
    </row>
    <row r="60" spans="2:10" hidden="1">
      <c r="B60" s="183"/>
      <c r="C60" s="183"/>
      <c r="D60" s="183"/>
      <c r="E60" s="183"/>
      <c r="F60" s="183"/>
      <c r="G60" s="183"/>
      <c r="H60" s="183"/>
      <c r="I60" s="183"/>
    </row>
    <row r="61" spans="2:10" hidden="1">
      <c r="B61" s="183"/>
      <c r="C61" s="183"/>
      <c r="D61" s="183"/>
      <c r="E61" s="183"/>
      <c r="F61" s="183"/>
      <c r="G61" s="183"/>
      <c r="H61" s="183"/>
      <c r="I61" s="183"/>
    </row>
    <row r="62" spans="2:10"/>
    <row r="63" spans="2:10"/>
    <row r="64" spans="2:10"/>
    <row r="65"/>
  </sheetData>
  <sheetProtection algorithmName="SHA-512" hashValue="jDgVWkJoKk0XQ8YW5URPatJEliNcg74zaHHmxFugUSlZZViTU8ZcOiV+cxIGTM6ALh2GxaYaLFEWUQEEjlHr3Q==" saltValue="5lNoj/QHy99R8uxBkL0xKA==" spinCount="100000" sheet="1" objects="1" scenarios="1"/>
  <mergeCells count="44">
    <mergeCell ref="B16:G16"/>
    <mergeCell ref="I16:J16"/>
    <mergeCell ref="I17:J17"/>
    <mergeCell ref="B17:G17"/>
    <mergeCell ref="H10:I10"/>
    <mergeCell ref="B12:G12"/>
    <mergeCell ref="B11:G11"/>
    <mergeCell ref="I12:J12"/>
    <mergeCell ref="B10:F10"/>
    <mergeCell ref="B13:G13"/>
    <mergeCell ref="B14:G14"/>
    <mergeCell ref="B15:G15"/>
    <mergeCell ref="I15:J15"/>
    <mergeCell ref="B21:G21"/>
    <mergeCell ref="B23:I23"/>
    <mergeCell ref="B18:G18"/>
    <mergeCell ref="B19:G19"/>
    <mergeCell ref="B20:G20"/>
    <mergeCell ref="I20:J20"/>
    <mergeCell ref="I21:J21"/>
    <mergeCell ref="I18:J18"/>
    <mergeCell ref="I19:J19"/>
    <mergeCell ref="B35:J46"/>
    <mergeCell ref="B22:I22"/>
    <mergeCell ref="B25:G25"/>
    <mergeCell ref="B26:G26"/>
    <mergeCell ref="B34:J34"/>
    <mergeCell ref="B28:J28"/>
    <mergeCell ref="B29:J33"/>
    <mergeCell ref="H24:I24"/>
    <mergeCell ref="B27:J27"/>
    <mergeCell ref="B24:F24"/>
    <mergeCell ref="B1:J2"/>
    <mergeCell ref="P15:Q15"/>
    <mergeCell ref="B9:J9"/>
    <mergeCell ref="I5:I6"/>
    <mergeCell ref="B8:E8"/>
    <mergeCell ref="D7:E7"/>
    <mergeCell ref="B3:D3"/>
    <mergeCell ref="G3:G4"/>
    <mergeCell ref="H3:H4"/>
    <mergeCell ref="B7:C7"/>
    <mergeCell ref="G7:H7"/>
    <mergeCell ref="M13:N13"/>
  </mergeCells>
  <conditionalFormatting sqref="G24">
    <cfRule type="expression" dxfId="14" priority="9">
      <formula>G24=""</formula>
    </cfRule>
  </conditionalFormatting>
  <conditionalFormatting sqref="H14">
    <cfRule type="expression" dxfId="13" priority="6">
      <formula>VVR_Pfl=1</formula>
    </cfRule>
  </conditionalFormatting>
  <conditionalFormatting sqref="I19:I20">
    <cfRule type="expression" dxfId="12" priority="10">
      <formula>I19=""</formula>
    </cfRule>
  </conditionalFormatting>
  <dataValidations disablePrompts="1" count="6">
    <dataValidation type="decimal" allowBlank="1" showInputMessage="1" showErrorMessage="1" errorTitle="Eingabefehler" error="Es sind nur Zahleneingaben &lt;100 zulässig" sqref="G6" xr:uid="{0BDC45BD-F5F8-4BCD-9AF1-09DBD73E29F0}">
      <formula1>1</formula1>
      <formula2>100</formula2>
    </dataValidation>
    <dataValidation type="date" operator="greaterThan" allowBlank="1" showInputMessage="1" showErrorMessage="1" errorTitle="Eingabefehler!" error="Es sind nur Datumseingaben ab 1.1.1920 zulässig" sqref="C4:C5 F3" xr:uid="{AB425510-4CA7-47F0-8E4B-D0DEB9270B8D}">
      <formula1>7306</formula1>
    </dataValidation>
    <dataValidation allowBlank="1" showInputMessage="1" showErrorMessage="1" errorTitle="Eingabefehler" error="Es sind nur Zahleneingaben &lt; 10.000 zulässig" sqref="F7:F8" xr:uid="{DAE626F0-7882-4DCE-9305-C17900489A2B}"/>
    <dataValidation allowBlank="1" showInputMessage="1" showErrorMessage="1" errorTitle="Eingabefehler!" error="Es sind nur Zahleneingaben &lt;18 zulässig_x000a_" sqref="I7" xr:uid="{504E58CD-7878-4A30-8925-3CFF003DAE96}"/>
    <dataValidation type="decimal" allowBlank="1" showInputMessage="1" showErrorMessage="1" errorTitle="Eingabefehler!" error="Es sind nur Zahleneingaben &lt;100 zulässig!" sqref="G5" xr:uid="{FAA5F291-F89C-468D-9BDE-B5EA9B4B9ED9}">
      <formula1>1</formula1>
      <formula2>100</formula2>
    </dataValidation>
    <dataValidation type="date" operator="greaterThan" allowBlank="1" showInputMessage="1" showErrorMessage="1" errorTitle="Eingabefehler" error="Es sind nur Datumseingaben ab 1.1.1920 zulässig" sqref="C6" xr:uid="{E2AE93D0-EB0E-4993-B574-41CD95D05A28}">
      <formula1>7306</formula1>
    </dataValidation>
  </dataValidations>
  <hyperlinks>
    <hyperlink ref="G5" location="ReAlter_Pfl" display="ReAlter_Pfl" xr:uid="{9B15CE3E-0B1F-46EB-98DB-D42273DBDE8C}"/>
    <hyperlink ref="G6" location="RentenalterBer" display="RentenalterBer" xr:uid="{E57FF5ED-A772-4FC4-97B9-490ACFD517B4}"/>
    <hyperlink ref="F7" location="ReHöhe_EZE_Pfl" display="ReHöhe_EZE_Pfl" xr:uid="{84CA643F-918C-49EA-B745-22E278F67806}"/>
    <hyperlink ref="H11" location="Rentenhöhe_Fälligkeit" display="Rentenhöhe_Fälligkeit" xr:uid="{7EA9655E-5740-426F-B0FD-6044B84514D1}"/>
    <hyperlink ref="I19:J19" location="Sozialversicherungsabschlag" display="Sozialversicherungsabschlag" xr:uid="{A4F185EA-5DF4-43CB-8943-AA7E3728A5D5}"/>
    <hyperlink ref="I20:J20" location="Steuerabschlag" display="Steuerabschlag" xr:uid="{5B09653D-EC60-4C1D-B3B3-1D2D1FB37A14}"/>
    <hyperlink ref="I7" location="ReAnzahlproJahr" display="ReAnzahlproJahr" xr:uid="{620F7F53-38C9-47F2-B3C7-C63CC7603AA4}"/>
    <hyperlink ref="F8" location="Rentenhöhe_Fälligkeit" display="Rentenhöhe_Fälligkeit" xr:uid="{BCE9F537-1921-483B-85AB-72E785D4BF29}"/>
  </hyperlinks>
  <pageMargins left="0.31496062992125984" right="0.31496062992125984" top="0.78740157480314965" bottom="0.78740157480314965" header="0.31496062992125984" footer="0.31496062992125984"/>
  <pageSetup paperSize="9" scale="86"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57697" r:id="rId4" name="Check Box 1">
              <controlPr defaultSize="0" autoFill="0" autoLine="0" autoPict="0">
                <anchor moveWithCells="1">
                  <from>
                    <xdr:col>1</xdr:col>
                    <xdr:colOff>28575</xdr:colOff>
                    <xdr:row>15</xdr:row>
                    <xdr:rowOff>9525</xdr:rowOff>
                  </from>
                  <to>
                    <xdr:col>2</xdr:col>
                    <xdr:colOff>504825</xdr:colOff>
                    <xdr:row>15</xdr:row>
                    <xdr:rowOff>228600</xdr:rowOff>
                  </to>
                </anchor>
              </controlPr>
            </control>
          </mc:Choice>
        </mc:AlternateContent>
        <mc:AlternateContent xmlns:mc="http://schemas.openxmlformats.org/markup-compatibility/2006">
          <mc:Choice Requires="x14">
            <control shapeId="157700" r:id="rId5" name="Check Box 4">
              <controlPr defaultSize="0" autoFill="0" autoLine="0" autoPict="0">
                <anchor moveWithCells="1">
                  <from>
                    <xdr:col>1</xdr:col>
                    <xdr:colOff>28575</xdr:colOff>
                    <xdr:row>16</xdr:row>
                    <xdr:rowOff>9525</xdr:rowOff>
                  </from>
                  <to>
                    <xdr:col>2</xdr:col>
                    <xdr:colOff>523875</xdr:colOff>
                    <xdr:row>16</xdr:row>
                    <xdr:rowOff>228600</xdr:rowOff>
                  </to>
                </anchor>
              </controlPr>
            </control>
          </mc:Choice>
        </mc:AlternateContent>
        <mc:AlternateContent xmlns:mc="http://schemas.openxmlformats.org/markup-compatibility/2006">
          <mc:Choice Requires="x14">
            <control shapeId="157701" r:id="rId6" name="Check Box 5">
              <controlPr defaultSize="0" autoFill="0" autoLine="0" autoPict="0">
                <anchor moveWithCells="1">
                  <from>
                    <xdr:col>3</xdr:col>
                    <xdr:colOff>790575</xdr:colOff>
                    <xdr:row>18</xdr:row>
                    <xdr:rowOff>19050</xdr:rowOff>
                  </from>
                  <to>
                    <xdr:col>6</xdr:col>
                    <xdr:colOff>866775</xdr:colOff>
                    <xdr:row>18</xdr:row>
                    <xdr:rowOff>209550</xdr:rowOff>
                  </to>
                </anchor>
              </controlPr>
            </control>
          </mc:Choice>
        </mc:AlternateContent>
        <mc:AlternateContent xmlns:mc="http://schemas.openxmlformats.org/markup-compatibility/2006">
          <mc:Choice Requires="x14">
            <control shapeId="157702" r:id="rId7" name="Check Box 6">
              <controlPr defaultSize="0" autoFill="0" autoLine="0" autoPict="0">
                <anchor moveWithCells="1">
                  <from>
                    <xdr:col>3</xdr:col>
                    <xdr:colOff>790575</xdr:colOff>
                    <xdr:row>19</xdr:row>
                    <xdr:rowOff>19050</xdr:rowOff>
                  </from>
                  <to>
                    <xdr:col>7</xdr:col>
                    <xdr:colOff>0</xdr:colOff>
                    <xdr:row>19</xdr:row>
                    <xdr:rowOff>219075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7404A-87B2-4BB4-A2F2-44DA5B867DE8}">
  <sheetPr codeName="Tabelle56">
    <tabColor rgb="FFFFC000"/>
    <pageSetUpPr fitToPage="1"/>
  </sheetPr>
  <dimension ref="A1:Q41"/>
  <sheetViews>
    <sheetView showGridLines="0" showRowColHeaders="0" zoomScale="130" zoomScaleNormal="130" workbookViewId="0">
      <selection activeCell="B41" sqref="B41:J41"/>
      <extLst>
        <ext xmlns:xlsdti="http://schemas.microsoft.com/office/spreadsheetml/2023/showDataTypeIcons" uri="{77bfe23e-c014-4d31-8a63-9c772dbf06b6}">
          <xlsdti:showDataTypeIcons visible="0"/>
        </ext>
      </extLst>
    </sheetView>
  </sheetViews>
  <sheetFormatPr baseColWidth="10" defaultColWidth="0" defaultRowHeight="15" zeroHeight="1"/>
  <cols>
    <col min="1" max="1" width="4" customWidth="1"/>
    <col min="2" max="2" width="48.42578125" customWidth="1"/>
    <col min="3" max="3" width="13.7109375" customWidth="1"/>
    <col min="4" max="5" width="13.42578125" customWidth="1"/>
    <col min="6" max="6" width="14.7109375" customWidth="1"/>
    <col min="7" max="7" width="13.42578125" customWidth="1"/>
    <col min="8" max="8" width="14" customWidth="1"/>
    <col min="9" max="9" width="13.140625" customWidth="1"/>
    <col min="10" max="10" width="15.28515625" customWidth="1"/>
    <col min="11" max="11" width="7.5703125" customWidth="1"/>
    <col min="12" max="12" width="26.7109375" hidden="1" customWidth="1"/>
    <col min="13" max="13" width="12.7109375" hidden="1" customWidth="1"/>
    <col min="14" max="14" width="22" hidden="1" customWidth="1"/>
    <col min="15" max="15" width="15.85546875" style="15" hidden="1" customWidth="1"/>
    <col min="16" max="16" width="42.7109375" hidden="1" customWidth="1"/>
    <col min="17" max="17" width="0" hidden="1" customWidth="1"/>
    <col min="18" max="16384" width="31.140625" hidden="1"/>
  </cols>
  <sheetData>
    <row r="1" spans="1:17">
      <c r="A1" s="388"/>
      <c r="B1" s="796" t="s">
        <v>5217</v>
      </c>
      <c r="C1" s="796"/>
      <c r="D1" s="796"/>
      <c r="E1" s="796"/>
      <c r="F1" s="796"/>
      <c r="G1" s="796"/>
      <c r="H1" s="796"/>
      <c r="I1" s="796"/>
      <c r="J1" s="796"/>
      <c r="K1" s="388"/>
    </row>
    <row r="2" spans="1:17" ht="18.75" customHeight="1">
      <c r="A2" s="388"/>
      <c r="B2" s="797"/>
      <c r="C2" s="797"/>
      <c r="D2" s="797"/>
      <c r="E2" s="797"/>
      <c r="F2" s="797"/>
      <c r="G2" s="797"/>
      <c r="H2" s="797"/>
      <c r="I2" s="797"/>
      <c r="J2" s="797"/>
      <c r="K2" s="646" t="s">
        <v>5231</v>
      </c>
      <c r="O2"/>
    </row>
    <row r="3" spans="1:17" ht="30">
      <c r="A3" s="388"/>
      <c r="B3" s="751" t="s">
        <v>3738</v>
      </c>
      <c r="C3" s="751"/>
      <c r="D3" s="751"/>
      <c r="E3" s="592"/>
      <c r="F3" s="598">
        <f>+Dat_Ber</f>
        <v>46022</v>
      </c>
      <c r="G3" s="752" t="s">
        <v>5206</v>
      </c>
      <c r="H3" s="752" t="s">
        <v>5207</v>
      </c>
      <c r="I3" s="587" t="s">
        <v>5204</v>
      </c>
      <c r="J3" s="599"/>
      <c r="K3" s="646" t="s">
        <v>5230</v>
      </c>
      <c r="O3"/>
    </row>
    <row r="4" spans="1:17" ht="15" customHeight="1">
      <c r="A4" s="388"/>
      <c r="B4" s="593" t="s">
        <v>5202</v>
      </c>
      <c r="C4" s="600">
        <f>+EzE</f>
        <v>44196</v>
      </c>
      <c r="D4" s="594" t="s">
        <v>5218</v>
      </c>
      <c r="E4" s="594" t="s">
        <v>5219</v>
      </c>
      <c r="F4" s="594" t="s">
        <v>5201</v>
      </c>
      <c r="G4" s="752"/>
      <c r="H4" s="752"/>
      <c r="I4" s="588">
        <f>+Abfindungsberechnung!I5</f>
        <v>53328</v>
      </c>
      <c r="J4" s="599"/>
      <c r="K4" s="620"/>
      <c r="O4"/>
    </row>
    <row r="5" spans="1:17" ht="15" customHeight="1">
      <c r="A5" s="388"/>
      <c r="B5" s="593" t="s">
        <v>5196</v>
      </c>
      <c r="C5" s="601">
        <f>+Dat_GebDat_Pfl</f>
        <v>27759</v>
      </c>
      <c r="D5" s="595">
        <f>+Abfindungsberechnung!E6</f>
        <v>45.03</v>
      </c>
      <c r="E5" s="595" t="str">
        <f>CHOOSE(GeschlechtsNr_Pfl,"m","w","d")</f>
        <v>m</v>
      </c>
      <c r="F5" s="589">
        <f>+Alter_Pfl</f>
        <v>50</v>
      </c>
      <c r="G5" s="633">
        <f>+ReAlter_Pfl</f>
        <v>65.3</v>
      </c>
      <c r="H5" s="590">
        <f>+Leistungsbeginn_Pfl</f>
        <v>51592</v>
      </c>
      <c r="I5" s="745" t="s">
        <v>5216</v>
      </c>
      <c r="J5" s="591">
        <f>+sVA_Rente_Fälligkeit</f>
        <v>70.099999999999994</v>
      </c>
      <c r="K5" s="620"/>
      <c r="O5"/>
    </row>
    <row r="6" spans="1:17" ht="15" customHeight="1">
      <c r="A6" s="388"/>
      <c r="B6" s="593" t="s">
        <v>3789</v>
      </c>
      <c r="C6" s="601">
        <f>+Dat_BebDat_Ber</f>
        <v>29586</v>
      </c>
      <c r="D6" s="595">
        <f>+Geschlecht_Ber</f>
        <v>40</v>
      </c>
      <c r="E6" s="595" t="str">
        <f>CHOOSE(GeschlechtsNr_Ber,"m","w","d")</f>
        <v>w</v>
      </c>
      <c r="F6" s="589">
        <f>+Alter_Ber</f>
        <v>45</v>
      </c>
      <c r="G6" s="639">
        <f>+RentenalterBer</f>
        <v>65</v>
      </c>
      <c r="H6" s="590">
        <f>+Abfindungsberechnung!H7</f>
        <v>53328</v>
      </c>
      <c r="I6" s="746"/>
      <c r="J6" s="591">
        <f>+Abfindungsberechnung!I7</f>
        <v>65</v>
      </c>
      <c r="K6" s="620"/>
      <c r="O6"/>
    </row>
    <row r="7" spans="1:17" ht="15" customHeight="1" thickBot="1">
      <c r="A7" s="388"/>
      <c r="B7" s="753" t="s">
        <v>5208</v>
      </c>
      <c r="C7" s="753"/>
      <c r="D7" s="749" t="str">
        <f>IFERROR(HYPERLINK(VLOOKUP(Länderwahl,EUEFTA_Rentenrechner,3,FALSE),"→ zum Rentenrechner"),"x Rentenrechner nicht verfügbar")</f>
        <v>→ zum Rentenrechner</v>
      </c>
      <c r="E7" s="750"/>
      <c r="F7" s="634">
        <f>+ReHöhe_EZE_Pfl</f>
        <v>500</v>
      </c>
      <c r="G7" s="754" t="s">
        <v>4430</v>
      </c>
      <c r="H7" s="754"/>
      <c r="I7" s="636">
        <f>+ReAnzahlproJahr</f>
        <v>12</v>
      </c>
      <c r="J7" s="602"/>
      <c r="K7" s="620"/>
      <c r="O7"/>
    </row>
    <row r="8" spans="1:17" ht="15" customHeight="1" thickBot="1">
      <c r="A8" s="388"/>
      <c r="B8" s="747" t="str">
        <f>+Abfindungsberechnung!C16</f>
        <v xml:space="preserve">voraussichtliche Höhe der sVA-Rente bei Fälligkeit (1.1.46): 500,0 x (1 + 2,00%)^20,3 x (1 + 2,00%)^4,8 = </v>
      </c>
      <c r="C8" s="748"/>
      <c r="D8" s="748"/>
      <c r="E8" s="748"/>
      <c r="F8" s="637">
        <f>+ReHöhe_Berdat</f>
        <v>821.92902213166792</v>
      </c>
      <c r="G8" s="603" t="s">
        <v>5221</v>
      </c>
      <c r="H8" s="604">
        <f>IF(G5-D5&lt;0,0,G5-D5)</f>
        <v>20.269999999999996</v>
      </c>
      <c r="I8" s="603" t="s">
        <v>5222</v>
      </c>
      <c r="J8" s="605">
        <f>IF(J5-G5&lt;0,0,J5-G5)</f>
        <v>4.7999999999999972</v>
      </c>
      <c r="K8" s="620"/>
      <c r="O8"/>
    </row>
    <row r="9" spans="1:17" ht="27" customHeight="1">
      <c r="A9" s="313" t="s">
        <v>4409</v>
      </c>
      <c r="B9" s="805" t="str">
        <f>"Berechnung der Abfindung des sVA-Anspruchs der ausgleichsberechtigten Person - Methode 2 - Berechnungsdatum:"</f>
        <v>Berechnung der Abfindung des sVA-Anspruchs der ausgleichsberechtigten Person - Methode 2 - Berechnungsdatum:</v>
      </c>
      <c r="C9" s="805"/>
      <c r="D9" s="805"/>
      <c r="E9" s="805"/>
      <c r="F9" s="805"/>
      <c r="G9" s="805"/>
      <c r="H9" s="805"/>
      <c r="I9" s="805"/>
      <c r="J9" s="619">
        <f>Dat_Ber</f>
        <v>46022</v>
      </c>
      <c r="K9" s="806"/>
      <c r="M9" s="389"/>
      <c r="N9" s="389"/>
      <c r="O9" s="390"/>
    </row>
    <row r="10" spans="1:17" ht="15" customHeight="1">
      <c r="A10" s="314">
        <v>1</v>
      </c>
      <c r="B10" s="672" t="s">
        <v>4558</v>
      </c>
      <c r="C10" s="672"/>
      <c r="D10" s="672"/>
      <c r="E10" s="672"/>
      <c r="F10" s="672"/>
      <c r="G10" s="672"/>
      <c r="H10" s="672"/>
      <c r="I10" s="672"/>
      <c r="J10" s="462">
        <f>+Abfindungsberechnung!G7</f>
        <v>65</v>
      </c>
      <c r="K10" s="806"/>
      <c r="M10" s="159" t="s">
        <v>2889</v>
      </c>
      <c r="N10" s="153"/>
      <c r="O10" s="153"/>
      <c r="P10">
        <f>MONTH(Dat_GebDat_Ber)+(RentenalterBer-INT(RentenalterBer))*12</f>
        <v>12</v>
      </c>
      <c r="Q10" s="374">
        <f>(RentenalterBer-INT(RentenalterBer))*12</f>
        <v>0</v>
      </c>
    </row>
    <row r="11" spans="1:17" ht="15" customHeight="1">
      <c r="A11" s="314">
        <v>2</v>
      </c>
      <c r="B11" s="672" t="s">
        <v>4974</v>
      </c>
      <c r="C11" s="672"/>
      <c r="D11" s="672"/>
      <c r="E11" s="672"/>
      <c r="F11" s="672"/>
      <c r="G11" s="672"/>
      <c r="H11" s="672"/>
      <c r="I11" s="672"/>
      <c r="J11" s="463">
        <f>+H6</f>
        <v>53328</v>
      </c>
      <c r="K11" s="806"/>
      <c r="M11" s="159"/>
      <c r="N11" s="153"/>
      <c r="O11" s="153"/>
      <c r="P11" s="316" t="s">
        <v>2720</v>
      </c>
      <c r="Q11" s="374">
        <f>+J32</f>
        <v>124442</v>
      </c>
    </row>
    <row r="12" spans="1:17" ht="15" customHeight="1">
      <c r="A12" s="314">
        <v>3</v>
      </c>
      <c r="B12" s="672" t="s">
        <v>4543</v>
      </c>
      <c r="C12" s="672"/>
      <c r="D12" s="672"/>
      <c r="E12" s="672"/>
      <c r="F12" s="672"/>
      <c r="G12" s="672"/>
      <c r="H12" s="672"/>
      <c r="I12" s="672"/>
      <c r="J12" s="464">
        <f>+J5</f>
        <v>70.099999999999994</v>
      </c>
      <c r="K12" s="806"/>
      <c r="M12" s="159" t="s">
        <v>4530</v>
      </c>
      <c r="N12" s="17">
        <f>ROUND(YEARFRAC(Dat_GebDat_Pfl,J15,3),2)</f>
        <v>70.05</v>
      </c>
      <c r="O12" s="17">
        <f>ROUND(YEARFRAC(Dat_GebDat_Ber,MAX(J15,J9)),0)</f>
        <v>65</v>
      </c>
      <c r="P12" s="316" t="s">
        <v>4272</v>
      </c>
      <c r="Q12" s="15">
        <f>ROUND(Q11*VLOOKUP(Abfindungsberechnung!F4,'Parameter DRV'!T5:V100,2),4)</f>
        <v>13.2502</v>
      </c>
    </row>
    <row r="13" spans="1:17" ht="15" customHeight="1">
      <c r="A13" s="314">
        <v>4</v>
      </c>
      <c r="B13" s="672" t="s">
        <v>2890</v>
      </c>
      <c r="C13" s="672"/>
      <c r="D13" s="672"/>
      <c r="E13" s="672"/>
      <c r="F13" s="672"/>
      <c r="G13" s="672"/>
      <c r="H13" s="672"/>
      <c r="I13" s="672"/>
      <c r="J13" s="463">
        <f>IF(ReAlter_Pfl="","",Leistungsbeginn_Pfl)</f>
        <v>51592</v>
      </c>
      <c r="K13" s="806"/>
      <c r="M13" s="168" t="s">
        <v>3755</v>
      </c>
      <c r="N13" s="383">
        <f>ROUND(VLOOKUP(N12,CHOOSE(GeschlechtsNr_Pfl,Lx,Ly,Ln),YEAR(Dat_GebDat_Pfl)+IF(MONTH(Dat_GebDat_Pfl)&gt;6,1,0)-1900+2),2)</f>
        <v>18.64</v>
      </c>
      <c r="O13" s="384">
        <f>ROUND(VLOOKUP(O12,CHOOSE(GeschlechtsNr_Ber,Lx,Ly,Ln),YEAR(Dat_GebDat_Ber)+IF(MONTH(Dat_GebDat_Ber)&gt;6,1,0)-1900+2),2)</f>
        <v>25.99</v>
      </c>
      <c r="P13" s="316" t="s">
        <v>4413</v>
      </c>
      <c r="Q13" s="15">
        <f>VLOOKUP(Abfindungsberechnung!F4,'Parameter DRV'!G5:I100,2)</f>
        <v>40.79</v>
      </c>
    </row>
    <row r="14" spans="1:17" ht="15" customHeight="1">
      <c r="A14" s="314">
        <v>5</v>
      </c>
      <c r="B14" s="672" t="str">
        <f>"Alter der ausgleichsberechtigten Person Bei Renteneintritt der ausglpfl.. Person am "&amp;TEXT(J13,"TT.MM.JJJJ")</f>
        <v>Alter der ausgleichsberechtigten Person Bei Renteneintritt der ausglpfl.. Person am 01.04.2041</v>
      </c>
      <c r="C14" s="672"/>
      <c r="D14" s="672"/>
      <c r="E14" s="672"/>
      <c r="F14" s="672"/>
      <c r="G14" s="672"/>
      <c r="H14" s="672"/>
      <c r="I14" s="672"/>
      <c r="J14" s="464">
        <f>IFERROR(ROUND(YEARFRAC(Dat_GebDat_Ber,J13,3),1),"")</f>
        <v>60.3</v>
      </c>
      <c r="K14" s="806"/>
      <c r="M14" s="168" t="s">
        <v>4542</v>
      </c>
      <c r="N14" s="384">
        <f>ROUND(YEARFRAC(Dat_GebDat_Pfl,'Abfindung Methode 2'!J15,3),0)</f>
        <v>70</v>
      </c>
      <c r="O14" s="384">
        <f>ROUND(YEARFRAC(Dat_GebDat_Ber,'Abfindung Methode 2'!J15,3),2)</f>
        <v>65.05</v>
      </c>
      <c r="P14" s="316" t="s">
        <v>4414</v>
      </c>
      <c r="Q14" s="280">
        <f>+Q13*Q12</f>
        <v>540.47565799999995</v>
      </c>
    </row>
    <row r="15" spans="1:17" ht="15" customHeight="1">
      <c r="A15" s="314">
        <v>6</v>
      </c>
      <c r="B15" s="672" t="str">
        <f>IF(AND(J9&gt;=J11,J9&gt;=J13),"Berechnungsdatum bei gleichzeitigem Versorgungsbezug:","Datum des Beginns des gemeinsamen Versorgungsbezugs: ")</f>
        <v xml:space="preserve">Datum des Beginns des gemeinsamen Versorgungsbezugs: </v>
      </c>
      <c r="C15" s="672"/>
      <c r="D15" s="672"/>
      <c r="E15" s="672"/>
      <c r="F15" s="672"/>
      <c r="G15" s="672"/>
      <c r="H15" s="672"/>
      <c r="I15" s="672"/>
      <c r="J15" s="465">
        <f>+I4</f>
        <v>53328</v>
      </c>
      <c r="K15" s="806"/>
      <c r="M15" s="387" t="s">
        <v>4548</v>
      </c>
      <c r="N15" s="269">
        <f>+N14+J16</f>
        <v>88.6</v>
      </c>
      <c r="O15" s="269">
        <f>+O14+J17</f>
        <v>91.05</v>
      </c>
      <c r="P15" s="316" t="s">
        <v>4420</v>
      </c>
      <c r="Q15" s="375">
        <f>+Dat_GebDat_Ber</f>
        <v>29586</v>
      </c>
    </row>
    <row r="16" spans="1:17" ht="15" customHeight="1">
      <c r="A16" s="314">
        <v>7</v>
      </c>
      <c r="B16" s="672" t="str">
        <f>"Die ausgleichspflichtige Person hat am "&amp;TEXT(J15,"TT.MM.JJJJ")&amp;" (Berechnungszeitpunkt) im Alter von "&amp;TEXT(N12,"0")&amp;" Jahren eine Lebenserwartung von : "</f>
        <v xml:space="preserve">Die ausgleichspflichtige Person hat am 01.01.2046 (Berechnungszeitpunkt) im Alter von 70 Jahren eine Lebenserwartung von : </v>
      </c>
      <c r="C16" s="672"/>
      <c r="D16" s="672"/>
      <c r="E16" s="672"/>
      <c r="F16" s="672"/>
      <c r="G16" s="672"/>
      <c r="H16" s="672"/>
      <c r="I16" s="672"/>
      <c r="J16" s="586">
        <f>ROUND(+N13,1)</f>
        <v>18.600000000000001</v>
      </c>
      <c r="K16" s="806"/>
      <c r="M16" s="387"/>
      <c r="N16" s="47"/>
      <c r="O16" s="47"/>
      <c r="P16" s="316" t="s">
        <v>4421</v>
      </c>
      <c r="Q16" s="15">
        <f>ROUND(YEARFRAC(Dat_GebDat_Ber,Dat_Ber,3),1)</f>
        <v>45</v>
      </c>
    </row>
    <row r="17" spans="1:17" ht="15" customHeight="1">
      <c r="A17" s="314">
        <v>8</v>
      </c>
      <c r="B17" s="672" t="str">
        <f>"Die ausgleichsberechtigte Person hat am "&amp;TEXT(J15,"TT.MM.JJJJ")&amp;" (Berechnungszeitpunkt) im Alter von "&amp;TEXT(YEARFRAC(Dat_BebDat_Ber,'Abfindung Methode 2'!J15,3),"0")&amp;" Jahren eine Lebenserwartung von : "</f>
        <v xml:space="preserve">Die ausgleichsberechtigte Person hat am 01.01.2046 (Berechnungszeitpunkt) im Alter von 65 Jahren eine Lebenserwartung von : </v>
      </c>
      <c r="C17" s="672"/>
      <c r="D17" s="672"/>
      <c r="E17" s="672"/>
      <c r="F17" s="672"/>
      <c r="G17" s="672"/>
      <c r="H17" s="672"/>
      <c r="I17" s="672"/>
      <c r="J17" s="586">
        <f>ROUND(O13,1)</f>
        <v>26</v>
      </c>
      <c r="K17" s="806"/>
      <c r="M17" s="385"/>
      <c r="P17" s="316" t="s">
        <v>4422</v>
      </c>
      <c r="Q17" s="375">
        <f>+Abfindungsberechnung!AX3</f>
        <v>54058</v>
      </c>
    </row>
    <row r="18" spans="1:17" ht="15" customHeight="1">
      <c r="A18" s="314">
        <v>9</v>
      </c>
      <c r="B18" s="807" t="str">
        <f>"Anwartschaftszeit d. Pflichtigen "&amp;IF(J11&gt;Dat_Ber," bis zum Leistungsbezug ("&amp;TEXT(J11,"T.M.JJ")&amp;") der ausgleichspflichtigen Person: "&amp;TEXT(Dat_Ber,"TT.MM.JJJJ")&amp;" bis "&amp;TEXT(J13,"T.M.JJ")," vom Leistungsbeginn ("&amp;TEXT(J13,"t.M.JJ")&amp;") bis Berechnungsstichtag ("&amp;TEXT(J9,"T.M.JJ")&amp;") in Jahren = ")</f>
        <v>Anwartschaftszeit d. Pflichtigen  bis zum Leistungsbezug (1.1.46) der ausgleichspflichtigen Person: 31.12.2025 bis 1.4.41</v>
      </c>
      <c r="C18" s="808"/>
      <c r="D18" s="808"/>
      <c r="E18" s="808"/>
      <c r="F18" s="808"/>
      <c r="G18" s="808"/>
      <c r="H18" s="808"/>
      <c r="I18" s="809"/>
      <c r="J18" s="464">
        <f>IFERROR(ROUND(YEARFRAC(Dat_Ber,J13,3),1),"")</f>
        <v>15.3</v>
      </c>
      <c r="K18" s="806"/>
      <c r="P18" s="316" t="s">
        <v>4423</v>
      </c>
      <c r="Q18" s="15">
        <f>ROUND(YEARFRAC(Q15,Q17,3),1)</f>
        <v>67</v>
      </c>
    </row>
    <row r="19" spans="1:17" ht="15" customHeight="1">
      <c r="A19" s="314"/>
      <c r="B19" s="807"/>
      <c r="C19" s="808"/>
      <c r="D19" s="808"/>
      <c r="E19" s="808"/>
      <c r="F19" s="808"/>
      <c r="G19" s="808"/>
      <c r="H19" s="808"/>
      <c r="I19" s="809"/>
      <c r="J19" s="396"/>
      <c r="K19" s="806"/>
      <c r="L19" s="168"/>
      <c r="M19" s="379">
        <f>+J9</f>
        <v>46022</v>
      </c>
      <c r="N19" s="379">
        <f>MAX(J15,J13)</f>
        <v>53328</v>
      </c>
      <c r="O19" s="614" t="s">
        <v>4311</v>
      </c>
      <c r="P19" s="316"/>
      <c r="Q19" s="15"/>
    </row>
    <row r="20" spans="1:17" ht="15" customHeight="1">
      <c r="A20" s="314">
        <v>10</v>
      </c>
      <c r="B20" s="807" t="str">
        <f>"Leistungszeit bis zum beiderseitigen Versorgungsbezug: "&amp;TEXT(J13,"TT.MM.JJJ")&amp;" (Rentenbeginn Ausglpfl.) bis "&amp;TEXT(J15,"TT.MM.JJJJ")&amp; " (Rentenbeginn ausglber. Person) in Jahren: "</f>
        <v xml:space="preserve">Leistungszeit bis zum beiderseitigen Versorgungsbezug: 01.04.2041 (Rentenbeginn Ausglpfl.) bis 01.01.2046 (Rentenbeginn ausglber. Person) in Jahren: </v>
      </c>
      <c r="C20" s="808"/>
      <c r="D20" s="808"/>
      <c r="E20" s="808"/>
      <c r="F20" s="808"/>
      <c r="G20" s="808"/>
      <c r="H20" s="808"/>
      <c r="I20" s="809"/>
      <c r="J20" s="466">
        <f>IFERROR(ROUND(IF(YEARFRAC(J13,J15,3)&lt;0,0,YEARFRAC(J13,J15,3)),1),"")</f>
        <v>4.8</v>
      </c>
      <c r="K20" s="806"/>
      <c r="L20" s="378" t="s">
        <v>4540</v>
      </c>
      <c r="M20" s="17">
        <f>VLOOKUP(Alter_Pfl,CHOOSE(GeschlechtsNr_Pfl,Kohorte_M,Kohorte_W,Kohorte_D),YEAR(Dat_GebDat_Pfl)+IF(MONTH(Dat_GebDat_Pfl)&gt;6,1,0)-1900+2)</f>
        <v>93977</v>
      </c>
      <c r="N20" s="168">
        <f>VLOOKUP(N12,CHOOSE(GeschlechtsNr_Pfl,Kohorte_M,Kohorte_W,Kohorte_D),YEAR(Dat_GebDat_Pfl)+IF(MONTH(Dat_GebDat_Pfl)&gt;6,1,0)-1900+2)</f>
        <v>82297</v>
      </c>
      <c r="O20" s="615">
        <f>ROUND(Ü_Pfl_sVAStart/Ü_Pfl_BerZtpkt,4)</f>
        <v>0.87570000000000003</v>
      </c>
      <c r="P20" s="316" t="s">
        <v>4415</v>
      </c>
      <c r="Q20" s="15">
        <f>+AnwZeit_Ber_BerDatbusDRVRente</f>
        <v>22</v>
      </c>
    </row>
    <row r="21" spans="1:17" ht="15" customHeight="1">
      <c r="A21" s="314">
        <v>11</v>
      </c>
      <c r="B21" s="807" t="str">
        <f>+Abfindungsberechnung!C16</f>
        <v xml:space="preserve">voraussichtliche Höhe der sVA-Rente bei Fälligkeit (1.1.46): 500,0 x (1 + 2,00%)^20,3 x (1 + 2,00%)^4,8 = </v>
      </c>
      <c r="C21" s="808"/>
      <c r="D21" s="808"/>
      <c r="E21" s="808"/>
      <c r="F21" s="808"/>
      <c r="G21" s="808"/>
      <c r="H21" s="808"/>
      <c r="I21" s="809"/>
      <c r="J21" s="635">
        <f>+ReHöhe_Berdat</f>
        <v>821.92902213166792</v>
      </c>
      <c r="K21" s="806"/>
      <c r="L21" s="168" t="s">
        <v>4541</v>
      </c>
      <c r="M21" s="582">
        <f>VLOOKUP(Alter_Ber,CHOOSE(GeschlechtsNr_Ber,Kohorte_M,Kohorte_W,Kohorte_D),YEAR(Dat_GebDat_Ber)+IF(MONTH(Dat_GebDat_Ber)&gt;6,1,0)-1900+2)</f>
        <v>97524</v>
      </c>
      <c r="N21" s="17">
        <f>VLOOKUP(O12,CHOOSE(GeschlechtsNr_Ber,Kohorte_M,Kohorte_W,Kohorte_D),YEAR(Dat_GebDat_Ber)+IF(MONTH(Dat_GebDat_Ber)&gt;6,1,0)-1900+2)</f>
        <v>93274</v>
      </c>
      <c r="O21" s="615">
        <f>ROUND(Ü_Ber_sVAStart/Ü_Ber_BerZtpkt,4)</f>
        <v>0.95640000000000003</v>
      </c>
      <c r="P21" s="316" t="s">
        <v>4419</v>
      </c>
      <c r="Q21" s="280">
        <f>+Q14*(1+'Abfindung Methode 1'!G24) ^AnwZeit_Ber_BerDatbusDRVRente</f>
        <v>950.64436009596784</v>
      </c>
    </row>
    <row r="22" spans="1:17" ht="15" customHeight="1">
      <c r="A22" s="314">
        <v>12</v>
      </c>
      <c r="B22" s="807" t="str">
        <f>"BW der sVA-Rente f.d. ausglber. Person am "&amp;TEXT(J15,"TT.MM.JJJJ")&amp;" über die gem. Bezugsdauer von "&amp;TEXT(MIN(J16,J17),"0,00")&amp;" Jahren: "</f>
        <v xml:space="preserve">BW der sVA-Rente f.d. ausglber. Person am 01.01.2046 über die gem. Bezugsdauer von 18,60 Jahren: </v>
      </c>
      <c r="C22" s="808"/>
      <c r="D22" s="808"/>
      <c r="E22" s="808"/>
      <c r="F22" s="808"/>
      <c r="G22" s="808"/>
      <c r="H22" s="808"/>
      <c r="I22" s="809"/>
      <c r="J22" s="472">
        <f>IFERROR(ROUND(-PV(Rechnungszins-ReDynamik_Leistung,MIN(J16,J17),J21*12),0),"")</f>
        <v>179908</v>
      </c>
      <c r="K22" s="806"/>
      <c r="L22" s="159"/>
      <c r="M22" s="153"/>
      <c r="N22" s="153"/>
      <c r="O22" s="153"/>
      <c r="P22" s="316" t="s">
        <v>4424</v>
      </c>
      <c r="Q22" s="15">
        <f>ROUND(VLOOKUP(Q18,CHOOSE(GeschlechtsNr_Ber,Lx,Ly,Ld),YEAR('Abfindung Methode 2'!Q15)-1900+2),1)</f>
        <v>24.1</v>
      </c>
    </row>
    <row r="23" spans="1:17" ht="15" customHeight="1">
      <c r="A23" s="314">
        <v>13</v>
      </c>
      <c r="B23" s="807" t="str">
        <f>"abgezinster BW der sVA-Rente, über "&amp;TEXT(YEARFRAC(Dat_Ber,J15,3),"0,0")&amp;" Jahre vom "&amp;TEXT(J15,"TT.MM.JJJ")&amp;" bis "&amp;TEXT(Abfindungsberechnung!F4,"T.M.JJJ")&amp;", ReZins "&amp;TEXT(Rechnungszins,"0,00%")&amp;": "&amp;TEXT(J22,"#.##0")&amp;" x (1 + "&amp;TEXT(Abfindungsberechnung!I17,"0,00%")&amp;")^"&amp;IF('Abfindung Methode 2'!J18&gt;0,"-"&amp;TEXT(YEARFRAC(J9,J15,3),"0,0")&amp;" = ","")</f>
        <v xml:space="preserve">abgezinster BW der sVA-Rente, über 20,0 Jahre vom 01.01.2046 bis 31.12.2025, ReZins 2,20%: 179.908 x (1 + 2,20%)^-20,0 = </v>
      </c>
      <c r="C23" s="808"/>
      <c r="D23" s="808"/>
      <c r="E23" s="808"/>
      <c r="F23" s="808"/>
      <c r="G23" s="808"/>
      <c r="H23" s="808"/>
      <c r="I23" s="809"/>
      <c r="J23" s="472">
        <f>IFERROR(ROUND(+J22*(1+Rechnungszins)^-ROUND(YEARFRAC(J9,J15,3),1),0),"")</f>
        <v>116421</v>
      </c>
      <c r="K23" s="806"/>
      <c r="L23" s="1"/>
      <c r="M23" s="153"/>
      <c r="N23" s="153"/>
      <c r="O23" s="153"/>
      <c r="P23" s="316" t="s">
        <v>4425</v>
      </c>
      <c r="Q23" s="280">
        <f>-PV(-'Abfindung Methode 1'!G24,'Abfindung Methode 2'!Q22,'Abfindung Methode 2'!Q21*12)</f>
        <v>389097.66037089552</v>
      </c>
    </row>
    <row r="24" spans="1:17" ht="15" customHeight="1">
      <c r="A24" s="314">
        <v>14</v>
      </c>
      <c r="B24" s="807" t="str">
        <f>"        Erlebensbenswahrscheinlichkeit der ausglpflichtigen Person vom "&amp;TEXT(Dat_Ber,"TT.MM.JJJ")&amp;" bis "&amp;TEXT(J15,"TT.MM.JJJJ")&amp;": "&amp;TEXT(Ü_Pfl_sVAStart,"#.##0")&amp;" / "&amp;TEXT(Ü_Pfl_BerZtpkt,"#.##0")&amp;": "</f>
        <v xml:space="preserve">        Erlebensbenswahrscheinlichkeit der ausglpflichtigen Person vom 31.12.2025 bis 01.01.2046: 82.297 / 93.977: </v>
      </c>
      <c r="C24" s="808"/>
      <c r="D24" s="808"/>
      <c r="E24" s="808"/>
      <c r="F24" s="808"/>
      <c r="G24" s="808"/>
      <c r="H24" s="808"/>
      <c r="I24" s="809"/>
      <c r="J24" s="467">
        <f>IF(N25,+O20,0)</f>
        <v>0</v>
      </c>
      <c r="K24" s="806"/>
      <c r="L24" s="1"/>
      <c r="M24" s="153"/>
      <c r="N24" s="153"/>
      <c r="O24" s="153"/>
    </row>
    <row r="25" spans="1:17" ht="15" customHeight="1">
      <c r="A25" s="314">
        <v>15</v>
      </c>
      <c r="B25" s="672" t="str">
        <f>"        Erlebensbenswahrscheinlichkeit der ausglberechtigten Person vom "&amp;TEXT(Dat_Ber,"TT.MM.JJJ")&amp;" bis "&amp;TEXT(J15,"TT.MM.JJJJ")&amp;": "&amp;TEXT(Ü_Ber_sVAStart,"#.##0")&amp;" / "&amp;TEXT(Ü_Ber_BerZtpkt,"#.##0")&amp;": "</f>
        <v xml:space="preserve">        Erlebensbenswahrscheinlichkeit der ausglberechtigten Person vom 31.12.2025 bis 01.01.2046: 93.274 / 97.524: </v>
      </c>
      <c r="C25" s="672"/>
      <c r="D25" s="672"/>
      <c r="E25" s="672"/>
      <c r="F25" s="672"/>
      <c r="G25" s="672"/>
      <c r="H25" s="672"/>
      <c r="I25" s="672"/>
      <c r="J25" s="468">
        <f>IFERROR(IF(N26,+O21,0),"")</f>
        <v>0</v>
      </c>
      <c r="K25" s="806"/>
      <c r="L25" s="1"/>
      <c r="M25" s="153"/>
      <c r="N25" s="461" t="b">
        <v>0</v>
      </c>
      <c r="O25" s="153"/>
    </row>
    <row r="26" spans="1:17" ht="15" customHeight="1">
      <c r="A26" s="314">
        <v>16</v>
      </c>
      <c r="B26" s="803" t="str">
        <f>"Barwert unter Berücksichtigung des Vorversterbens: "&amp;TEXT(J23,"#.##0,00")&amp;IF(J24="",""," x ")&amp;TEXT(J24,"0,00%")&amp;IF(J25="",""," x ")&amp;TEXT(J25,"0,00%")&amp;" = "</f>
        <v xml:space="preserve">Barwert unter Berücksichtigung des Vorversterbens: 116.421,00 x 0,00% x 0,00% = </v>
      </c>
      <c r="C26" s="803"/>
      <c r="D26" s="803"/>
      <c r="E26" s="803"/>
      <c r="F26" s="803"/>
      <c r="G26" s="803"/>
      <c r="H26" s="803"/>
      <c r="I26" s="803"/>
      <c r="J26" s="481">
        <f>IFERROR(ROUND(J23*IF(N25,J24,1)*IF(N26,J25,1),0),"")</f>
        <v>116421</v>
      </c>
      <c r="K26" s="806"/>
      <c r="L26" s="608"/>
      <c r="M26" s="153"/>
      <c r="N26" s="461" t="b">
        <v>0</v>
      </c>
      <c r="O26" s="153"/>
    </row>
    <row r="27" spans="1:17" ht="15" customHeight="1">
      <c r="A27" s="314">
        <v>18</v>
      </c>
      <c r="B27" s="774" t="s">
        <v>4426</v>
      </c>
      <c r="C27" s="774"/>
      <c r="D27" s="774"/>
      <c r="E27" s="774"/>
      <c r="F27" s="774"/>
      <c r="G27" s="774"/>
      <c r="H27" s="621">
        <v>1</v>
      </c>
      <c r="I27" s="622">
        <f>Invaliditätszuschlag</f>
        <v>6.8900000000000003E-2</v>
      </c>
      <c r="J27" s="470">
        <f>IFERROR(IF(info_IRZuschlag,I27*J26,0),"")</f>
        <v>8021.4069</v>
      </c>
      <c r="K27" s="806"/>
      <c r="L27" s="1"/>
      <c r="M27" s="153"/>
      <c r="N27" s="461"/>
      <c r="O27" s="153"/>
    </row>
    <row r="28" spans="1:17" ht="15" customHeight="1">
      <c r="A28" s="314">
        <v>19</v>
      </c>
      <c r="B28" s="774" t="s">
        <v>4426</v>
      </c>
      <c r="C28" s="774"/>
      <c r="D28" s="774"/>
      <c r="E28" s="774"/>
      <c r="F28" s="774"/>
      <c r="G28" s="774"/>
      <c r="H28" s="425">
        <v>0.6</v>
      </c>
      <c r="I28" s="471">
        <f>Hinterbliebenenzuschlag</f>
        <v>0.17649999999999999</v>
      </c>
      <c r="J28" s="396">
        <f>IFERROR(IF(info_HRZuschlag,I28*J26,0),"")</f>
        <v>0</v>
      </c>
      <c r="K28" s="806"/>
      <c r="L28" s="1"/>
      <c r="M28" s="1"/>
      <c r="N28" s="461" t="b">
        <v>0</v>
      </c>
      <c r="O28" s="153"/>
    </row>
    <row r="29" spans="1:17" ht="15" customHeight="1">
      <c r="A29" s="314">
        <v>20</v>
      </c>
      <c r="B29" s="804" t="str">
        <f>IFERROR("Brutto-Abfindungsbetrag: "&amp;TEXT(J26,"#.##0,00")&amp;IF(J27," + "&amp;TEXT(J27,"#.##0,00"),"")&amp;IF(J28," + "&amp;TEXT(J28,"#.##0,00"),"")&amp;" = ","")</f>
        <v xml:space="preserve">Brutto-Abfindungsbetrag: 116.421,00 + 8.021,41 = </v>
      </c>
      <c r="C29" s="804"/>
      <c r="D29" s="804"/>
      <c r="E29" s="804"/>
      <c r="F29" s="804"/>
      <c r="G29" s="804"/>
      <c r="H29" s="804"/>
      <c r="I29" s="804"/>
      <c r="J29" s="472">
        <f>IFERROR(ROUND(+J28+J27+J26,0),"")</f>
        <v>124442</v>
      </c>
      <c r="K29" s="806"/>
      <c r="L29" s="1"/>
      <c r="M29" s="1"/>
      <c r="N29" s="461" t="b">
        <v>0</v>
      </c>
      <c r="O29" s="153"/>
    </row>
    <row r="30" spans="1:17" ht="15" customHeight="1">
      <c r="A30" s="314">
        <v>21</v>
      </c>
      <c r="B30" s="672" t="s">
        <v>4559</v>
      </c>
      <c r="C30" s="672"/>
      <c r="D30" s="672"/>
      <c r="E30" s="672"/>
      <c r="F30" s="672"/>
      <c r="G30" s="672"/>
      <c r="H30" s="672"/>
      <c r="I30" s="640">
        <f>+Abfindungsberechnung!F21</f>
        <v>0.1</v>
      </c>
      <c r="J30" s="473">
        <f>IFERROR(IF(info_SozAbgaben,IF(I30&lt;0,+J$29*I30,J$29*I30*-1),0),"")</f>
        <v>0</v>
      </c>
      <c r="K30" s="806"/>
      <c r="L30" s="1"/>
      <c r="M30" s="160"/>
      <c r="N30" s="256">
        <f>+J29</f>
        <v>124442</v>
      </c>
      <c r="O30" s="256"/>
    </row>
    <row r="31" spans="1:17" ht="15" customHeight="1">
      <c r="A31" s="314">
        <v>22</v>
      </c>
      <c r="B31" s="672" t="s">
        <v>4560</v>
      </c>
      <c r="C31" s="672"/>
      <c r="D31" s="672"/>
      <c r="E31" s="672"/>
      <c r="F31" s="672"/>
      <c r="G31" s="672"/>
      <c r="H31" s="672"/>
      <c r="I31" s="641">
        <f>+Abfindungsberechnung!F22</f>
        <v>0.1</v>
      </c>
      <c r="J31" s="473">
        <f>IFERROR(IF(Info_Steuern,IF(I31&lt;0,+J$29*I31,J$29*I31*-1),0),"")</f>
        <v>0</v>
      </c>
      <c r="K31" s="806"/>
      <c r="L31" s="1"/>
      <c r="M31" s="153"/>
      <c r="N31" s="256">
        <f>+AbfindungMethode2</f>
        <v>124442</v>
      </c>
      <c r="O31" s="256"/>
    </row>
    <row r="32" spans="1:17" ht="18" customHeight="1">
      <c r="A32" s="314">
        <v>23</v>
      </c>
      <c r="B32" s="799" t="str">
        <f>"Netto-Abfindung zum Berechnungszeitpunkt Methode 2 ("&amp;TEXT(Dat_Ber,"TT.MM.JJJJ")&amp;"): "&amp;IF(J30+J31=0,"",TEXT(J29,"#.##0,00"))&amp;IF(J30+J32=0,"",IF(J30&lt;0," - "&amp;TEXT(ABS(J30),"#.##0"),"")&amp;IF(J31&lt;0," - "&amp;TEXT(ABS(J31),"#.##0"),""))&amp;" = "</f>
        <v xml:space="preserve">Netto-Abfindung zum Berechnungszeitpunkt Methode 2 (31.12.2025):  = </v>
      </c>
      <c r="C32" s="799"/>
      <c r="D32" s="799"/>
      <c r="E32" s="799"/>
      <c r="F32" s="799"/>
      <c r="G32" s="799"/>
      <c r="H32" s="799"/>
      <c r="I32" s="799"/>
      <c r="J32" s="474">
        <f>IFERROR(ROUND(+J29+J30+J31,0),0)</f>
        <v>124442</v>
      </c>
      <c r="K32" s="806"/>
      <c r="L32" s="1"/>
      <c r="M32" s="153"/>
      <c r="N32" s="153"/>
      <c r="O32" s="153"/>
    </row>
    <row r="33" spans="1:15">
      <c r="A33" s="314">
        <v>24</v>
      </c>
      <c r="B33" s="800" t="str">
        <f>"ℹ: ∑ der erwartbaren sVA-Renten-Zahlungen f.d. ausglber. Person, Dynamik "&amp;TEXT(ReDynamik_Leistung,"0,00%")&amp;" Bezugsdauer "&amp;TEXT(MIN(J16,J17),"#0,00")&amp;" Jahre, Startrente "&amp;TEXT(J21,"#.##0,00")&amp;" pro Monat, Dynamik: "&amp;TEXT(Abfindungsberechnung!I15,"0,00%")&amp;": "</f>
        <v xml:space="preserve">ℹ: ∑ der erwartbaren sVA-Renten-Zahlungen f.d. ausglber. Person, Dynamik 2,00% Bezugsdauer 18,60 Jahre, Startrente 821,93 pro Monat, Dynamik: 2,00%: </v>
      </c>
      <c r="C33" s="800"/>
      <c r="D33" s="800"/>
      <c r="E33" s="800"/>
      <c r="F33" s="800"/>
      <c r="G33" s="800"/>
      <c r="H33" s="800"/>
      <c r="I33" s="625">
        <f>IFERROR(L33,"")</f>
        <v>224935.36323137864</v>
      </c>
      <c r="J33" s="475"/>
      <c r="K33" s="806"/>
      <c r="L33" s="608">
        <f>-PV(-ReDynamik_Leistung,MIN(J16,J17),'Abfindung Methode 2'!J21*ReAnzahlproJahr/12*12)</f>
        <v>224935.36323137864</v>
      </c>
      <c r="M33" s="153"/>
      <c r="N33" s="153"/>
      <c r="O33" s="153"/>
    </row>
    <row r="34" spans="1:15">
      <c r="A34" s="314">
        <v>25</v>
      </c>
      <c r="B34" s="801" t="str">
        <f>IFERROR("ℹ: ∑ erwartbarer Rentenzahlungen f.d. ausglber. Person aus "&amp;TEXT(AbfindungMethode2,"#.##0")&amp;" der DRV, Dynamik: "&amp;TEXT(DRVDynamik,"0,00%")&amp;", Bezugsdauer "&amp;TEXT(O39,"0,0")&amp;" Jahre: ","")</f>
        <v xml:space="preserve">ℹ: ∑ erwartbarer Rentenzahlungen f.d. ausglber. Person aus 124.442 der DRV, Dynamik: 2,60%, Bezugsdauer 24,2 Jahre: </v>
      </c>
      <c r="C34" s="801"/>
      <c r="D34" s="801"/>
      <c r="E34" s="801"/>
      <c r="F34" s="801"/>
      <c r="G34" s="801"/>
      <c r="H34" s="801"/>
      <c r="I34" s="626">
        <f>IFERROR(+O40,"")</f>
        <v>372482.53316955373</v>
      </c>
      <c r="J34" s="476"/>
      <c r="K34" s="806"/>
      <c r="L34" s="617">
        <f>ROUND(VLOOKUP(J9,'Parameter DRV'!T5:V100,2),10)</f>
        <v>1.06477E-4</v>
      </c>
      <c r="M34" s="153">
        <f>+AbfindungMethode2*L34</f>
        <v>13.250210834000001</v>
      </c>
      <c r="N34" s="159" t="s">
        <v>4413</v>
      </c>
      <c r="O34" s="17">
        <f>aktRW_BerDat</f>
        <v>40.79</v>
      </c>
    </row>
    <row r="35" spans="1:15">
      <c r="A35" s="314"/>
      <c r="B35" s="802" t="str">
        <f>"ℹ: Abfindung zum Berechnungezeitpunkt Methode 1 zu Methode 2: "&amp;TEXT(I35/AbfindungMethode2,"0,00%")&amp; " der Methode 2"</f>
        <v>ℹ: Abfindung zum Berechnungezeitpunkt Methode 1 zu Methode 2: 118,12% der Methode 2</v>
      </c>
      <c r="C35" s="802"/>
      <c r="D35" s="802"/>
      <c r="E35" s="802"/>
      <c r="F35" s="802"/>
      <c r="G35" s="802"/>
      <c r="H35" s="802"/>
      <c r="I35" s="629">
        <f>+AbfindungMethode1</f>
        <v>146992</v>
      </c>
      <c r="J35" s="644"/>
      <c r="K35" s="388"/>
      <c r="L35" s="1"/>
      <c r="M35" s="378" t="s">
        <v>4544</v>
      </c>
      <c r="N35" s="1"/>
      <c r="O35" s="616">
        <f>+O34*M34</f>
        <v>540.47609991885997</v>
      </c>
    </row>
    <row r="36" spans="1:15" ht="15" hidden="1" customHeight="1">
      <c r="A36" s="314"/>
      <c r="B36" s="624"/>
      <c r="C36" s="624"/>
      <c r="D36" s="624"/>
      <c r="E36" s="624"/>
      <c r="F36" s="624"/>
      <c r="G36" s="624"/>
      <c r="H36" s="1"/>
      <c r="I36" s="623"/>
      <c r="J36" s="624"/>
      <c r="K36" s="388"/>
      <c r="L36" s="1"/>
      <c r="M36" s="1"/>
      <c r="N36" s="1"/>
      <c r="O36" s="1"/>
    </row>
    <row r="37" spans="1:15">
      <c r="A37" s="314"/>
      <c r="B37" s="795" t="s">
        <v>4562</v>
      </c>
      <c r="C37" s="795"/>
      <c r="D37" s="795"/>
      <c r="E37" s="795"/>
      <c r="F37" s="795"/>
      <c r="G37" s="795"/>
      <c r="H37" s="795"/>
      <c r="I37" s="628">
        <f>IFERROR(+AbfindungMethode3,"")</f>
        <v>137505</v>
      </c>
      <c r="J37" s="645"/>
      <c r="K37" s="388"/>
      <c r="L37" s="1"/>
      <c r="M37" s="378" t="s">
        <v>4545</v>
      </c>
      <c r="N37" s="1"/>
      <c r="O37" s="608">
        <f>Startrente2zumBerDat*(1+'Abfindung Methode 1'!G24)^YEARFRAC('Abfindung Methode 2'!J9,'Abfindung Methode 2'!J15,3)</f>
        <v>903.45589052387334</v>
      </c>
    </row>
    <row r="38" spans="1:15">
      <c r="A38" s="388"/>
      <c r="B38" s="798" t="s">
        <v>5237</v>
      </c>
      <c r="C38" s="798"/>
      <c r="D38" s="798"/>
      <c r="E38" s="798"/>
      <c r="F38" s="798"/>
      <c r="G38" s="798"/>
      <c r="H38" s="798"/>
      <c r="I38" s="798"/>
      <c r="J38" s="798"/>
      <c r="K38" s="647"/>
      <c r="L38" s="1"/>
      <c r="M38" s="378" t="s">
        <v>4547</v>
      </c>
      <c r="N38" s="1"/>
      <c r="O38" s="1">
        <f>VLOOKUP(YEAR(Dat_BebDat_Ber),DRV_Renteneintritt,2)/12+65</f>
        <v>67</v>
      </c>
    </row>
    <row r="39" spans="1:15" hidden="1">
      <c r="A39" s="388"/>
      <c r="L39" s="1"/>
      <c r="M39" s="378" t="s">
        <v>4549</v>
      </c>
      <c r="N39" s="1"/>
      <c r="O39" s="618">
        <f>ROUND(VLOOKUP(O38,CHOOSE(GeschlechtsNr_Ber,Lx,Ly,Ln),YEAR(Dat_GebDat_Ber)+IF(MONTH(Dat_GebDat_Ber)&gt;6,1,0)-1900+2),2)</f>
        <v>24.23</v>
      </c>
    </row>
    <row r="40" spans="1:15" hidden="1">
      <c r="A40" s="388"/>
      <c r="L40" s="1"/>
      <c r="M40" s="378" t="s">
        <v>4546</v>
      </c>
      <c r="N40" s="378"/>
      <c r="O40" s="608">
        <f>-PV(-DRVDynamik,O39,O37*12)</f>
        <v>372482.53316955373</v>
      </c>
    </row>
    <row r="41" spans="1:15">
      <c r="A41" s="388"/>
      <c r="B41" s="794" t="s">
        <v>5238</v>
      </c>
      <c r="C41" s="794"/>
      <c r="D41" s="794"/>
      <c r="E41" s="794"/>
      <c r="F41" s="794"/>
      <c r="G41" s="794"/>
      <c r="H41" s="794"/>
      <c r="I41" s="794"/>
      <c r="J41" s="794"/>
      <c r="K41" s="388"/>
    </row>
  </sheetData>
  <sheetProtection algorithmName="SHA-512" hashValue="Li++Q35HyICWwnsSg8G6nrTwZhvkX/hRqTud3C/xsAVsRo9sayi4I5x0m791/jQVtVoZbaIi+LeR1ChITyJLJA==" saltValue="QaIZHyBGZefiWaO5OzRnnA==" spinCount="100000" sheet="1" objects="1" scenarios="1"/>
  <mergeCells count="40">
    <mergeCell ref="K9:K34"/>
    <mergeCell ref="B16:I16"/>
    <mergeCell ref="B17:I17"/>
    <mergeCell ref="B18:I18"/>
    <mergeCell ref="B19:I19"/>
    <mergeCell ref="B20:I20"/>
    <mergeCell ref="B21:I21"/>
    <mergeCell ref="B11:I11"/>
    <mergeCell ref="B12:I12"/>
    <mergeCell ref="B13:I13"/>
    <mergeCell ref="B14:I14"/>
    <mergeCell ref="B15:I15"/>
    <mergeCell ref="B22:I22"/>
    <mergeCell ref="B23:I23"/>
    <mergeCell ref="B24:I24"/>
    <mergeCell ref="B25:I25"/>
    <mergeCell ref="G7:H7"/>
    <mergeCell ref="B8:E8"/>
    <mergeCell ref="B10:I10"/>
    <mergeCell ref="B9:I9"/>
    <mergeCell ref="B3:D3"/>
    <mergeCell ref="G3:G4"/>
    <mergeCell ref="H3:H4"/>
    <mergeCell ref="I5:I6"/>
    <mergeCell ref="B41:J41"/>
    <mergeCell ref="B37:H37"/>
    <mergeCell ref="B1:J2"/>
    <mergeCell ref="B38:J38"/>
    <mergeCell ref="B31:H31"/>
    <mergeCell ref="B32:I32"/>
    <mergeCell ref="B33:H33"/>
    <mergeCell ref="B34:H34"/>
    <mergeCell ref="B35:H35"/>
    <mergeCell ref="B26:I26"/>
    <mergeCell ref="B27:G27"/>
    <mergeCell ref="B28:G28"/>
    <mergeCell ref="B29:I29"/>
    <mergeCell ref="B30:H30"/>
    <mergeCell ref="B7:C7"/>
    <mergeCell ref="D7:E7"/>
  </mergeCells>
  <dataValidations count="6">
    <dataValidation type="date" operator="greaterThan" allowBlank="1" showInputMessage="1" showErrorMessage="1" errorTitle="Eingabefehler" error="Es sind nur Datumseingaben ab 1.1.1920 zulässig" sqref="C6" xr:uid="{9F8E5C7A-A295-419F-976D-09D62DE3EE97}">
      <formula1>7306</formula1>
    </dataValidation>
    <dataValidation type="decimal" allowBlank="1" showInputMessage="1" showErrorMessage="1" errorTitle="Eingabefehler!" error="Es sind nur Zahleneingaben &lt;100 zulässig!" sqref="G5" xr:uid="{AB4C8FA0-D9DB-4C10-A5B2-814E58312BF2}">
      <formula1>1</formula1>
      <formula2>100</formula2>
    </dataValidation>
    <dataValidation allowBlank="1" showInputMessage="1" showErrorMessage="1" errorTitle="Eingabefehler!" error="Es sind nur Zahleneingaben &lt;18 zulässig_x000a_" sqref="I7" xr:uid="{6DCEF598-CDFD-480F-BA6D-448C883FBE16}"/>
    <dataValidation allowBlank="1" showInputMessage="1" showErrorMessage="1" errorTitle="Eingabefehler" error="Es sind nur Zahleneingaben &lt; 10.000 zulässig" sqref="F7:F8" xr:uid="{FF3B0CC6-1D51-4FE3-A922-DFC7D2C57C89}"/>
    <dataValidation type="date" operator="greaterThan" allowBlank="1" showInputMessage="1" showErrorMessage="1" errorTitle="Eingabefehler!" error="Es sind nur Datumseingaben ab 1.1.1920 zulässig" sqref="C4:C5 F3" xr:uid="{C6F2FFDD-CCC7-4158-A14B-99C79105C8B0}">
      <formula1>7306</formula1>
    </dataValidation>
    <dataValidation type="decimal" allowBlank="1" showInputMessage="1" showErrorMessage="1" errorTitle="Eingabefehler" error="Es sind nur Zahleneingaben &lt;100 zulässig" sqref="G6" xr:uid="{7C207F3E-2095-49EF-BEAF-3346FC72569F}">
      <formula1>1</formula1>
      <formula2>100</formula2>
    </dataValidation>
  </dataValidations>
  <hyperlinks>
    <hyperlink ref="G5" location="ReAlter_Pfl" display="ReAlter_Pfl" xr:uid="{41BB4429-AC8C-4981-B805-4823F8793F2C}"/>
    <hyperlink ref="G6" location="ReAlter_Ber" display="ReAlter_Ber" xr:uid="{E87BCABF-7F2B-49D4-9F9C-4ADA6213216D}"/>
    <hyperlink ref="F7" location="ReHöhe_EZE_Pfl" display="ReHöhe_EZE_Pfl" xr:uid="{C9BF9770-1B54-4813-AD40-990D509045B3}"/>
    <hyperlink ref="I7" location="ReAnzahlproJahr" display="ReAnzahlproJahr" xr:uid="{F6CC3FE8-3DCD-40AE-AB2A-03DBEDB5B3D4}"/>
    <hyperlink ref="F8" location="ReHöhe_Berdat" display="ReHöhe_Berdat" xr:uid="{727519DA-4441-419C-87AF-C2C382232637}"/>
    <hyperlink ref="I30" location="Sozialversicherungsabschlag" display="Sozialversicherungsabschlag" xr:uid="{08392CBA-23D1-4B67-A1F6-F52568C57AC2}"/>
    <hyperlink ref="I31" location="Steuerabschlag" display="Steuerabschlag" xr:uid="{925B0553-AEC2-4F7D-A8AD-ECA4B3447F3E}"/>
    <hyperlink ref="J21" location="Rentenhöhe_Fälligkeit" display="Rentenhöhe_Fälligkeit" xr:uid="{6EBAE67B-82A8-4537-98D7-83B14CCC48F9}"/>
  </hyperlinks>
  <pageMargins left="0.31496062992125984" right="0.31496062992125984" top="0.78740157480314965" bottom="0.78740157480314965" header="0.31496062992125984" footer="0.31496062992125984"/>
  <pageSetup paperSize="9" scale="9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2709" r:id="rId4" name="Check Box 5">
              <controlPr defaultSize="0" autoFill="0" autoLine="0" autoPict="0">
                <anchor moveWithCells="1">
                  <from>
                    <xdr:col>1</xdr:col>
                    <xdr:colOff>0</xdr:colOff>
                    <xdr:row>26</xdr:row>
                    <xdr:rowOff>19050</xdr:rowOff>
                  </from>
                  <to>
                    <xdr:col>1</xdr:col>
                    <xdr:colOff>2095500</xdr:colOff>
                    <xdr:row>27</xdr:row>
                    <xdr:rowOff>9525</xdr:rowOff>
                  </to>
                </anchor>
              </controlPr>
            </control>
          </mc:Choice>
        </mc:AlternateContent>
        <mc:AlternateContent xmlns:mc="http://schemas.openxmlformats.org/markup-compatibility/2006">
          <mc:Choice Requires="x14">
            <control shapeId="72710" r:id="rId5" name="Check Box 6">
              <controlPr defaultSize="0" autoFill="0" autoLine="0" autoPict="0">
                <anchor moveWithCells="1">
                  <from>
                    <xdr:col>0</xdr:col>
                    <xdr:colOff>257175</xdr:colOff>
                    <xdr:row>27</xdr:row>
                    <xdr:rowOff>28575</xdr:rowOff>
                  </from>
                  <to>
                    <xdr:col>1</xdr:col>
                    <xdr:colOff>2857500</xdr:colOff>
                    <xdr:row>27</xdr:row>
                    <xdr:rowOff>180975</xdr:rowOff>
                  </to>
                </anchor>
              </controlPr>
            </control>
          </mc:Choice>
        </mc:AlternateContent>
        <mc:AlternateContent xmlns:mc="http://schemas.openxmlformats.org/markup-compatibility/2006">
          <mc:Choice Requires="x14">
            <control shapeId="72715" r:id="rId6" name="Check Box 11">
              <controlPr defaultSize="0" autoFill="0" autoLine="0" autoPict="0">
                <anchor moveWithCells="1">
                  <from>
                    <xdr:col>1</xdr:col>
                    <xdr:colOff>9525</xdr:colOff>
                    <xdr:row>23</xdr:row>
                    <xdr:rowOff>19050</xdr:rowOff>
                  </from>
                  <to>
                    <xdr:col>5</xdr:col>
                    <xdr:colOff>819150</xdr:colOff>
                    <xdr:row>24</xdr:row>
                    <xdr:rowOff>9525</xdr:rowOff>
                  </to>
                </anchor>
              </controlPr>
            </control>
          </mc:Choice>
        </mc:AlternateContent>
        <mc:AlternateContent xmlns:mc="http://schemas.openxmlformats.org/markup-compatibility/2006">
          <mc:Choice Requires="x14">
            <control shapeId="72716" r:id="rId7" name="Check Box 12">
              <controlPr defaultSize="0" autoFill="0" autoLine="0" autoPict="0">
                <anchor moveWithCells="1">
                  <from>
                    <xdr:col>1</xdr:col>
                    <xdr:colOff>9525</xdr:colOff>
                    <xdr:row>24</xdr:row>
                    <xdr:rowOff>9525</xdr:rowOff>
                  </from>
                  <to>
                    <xdr:col>6</xdr:col>
                    <xdr:colOff>161925</xdr:colOff>
                    <xdr:row>24</xdr:row>
                    <xdr:rowOff>180975</xdr:rowOff>
                  </to>
                </anchor>
              </controlPr>
            </control>
          </mc:Choice>
        </mc:AlternateContent>
        <mc:AlternateContent xmlns:mc="http://schemas.openxmlformats.org/markup-compatibility/2006">
          <mc:Choice Requires="x14">
            <control shapeId="72717" r:id="rId8" name="Check Box 13">
              <controlPr defaultSize="0" autoFill="0" autoLine="0" autoPict="0">
                <anchor moveWithCells="1">
                  <from>
                    <xdr:col>0</xdr:col>
                    <xdr:colOff>257175</xdr:colOff>
                    <xdr:row>29</xdr:row>
                    <xdr:rowOff>28575</xdr:rowOff>
                  </from>
                  <to>
                    <xdr:col>1</xdr:col>
                    <xdr:colOff>2857500</xdr:colOff>
                    <xdr:row>30</xdr:row>
                    <xdr:rowOff>28575</xdr:rowOff>
                  </to>
                </anchor>
              </controlPr>
            </control>
          </mc:Choice>
        </mc:AlternateContent>
        <mc:AlternateContent xmlns:mc="http://schemas.openxmlformats.org/markup-compatibility/2006">
          <mc:Choice Requires="x14">
            <control shapeId="72718" r:id="rId9" name="Check Box 14">
              <controlPr defaultSize="0" autoFill="0" autoLine="0" autoPict="0">
                <anchor moveWithCells="1">
                  <from>
                    <xdr:col>0</xdr:col>
                    <xdr:colOff>257175</xdr:colOff>
                    <xdr:row>30</xdr:row>
                    <xdr:rowOff>19050</xdr:rowOff>
                  </from>
                  <to>
                    <xdr:col>1</xdr:col>
                    <xdr:colOff>2857500</xdr:colOff>
                    <xdr:row>30</xdr:row>
                    <xdr:rowOff>171450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8068A-497E-4BD0-8C68-CFF347EDE055}">
  <sheetPr codeName="Tabelle40"/>
  <dimension ref="A2:AB84"/>
  <sheetViews>
    <sheetView topLeftCell="B1" workbookViewId="0">
      <selection activeCell="O37" sqref="O37"/>
    </sheetView>
  </sheetViews>
  <sheetFormatPr baseColWidth="10" defaultColWidth="12.7109375" defaultRowHeight="15"/>
  <cols>
    <col min="1" max="1" width="24" hidden="1" customWidth="1"/>
    <col min="2" max="2" width="7" customWidth="1"/>
    <col min="3" max="3" width="11.5703125" customWidth="1"/>
    <col min="4" max="4" width="12.5703125" customWidth="1"/>
    <col min="5" max="6" width="10.42578125" customWidth="1"/>
    <col min="7" max="7" width="12.5703125" customWidth="1"/>
    <col min="8" max="9" width="11" customWidth="1"/>
    <col min="10" max="10" width="11" style="26" customWidth="1"/>
    <col min="11" max="11" width="7" customWidth="1"/>
    <col min="12" max="16" width="12.5703125" customWidth="1"/>
    <col min="17" max="18" width="11" customWidth="1"/>
    <col min="19" max="19" width="11" style="26" customWidth="1"/>
    <col min="20" max="20" width="7" customWidth="1"/>
    <col min="25" max="25" width="12.5703125" customWidth="1"/>
    <col min="26" max="27" width="11" customWidth="1"/>
    <col min="28" max="28" width="11" style="26" customWidth="1"/>
    <col min="29" max="29" width="13.28515625" bestFit="1" customWidth="1"/>
  </cols>
  <sheetData>
    <row r="2" spans="1:28" s="56" customFormat="1" ht="72" customHeight="1">
      <c r="A2" s="56" t="s">
        <v>3389</v>
      </c>
      <c r="B2" s="810" t="s">
        <v>2780</v>
      </c>
      <c r="C2" s="58" t="s">
        <v>3390</v>
      </c>
      <c r="D2" s="58" t="s">
        <v>3391</v>
      </c>
      <c r="E2" s="58" t="s">
        <v>3392</v>
      </c>
      <c r="F2" s="58" t="s">
        <v>3393</v>
      </c>
      <c r="G2" s="58" t="s">
        <v>3394</v>
      </c>
      <c r="H2" s="812" t="s">
        <v>3395</v>
      </c>
      <c r="I2" s="812"/>
      <c r="J2" s="813"/>
      <c r="K2" s="59"/>
      <c r="L2" s="60" t="s">
        <v>3390</v>
      </c>
      <c r="M2" s="60" t="s">
        <v>3391</v>
      </c>
      <c r="N2" s="60" t="s">
        <v>3392</v>
      </c>
      <c r="O2" s="60" t="s">
        <v>3393</v>
      </c>
      <c r="P2" s="60" t="str">
        <f>+G2</f>
        <v>Anwartschafts-barwert
Altersrente</v>
      </c>
      <c r="Q2" s="814" t="s">
        <v>3396</v>
      </c>
      <c r="R2" s="814"/>
      <c r="S2" s="815"/>
      <c r="T2" s="61"/>
      <c r="U2" s="62" t="s">
        <v>3390</v>
      </c>
      <c r="V2" s="62" t="s">
        <v>3391</v>
      </c>
      <c r="W2" s="62" t="s">
        <v>3392</v>
      </c>
      <c r="X2" s="62" t="s">
        <v>3393</v>
      </c>
      <c r="Y2" s="62" t="str">
        <f>+P2</f>
        <v>Anwartschafts-barwert
Altersrente</v>
      </c>
      <c r="Z2" s="816" t="s">
        <v>3396</v>
      </c>
      <c r="AA2" s="816"/>
      <c r="AB2" s="817"/>
    </row>
    <row r="3" spans="1:28" s="74" customFormat="1" ht="12.75">
      <c r="A3" s="63">
        <v>43112</v>
      </c>
      <c r="B3" s="811"/>
      <c r="C3" s="65" t="s">
        <v>3397</v>
      </c>
      <c r="D3" s="65" t="s">
        <v>3398</v>
      </c>
      <c r="E3" s="65" t="s">
        <v>3399</v>
      </c>
      <c r="F3" s="65"/>
      <c r="G3" s="65"/>
      <c r="H3" s="66" t="s">
        <v>3400</v>
      </c>
      <c r="I3" s="66" t="s">
        <v>3401</v>
      </c>
      <c r="J3" s="67" t="s">
        <v>3402</v>
      </c>
      <c r="K3" s="68" t="s">
        <v>2780</v>
      </c>
      <c r="L3" s="69" t="s">
        <v>3403</v>
      </c>
      <c r="M3" s="69" t="s">
        <v>3404</v>
      </c>
      <c r="N3" s="69" t="s">
        <v>3405</v>
      </c>
      <c r="O3" s="69"/>
      <c r="P3" s="69"/>
      <c r="Q3" s="69" t="s">
        <v>3400</v>
      </c>
      <c r="R3" s="69" t="s">
        <v>3401</v>
      </c>
      <c r="S3" s="70" t="s">
        <v>3402</v>
      </c>
      <c r="T3" s="71" t="s">
        <v>2780</v>
      </c>
      <c r="U3" s="72" t="s">
        <v>3403</v>
      </c>
      <c r="V3" s="72" t="s">
        <v>3404</v>
      </c>
      <c r="W3" s="72" t="s">
        <v>3405</v>
      </c>
      <c r="X3" s="72"/>
      <c r="Y3" s="72"/>
      <c r="Z3" s="72" t="s">
        <v>3400</v>
      </c>
      <c r="AA3" s="72" t="s">
        <v>3401</v>
      </c>
      <c r="AB3" s="73" t="s">
        <v>3402</v>
      </c>
    </row>
    <row r="4" spans="1:28">
      <c r="B4" s="75">
        <v>20</v>
      </c>
      <c r="C4" s="76">
        <v>0.22700000000000001</v>
      </c>
      <c r="D4" s="76">
        <v>5.6020000000000003</v>
      </c>
      <c r="E4" s="76">
        <v>0.53</v>
      </c>
      <c r="F4" s="76">
        <v>0.53</v>
      </c>
      <c r="G4" s="76">
        <v>5.375</v>
      </c>
      <c r="H4" s="77">
        <v>4.2232558139534887E-2</v>
      </c>
      <c r="I4" s="77">
        <v>9.8604651162790699E-2</v>
      </c>
      <c r="J4" s="78">
        <v>0.14083720930232557</v>
      </c>
      <c r="K4" s="75">
        <v>20</v>
      </c>
      <c r="L4" s="76">
        <v>0.24</v>
      </c>
      <c r="M4" s="76">
        <v>6.375</v>
      </c>
      <c r="N4" s="79">
        <v>0.13100000000000001</v>
      </c>
      <c r="O4" s="76">
        <v>0.13100000000000001</v>
      </c>
      <c r="P4" s="76">
        <v>6.1349999999999998</v>
      </c>
      <c r="Q4" s="77">
        <v>3.9119804400977995E-2</v>
      </c>
      <c r="R4" s="77">
        <v>2.1352893235533823E-2</v>
      </c>
      <c r="S4" s="78">
        <v>6.0472697636511821E-2</v>
      </c>
      <c r="T4" s="75">
        <v>20</v>
      </c>
      <c r="U4" s="80">
        <v>0.23349999999999999</v>
      </c>
      <c r="V4" s="80">
        <v>5.9885000000000002</v>
      </c>
      <c r="W4" s="80">
        <v>0.33050000000000002</v>
      </c>
      <c r="X4" s="80">
        <v>0.33050000000000002</v>
      </c>
      <c r="Y4" s="80">
        <v>5.7549999999999999</v>
      </c>
      <c r="Z4" s="81">
        <v>4.0676181270256441E-2</v>
      </c>
      <c r="AA4" s="81">
        <v>5.9978772199162263E-2</v>
      </c>
      <c r="AB4" s="82">
        <v>0.10065495346941869</v>
      </c>
    </row>
    <row r="5" spans="1:28">
      <c r="B5" s="83">
        <v>21</v>
      </c>
      <c r="C5" s="84">
        <v>0.26</v>
      </c>
      <c r="D5" s="84">
        <v>5.7729999999999997</v>
      </c>
      <c r="E5" s="84">
        <v>0.61599999999999999</v>
      </c>
      <c r="F5" s="84">
        <v>0.61599999999999999</v>
      </c>
      <c r="G5" s="84">
        <v>5.5129999999999999</v>
      </c>
      <c r="H5" s="85">
        <v>4.716125521494649E-2</v>
      </c>
      <c r="I5" s="85">
        <v>0.11173589697079631</v>
      </c>
      <c r="J5" s="78">
        <v>0.1588971521857428</v>
      </c>
      <c r="K5" s="83">
        <v>21</v>
      </c>
      <c r="L5" s="84">
        <v>0.28799999999999998</v>
      </c>
      <c r="M5" s="84">
        <v>6.5659999999999998</v>
      </c>
      <c r="N5" s="86">
        <v>0.158</v>
      </c>
      <c r="O5" s="84">
        <v>0.158</v>
      </c>
      <c r="P5" s="84">
        <v>6.2779999999999996</v>
      </c>
      <c r="Q5" s="85">
        <v>4.5874482319209937E-2</v>
      </c>
      <c r="R5" s="85">
        <v>2.5167250716788787E-2</v>
      </c>
      <c r="S5" s="87">
        <v>7.1041733035998728E-2</v>
      </c>
      <c r="T5" s="83">
        <v>21</v>
      </c>
      <c r="U5" s="88">
        <v>0.27400000000000002</v>
      </c>
      <c r="V5" s="88">
        <v>6.1694999999999993</v>
      </c>
      <c r="W5" s="88">
        <v>0.38700000000000001</v>
      </c>
      <c r="X5" s="88">
        <v>0.38700000000000001</v>
      </c>
      <c r="Y5" s="88">
        <v>5.8955000000000002</v>
      </c>
      <c r="Z5" s="29">
        <v>4.651786876707821E-2</v>
      </c>
      <c r="AA5" s="29">
        <v>6.8451573843792551E-2</v>
      </c>
      <c r="AB5" s="89">
        <v>0.11496944261087076</v>
      </c>
    </row>
    <row r="6" spans="1:28">
      <c r="B6" s="75">
        <v>22</v>
      </c>
      <c r="C6" s="76">
        <v>0.29599999999999999</v>
      </c>
      <c r="D6" s="76">
        <v>5.9480000000000004</v>
      </c>
      <c r="E6" s="76">
        <v>0.70799999999999996</v>
      </c>
      <c r="F6" s="76">
        <v>0.70799999999999996</v>
      </c>
      <c r="G6" s="76">
        <v>5.6520000000000001</v>
      </c>
      <c r="H6" s="77">
        <v>5.2370842179759375E-2</v>
      </c>
      <c r="I6" s="77">
        <v>0.12526539278131635</v>
      </c>
      <c r="J6" s="78">
        <v>0.17763623496107572</v>
      </c>
      <c r="K6" s="75">
        <v>22</v>
      </c>
      <c r="L6" s="76">
        <v>0.33200000000000002</v>
      </c>
      <c r="M6" s="76">
        <v>6.7619999999999996</v>
      </c>
      <c r="N6" s="79">
        <v>0.184</v>
      </c>
      <c r="O6" s="76">
        <v>0.184</v>
      </c>
      <c r="P6" s="76">
        <v>6.43</v>
      </c>
      <c r="Q6" s="77">
        <v>5.1632970451010889E-2</v>
      </c>
      <c r="R6" s="77">
        <v>2.8615863141524107E-2</v>
      </c>
      <c r="S6" s="78">
        <v>8.0248833592534999E-2</v>
      </c>
      <c r="T6" s="75">
        <v>22</v>
      </c>
      <c r="U6" s="80">
        <v>0.314</v>
      </c>
      <c r="V6" s="80">
        <v>6.3550000000000004</v>
      </c>
      <c r="W6" s="80">
        <v>0.44599999999999995</v>
      </c>
      <c r="X6" s="80">
        <v>0.44599999999999995</v>
      </c>
      <c r="Y6" s="80">
        <v>6.0410000000000004</v>
      </c>
      <c r="Z6" s="81">
        <v>5.2001906315385135E-2</v>
      </c>
      <c r="AA6" s="81">
        <v>7.6940627961420233E-2</v>
      </c>
      <c r="AB6" s="82">
        <v>0.12894253427680535</v>
      </c>
    </row>
    <row r="7" spans="1:28">
      <c r="B7" s="83">
        <v>23</v>
      </c>
      <c r="C7" s="84">
        <v>0.33100000000000002</v>
      </c>
      <c r="D7" s="84">
        <v>6.1269999999999998</v>
      </c>
      <c r="E7" s="84">
        <v>0.80300000000000005</v>
      </c>
      <c r="F7" s="84">
        <v>0.80300000000000005</v>
      </c>
      <c r="G7" s="84">
        <v>5.7959999999999994</v>
      </c>
      <c r="H7" s="85">
        <v>5.7108350586611463E-2</v>
      </c>
      <c r="I7" s="85">
        <v>0.13854382332643206</v>
      </c>
      <c r="J7" s="78">
        <v>0.19565217391304351</v>
      </c>
      <c r="K7" s="83">
        <v>23</v>
      </c>
      <c r="L7" s="84">
        <v>0.36899999999999999</v>
      </c>
      <c r="M7" s="84">
        <v>6.9630000000000001</v>
      </c>
      <c r="N7" s="86">
        <v>0.20599999999999999</v>
      </c>
      <c r="O7" s="84">
        <v>0.20599999999999999</v>
      </c>
      <c r="P7" s="84">
        <v>6.5940000000000003</v>
      </c>
      <c r="Q7" s="85">
        <v>5.5959963603275702E-2</v>
      </c>
      <c r="R7" s="85">
        <v>3.1240521686381556E-2</v>
      </c>
      <c r="S7" s="87">
        <v>8.7200485289657265E-2</v>
      </c>
      <c r="T7" s="83">
        <v>23</v>
      </c>
      <c r="U7" s="88">
        <v>0.35</v>
      </c>
      <c r="V7" s="88">
        <v>6.5449999999999999</v>
      </c>
      <c r="W7" s="88">
        <v>0.50450000000000006</v>
      </c>
      <c r="X7" s="88">
        <v>0.50450000000000006</v>
      </c>
      <c r="Y7" s="88">
        <v>6.1950000000000003</v>
      </c>
      <c r="Z7" s="29">
        <v>5.6534157094943582E-2</v>
      </c>
      <c r="AA7" s="29">
        <v>8.4892172506406807E-2</v>
      </c>
      <c r="AB7" s="89">
        <v>0.14142632960135038</v>
      </c>
    </row>
    <row r="8" spans="1:28">
      <c r="B8" s="75">
        <v>24</v>
      </c>
      <c r="C8" s="76">
        <v>0.36299999999999999</v>
      </c>
      <c r="D8" s="76">
        <v>6.31</v>
      </c>
      <c r="E8" s="76">
        <v>0.89200000000000002</v>
      </c>
      <c r="F8" s="76">
        <v>0.89200000000000002</v>
      </c>
      <c r="G8" s="76">
        <v>5.9469999999999992</v>
      </c>
      <c r="H8" s="77">
        <v>6.1039179418194055E-2</v>
      </c>
      <c r="I8" s="77">
        <v>0.14999159239952919</v>
      </c>
      <c r="J8" s="78">
        <v>0.21103077181772326</v>
      </c>
      <c r="K8" s="75">
        <v>24</v>
      </c>
      <c r="L8" s="76">
        <v>0.40200000000000002</v>
      </c>
      <c r="M8" s="76">
        <v>7.17</v>
      </c>
      <c r="N8" s="79">
        <v>0.22600000000000001</v>
      </c>
      <c r="O8" s="76">
        <v>0.22600000000000001</v>
      </c>
      <c r="P8" s="76">
        <v>6.7679999999999998</v>
      </c>
      <c r="Q8" s="77">
        <v>5.9397163120567378E-2</v>
      </c>
      <c r="R8" s="77">
        <v>3.3392434988179669E-2</v>
      </c>
      <c r="S8" s="78">
        <v>9.278959810874704E-2</v>
      </c>
      <c r="T8" s="75">
        <v>24</v>
      </c>
      <c r="U8" s="80">
        <v>0.38250000000000001</v>
      </c>
      <c r="V8" s="80">
        <v>6.74</v>
      </c>
      <c r="W8" s="80">
        <v>0.55900000000000005</v>
      </c>
      <c r="X8" s="80">
        <v>0.55900000000000005</v>
      </c>
      <c r="Y8" s="80">
        <v>6.3574999999999999</v>
      </c>
      <c r="Z8" s="81">
        <v>6.0218171269380713E-2</v>
      </c>
      <c r="AA8" s="81">
        <v>9.1692013693854435E-2</v>
      </c>
      <c r="AB8" s="82">
        <v>0.15191018496323516</v>
      </c>
    </row>
    <row r="9" spans="1:28">
      <c r="B9" s="83">
        <v>25</v>
      </c>
      <c r="C9" s="84">
        <v>0.39</v>
      </c>
      <c r="D9" s="84">
        <v>6.4989999999999997</v>
      </c>
      <c r="E9" s="84">
        <v>0.97399999999999998</v>
      </c>
      <c r="F9" s="84">
        <v>0.97399999999999998</v>
      </c>
      <c r="G9" s="84">
        <v>6.109</v>
      </c>
      <c r="H9" s="85">
        <v>6.3840235717793417E-2</v>
      </c>
      <c r="I9" s="85">
        <v>0.15943689638238664</v>
      </c>
      <c r="J9" s="78">
        <v>0.22327713210018008</v>
      </c>
      <c r="K9" s="83">
        <v>25</v>
      </c>
      <c r="L9" s="84">
        <v>0.434</v>
      </c>
      <c r="M9" s="84">
        <v>7.3810000000000002</v>
      </c>
      <c r="N9" s="86">
        <v>0.246</v>
      </c>
      <c r="O9" s="84">
        <v>0.246</v>
      </c>
      <c r="P9" s="84">
        <v>6.9470000000000001</v>
      </c>
      <c r="Q9" s="85">
        <v>6.2473009932344899E-2</v>
      </c>
      <c r="R9" s="85">
        <v>3.5410968763495032E-2</v>
      </c>
      <c r="S9" s="87">
        <v>9.7883978695839924E-2</v>
      </c>
      <c r="T9" s="83">
        <v>25</v>
      </c>
      <c r="U9" s="88">
        <v>0.41200000000000003</v>
      </c>
      <c r="V9" s="88">
        <v>6.9399999999999995</v>
      </c>
      <c r="W9" s="88">
        <v>0.61</v>
      </c>
      <c r="X9" s="88">
        <v>0.61</v>
      </c>
      <c r="Y9" s="88">
        <v>6.5280000000000005</v>
      </c>
      <c r="Z9" s="29">
        <v>6.3156622825069161E-2</v>
      </c>
      <c r="AA9" s="29">
        <v>9.7423932572940838E-2</v>
      </c>
      <c r="AB9" s="89">
        <v>0.16058055539801</v>
      </c>
    </row>
    <row r="10" spans="1:28">
      <c r="B10" s="75">
        <v>26</v>
      </c>
      <c r="C10" s="76">
        <v>0.41499999999999998</v>
      </c>
      <c r="D10" s="76">
        <v>6.6909999999999998</v>
      </c>
      <c r="E10" s="76">
        <v>1.052</v>
      </c>
      <c r="F10" s="76">
        <v>1.052</v>
      </c>
      <c r="G10" s="76">
        <v>6.2759999999999998</v>
      </c>
      <c r="H10" s="77">
        <v>6.6124920331421283E-2</v>
      </c>
      <c r="I10" s="77">
        <v>0.16762268961121735</v>
      </c>
      <c r="J10" s="78">
        <v>0.23374760994263863</v>
      </c>
      <c r="K10" s="75">
        <v>26</v>
      </c>
      <c r="L10" s="76">
        <v>0.46500000000000002</v>
      </c>
      <c r="M10" s="76">
        <v>7.5970000000000004</v>
      </c>
      <c r="N10" s="79">
        <v>0.26600000000000001</v>
      </c>
      <c r="O10" s="76">
        <v>0.26600000000000001</v>
      </c>
      <c r="P10" s="76">
        <v>7.1320000000000006</v>
      </c>
      <c r="Q10" s="77">
        <v>6.5199102636006728E-2</v>
      </c>
      <c r="R10" s="77">
        <v>3.7296690970274819E-2</v>
      </c>
      <c r="S10" s="78">
        <v>0.10249579360628155</v>
      </c>
      <c r="T10" s="75">
        <v>26</v>
      </c>
      <c r="U10" s="80">
        <v>0.44</v>
      </c>
      <c r="V10" s="80">
        <v>7.1440000000000001</v>
      </c>
      <c r="W10" s="80">
        <v>0.65900000000000003</v>
      </c>
      <c r="X10" s="80">
        <v>0.65900000000000003</v>
      </c>
      <c r="Y10" s="80">
        <v>6.7040000000000006</v>
      </c>
      <c r="Z10" s="81">
        <v>6.5662011483714006E-2</v>
      </c>
      <c r="AA10" s="81">
        <v>0.10245969029074609</v>
      </c>
      <c r="AB10" s="82">
        <v>0.16812170177446009</v>
      </c>
    </row>
    <row r="11" spans="1:28">
      <c r="B11" s="83">
        <v>27</v>
      </c>
      <c r="C11" s="84">
        <v>0.436</v>
      </c>
      <c r="D11" s="84">
        <v>6.8890000000000002</v>
      </c>
      <c r="E11" s="84">
        <v>1.1279999999999999</v>
      </c>
      <c r="F11" s="84">
        <v>1.1279999999999999</v>
      </c>
      <c r="G11" s="84">
        <v>6.4530000000000003</v>
      </c>
      <c r="H11" s="85">
        <v>6.7565473423214006E-2</v>
      </c>
      <c r="I11" s="85">
        <v>0.17480241748024172</v>
      </c>
      <c r="J11" s="78">
        <v>0.24236789090345573</v>
      </c>
      <c r="K11" s="83">
        <v>27</v>
      </c>
      <c r="L11" s="84">
        <v>0.49399999999999999</v>
      </c>
      <c r="M11" s="84">
        <v>7.8170000000000002</v>
      </c>
      <c r="N11" s="86">
        <v>0.28599999999999998</v>
      </c>
      <c r="O11" s="84">
        <v>0.28599999999999998</v>
      </c>
      <c r="P11" s="84">
        <v>7.3230000000000004</v>
      </c>
      <c r="Q11" s="85">
        <v>6.7458691792981015E-2</v>
      </c>
      <c r="R11" s="85">
        <v>3.9055032090673215E-2</v>
      </c>
      <c r="S11" s="87">
        <v>0.10651372388365424</v>
      </c>
      <c r="T11" s="83">
        <v>27</v>
      </c>
      <c r="U11" s="88">
        <v>0.46499999999999997</v>
      </c>
      <c r="V11" s="88">
        <v>7.3529999999999998</v>
      </c>
      <c r="W11" s="88">
        <v>0.70699999999999996</v>
      </c>
      <c r="X11" s="88">
        <v>0.70699999999999996</v>
      </c>
      <c r="Y11" s="88">
        <v>6.8879999999999999</v>
      </c>
      <c r="Z11" s="29">
        <v>6.7512082608097518E-2</v>
      </c>
      <c r="AA11" s="29">
        <v>0.10692872478545747</v>
      </c>
      <c r="AB11" s="89">
        <v>0.174440807393555</v>
      </c>
    </row>
    <row r="12" spans="1:28">
      <c r="B12" s="75">
        <v>28</v>
      </c>
      <c r="C12" s="76">
        <v>0.45600000000000002</v>
      </c>
      <c r="D12" s="76">
        <v>7.0910000000000002</v>
      </c>
      <c r="E12" s="76">
        <v>1.2010000000000001</v>
      </c>
      <c r="F12" s="76">
        <v>1.2010000000000001</v>
      </c>
      <c r="G12" s="76">
        <v>6.6349999999999998</v>
      </c>
      <c r="H12" s="77">
        <v>6.8726450640542586E-2</v>
      </c>
      <c r="I12" s="77">
        <v>0.1810097965335343</v>
      </c>
      <c r="J12" s="78">
        <v>0.24973624717407689</v>
      </c>
      <c r="K12" s="75">
        <v>28</v>
      </c>
      <c r="L12" s="76">
        <v>0.52200000000000002</v>
      </c>
      <c r="M12" s="76">
        <v>8.0429999999999993</v>
      </c>
      <c r="N12" s="79">
        <v>0.30599999999999999</v>
      </c>
      <c r="O12" s="76">
        <v>0.30599999999999999</v>
      </c>
      <c r="P12" s="76">
        <v>7.520999999999999</v>
      </c>
      <c r="Q12" s="77">
        <v>6.9405664140406872E-2</v>
      </c>
      <c r="R12" s="77">
        <v>4.0686078978859196E-2</v>
      </c>
      <c r="S12" s="78">
        <v>0.11009174311926606</v>
      </c>
      <c r="T12" s="75">
        <v>28</v>
      </c>
      <c r="U12" s="80">
        <v>0.48899999999999999</v>
      </c>
      <c r="V12" s="80">
        <v>7.5670000000000002</v>
      </c>
      <c r="W12" s="80">
        <v>0.75350000000000006</v>
      </c>
      <c r="X12" s="80">
        <v>0.75350000000000006</v>
      </c>
      <c r="Y12" s="80">
        <v>7.0779999999999994</v>
      </c>
      <c r="Z12" s="81">
        <v>6.9066057390474722E-2</v>
      </c>
      <c r="AA12" s="81">
        <v>0.11084793775619675</v>
      </c>
      <c r="AB12" s="82">
        <v>0.17991399514667147</v>
      </c>
    </row>
    <row r="13" spans="1:28">
      <c r="B13" s="83">
        <v>29</v>
      </c>
      <c r="C13" s="84">
        <v>0.47299999999999998</v>
      </c>
      <c r="D13" s="84">
        <v>7.298</v>
      </c>
      <c r="E13" s="84">
        <v>1.274</v>
      </c>
      <c r="F13" s="84">
        <v>1.274</v>
      </c>
      <c r="G13" s="84">
        <v>6.8250000000000002</v>
      </c>
      <c r="H13" s="85">
        <v>6.9304029304029305E-2</v>
      </c>
      <c r="I13" s="85">
        <v>0.18666666666666668</v>
      </c>
      <c r="J13" s="78">
        <v>0.25597069597069599</v>
      </c>
      <c r="K13" s="83">
        <v>29</v>
      </c>
      <c r="L13" s="84">
        <v>0.54700000000000004</v>
      </c>
      <c r="M13" s="84">
        <v>8.2739999999999991</v>
      </c>
      <c r="N13" s="86">
        <v>0.32600000000000001</v>
      </c>
      <c r="O13" s="84">
        <v>0.32600000000000001</v>
      </c>
      <c r="P13" s="84">
        <v>7.7269999999999994</v>
      </c>
      <c r="Q13" s="85">
        <v>7.0790733790604382E-2</v>
      </c>
      <c r="R13" s="85">
        <v>4.2189724343212116E-2</v>
      </c>
      <c r="S13" s="87">
        <v>0.11298045813381649</v>
      </c>
      <c r="T13" s="83">
        <v>29</v>
      </c>
      <c r="U13" s="88">
        <v>0.51</v>
      </c>
      <c r="V13" s="88">
        <v>7.7859999999999996</v>
      </c>
      <c r="W13" s="88">
        <v>0.8</v>
      </c>
      <c r="X13" s="88">
        <v>0.8</v>
      </c>
      <c r="Y13" s="88">
        <v>7.2759999999999998</v>
      </c>
      <c r="Z13" s="29">
        <v>7.004738154731685E-2</v>
      </c>
      <c r="AA13" s="29">
        <v>0.11442819550493939</v>
      </c>
      <c r="AB13" s="89">
        <v>0.18447557705225626</v>
      </c>
    </row>
    <row r="14" spans="1:28">
      <c r="B14" s="75">
        <v>30</v>
      </c>
      <c r="C14" s="76">
        <v>0.48899999999999999</v>
      </c>
      <c r="D14" s="76">
        <v>7.5110000000000001</v>
      </c>
      <c r="E14" s="76">
        <v>1.345</v>
      </c>
      <c r="F14" s="76">
        <v>1.345</v>
      </c>
      <c r="G14" s="76">
        <v>7.0220000000000002</v>
      </c>
      <c r="H14" s="77">
        <v>6.9638279692395319E-2</v>
      </c>
      <c r="I14" s="77">
        <v>0.19154087154656793</v>
      </c>
      <c r="J14" s="78">
        <v>0.26117915123896324</v>
      </c>
      <c r="K14" s="75">
        <v>30</v>
      </c>
      <c r="L14" s="76">
        <v>0.57099999999999995</v>
      </c>
      <c r="M14" s="76">
        <v>8.5090000000000003</v>
      </c>
      <c r="N14" s="79">
        <v>0.34499999999999997</v>
      </c>
      <c r="O14" s="76">
        <v>0.34499999999999997</v>
      </c>
      <c r="P14" s="76">
        <v>7.9380000000000006</v>
      </c>
      <c r="Q14" s="77">
        <v>7.193247669438145E-2</v>
      </c>
      <c r="R14" s="77">
        <v>4.3461829176114887E-2</v>
      </c>
      <c r="S14" s="78">
        <v>0.11539430587049634</v>
      </c>
      <c r="T14" s="75">
        <v>30</v>
      </c>
      <c r="U14" s="80">
        <v>0.53</v>
      </c>
      <c r="V14" s="80">
        <v>8.01</v>
      </c>
      <c r="W14" s="80">
        <v>0.84499999999999997</v>
      </c>
      <c r="X14" s="80">
        <v>0.84499999999999997</v>
      </c>
      <c r="Y14" s="80">
        <v>7.48</v>
      </c>
      <c r="Z14" s="81">
        <v>7.0785378193388385E-2</v>
      </c>
      <c r="AA14" s="81">
        <v>0.11750135036134141</v>
      </c>
      <c r="AB14" s="82">
        <v>0.18828672855472978</v>
      </c>
    </row>
    <row r="15" spans="1:28">
      <c r="B15" s="83">
        <v>31</v>
      </c>
      <c r="C15" s="84">
        <v>0.503</v>
      </c>
      <c r="D15" s="84">
        <v>7.73</v>
      </c>
      <c r="E15" s="84">
        <v>1.4159999999999999</v>
      </c>
      <c r="F15" s="84">
        <v>1.4159999999999999</v>
      </c>
      <c r="G15" s="84">
        <v>7.2270000000000003</v>
      </c>
      <c r="H15" s="85">
        <v>6.9600110696001111E-2</v>
      </c>
      <c r="I15" s="85">
        <v>0.19593192195931919</v>
      </c>
      <c r="J15" s="78">
        <v>0.26553203265532033</v>
      </c>
      <c r="K15" s="83">
        <v>31</v>
      </c>
      <c r="L15" s="84">
        <v>0.59099999999999997</v>
      </c>
      <c r="M15" s="84">
        <v>8.7509999999999994</v>
      </c>
      <c r="N15" s="86">
        <v>0.36399999999999999</v>
      </c>
      <c r="O15" s="84">
        <v>0.36399999999999999</v>
      </c>
      <c r="P15" s="84">
        <v>8.16</v>
      </c>
      <c r="Q15" s="85">
        <v>7.2426470588235287E-2</v>
      </c>
      <c r="R15" s="85">
        <v>4.4607843137254903E-2</v>
      </c>
      <c r="S15" s="87">
        <v>0.1170343137254902</v>
      </c>
      <c r="T15" s="83">
        <v>31</v>
      </c>
      <c r="U15" s="88">
        <v>0.54699999999999993</v>
      </c>
      <c r="V15" s="88">
        <v>8.2405000000000008</v>
      </c>
      <c r="W15" s="88">
        <v>0.8899999999999999</v>
      </c>
      <c r="X15" s="88">
        <v>0.8899999999999999</v>
      </c>
      <c r="Y15" s="88">
        <v>7.6935000000000002</v>
      </c>
      <c r="Z15" s="29">
        <v>7.1013290642118199E-2</v>
      </c>
      <c r="AA15" s="29">
        <v>0.12026988254828705</v>
      </c>
      <c r="AB15" s="89">
        <v>0.19128317319040528</v>
      </c>
    </row>
    <row r="16" spans="1:28">
      <c r="B16" s="75">
        <v>32</v>
      </c>
      <c r="C16" s="76">
        <v>0.51700000000000002</v>
      </c>
      <c r="D16" s="76">
        <v>7.9539999999999997</v>
      </c>
      <c r="E16" s="76">
        <v>1.488</v>
      </c>
      <c r="F16" s="76">
        <v>1.488</v>
      </c>
      <c r="G16" s="76">
        <v>7.4369999999999994</v>
      </c>
      <c r="H16" s="77">
        <v>6.9517278472502358E-2</v>
      </c>
      <c r="I16" s="77">
        <v>0.200080677692618</v>
      </c>
      <c r="J16" s="78">
        <v>0.26959795616512039</v>
      </c>
      <c r="K16" s="75">
        <v>32</v>
      </c>
      <c r="L16" s="76">
        <v>0.61</v>
      </c>
      <c r="M16" s="76">
        <v>8.9969999999999999</v>
      </c>
      <c r="N16" s="79">
        <v>0.38200000000000001</v>
      </c>
      <c r="O16" s="76">
        <v>0.38200000000000001</v>
      </c>
      <c r="P16" s="76">
        <v>8.3870000000000005</v>
      </c>
      <c r="Q16" s="77">
        <v>7.2731608441635856E-2</v>
      </c>
      <c r="R16" s="77">
        <v>4.5546679384762132E-2</v>
      </c>
      <c r="S16" s="78">
        <v>0.11827828782639799</v>
      </c>
      <c r="T16" s="75">
        <v>32</v>
      </c>
      <c r="U16" s="80">
        <v>0.5635</v>
      </c>
      <c r="V16" s="80">
        <v>8.4755000000000003</v>
      </c>
      <c r="W16" s="80">
        <v>0.93500000000000005</v>
      </c>
      <c r="X16" s="80">
        <v>0.93500000000000005</v>
      </c>
      <c r="Y16" s="80">
        <v>7.9119999999999999</v>
      </c>
      <c r="Z16" s="81">
        <v>7.1124443457069114E-2</v>
      </c>
      <c r="AA16" s="81">
        <v>0.12281367853869007</v>
      </c>
      <c r="AB16" s="82">
        <v>0.19393812199575919</v>
      </c>
    </row>
    <row r="17" spans="2:28">
      <c r="B17" s="83">
        <v>33</v>
      </c>
      <c r="C17" s="84">
        <v>0.52800000000000002</v>
      </c>
      <c r="D17" s="84">
        <v>8.1839999999999993</v>
      </c>
      <c r="E17" s="84">
        <v>1.5589999999999999</v>
      </c>
      <c r="F17" s="84">
        <v>1.5589999999999999</v>
      </c>
      <c r="G17" s="84">
        <v>7.6559999999999988</v>
      </c>
      <c r="H17" s="85">
        <v>6.8965517241379323E-2</v>
      </c>
      <c r="I17" s="85">
        <v>0.20363113897596657</v>
      </c>
      <c r="J17" s="78">
        <v>0.27259665621734591</v>
      </c>
      <c r="K17" s="83">
        <v>33</v>
      </c>
      <c r="L17" s="84">
        <v>0.626</v>
      </c>
      <c r="M17" s="84">
        <v>9.25</v>
      </c>
      <c r="N17" s="86">
        <v>0.4</v>
      </c>
      <c r="O17" s="84">
        <v>0.4</v>
      </c>
      <c r="P17" s="84">
        <v>8.6240000000000006</v>
      </c>
      <c r="Q17" s="85">
        <v>7.2588126159554733E-2</v>
      </c>
      <c r="R17" s="85">
        <v>4.6382189239332093E-2</v>
      </c>
      <c r="S17" s="87">
        <v>0.11897031539888683</v>
      </c>
      <c r="T17" s="83">
        <v>33</v>
      </c>
      <c r="U17" s="88">
        <v>0.57699999999999996</v>
      </c>
      <c r="V17" s="88">
        <v>8.7169999999999987</v>
      </c>
      <c r="W17" s="88">
        <v>0.97950000000000004</v>
      </c>
      <c r="X17" s="88">
        <v>0.97950000000000004</v>
      </c>
      <c r="Y17" s="88">
        <v>8.14</v>
      </c>
      <c r="Z17" s="29">
        <v>7.0776821700467035E-2</v>
      </c>
      <c r="AA17" s="29">
        <v>0.12500666410764932</v>
      </c>
      <c r="AB17" s="89">
        <v>0.19578348580811639</v>
      </c>
    </row>
    <row r="18" spans="2:28">
      <c r="B18" s="75">
        <v>34</v>
      </c>
      <c r="C18" s="76">
        <v>0.53800000000000003</v>
      </c>
      <c r="D18" s="76">
        <v>8.4209999999999994</v>
      </c>
      <c r="E18" s="76">
        <v>1.63</v>
      </c>
      <c r="F18" s="76">
        <v>1.63</v>
      </c>
      <c r="G18" s="76">
        <v>7.8829999999999991</v>
      </c>
      <c r="H18" s="77">
        <v>6.8248128884942291E-2</v>
      </c>
      <c r="I18" s="77">
        <v>0.20677407078523405</v>
      </c>
      <c r="J18" s="78">
        <v>0.27502219967017633</v>
      </c>
      <c r="K18" s="75">
        <v>34</v>
      </c>
      <c r="L18" s="76">
        <v>0.63800000000000001</v>
      </c>
      <c r="M18" s="76">
        <v>9.5079999999999991</v>
      </c>
      <c r="N18" s="79">
        <v>0.41799999999999998</v>
      </c>
      <c r="O18" s="76">
        <v>0.41799999999999998</v>
      </c>
      <c r="P18" s="76">
        <v>8.8699999999999992</v>
      </c>
      <c r="Q18" s="77">
        <v>7.1927846674182644E-2</v>
      </c>
      <c r="R18" s="77">
        <v>4.7125140924464487E-2</v>
      </c>
      <c r="S18" s="78">
        <v>0.11905298759864713</v>
      </c>
      <c r="T18" s="75">
        <v>34</v>
      </c>
      <c r="U18" s="80">
        <v>0.58800000000000008</v>
      </c>
      <c r="V18" s="80">
        <v>8.9644999999999992</v>
      </c>
      <c r="W18" s="80">
        <v>1.024</v>
      </c>
      <c r="X18" s="80">
        <v>1.024</v>
      </c>
      <c r="Y18" s="80">
        <v>8.3765000000000001</v>
      </c>
      <c r="Z18" s="81">
        <v>7.0087987779562461E-2</v>
      </c>
      <c r="AA18" s="81">
        <v>0.12694960585484927</v>
      </c>
      <c r="AB18" s="82">
        <v>0.19703759363441173</v>
      </c>
    </row>
    <row r="19" spans="2:28">
      <c r="B19" s="83">
        <v>35</v>
      </c>
      <c r="C19" s="84">
        <v>0.54600000000000004</v>
      </c>
      <c r="D19" s="84">
        <v>8.6630000000000003</v>
      </c>
      <c r="E19" s="84">
        <v>1.702</v>
      </c>
      <c r="F19" s="84">
        <v>1.702</v>
      </c>
      <c r="G19" s="84">
        <v>8.1170000000000009</v>
      </c>
      <c r="H19" s="85">
        <v>6.7266231366268317E-2</v>
      </c>
      <c r="I19" s="85">
        <v>0.20968338055931993</v>
      </c>
      <c r="J19" s="78">
        <v>0.27694961192558826</v>
      </c>
      <c r="K19" s="83">
        <v>35</v>
      </c>
      <c r="L19" s="84">
        <v>0.64700000000000002</v>
      </c>
      <c r="M19" s="84">
        <v>9.7710000000000008</v>
      </c>
      <c r="N19" s="86">
        <v>0.435</v>
      </c>
      <c r="O19" s="84">
        <v>0.435</v>
      </c>
      <c r="P19" s="84">
        <v>9.1240000000000006</v>
      </c>
      <c r="Q19" s="85">
        <v>7.0911880754055232E-2</v>
      </c>
      <c r="R19" s="85">
        <v>4.7676457693993861E-2</v>
      </c>
      <c r="S19" s="87">
        <v>0.11858833844804909</v>
      </c>
      <c r="T19" s="83">
        <v>35</v>
      </c>
      <c r="U19" s="88">
        <v>0.59650000000000003</v>
      </c>
      <c r="V19" s="88">
        <v>9.2170000000000005</v>
      </c>
      <c r="W19" s="88">
        <v>1.0685</v>
      </c>
      <c r="X19" s="88">
        <v>1.0685</v>
      </c>
      <c r="Y19" s="88">
        <v>8.6204999999999998</v>
      </c>
      <c r="Z19" s="29">
        <v>6.9089056060161774E-2</v>
      </c>
      <c r="AA19" s="29">
        <v>0.12867991912665688</v>
      </c>
      <c r="AB19" s="89">
        <v>0.19776897518681869</v>
      </c>
    </row>
    <row r="20" spans="2:28">
      <c r="B20" s="75">
        <v>36</v>
      </c>
      <c r="C20" s="76">
        <v>0.55100000000000005</v>
      </c>
      <c r="D20" s="76">
        <v>8.9109999999999996</v>
      </c>
      <c r="E20" s="76">
        <v>1.774</v>
      </c>
      <c r="F20" s="76">
        <v>1.774</v>
      </c>
      <c r="G20" s="76">
        <v>8.36</v>
      </c>
      <c r="H20" s="77">
        <v>6.5909090909090917E-2</v>
      </c>
      <c r="I20" s="77">
        <v>0.21220095693779906</v>
      </c>
      <c r="J20" s="78">
        <v>0.27811004784688997</v>
      </c>
      <c r="K20" s="75">
        <v>36</v>
      </c>
      <c r="L20" s="76">
        <v>0.65200000000000002</v>
      </c>
      <c r="M20" s="76">
        <v>10.039999999999999</v>
      </c>
      <c r="N20" s="79">
        <v>0.45100000000000001</v>
      </c>
      <c r="O20" s="76">
        <v>0.45100000000000001</v>
      </c>
      <c r="P20" s="76">
        <v>9.3879999999999999</v>
      </c>
      <c r="Q20" s="77">
        <v>6.9450362164465276E-2</v>
      </c>
      <c r="R20" s="77">
        <v>4.804005112910098E-2</v>
      </c>
      <c r="S20" s="78">
        <v>0.11749041329356626</v>
      </c>
      <c r="T20" s="75">
        <v>36</v>
      </c>
      <c r="U20" s="80">
        <v>0.60150000000000003</v>
      </c>
      <c r="V20" s="80">
        <v>9.4755000000000003</v>
      </c>
      <c r="W20" s="80">
        <v>1.1125</v>
      </c>
      <c r="X20" s="80">
        <v>1.1125</v>
      </c>
      <c r="Y20" s="80">
        <v>8.8739999999999988</v>
      </c>
      <c r="Z20" s="81">
        <v>6.767972653677809E-2</v>
      </c>
      <c r="AA20" s="81">
        <v>0.13012050403345002</v>
      </c>
      <c r="AB20" s="82">
        <v>0.19780023057022811</v>
      </c>
    </row>
    <row r="21" spans="2:28">
      <c r="B21" s="83">
        <v>37</v>
      </c>
      <c r="C21" s="84">
        <v>0.55100000000000005</v>
      </c>
      <c r="D21" s="84">
        <v>9.1630000000000003</v>
      </c>
      <c r="E21" s="84">
        <v>1.8460000000000001</v>
      </c>
      <c r="F21" s="84">
        <v>1.8460000000000001</v>
      </c>
      <c r="G21" s="84">
        <v>8.6120000000000001</v>
      </c>
      <c r="H21" s="85">
        <v>6.3980492336274966E-2</v>
      </c>
      <c r="I21" s="85">
        <v>0.21435206688341849</v>
      </c>
      <c r="J21" s="78">
        <v>0.27833255921969347</v>
      </c>
      <c r="K21" s="83">
        <v>37</v>
      </c>
      <c r="L21" s="84">
        <v>0.65100000000000002</v>
      </c>
      <c r="M21" s="84">
        <v>10.313000000000001</v>
      </c>
      <c r="N21" s="86">
        <v>0.46700000000000003</v>
      </c>
      <c r="O21" s="84">
        <v>0.46700000000000003</v>
      </c>
      <c r="P21" s="84">
        <v>9.6620000000000008</v>
      </c>
      <c r="Q21" s="85">
        <v>6.7377354584972057E-2</v>
      </c>
      <c r="R21" s="85">
        <v>4.8333678327468432E-2</v>
      </c>
      <c r="S21" s="87">
        <v>0.11571103291244049</v>
      </c>
      <c r="T21" s="83">
        <v>37</v>
      </c>
      <c r="U21" s="88">
        <v>0.60099999999999998</v>
      </c>
      <c r="V21" s="88">
        <v>9.7379999999999995</v>
      </c>
      <c r="W21" s="88">
        <v>1.1565000000000001</v>
      </c>
      <c r="X21" s="88">
        <v>1.1565000000000001</v>
      </c>
      <c r="Y21" s="88">
        <v>9.1370000000000005</v>
      </c>
      <c r="Z21" s="29">
        <v>6.5678923460623512E-2</v>
      </c>
      <c r="AA21" s="29">
        <v>0.13134287260544347</v>
      </c>
      <c r="AB21" s="89">
        <v>0.19702179606606698</v>
      </c>
    </row>
    <row r="22" spans="2:28">
      <c r="B22" s="75">
        <v>38</v>
      </c>
      <c r="C22" s="76">
        <v>0.54500000000000004</v>
      </c>
      <c r="D22" s="76">
        <v>9.42</v>
      </c>
      <c r="E22" s="76">
        <v>1.919</v>
      </c>
      <c r="F22" s="76">
        <v>1.919</v>
      </c>
      <c r="G22" s="76">
        <v>8.875</v>
      </c>
      <c r="H22" s="77">
        <v>6.1408450704225355E-2</v>
      </c>
      <c r="I22" s="77">
        <v>0.21622535211267607</v>
      </c>
      <c r="J22" s="78">
        <v>0.27763380281690142</v>
      </c>
      <c r="K22" s="75">
        <v>38</v>
      </c>
      <c r="L22" s="76">
        <v>0.64400000000000002</v>
      </c>
      <c r="M22" s="76">
        <v>10.590999999999999</v>
      </c>
      <c r="N22" s="79">
        <v>0.48199999999999998</v>
      </c>
      <c r="O22" s="76">
        <v>0.48199999999999998</v>
      </c>
      <c r="P22" s="76">
        <v>9.9469999999999992</v>
      </c>
      <c r="Q22" s="77">
        <v>6.4743138634764261E-2</v>
      </c>
      <c r="R22" s="77">
        <v>4.8456821152106165E-2</v>
      </c>
      <c r="S22" s="78">
        <v>0.11319995978687042</v>
      </c>
      <c r="T22" s="75">
        <v>38</v>
      </c>
      <c r="U22" s="80">
        <v>0.59450000000000003</v>
      </c>
      <c r="V22" s="80">
        <v>10.0055</v>
      </c>
      <c r="W22" s="80">
        <v>1.2004999999999999</v>
      </c>
      <c r="X22" s="80">
        <v>1.2004999999999999</v>
      </c>
      <c r="Y22" s="80">
        <v>9.4109999999999996</v>
      </c>
      <c r="Z22" s="81">
        <v>6.3075794669494811E-2</v>
      </c>
      <c r="AA22" s="81">
        <v>0.13234108663239111</v>
      </c>
      <c r="AB22" s="82">
        <v>0.19541688130188592</v>
      </c>
    </row>
    <row r="23" spans="2:28">
      <c r="B23" s="83">
        <v>39</v>
      </c>
      <c r="C23" s="84">
        <v>0.53500000000000003</v>
      </c>
      <c r="D23" s="84">
        <v>9.6820000000000004</v>
      </c>
      <c r="E23" s="84">
        <v>1.9910000000000001</v>
      </c>
      <c r="F23" s="84">
        <v>1.9910000000000001</v>
      </c>
      <c r="G23" s="84">
        <v>9.1470000000000002</v>
      </c>
      <c r="H23" s="85">
        <v>5.8489122116540941E-2</v>
      </c>
      <c r="I23" s="85">
        <v>0.21766699464305236</v>
      </c>
      <c r="J23" s="78">
        <v>0.27615611675959328</v>
      </c>
      <c r="K23" s="83">
        <v>39</v>
      </c>
      <c r="L23" s="84">
        <v>0.63200000000000001</v>
      </c>
      <c r="M23" s="84">
        <v>10.874000000000001</v>
      </c>
      <c r="N23" s="86">
        <v>0.496</v>
      </c>
      <c r="O23" s="84">
        <v>0.496</v>
      </c>
      <c r="P23" s="84">
        <v>10.242000000000001</v>
      </c>
      <c r="Q23" s="85">
        <v>6.1706697910564337E-2</v>
      </c>
      <c r="R23" s="85">
        <v>4.8428041398164416E-2</v>
      </c>
      <c r="S23" s="87">
        <v>0.11013473930872875</v>
      </c>
      <c r="T23" s="83">
        <v>39</v>
      </c>
      <c r="U23" s="88">
        <v>0.58350000000000002</v>
      </c>
      <c r="V23" s="88">
        <v>10.278</v>
      </c>
      <c r="W23" s="88">
        <v>1.2435</v>
      </c>
      <c r="X23" s="88">
        <v>1.2435</v>
      </c>
      <c r="Y23" s="88">
        <v>9.6945000000000014</v>
      </c>
      <c r="Z23" s="29">
        <v>6.0097910013552636E-2</v>
      </c>
      <c r="AA23" s="29">
        <v>0.13304751802060838</v>
      </c>
      <c r="AB23" s="89">
        <v>0.19314542803416102</v>
      </c>
    </row>
    <row r="24" spans="2:28">
      <c r="B24" s="75">
        <v>40</v>
      </c>
      <c r="C24" s="76">
        <v>0.52100000000000002</v>
      </c>
      <c r="D24" s="76">
        <v>9.9499999999999993</v>
      </c>
      <c r="E24" s="76">
        <v>2.0640000000000001</v>
      </c>
      <c r="F24" s="76">
        <v>2.0640000000000001</v>
      </c>
      <c r="G24" s="76">
        <v>9.4289999999999985</v>
      </c>
      <c r="H24" s="77">
        <v>5.5255064163750145E-2</v>
      </c>
      <c r="I24" s="77">
        <v>0.21889914094813875</v>
      </c>
      <c r="J24" s="78">
        <v>0.27415420511188893</v>
      </c>
      <c r="K24" s="75">
        <v>40</v>
      </c>
      <c r="L24" s="76">
        <v>0.61499999999999999</v>
      </c>
      <c r="M24" s="76">
        <v>11.163</v>
      </c>
      <c r="N24" s="79">
        <v>0.51</v>
      </c>
      <c r="O24" s="76">
        <v>0.51</v>
      </c>
      <c r="P24" s="76">
        <v>10.548</v>
      </c>
      <c r="Q24" s="77">
        <v>5.8304891922639365E-2</v>
      </c>
      <c r="R24" s="77">
        <v>4.8350398179749718E-2</v>
      </c>
      <c r="S24" s="78">
        <v>0.10665529010238908</v>
      </c>
      <c r="T24" s="75">
        <v>40</v>
      </c>
      <c r="U24" s="80">
        <v>0.56800000000000006</v>
      </c>
      <c r="V24" s="80">
        <v>10.5565</v>
      </c>
      <c r="W24" s="80">
        <v>1.2869999999999999</v>
      </c>
      <c r="X24" s="80">
        <v>1.2869999999999999</v>
      </c>
      <c r="Y24" s="80">
        <v>9.9884999999999984</v>
      </c>
      <c r="Z24" s="81">
        <v>5.6779978043194755E-2</v>
      </c>
      <c r="AA24" s="81">
        <v>0.13362476956394423</v>
      </c>
      <c r="AB24" s="82">
        <v>0.19040474760713899</v>
      </c>
    </row>
    <row r="25" spans="2:28">
      <c r="B25" s="83">
        <v>41</v>
      </c>
      <c r="C25" s="84">
        <v>0.505</v>
      </c>
      <c r="D25" s="84">
        <v>10.226000000000001</v>
      </c>
      <c r="E25" s="84">
        <v>2.1389999999999998</v>
      </c>
      <c r="F25" s="84">
        <v>2.1389999999999998</v>
      </c>
      <c r="G25" s="84">
        <v>9.7210000000000001</v>
      </c>
      <c r="H25" s="85">
        <v>5.1949387923053182E-2</v>
      </c>
      <c r="I25" s="85">
        <v>0.22003909062853613</v>
      </c>
      <c r="J25" s="78">
        <v>0.27198847855158931</v>
      </c>
      <c r="K25" s="83">
        <v>41</v>
      </c>
      <c r="L25" s="84">
        <v>0.59499999999999997</v>
      </c>
      <c r="M25" s="84">
        <v>11.46</v>
      </c>
      <c r="N25" s="86">
        <v>0.52300000000000002</v>
      </c>
      <c r="O25" s="84">
        <v>0.52300000000000002</v>
      </c>
      <c r="P25" s="84">
        <v>10.865</v>
      </c>
      <c r="Q25" s="85">
        <v>5.4763000460193278E-2</v>
      </c>
      <c r="R25" s="85">
        <v>4.8136217211228717E-2</v>
      </c>
      <c r="S25" s="87">
        <v>0.10289921767142199</v>
      </c>
      <c r="T25" s="83">
        <v>41</v>
      </c>
      <c r="U25" s="88">
        <v>0.55000000000000004</v>
      </c>
      <c r="V25" s="88">
        <v>10.843</v>
      </c>
      <c r="W25" s="88">
        <v>1.331</v>
      </c>
      <c r="X25" s="88">
        <v>1.331</v>
      </c>
      <c r="Y25" s="88">
        <v>10.292999999999999</v>
      </c>
      <c r="Z25" s="29">
        <v>5.3356194191623227E-2</v>
      </c>
      <c r="AA25" s="29">
        <v>0.13408765391988242</v>
      </c>
      <c r="AB25" s="89">
        <v>0.18744384811150566</v>
      </c>
    </row>
    <row r="26" spans="2:28">
      <c r="B26" s="75">
        <v>42</v>
      </c>
      <c r="C26" s="76">
        <v>0.48899999999999999</v>
      </c>
      <c r="D26" s="76">
        <v>10.512</v>
      </c>
      <c r="E26" s="76">
        <v>2.214</v>
      </c>
      <c r="F26" s="76">
        <v>2.214</v>
      </c>
      <c r="G26" s="76">
        <v>10.023</v>
      </c>
      <c r="H26" s="77">
        <v>4.8787788087398982E-2</v>
      </c>
      <c r="I26" s="77">
        <v>0.22089194851840765</v>
      </c>
      <c r="J26" s="78">
        <v>0.26967973660580663</v>
      </c>
      <c r="K26" s="75">
        <v>42</v>
      </c>
      <c r="L26" s="76">
        <v>0.57199999999999995</v>
      </c>
      <c r="M26" s="76">
        <v>11.766</v>
      </c>
      <c r="N26" s="79">
        <v>0.53700000000000003</v>
      </c>
      <c r="O26" s="76">
        <v>0.53700000000000003</v>
      </c>
      <c r="P26" s="76">
        <v>11.194000000000001</v>
      </c>
      <c r="Q26" s="77">
        <v>5.1098802930141136E-2</v>
      </c>
      <c r="R26" s="77">
        <v>4.7972127925674471E-2</v>
      </c>
      <c r="S26" s="78">
        <v>9.9070930855815614E-2</v>
      </c>
      <c r="T26" s="75">
        <v>42</v>
      </c>
      <c r="U26" s="80">
        <v>0.53049999999999997</v>
      </c>
      <c r="V26" s="80">
        <v>11.138999999999999</v>
      </c>
      <c r="W26" s="80">
        <v>1.3754999999999999</v>
      </c>
      <c r="X26" s="80">
        <v>1.3754999999999999</v>
      </c>
      <c r="Y26" s="80">
        <v>10.608499999999999</v>
      </c>
      <c r="Z26" s="81">
        <v>4.9943295508770059E-2</v>
      </c>
      <c r="AA26" s="81">
        <v>0.13443203822204106</v>
      </c>
      <c r="AB26" s="82">
        <v>0.18437533373081111</v>
      </c>
    </row>
    <row r="27" spans="2:28">
      <c r="B27" s="83">
        <v>43</v>
      </c>
      <c r="C27" s="84">
        <v>0.47199999999999998</v>
      </c>
      <c r="D27" s="84">
        <v>10.808</v>
      </c>
      <c r="E27" s="84">
        <v>2.2909999999999999</v>
      </c>
      <c r="F27" s="84">
        <v>2.2909999999999999</v>
      </c>
      <c r="G27" s="84">
        <v>10.336</v>
      </c>
      <c r="H27" s="85">
        <v>4.5665634674922594E-2</v>
      </c>
      <c r="I27" s="85">
        <v>0.22165247678018574</v>
      </c>
      <c r="J27" s="78">
        <v>0.26731811145510831</v>
      </c>
      <c r="K27" s="83">
        <v>43</v>
      </c>
      <c r="L27" s="84">
        <v>0.54700000000000004</v>
      </c>
      <c r="M27" s="84">
        <v>12.081</v>
      </c>
      <c r="N27" s="86">
        <v>0.55000000000000004</v>
      </c>
      <c r="O27" s="84">
        <v>0.55000000000000004</v>
      </c>
      <c r="P27" s="84">
        <v>11.533999999999999</v>
      </c>
      <c r="Q27" s="85">
        <v>4.7425004335009548E-2</v>
      </c>
      <c r="R27" s="85">
        <v>4.7685104907230803E-2</v>
      </c>
      <c r="S27" s="87">
        <v>9.5110109242240351E-2</v>
      </c>
      <c r="T27" s="83">
        <v>43</v>
      </c>
      <c r="U27" s="88">
        <v>0.50950000000000006</v>
      </c>
      <c r="V27" s="88">
        <v>11.4445</v>
      </c>
      <c r="W27" s="88">
        <v>1.4205000000000001</v>
      </c>
      <c r="X27" s="88">
        <v>1.4205000000000001</v>
      </c>
      <c r="Y27" s="88">
        <v>10.934999999999999</v>
      </c>
      <c r="Z27" s="29">
        <v>4.6545319504966071E-2</v>
      </c>
      <c r="AA27" s="29">
        <v>0.13466879084370828</v>
      </c>
      <c r="AB27" s="89">
        <v>0.18121411034867432</v>
      </c>
    </row>
    <row r="28" spans="2:28">
      <c r="B28" s="75">
        <v>44</v>
      </c>
      <c r="C28" s="76">
        <v>0.45400000000000001</v>
      </c>
      <c r="D28" s="76">
        <v>11.115</v>
      </c>
      <c r="E28" s="76">
        <v>2.3690000000000002</v>
      </c>
      <c r="F28" s="76">
        <v>2.3690000000000002</v>
      </c>
      <c r="G28" s="76">
        <v>10.661</v>
      </c>
      <c r="H28" s="77">
        <v>4.2585123346777977E-2</v>
      </c>
      <c r="I28" s="77">
        <v>0.22221180001876001</v>
      </c>
      <c r="J28" s="78">
        <v>0.26479692336553801</v>
      </c>
      <c r="K28" s="75">
        <v>44</v>
      </c>
      <c r="L28" s="76">
        <v>0.52100000000000002</v>
      </c>
      <c r="M28" s="76">
        <v>12.407</v>
      </c>
      <c r="N28" s="79">
        <v>0.56299999999999994</v>
      </c>
      <c r="O28" s="76">
        <v>0.56299999999999994</v>
      </c>
      <c r="P28" s="76">
        <v>11.885999999999999</v>
      </c>
      <c r="Q28" s="77">
        <v>4.3833080935554436E-2</v>
      </c>
      <c r="R28" s="77">
        <v>4.7366649840148073E-2</v>
      </c>
      <c r="S28" s="78">
        <v>9.1199730775702509E-2</v>
      </c>
      <c r="T28" s="75">
        <v>44</v>
      </c>
      <c r="U28" s="80">
        <v>0.48750000000000004</v>
      </c>
      <c r="V28" s="80">
        <v>11.760999999999999</v>
      </c>
      <c r="W28" s="80">
        <v>1.4660000000000002</v>
      </c>
      <c r="X28" s="80">
        <v>1.4660000000000002</v>
      </c>
      <c r="Y28" s="80">
        <v>11.273499999999999</v>
      </c>
      <c r="Z28" s="81">
        <v>4.3209102141166203E-2</v>
      </c>
      <c r="AA28" s="81">
        <v>0.13478922492945405</v>
      </c>
      <c r="AB28" s="82">
        <v>0.17799832707062024</v>
      </c>
    </row>
    <row r="29" spans="2:28">
      <c r="B29" s="83">
        <v>45</v>
      </c>
      <c r="C29" s="84">
        <v>0.436</v>
      </c>
      <c r="D29" s="84">
        <v>11.433</v>
      </c>
      <c r="E29" s="84">
        <v>2.448</v>
      </c>
      <c r="F29" s="84">
        <v>2.448</v>
      </c>
      <c r="G29" s="84">
        <v>10.997</v>
      </c>
      <c r="H29" s="85">
        <v>3.9647176502682548E-2</v>
      </c>
      <c r="I29" s="85">
        <v>0.22260616531781394</v>
      </c>
      <c r="J29" s="78">
        <v>0.26225334182049648</v>
      </c>
      <c r="K29" s="83">
        <v>45</v>
      </c>
      <c r="L29" s="84">
        <v>0.49399999999999999</v>
      </c>
      <c r="M29" s="84">
        <v>12.744</v>
      </c>
      <c r="N29" s="86">
        <v>0.57599999999999996</v>
      </c>
      <c r="O29" s="84">
        <v>0.57599999999999996</v>
      </c>
      <c r="P29" s="84">
        <v>12.25</v>
      </c>
      <c r="Q29" s="85">
        <v>4.03265306122449E-2</v>
      </c>
      <c r="R29" s="85">
        <v>4.7020408163265304E-2</v>
      </c>
      <c r="S29" s="87">
        <v>8.7346938775510197E-2</v>
      </c>
      <c r="T29" s="83">
        <v>45</v>
      </c>
      <c r="U29" s="88">
        <v>0.46499999999999997</v>
      </c>
      <c r="V29" s="88">
        <v>12.0885</v>
      </c>
      <c r="W29" s="88">
        <v>1.512</v>
      </c>
      <c r="X29" s="88">
        <v>1.512</v>
      </c>
      <c r="Y29" s="88">
        <v>11.6235</v>
      </c>
      <c r="Z29" s="29">
        <v>3.9986853557463724E-2</v>
      </c>
      <c r="AA29" s="29">
        <v>0.13481328674053961</v>
      </c>
      <c r="AB29" s="89">
        <v>0.17480014029800334</v>
      </c>
    </row>
    <row r="30" spans="2:28">
      <c r="B30" s="75">
        <v>46</v>
      </c>
      <c r="C30" s="76">
        <v>0.41699999999999998</v>
      </c>
      <c r="D30" s="76">
        <v>11.762</v>
      </c>
      <c r="E30" s="76">
        <v>2.5259999999999998</v>
      </c>
      <c r="F30" s="76">
        <v>2.5259999999999998</v>
      </c>
      <c r="G30" s="76">
        <v>11.345000000000001</v>
      </c>
      <c r="H30" s="77">
        <v>3.6756280299691489E-2</v>
      </c>
      <c r="I30" s="77">
        <v>0.22265315116791534</v>
      </c>
      <c r="J30" s="78">
        <v>0.25940943146760681</v>
      </c>
      <c r="K30" s="75">
        <v>46</v>
      </c>
      <c r="L30" s="76">
        <v>0.46500000000000002</v>
      </c>
      <c r="M30" s="76">
        <v>13.092000000000001</v>
      </c>
      <c r="N30" s="79">
        <v>0.58899999999999997</v>
      </c>
      <c r="O30" s="76">
        <v>0.58899999999999997</v>
      </c>
      <c r="P30" s="76">
        <v>12.627000000000001</v>
      </c>
      <c r="Q30" s="77">
        <v>3.682584937039677E-2</v>
      </c>
      <c r="R30" s="77">
        <v>4.6646075869169239E-2</v>
      </c>
      <c r="S30" s="78">
        <v>8.3471925239566008E-2</v>
      </c>
      <c r="T30" s="75">
        <v>46</v>
      </c>
      <c r="U30" s="80">
        <v>0.441</v>
      </c>
      <c r="V30" s="80">
        <v>12.427</v>
      </c>
      <c r="W30" s="80">
        <v>1.5574999999999999</v>
      </c>
      <c r="X30" s="80">
        <v>1.5574999999999999</v>
      </c>
      <c r="Y30" s="80">
        <v>11.986000000000001</v>
      </c>
      <c r="Z30" s="81">
        <v>3.6791064835044129E-2</v>
      </c>
      <c r="AA30" s="81">
        <v>0.13464961351854229</v>
      </c>
      <c r="AB30" s="82">
        <v>0.1714406783535864</v>
      </c>
    </row>
    <row r="31" spans="2:28">
      <c r="B31" s="83">
        <v>47</v>
      </c>
      <c r="C31" s="84">
        <v>0.39500000000000002</v>
      </c>
      <c r="D31" s="84">
        <v>12.103</v>
      </c>
      <c r="E31" s="84">
        <v>2.6040000000000001</v>
      </c>
      <c r="F31" s="84">
        <v>2.6040000000000001</v>
      </c>
      <c r="G31" s="84">
        <v>11.708</v>
      </c>
      <c r="H31" s="85">
        <v>3.3737615305773828E-2</v>
      </c>
      <c r="I31" s="85">
        <v>0.22241202596515203</v>
      </c>
      <c r="J31" s="78">
        <v>0.25614964127092588</v>
      </c>
      <c r="K31" s="83">
        <v>47</v>
      </c>
      <c r="L31" s="84">
        <v>0.435</v>
      </c>
      <c r="M31" s="84">
        <v>13.452</v>
      </c>
      <c r="N31" s="86">
        <v>0.60099999999999998</v>
      </c>
      <c r="O31" s="84">
        <v>0.60099999999999998</v>
      </c>
      <c r="P31" s="84">
        <v>13.016999999999999</v>
      </c>
      <c r="Q31" s="85">
        <v>3.3417838211569489E-2</v>
      </c>
      <c r="R31" s="85">
        <v>4.6170392563570715E-2</v>
      </c>
      <c r="S31" s="87">
        <v>7.9588230775140212E-2</v>
      </c>
      <c r="T31" s="83">
        <v>47</v>
      </c>
      <c r="U31" s="88">
        <v>0.41500000000000004</v>
      </c>
      <c r="V31" s="88">
        <v>12.7775</v>
      </c>
      <c r="W31" s="88">
        <v>1.6025</v>
      </c>
      <c r="X31" s="88">
        <v>1.6025</v>
      </c>
      <c r="Y31" s="88">
        <v>12.362500000000001</v>
      </c>
      <c r="Z31" s="29">
        <v>3.3577726758671655E-2</v>
      </c>
      <c r="AA31" s="29">
        <v>0.13429120926436136</v>
      </c>
      <c r="AB31" s="89">
        <v>0.16786893602303304</v>
      </c>
    </row>
    <row r="32" spans="2:28">
      <c r="B32" s="75">
        <v>48</v>
      </c>
      <c r="C32" s="76">
        <v>0.371</v>
      </c>
      <c r="D32" s="76">
        <v>12.455</v>
      </c>
      <c r="E32" s="76">
        <v>2.6819999999999999</v>
      </c>
      <c r="F32" s="76">
        <v>2.6819999999999999</v>
      </c>
      <c r="G32" s="76">
        <v>12.084</v>
      </c>
      <c r="H32" s="77">
        <v>3.0701754385964914E-2</v>
      </c>
      <c r="I32" s="77">
        <v>0.22194637537239326</v>
      </c>
      <c r="J32" s="78">
        <v>0.25264812975835815</v>
      </c>
      <c r="K32" s="75">
        <v>48</v>
      </c>
      <c r="L32" s="76">
        <v>0.40300000000000002</v>
      </c>
      <c r="M32" s="76">
        <v>13.823</v>
      </c>
      <c r="N32" s="79">
        <v>0.61299999999999999</v>
      </c>
      <c r="O32" s="76">
        <v>0.61299999999999999</v>
      </c>
      <c r="P32" s="76">
        <v>13.42</v>
      </c>
      <c r="Q32" s="77">
        <v>3.0029806259314458E-2</v>
      </c>
      <c r="R32" s="77">
        <v>4.5678092399403875E-2</v>
      </c>
      <c r="S32" s="78">
        <v>7.5707898658718326E-2</v>
      </c>
      <c r="T32" s="75">
        <v>48</v>
      </c>
      <c r="U32" s="80">
        <v>0.38700000000000001</v>
      </c>
      <c r="V32" s="80">
        <v>13.138999999999999</v>
      </c>
      <c r="W32" s="80">
        <v>1.6475</v>
      </c>
      <c r="X32" s="80">
        <v>1.6475</v>
      </c>
      <c r="Y32" s="80">
        <v>12.751999999999999</v>
      </c>
      <c r="Z32" s="81">
        <v>3.0365780322639688E-2</v>
      </c>
      <c r="AA32" s="81">
        <v>0.13381223388589858</v>
      </c>
      <c r="AB32" s="82">
        <v>0.16417801420853823</v>
      </c>
    </row>
    <row r="33" spans="2:28">
      <c r="B33" s="83">
        <v>49</v>
      </c>
      <c r="C33" s="84">
        <v>0.34399999999999997</v>
      </c>
      <c r="D33" s="84">
        <v>12.82</v>
      </c>
      <c r="E33" s="84">
        <v>2.758</v>
      </c>
      <c r="F33" s="84">
        <v>2.758</v>
      </c>
      <c r="G33" s="84">
        <v>12.476000000000001</v>
      </c>
      <c r="H33" s="85">
        <v>2.7572940044886179E-2</v>
      </c>
      <c r="I33" s="85">
        <v>0.22106444373196535</v>
      </c>
      <c r="J33" s="78">
        <v>0.24863738377685152</v>
      </c>
      <c r="K33" s="83">
        <v>49</v>
      </c>
      <c r="L33" s="84">
        <v>0.36899999999999999</v>
      </c>
      <c r="M33" s="84">
        <v>14.207000000000001</v>
      </c>
      <c r="N33" s="86">
        <v>0.624</v>
      </c>
      <c r="O33" s="84">
        <v>0.624</v>
      </c>
      <c r="P33" s="84">
        <v>13.838000000000001</v>
      </c>
      <c r="Q33" s="85">
        <v>2.6665703136291369E-2</v>
      </c>
      <c r="R33" s="85">
        <v>4.5093221563809793E-2</v>
      </c>
      <c r="S33" s="87">
        <v>7.1758924700101159E-2</v>
      </c>
      <c r="T33" s="83">
        <v>49</v>
      </c>
      <c r="U33" s="88">
        <v>0.35649999999999998</v>
      </c>
      <c r="V33" s="88">
        <v>13.513500000000001</v>
      </c>
      <c r="W33" s="88">
        <v>1.6910000000000001</v>
      </c>
      <c r="X33" s="88">
        <v>1.6910000000000001</v>
      </c>
      <c r="Y33" s="88">
        <v>13.157</v>
      </c>
      <c r="Z33" s="29">
        <v>2.7119321590588774E-2</v>
      </c>
      <c r="AA33" s="29">
        <v>0.13307883264788756</v>
      </c>
      <c r="AB33" s="89">
        <v>0.16019815423847633</v>
      </c>
    </row>
    <row r="34" spans="2:28">
      <c r="B34" s="75">
        <v>50</v>
      </c>
      <c r="C34" s="76">
        <v>0.314</v>
      </c>
      <c r="D34" s="76">
        <v>13.196999999999999</v>
      </c>
      <c r="E34" s="76">
        <v>2.8330000000000002</v>
      </c>
      <c r="F34" s="76">
        <v>2.8330000000000002</v>
      </c>
      <c r="G34" s="76">
        <v>12.882999999999999</v>
      </c>
      <c r="H34" s="77">
        <v>2.4373204998835676E-2</v>
      </c>
      <c r="I34" s="77">
        <v>0.21990219669331681</v>
      </c>
      <c r="J34" s="78">
        <v>0.24427540169215251</v>
      </c>
      <c r="K34" s="75">
        <v>50</v>
      </c>
      <c r="L34" s="76">
        <v>0.33300000000000002</v>
      </c>
      <c r="M34" s="76">
        <v>14.603999999999999</v>
      </c>
      <c r="N34" s="79">
        <v>0.63400000000000001</v>
      </c>
      <c r="O34" s="76">
        <v>0.63400000000000001</v>
      </c>
      <c r="P34" s="76">
        <v>14.270999999999999</v>
      </c>
      <c r="Q34" s="77">
        <v>2.3334034055076731E-2</v>
      </c>
      <c r="R34" s="77">
        <v>4.4425758531287232E-2</v>
      </c>
      <c r="S34" s="78">
        <v>6.7759792586363971E-2</v>
      </c>
      <c r="T34" s="75">
        <v>50</v>
      </c>
      <c r="U34" s="80">
        <v>0.32350000000000001</v>
      </c>
      <c r="V34" s="80">
        <v>13.900499999999999</v>
      </c>
      <c r="W34" s="80">
        <v>1.7335</v>
      </c>
      <c r="X34" s="80">
        <v>1.7335</v>
      </c>
      <c r="Y34" s="80">
        <v>13.576999999999998</v>
      </c>
      <c r="Z34" s="81">
        <v>2.3853619526956204E-2</v>
      </c>
      <c r="AA34" s="81">
        <v>0.13216397761230203</v>
      </c>
      <c r="AB34" s="82">
        <v>0.15601759713925822</v>
      </c>
    </row>
    <row r="35" spans="2:28">
      <c r="B35" s="83">
        <v>51</v>
      </c>
      <c r="C35" s="84">
        <v>0.28100000000000003</v>
      </c>
      <c r="D35" s="84">
        <v>13.587999999999999</v>
      </c>
      <c r="E35" s="84">
        <v>2.907</v>
      </c>
      <c r="F35" s="84">
        <v>2.907</v>
      </c>
      <c r="G35" s="84">
        <v>13.306999999999999</v>
      </c>
      <c r="H35" s="85">
        <v>2.1116705493349368E-2</v>
      </c>
      <c r="I35" s="85">
        <v>0.21845645149169612</v>
      </c>
      <c r="J35" s="78">
        <v>0.2395731569850455</v>
      </c>
      <c r="K35" s="83">
        <v>51</v>
      </c>
      <c r="L35" s="84">
        <v>0.29499999999999998</v>
      </c>
      <c r="M35" s="84">
        <v>15.013</v>
      </c>
      <c r="N35" s="86">
        <v>0.64400000000000002</v>
      </c>
      <c r="O35" s="84">
        <v>0.64400000000000002</v>
      </c>
      <c r="P35" s="84">
        <v>14.718</v>
      </c>
      <c r="Q35" s="85">
        <v>2.0043484169044706E-2</v>
      </c>
      <c r="R35" s="85">
        <v>4.3755945101236579E-2</v>
      </c>
      <c r="S35" s="87">
        <v>6.3799429270281288E-2</v>
      </c>
      <c r="T35" s="83">
        <v>51</v>
      </c>
      <c r="U35" s="88">
        <v>0.28800000000000003</v>
      </c>
      <c r="V35" s="88">
        <v>14.3005</v>
      </c>
      <c r="W35" s="88">
        <v>1.7755000000000001</v>
      </c>
      <c r="X35" s="88">
        <v>1.7755000000000001</v>
      </c>
      <c r="Y35" s="88">
        <v>14.012499999999999</v>
      </c>
      <c r="Z35" s="29">
        <v>2.0580094831197035E-2</v>
      </c>
      <c r="AA35" s="29">
        <v>0.13110619829646636</v>
      </c>
      <c r="AB35" s="89">
        <v>0.15168629312766341</v>
      </c>
    </row>
    <row r="36" spans="2:28">
      <c r="B36" s="75">
        <v>52</v>
      </c>
      <c r="C36" s="76">
        <v>0.246</v>
      </c>
      <c r="D36" s="76">
        <v>13.993</v>
      </c>
      <c r="E36" s="76">
        <v>2.9790000000000001</v>
      </c>
      <c r="F36" s="76">
        <v>2.9790000000000001</v>
      </c>
      <c r="G36" s="76">
        <v>13.747</v>
      </c>
      <c r="H36" s="77">
        <v>1.7894813413835746E-2</v>
      </c>
      <c r="I36" s="77">
        <v>0.21670182585291337</v>
      </c>
      <c r="J36" s="78">
        <v>0.23459663926674912</v>
      </c>
      <c r="K36" s="75">
        <v>52</v>
      </c>
      <c r="L36" s="76">
        <v>0.254</v>
      </c>
      <c r="M36" s="76">
        <v>15.436</v>
      </c>
      <c r="N36" s="79">
        <v>0.65200000000000002</v>
      </c>
      <c r="O36" s="76">
        <v>0.65200000000000002</v>
      </c>
      <c r="P36" s="76">
        <v>15.182</v>
      </c>
      <c r="Q36" s="77">
        <v>1.6730338558819655E-2</v>
      </c>
      <c r="R36" s="77">
        <v>4.2945593465946515E-2</v>
      </c>
      <c r="S36" s="78">
        <v>5.9675932024766169E-2</v>
      </c>
      <c r="T36" s="75">
        <v>52</v>
      </c>
      <c r="U36" s="80">
        <v>0.25</v>
      </c>
      <c r="V36" s="80">
        <v>14.714500000000001</v>
      </c>
      <c r="W36" s="80">
        <v>1.8155000000000001</v>
      </c>
      <c r="X36" s="80">
        <v>1.8155000000000001</v>
      </c>
      <c r="Y36" s="80">
        <v>14.464500000000001</v>
      </c>
      <c r="Z36" s="81">
        <v>1.73125759863277E-2</v>
      </c>
      <c r="AA36" s="81">
        <v>0.12982370965942994</v>
      </c>
      <c r="AB36" s="82">
        <v>0.14713628564575765</v>
      </c>
    </row>
    <row r="37" spans="2:28">
      <c r="B37" s="83">
        <v>53</v>
      </c>
      <c r="C37" s="84">
        <v>0.20799999999999999</v>
      </c>
      <c r="D37" s="84">
        <v>14.414999999999999</v>
      </c>
      <c r="E37" s="84">
        <v>3.05</v>
      </c>
      <c r="F37" s="84">
        <v>3.05</v>
      </c>
      <c r="G37" s="84">
        <v>14.206999999999999</v>
      </c>
      <c r="H37" s="85">
        <v>1.4640670092208067E-2</v>
      </c>
      <c r="I37" s="85">
        <v>0.21468290279439714</v>
      </c>
      <c r="J37" s="78">
        <v>0.22932357288660521</v>
      </c>
      <c r="K37" s="83">
        <v>53</v>
      </c>
      <c r="L37" s="84">
        <v>0.21299999999999999</v>
      </c>
      <c r="M37" s="84">
        <v>15.874000000000001</v>
      </c>
      <c r="N37" s="86">
        <v>0.66</v>
      </c>
      <c r="O37" s="84">
        <v>0.66</v>
      </c>
      <c r="P37" s="84">
        <v>15.661000000000001</v>
      </c>
      <c r="Q37" s="85">
        <v>1.3600664069982758E-2</v>
      </c>
      <c r="R37" s="85">
        <v>4.2142902752059251E-2</v>
      </c>
      <c r="S37" s="87">
        <v>5.5743566822042012E-2</v>
      </c>
      <c r="T37" s="83">
        <v>53</v>
      </c>
      <c r="U37" s="88">
        <v>0.21049999999999999</v>
      </c>
      <c r="V37" s="88">
        <v>15.144500000000001</v>
      </c>
      <c r="W37" s="88">
        <v>1.855</v>
      </c>
      <c r="X37" s="88">
        <v>1.855</v>
      </c>
      <c r="Y37" s="88">
        <v>14.934000000000001</v>
      </c>
      <c r="Z37" s="29">
        <v>1.4120667081095412E-2</v>
      </c>
      <c r="AA37" s="29">
        <v>0.1284129027732282</v>
      </c>
      <c r="AB37" s="89">
        <v>0.14253356985432361</v>
      </c>
    </row>
    <row r="38" spans="2:28">
      <c r="B38" s="75">
        <v>54</v>
      </c>
      <c r="C38" s="76">
        <v>0.16900000000000001</v>
      </c>
      <c r="D38" s="76">
        <v>14.853</v>
      </c>
      <c r="E38" s="76">
        <v>3.12</v>
      </c>
      <c r="F38" s="76">
        <v>3.12</v>
      </c>
      <c r="G38" s="76">
        <v>14.683999999999999</v>
      </c>
      <c r="H38" s="77">
        <v>1.1509125578861346E-2</v>
      </c>
      <c r="I38" s="77">
        <v>0.21247616453282486</v>
      </c>
      <c r="J38" s="78">
        <v>0.22398529011168622</v>
      </c>
      <c r="K38" s="75">
        <v>54</v>
      </c>
      <c r="L38" s="76">
        <v>0.17100000000000001</v>
      </c>
      <c r="M38" s="76">
        <v>16.327999999999999</v>
      </c>
      <c r="N38" s="79">
        <v>0.66700000000000004</v>
      </c>
      <c r="O38" s="76">
        <v>0.66700000000000004</v>
      </c>
      <c r="P38" s="76">
        <v>16.157</v>
      </c>
      <c r="Q38" s="77">
        <v>1.058364795444699E-2</v>
      </c>
      <c r="R38" s="77">
        <v>4.1282416290152876E-2</v>
      </c>
      <c r="S38" s="78">
        <v>5.1866064244599865E-2</v>
      </c>
      <c r="T38" s="75">
        <v>54</v>
      </c>
      <c r="U38" s="80">
        <v>0.17</v>
      </c>
      <c r="V38" s="80">
        <v>15.590499999999999</v>
      </c>
      <c r="W38" s="80">
        <v>1.8935</v>
      </c>
      <c r="X38" s="80">
        <v>1.8935</v>
      </c>
      <c r="Y38" s="80">
        <v>15.420500000000001</v>
      </c>
      <c r="Z38" s="81">
        <v>1.1046386766654169E-2</v>
      </c>
      <c r="AA38" s="81">
        <v>0.12687929041148888</v>
      </c>
      <c r="AB38" s="82">
        <v>0.13792567717814305</v>
      </c>
    </row>
    <row r="39" spans="2:28">
      <c r="B39" s="83">
        <v>55</v>
      </c>
      <c r="C39" s="84">
        <v>0.13</v>
      </c>
      <c r="D39" s="84">
        <v>15.308999999999999</v>
      </c>
      <c r="E39" s="84">
        <v>3.19</v>
      </c>
      <c r="F39" s="84">
        <v>3.19</v>
      </c>
      <c r="G39" s="84">
        <v>15.178999999999998</v>
      </c>
      <c r="H39" s="85">
        <v>8.564464062191187E-3</v>
      </c>
      <c r="I39" s="85">
        <v>0.21015877198761448</v>
      </c>
      <c r="J39" s="78">
        <v>0.21872323604980567</v>
      </c>
      <c r="K39" s="83">
        <v>55</v>
      </c>
      <c r="L39" s="84">
        <v>0.129</v>
      </c>
      <c r="M39" s="84">
        <v>16.798999999999999</v>
      </c>
      <c r="N39" s="86">
        <v>0.67400000000000004</v>
      </c>
      <c r="O39" s="84">
        <v>0.67400000000000004</v>
      </c>
      <c r="P39" s="84">
        <v>16.669999999999998</v>
      </c>
      <c r="Q39" s="85">
        <v>7.7384523095380938E-3</v>
      </c>
      <c r="R39" s="85">
        <v>4.0431913617276549E-2</v>
      </c>
      <c r="S39" s="87">
        <v>4.8170365926814646E-2</v>
      </c>
      <c r="T39" s="83">
        <v>55</v>
      </c>
      <c r="U39" s="88">
        <v>0.1295</v>
      </c>
      <c r="V39" s="88">
        <v>16.053999999999998</v>
      </c>
      <c r="W39" s="88">
        <v>1.9319999999999999</v>
      </c>
      <c r="X39" s="88">
        <v>1.9319999999999999</v>
      </c>
      <c r="Y39" s="88">
        <v>15.924499999999998</v>
      </c>
      <c r="Z39" s="29">
        <v>8.15145818586464E-3</v>
      </c>
      <c r="AA39" s="29">
        <v>0.12529534280244553</v>
      </c>
      <c r="AB39" s="89">
        <v>0.13344680098831016</v>
      </c>
    </row>
    <row r="40" spans="2:28">
      <c r="B40" s="75">
        <v>56</v>
      </c>
      <c r="C40" s="76">
        <v>9.0999999999999998E-2</v>
      </c>
      <c r="D40" s="76">
        <v>15.784000000000001</v>
      </c>
      <c r="E40" s="76">
        <v>3.26</v>
      </c>
      <c r="F40" s="76">
        <v>3.26</v>
      </c>
      <c r="G40" s="76">
        <v>15.693000000000001</v>
      </c>
      <c r="H40" s="77">
        <v>5.7987637800293122E-3</v>
      </c>
      <c r="I40" s="77">
        <v>0.20773593321863248</v>
      </c>
      <c r="J40" s="78">
        <v>0.21353469699866179</v>
      </c>
      <c r="K40" s="75">
        <v>56</v>
      </c>
      <c r="L40" s="76">
        <v>8.7999999999999995E-2</v>
      </c>
      <c r="M40" s="76">
        <v>17.288</v>
      </c>
      <c r="N40" s="79">
        <v>0.68</v>
      </c>
      <c r="O40" s="76">
        <v>0.68</v>
      </c>
      <c r="P40" s="76">
        <v>17.2</v>
      </c>
      <c r="Q40" s="77">
        <v>5.1162790697674414E-3</v>
      </c>
      <c r="R40" s="77">
        <v>3.9534883720930239E-2</v>
      </c>
      <c r="S40" s="78">
        <v>4.4651162790697682E-2</v>
      </c>
      <c r="T40" s="75">
        <v>56</v>
      </c>
      <c r="U40" s="80">
        <v>8.9499999999999996E-2</v>
      </c>
      <c r="V40" s="80">
        <v>16.536000000000001</v>
      </c>
      <c r="W40" s="80">
        <v>1.97</v>
      </c>
      <c r="X40" s="80">
        <v>1.97</v>
      </c>
      <c r="Y40" s="80">
        <v>16.4465</v>
      </c>
      <c r="Z40" s="81">
        <v>5.4575214248983768E-3</v>
      </c>
      <c r="AA40" s="81">
        <v>0.12363540846978135</v>
      </c>
      <c r="AB40" s="82">
        <v>0.12909292989467974</v>
      </c>
    </row>
    <row r="41" spans="2:28">
      <c r="B41" s="83">
        <v>57</v>
      </c>
      <c r="C41" s="84">
        <v>5.5E-2</v>
      </c>
      <c r="D41" s="84">
        <v>16.279</v>
      </c>
      <c r="E41" s="84">
        <v>3.3319999999999999</v>
      </c>
      <c r="F41" s="84">
        <v>3.3319999999999999</v>
      </c>
      <c r="G41" s="84">
        <v>16.224</v>
      </c>
      <c r="H41" s="85">
        <v>3.3900394477317554E-3</v>
      </c>
      <c r="I41" s="85">
        <v>0.20537475345167652</v>
      </c>
      <c r="J41" s="78">
        <v>0.20876479289940827</v>
      </c>
      <c r="K41" s="83">
        <v>57</v>
      </c>
      <c r="L41" s="84">
        <v>5.2999999999999999E-2</v>
      </c>
      <c r="M41" s="84">
        <v>17.798999999999999</v>
      </c>
      <c r="N41" s="86">
        <v>0.68600000000000005</v>
      </c>
      <c r="O41" s="84">
        <v>0.68600000000000005</v>
      </c>
      <c r="P41" s="84">
        <v>17.745999999999999</v>
      </c>
      <c r="Q41" s="85">
        <v>2.9865885269919983E-3</v>
      </c>
      <c r="R41" s="85">
        <v>3.8656598670122853E-2</v>
      </c>
      <c r="S41" s="87">
        <v>4.164318719711485E-2</v>
      </c>
      <c r="T41" s="83">
        <v>57</v>
      </c>
      <c r="U41" s="88">
        <v>5.3999999999999999E-2</v>
      </c>
      <c r="V41" s="88">
        <v>17.039000000000001</v>
      </c>
      <c r="W41" s="88">
        <v>2.0089999999999999</v>
      </c>
      <c r="X41" s="88">
        <v>2.0089999999999999</v>
      </c>
      <c r="Y41" s="88">
        <v>16.984999999999999</v>
      </c>
      <c r="Z41" s="29">
        <v>3.1883139873618771E-3</v>
      </c>
      <c r="AA41" s="29">
        <v>0.12201567606089969</v>
      </c>
      <c r="AB41" s="89">
        <v>0.12520399004826155</v>
      </c>
    </row>
    <row r="42" spans="2:28">
      <c r="B42" s="75">
        <v>58</v>
      </c>
      <c r="C42" s="76">
        <v>2.5999999999999999E-2</v>
      </c>
      <c r="D42" s="76">
        <v>16.797000000000001</v>
      </c>
      <c r="E42" s="76">
        <v>3.407</v>
      </c>
      <c r="F42" s="76">
        <v>3.407</v>
      </c>
      <c r="G42" s="76">
        <v>16.771000000000001</v>
      </c>
      <c r="H42" s="77">
        <v>1.5502951523463119E-3</v>
      </c>
      <c r="I42" s="77">
        <v>0.20314829169399559</v>
      </c>
      <c r="J42" s="78">
        <v>0.2046985868463419</v>
      </c>
      <c r="K42" s="75">
        <v>58</v>
      </c>
      <c r="L42" s="76">
        <v>2.4E-2</v>
      </c>
      <c r="M42" s="76">
        <v>18.332999999999998</v>
      </c>
      <c r="N42" s="79">
        <v>0.69299999999999995</v>
      </c>
      <c r="O42" s="76">
        <v>0.69299999999999995</v>
      </c>
      <c r="P42" s="76">
        <v>18.308999999999997</v>
      </c>
      <c r="Q42" s="77">
        <v>1.3108307389808292E-3</v>
      </c>
      <c r="R42" s="77">
        <v>3.7850237588071441E-2</v>
      </c>
      <c r="S42" s="78">
        <v>3.9161068327052267E-2</v>
      </c>
      <c r="T42" s="75">
        <v>58</v>
      </c>
      <c r="U42" s="80">
        <v>2.5000000000000001E-2</v>
      </c>
      <c r="V42" s="80">
        <v>17.564999999999998</v>
      </c>
      <c r="W42" s="80">
        <v>2.0499999999999998</v>
      </c>
      <c r="X42" s="80">
        <v>2.0499999999999998</v>
      </c>
      <c r="Y42" s="80">
        <v>17.54</v>
      </c>
      <c r="Z42" s="81">
        <v>1.4305629456635707E-3</v>
      </c>
      <c r="AA42" s="81">
        <v>0.12049926464103351</v>
      </c>
      <c r="AB42" s="82">
        <v>0.12192982758669708</v>
      </c>
    </row>
    <row r="43" spans="2:28">
      <c r="B43" s="83">
        <v>59</v>
      </c>
      <c r="C43" s="84">
        <v>6.0000000000000001E-3</v>
      </c>
      <c r="D43" s="84">
        <v>17.341000000000001</v>
      </c>
      <c r="E43" s="84">
        <v>3.4860000000000002</v>
      </c>
      <c r="F43" s="84">
        <v>3.4860000000000002</v>
      </c>
      <c r="G43" s="84">
        <v>17.335000000000001</v>
      </c>
      <c r="H43" s="85">
        <v>3.4612056533025667E-4</v>
      </c>
      <c r="I43" s="85">
        <v>0.20109604845687915</v>
      </c>
      <c r="J43" s="78">
        <v>0.20144216902220941</v>
      </c>
      <c r="K43" s="83">
        <v>59</v>
      </c>
      <c r="L43" s="84">
        <v>6.0000000000000001E-3</v>
      </c>
      <c r="M43" s="84">
        <v>18.896000000000001</v>
      </c>
      <c r="N43" s="86">
        <v>0.7</v>
      </c>
      <c r="O43" s="84">
        <v>0.7</v>
      </c>
      <c r="P43" s="84">
        <v>18.89</v>
      </c>
      <c r="Q43" s="85">
        <v>3.1762837480148225E-4</v>
      </c>
      <c r="R43" s="85">
        <v>3.7056643726839596E-2</v>
      </c>
      <c r="S43" s="87">
        <v>3.7374272101641078E-2</v>
      </c>
      <c r="T43" s="83">
        <v>59</v>
      </c>
      <c r="U43" s="88">
        <v>6.0000000000000001E-3</v>
      </c>
      <c r="V43" s="88">
        <v>18.118500000000001</v>
      </c>
      <c r="W43" s="88">
        <v>2.093</v>
      </c>
      <c r="X43" s="88">
        <v>2.093</v>
      </c>
      <c r="Y43" s="88">
        <v>18.112500000000001</v>
      </c>
      <c r="Z43" s="29">
        <v>3.3187447006586949E-4</v>
      </c>
      <c r="AA43" s="29">
        <v>0.11907634609185937</v>
      </c>
      <c r="AB43" s="89">
        <v>0.11940822056192524</v>
      </c>
    </row>
    <row r="44" spans="2:28">
      <c r="B44" s="90">
        <v>60</v>
      </c>
      <c r="C44" s="91">
        <v>0</v>
      </c>
      <c r="D44" s="91">
        <v>17.913</v>
      </c>
      <c r="E44" s="91">
        <v>3.569</v>
      </c>
      <c r="F44" s="91">
        <v>3.569</v>
      </c>
      <c r="G44" s="91">
        <v>17.913</v>
      </c>
      <c r="H44" s="92">
        <v>0</v>
      </c>
      <c r="I44" s="92">
        <v>0.19924077485624964</v>
      </c>
      <c r="J44" s="93">
        <v>0.19924077485624964</v>
      </c>
      <c r="K44" s="90">
        <v>60</v>
      </c>
      <c r="L44" s="91">
        <v>0</v>
      </c>
      <c r="M44" s="91">
        <v>19.489000000000001</v>
      </c>
      <c r="N44" s="94">
        <v>0.70699999999999996</v>
      </c>
      <c r="O44" s="91">
        <v>0.70699999999999996</v>
      </c>
      <c r="P44" s="91">
        <v>19.489000000000001</v>
      </c>
      <c r="Q44" s="92">
        <v>0</v>
      </c>
      <c r="R44" s="92">
        <v>3.6276874134126939E-2</v>
      </c>
      <c r="S44" s="93">
        <v>3.6276874134126939E-2</v>
      </c>
      <c r="T44" s="90">
        <v>60</v>
      </c>
      <c r="U44" s="95">
        <v>0</v>
      </c>
      <c r="V44" s="95">
        <v>18.701000000000001</v>
      </c>
      <c r="W44" s="95">
        <v>2.1379999999999999</v>
      </c>
      <c r="X44" s="95">
        <v>2.1379999999999999</v>
      </c>
      <c r="Y44" s="95">
        <v>18.701000000000001</v>
      </c>
      <c r="Z44" s="96">
        <v>0</v>
      </c>
      <c r="AA44" s="96">
        <v>0.11775882449518829</v>
      </c>
      <c r="AB44" s="97">
        <v>0.11775882449518829</v>
      </c>
    </row>
    <row r="45" spans="2:28">
      <c r="B45" s="83">
        <v>61</v>
      </c>
      <c r="C45" s="84">
        <v>0</v>
      </c>
      <c r="D45" s="84">
        <v>17.553000000000001</v>
      </c>
      <c r="E45" s="84">
        <v>3.5979999999999999</v>
      </c>
      <c r="F45" s="84">
        <v>3.5979999999999999</v>
      </c>
      <c r="G45" s="84">
        <v>17.553000000000001</v>
      </c>
      <c r="H45" s="85">
        <v>0</v>
      </c>
      <c r="I45" s="85">
        <v>0.20497920583376059</v>
      </c>
      <c r="J45" s="78">
        <v>0.20497920583376059</v>
      </c>
      <c r="K45" s="83">
        <v>61</v>
      </c>
      <c r="L45" s="84">
        <v>0</v>
      </c>
      <c r="M45" s="84">
        <v>19.131</v>
      </c>
      <c r="N45" s="86">
        <v>0.69199999999999995</v>
      </c>
      <c r="O45" s="84">
        <v>0.69199999999999995</v>
      </c>
      <c r="P45" s="84">
        <v>19.131</v>
      </c>
      <c r="Q45" s="85">
        <v>0</v>
      </c>
      <c r="R45" s="85">
        <v>3.6171658564633315E-2</v>
      </c>
      <c r="S45" s="87">
        <v>3.6171658564633315E-2</v>
      </c>
      <c r="T45" s="83">
        <v>61</v>
      </c>
      <c r="U45" s="88">
        <v>0</v>
      </c>
      <c r="V45" s="88">
        <v>18.341999999999999</v>
      </c>
      <c r="W45" s="88">
        <v>2.145</v>
      </c>
      <c r="X45" s="88">
        <v>2.145</v>
      </c>
      <c r="Y45" s="88">
        <v>18.341999999999999</v>
      </c>
      <c r="Z45" s="29">
        <v>0</v>
      </c>
      <c r="AA45" s="29">
        <v>0.12057543219919695</v>
      </c>
      <c r="AB45" s="89">
        <v>0.12057543219919695</v>
      </c>
    </row>
    <row r="46" spans="2:28">
      <c r="B46" s="75">
        <v>62</v>
      </c>
      <c r="C46" s="76">
        <v>0</v>
      </c>
      <c r="D46" s="76">
        <v>17.187000000000001</v>
      </c>
      <c r="E46" s="76">
        <v>3.6219999999999999</v>
      </c>
      <c r="F46" s="76">
        <v>3.6219999999999999</v>
      </c>
      <c r="G46" s="76">
        <v>17.187000000000001</v>
      </c>
      <c r="H46" s="77">
        <v>0</v>
      </c>
      <c r="I46" s="77">
        <v>0.21074067609239538</v>
      </c>
      <c r="J46" s="78">
        <v>0.21074067609239538</v>
      </c>
      <c r="K46" s="75">
        <v>62</v>
      </c>
      <c r="L46" s="76">
        <v>0</v>
      </c>
      <c r="M46" s="76">
        <v>18.765999999999998</v>
      </c>
      <c r="N46" s="79">
        <v>0.67600000000000005</v>
      </c>
      <c r="O46" s="76">
        <v>0.67600000000000005</v>
      </c>
      <c r="P46" s="76">
        <v>18.765999999999998</v>
      </c>
      <c r="Q46" s="77">
        <v>0</v>
      </c>
      <c r="R46" s="77">
        <v>3.6022594053074716E-2</v>
      </c>
      <c r="S46" s="78">
        <v>3.6022594053074716E-2</v>
      </c>
      <c r="T46" s="75">
        <v>62</v>
      </c>
      <c r="U46" s="80">
        <v>0</v>
      </c>
      <c r="V46" s="80">
        <v>17.976500000000001</v>
      </c>
      <c r="W46" s="80">
        <v>2.149</v>
      </c>
      <c r="X46" s="80">
        <v>2.149</v>
      </c>
      <c r="Y46" s="80">
        <v>17.976500000000001</v>
      </c>
      <c r="Z46" s="81">
        <v>0</v>
      </c>
      <c r="AA46" s="81">
        <v>0.12338163507273506</v>
      </c>
      <c r="AB46" s="82">
        <v>0.12338163507273506</v>
      </c>
    </row>
    <row r="47" spans="2:28">
      <c r="B47" s="83">
        <v>63</v>
      </c>
      <c r="C47" s="84">
        <v>0</v>
      </c>
      <c r="D47" s="84">
        <v>16.815000000000001</v>
      </c>
      <c r="E47" s="84">
        <v>3.6419999999999999</v>
      </c>
      <c r="F47" s="84">
        <v>3.6419999999999999</v>
      </c>
      <c r="G47" s="84">
        <v>16.815000000000001</v>
      </c>
      <c r="H47" s="85">
        <v>0</v>
      </c>
      <c r="I47" s="85">
        <v>0.21659232827832289</v>
      </c>
      <c r="J47" s="78">
        <v>0.21659232827832289</v>
      </c>
      <c r="K47" s="83">
        <v>63</v>
      </c>
      <c r="L47" s="84">
        <v>0</v>
      </c>
      <c r="M47" s="84">
        <v>18.393000000000001</v>
      </c>
      <c r="N47" s="86">
        <v>0.65900000000000003</v>
      </c>
      <c r="O47" s="84">
        <v>0.65900000000000003</v>
      </c>
      <c r="P47" s="84">
        <v>18.393000000000001</v>
      </c>
      <c r="Q47" s="85">
        <v>0</v>
      </c>
      <c r="R47" s="85">
        <v>3.5828847931278204E-2</v>
      </c>
      <c r="S47" s="87">
        <v>3.5828847931278204E-2</v>
      </c>
      <c r="T47" s="83">
        <v>63</v>
      </c>
      <c r="U47" s="88">
        <v>0</v>
      </c>
      <c r="V47" s="88">
        <v>17.603999999999999</v>
      </c>
      <c r="W47" s="88">
        <v>2.1505000000000001</v>
      </c>
      <c r="X47" s="88">
        <v>2.1505000000000001</v>
      </c>
      <c r="Y47" s="88">
        <v>17.603999999999999</v>
      </c>
      <c r="Z47" s="29">
        <v>0</v>
      </c>
      <c r="AA47" s="29">
        <v>0.12621058810480054</v>
      </c>
      <c r="AB47" s="89">
        <v>0.12621058810480054</v>
      </c>
    </row>
    <row r="48" spans="2:28">
      <c r="B48" s="75">
        <v>64</v>
      </c>
      <c r="C48" s="76">
        <v>0</v>
      </c>
      <c r="D48" s="76">
        <v>16.437999999999999</v>
      </c>
      <c r="E48" s="76">
        <v>3.6579999999999999</v>
      </c>
      <c r="F48" s="76">
        <v>3.6579999999999999</v>
      </c>
      <c r="G48" s="76">
        <v>16.437999999999999</v>
      </c>
      <c r="H48" s="77">
        <v>0</v>
      </c>
      <c r="I48" s="77">
        <v>0.22253315488502251</v>
      </c>
      <c r="J48" s="78">
        <v>0.22253315488502251</v>
      </c>
      <c r="K48" s="75">
        <v>64</v>
      </c>
      <c r="L48" s="76">
        <v>0</v>
      </c>
      <c r="M48" s="76">
        <v>18.010999999999999</v>
      </c>
      <c r="N48" s="79">
        <v>0.64100000000000001</v>
      </c>
      <c r="O48" s="76">
        <v>0.64100000000000001</v>
      </c>
      <c r="P48" s="76">
        <v>18.010999999999999</v>
      </c>
      <c r="Q48" s="77">
        <v>0</v>
      </c>
      <c r="R48" s="77">
        <v>3.5589362056521016E-2</v>
      </c>
      <c r="S48" s="78">
        <v>3.5589362056521016E-2</v>
      </c>
      <c r="T48" s="75">
        <v>64</v>
      </c>
      <c r="U48" s="80">
        <v>0</v>
      </c>
      <c r="V48" s="80">
        <v>17.224499999999999</v>
      </c>
      <c r="W48" s="80">
        <v>2.1494999999999997</v>
      </c>
      <c r="X48" s="80">
        <v>2.1494999999999997</v>
      </c>
      <c r="Y48" s="80">
        <v>17.224499999999999</v>
      </c>
      <c r="Z48" s="81">
        <v>0</v>
      </c>
      <c r="AA48" s="81">
        <v>0.12906125847077177</v>
      </c>
      <c r="AB48" s="82">
        <v>0.12906125847077177</v>
      </c>
    </row>
    <row r="49" spans="2:28">
      <c r="B49" s="83">
        <v>65</v>
      </c>
      <c r="C49" s="84">
        <v>0</v>
      </c>
      <c r="D49" s="84">
        <v>16.053000000000001</v>
      </c>
      <c r="E49" s="84">
        <v>3.6680000000000001</v>
      </c>
      <c r="F49" s="84">
        <v>3.6680000000000001</v>
      </c>
      <c r="G49" s="84">
        <v>16.053000000000001</v>
      </c>
      <c r="H49" s="85">
        <v>0</v>
      </c>
      <c r="I49" s="85">
        <v>0.2284931165514234</v>
      </c>
      <c r="J49" s="87">
        <v>0.2284931165514234</v>
      </c>
      <c r="K49" s="83">
        <v>65</v>
      </c>
      <c r="L49" s="84">
        <v>0</v>
      </c>
      <c r="M49" s="84">
        <v>17.619</v>
      </c>
      <c r="N49" s="86">
        <v>0.623</v>
      </c>
      <c r="O49" s="84">
        <v>0.623</v>
      </c>
      <c r="P49" s="84">
        <v>17.619</v>
      </c>
      <c r="Q49" s="85">
        <v>0</v>
      </c>
      <c r="R49" s="85">
        <v>3.5359555025824392E-2</v>
      </c>
      <c r="S49" s="87">
        <v>3.5359555025824392E-2</v>
      </c>
      <c r="T49" s="83">
        <v>65</v>
      </c>
      <c r="U49" s="88">
        <v>0</v>
      </c>
      <c r="V49" s="88">
        <v>16.835999999999999</v>
      </c>
      <c r="W49" s="88">
        <v>2.1455000000000002</v>
      </c>
      <c r="X49" s="88">
        <v>2.1455000000000002</v>
      </c>
      <c r="Y49" s="88">
        <v>16.835999999999999</v>
      </c>
      <c r="Z49" s="98">
        <v>0</v>
      </c>
      <c r="AA49" s="98">
        <v>0.13192633578862389</v>
      </c>
      <c r="AB49" s="99">
        <v>0.13192633578862389</v>
      </c>
    </row>
    <row r="50" spans="2:28">
      <c r="B50" s="75">
        <v>66</v>
      </c>
      <c r="C50" s="76"/>
      <c r="D50" s="76">
        <v>15.661</v>
      </c>
      <c r="E50" s="76">
        <v>3.6739999999999999</v>
      </c>
      <c r="F50" s="76">
        <v>3.6739999999999999</v>
      </c>
      <c r="G50" s="76">
        <v>15.661</v>
      </c>
      <c r="H50" s="77">
        <v>0</v>
      </c>
      <c r="I50" s="77">
        <v>0.23459549198646318</v>
      </c>
      <c r="J50" s="78">
        <v>0.23459549198646318</v>
      </c>
      <c r="K50" s="75">
        <v>66</v>
      </c>
      <c r="L50" s="76">
        <v>0</v>
      </c>
      <c r="M50" s="76">
        <v>17.216999999999999</v>
      </c>
      <c r="N50" s="79">
        <v>0.60399999999999998</v>
      </c>
      <c r="O50" s="76">
        <v>0.60399999999999998</v>
      </c>
      <c r="P50" s="76">
        <v>17.216999999999999</v>
      </c>
      <c r="Q50" s="77">
        <v>0</v>
      </c>
      <c r="R50" s="77">
        <v>3.5081605390021489E-2</v>
      </c>
      <c r="S50" s="78">
        <v>3.5081605390021489E-2</v>
      </c>
      <c r="T50" s="75">
        <v>66</v>
      </c>
      <c r="U50" s="80">
        <v>0</v>
      </c>
      <c r="V50" s="80">
        <v>16.439</v>
      </c>
      <c r="W50" s="80">
        <v>2.1389999999999998</v>
      </c>
      <c r="X50" s="80">
        <v>2.1389999999999998</v>
      </c>
      <c r="Y50" s="80">
        <v>16.439</v>
      </c>
      <c r="Z50" s="81">
        <v>0</v>
      </c>
      <c r="AA50" s="81">
        <v>0.13483854868824233</v>
      </c>
      <c r="AB50" s="82">
        <v>0.13483854868824233</v>
      </c>
    </row>
    <row r="51" spans="2:28">
      <c r="B51" s="83">
        <v>67</v>
      </c>
      <c r="C51" s="84"/>
      <c r="D51" s="84">
        <v>15.260999999999999</v>
      </c>
      <c r="E51" s="84">
        <v>3.6779999999999999</v>
      </c>
      <c r="F51" s="84">
        <v>3.6779999999999999</v>
      </c>
      <c r="G51" s="84">
        <v>15.260999999999999</v>
      </c>
      <c r="H51" s="85">
        <v>0</v>
      </c>
      <c r="I51" s="85">
        <v>0.24100648712404169</v>
      </c>
      <c r="J51" s="78">
        <v>0.24100648712404169</v>
      </c>
      <c r="K51" s="83">
        <v>67</v>
      </c>
      <c r="L51" s="84">
        <v>0</v>
      </c>
      <c r="M51" s="84">
        <v>16.803000000000001</v>
      </c>
      <c r="N51" s="86">
        <v>0.58599999999999997</v>
      </c>
      <c r="O51" s="84">
        <v>0.58599999999999997</v>
      </c>
      <c r="P51" s="84">
        <v>16.803000000000001</v>
      </c>
      <c r="Q51" s="85">
        <v>0</v>
      </c>
      <c r="R51" s="85">
        <v>3.4874724751532464E-2</v>
      </c>
      <c r="S51" s="87">
        <v>3.4874724751532464E-2</v>
      </c>
      <c r="T51" s="83">
        <v>67</v>
      </c>
      <c r="U51" s="88">
        <v>0</v>
      </c>
      <c r="V51" s="88">
        <v>16.032</v>
      </c>
      <c r="W51" s="88">
        <v>2.1320000000000001</v>
      </c>
      <c r="X51" s="88">
        <v>2.1320000000000001</v>
      </c>
      <c r="Y51" s="88">
        <v>16.032</v>
      </c>
      <c r="Z51" s="29">
        <v>0</v>
      </c>
      <c r="AA51" s="29">
        <v>0.13794060593778706</v>
      </c>
      <c r="AB51" s="89">
        <v>0.13794060593778706</v>
      </c>
    </row>
    <row r="52" spans="2:28">
      <c r="B52" s="75">
        <v>68</v>
      </c>
      <c r="C52" s="76"/>
      <c r="D52" s="76">
        <v>14.851000000000001</v>
      </c>
      <c r="E52" s="76">
        <v>3.68</v>
      </c>
      <c r="F52" s="76">
        <v>3.68</v>
      </c>
      <c r="G52" s="76">
        <v>14.851000000000001</v>
      </c>
      <c r="H52" s="77">
        <v>0</v>
      </c>
      <c r="I52" s="77">
        <v>0.24779476129553565</v>
      </c>
      <c r="J52" s="78">
        <v>0.24779476129553565</v>
      </c>
      <c r="K52" s="75">
        <v>68</v>
      </c>
      <c r="L52" s="76">
        <v>0</v>
      </c>
      <c r="M52" s="76">
        <v>16.378</v>
      </c>
      <c r="N52" s="79">
        <v>0.56699999999999995</v>
      </c>
      <c r="O52" s="76">
        <v>0.56699999999999995</v>
      </c>
      <c r="P52" s="76">
        <v>16.378</v>
      </c>
      <c r="Q52" s="77">
        <v>0</v>
      </c>
      <c r="R52" s="77">
        <v>3.4619611674197089E-2</v>
      </c>
      <c r="S52" s="78">
        <v>3.4619611674197089E-2</v>
      </c>
      <c r="T52" s="75">
        <v>68</v>
      </c>
      <c r="U52" s="80">
        <v>0</v>
      </c>
      <c r="V52" s="80">
        <v>15.6145</v>
      </c>
      <c r="W52" s="80">
        <v>2.1234999999999999</v>
      </c>
      <c r="X52" s="80">
        <v>2.1234999999999999</v>
      </c>
      <c r="Y52" s="80">
        <v>15.6145</v>
      </c>
      <c r="Z52" s="81">
        <v>0</v>
      </c>
      <c r="AA52" s="81">
        <v>0.14120718648486638</v>
      </c>
      <c r="AB52" s="82">
        <v>0.14120718648486638</v>
      </c>
    </row>
    <row r="53" spans="2:28">
      <c r="B53" s="83">
        <v>69</v>
      </c>
      <c r="C53" s="84"/>
      <c r="D53" s="84">
        <v>14.432</v>
      </c>
      <c r="E53" s="84">
        <v>3.681</v>
      </c>
      <c r="F53" s="84">
        <v>3.681</v>
      </c>
      <c r="G53" s="84">
        <v>14.432</v>
      </c>
      <c r="H53" s="85">
        <v>0</v>
      </c>
      <c r="I53" s="85">
        <v>0.25505820399113083</v>
      </c>
      <c r="J53" s="78">
        <v>0.25505820399113083</v>
      </c>
      <c r="K53" s="83">
        <v>69</v>
      </c>
      <c r="L53" s="84">
        <v>0</v>
      </c>
      <c r="M53" s="84">
        <v>15.94</v>
      </c>
      <c r="N53" s="86">
        <v>0.54900000000000004</v>
      </c>
      <c r="O53" s="84">
        <v>0.54900000000000004</v>
      </c>
      <c r="P53" s="84">
        <v>15.94</v>
      </c>
      <c r="Q53" s="85">
        <v>0</v>
      </c>
      <c r="R53" s="85">
        <v>3.4441656210790469E-2</v>
      </c>
      <c r="S53" s="87">
        <v>3.4441656210790469E-2</v>
      </c>
      <c r="T53" s="83">
        <v>69</v>
      </c>
      <c r="U53" s="88">
        <v>0</v>
      </c>
      <c r="V53" s="88">
        <v>15.186</v>
      </c>
      <c r="W53" s="88">
        <v>2.1150000000000002</v>
      </c>
      <c r="X53" s="88">
        <v>2.1150000000000002</v>
      </c>
      <c r="Y53" s="88">
        <v>15.186</v>
      </c>
      <c r="Z53" s="29">
        <v>0</v>
      </c>
      <c r="AA53" s="29">
        <v>0.14474993010096066</v>
      </c>
      <c r="AB53" s="89">
        <v>0.14474993010096066</v>
      </c>
    </row>
    <row r="54" spans="2:28">
      <c r="B54" s="75">
        <v>70</v>
      </c>
      <c r="C54" s="76"/>
      <c r="D54" s="76">
        <v>14.002000000000001</v>
      </c>
      <c r="E54" s="76">
        <v>3.6789999999999998</v>
      </c>
      <c r="F54" s="76">
        <v>3.6789999999999998</v>
      </c>
      <c r="G54" s="76">
        <v>14.002000000000001</v>
      </c>
      <c r="H54" s="77">
        <v>0</v>
      </c>
      <c r="I54" s="77">
        <v>0.26274817883159546</v>
      </c>
      <c r="J54" s="78">
        <v>0.26274817883159546</v>
      </c>
      <c r="K54" s="75">
        <v>70</v>
      </c>
      <c r="L54" s="76">
        <v>0</v>
      </c>
      <c r="M54" s="76">
        <v>15.49</v>
      </c>
      <c r="N54" s="79">
        <v>0.53</v>
      </c>
      <c r="O54" s="76">
        <v>0.53</v>
      </c>
      <c r="P54" s="76">
        <v>15.49</v>
      </c>
      <c r="Q54" s="77">
        <v>0</v>
      </c>
      <c r="R54" s="77">
        <v>3.4215622982569402E-2</v>
      </c>
      <c r="S54" s="78">
        <v>3.4215622982569402E-2</v>
      </c>
      <c r="T54" s="75">
        <v>70</v>
      </c>
      <c r="U54" s="80">
        <v>0</v>
      </c>
      <c r="V54" s="80">
        <v>14.746</v>
      </c>
      <c r="W54" s="80">
        <v>2.1044999999999998</v>
      </c>
      <c r="X54" s="80">
        <v>2.1044999999999998</v>
      </c>
      <c r="Y54" s="80">
        <v>14.746</v>
      </c>
      <c r="Z54" s="81">
        <v>0</v>
      </c>
      <c r="AA54" s="81">
        <v>0.14848190090708244</v>
      </c>
      <c r="AB54" s="82">
        <v>0.14848190090708244</v>
      </c>
    </row>
    <row r="55" spans="2:28">
      <c r="B55" s="83">
        <v>71</v>
      </c>
      <c r="C55" s="84"/>
      <c r="D55" s="84">
        <v>13.561999999999999</v>
      </c>
      <c r="E55" s="84">
        <v>3.6749999999999998</v>
      </c>
      <c r="F55" s="84">
        <v>3.6749999999999998</v>
      </c>
      <c r="G55" s="84">
        <v>13.561999999999999</v>
      </c>
      <c r="H55" s="85">
        <v>0</v>
      </c>
      <c r="I55" s="85">
        <v>0.27097773189795016</v>
      </c>
      <c r="J55" s="78">
        <v>0.27097773189795016</v>
      </c>
      <c r="K55" s="83">
        <v>71</v>
      </c>
      <c r="L55" s="84">
        <v>0</v>
      </c>
      <c r="M55" s="84">
        <v>15.026</v>
      </c>
      <c r="N55" s="86">
        <v>0.51</v>
      </c>
      <c r="O55" s="84">
        <v>0.51</v>
      </c>
      <c r="P55" s="84">
        <v>15.026</v>
      </c>
      <c r="Q55" s="85">
        <v>0</v>
      </c>
      <c r="R55" s="85">
        <v>3.3941168641022229E-2</v>
      </c>
      <c r="S55" s="87">
        <v>3.3941168641022229E-2</v>
      </c>
      <c r="T55" s="83">
        <v>71</v>
      </c>
      <c r="U55" s="88">
        <v>0</v>
      </c>
      <c r="V55" s="88">
        <v>14.294</v>
      </c>
      <c r="W55" s="88">
        <v>2.0924999999999998</v>
      </c>
      <c r="X55" s="88">
        <v>2.0924999999999998</v>
      </c>
      <c r="Y55" s="88">
        <v>14.294</v>
      </c>
      <c r="Z55" s="29">
        <v>0</v>
      </c>
      <c r="AA55" s="29">
        <v>0.15245945026948621</v>
      </c>
      <c r="AB55" s="89">
        <v>0.15245945026948621</v>
      </c>
    </row>
    <row r="56" spans="2:28">
      <c r="B56" s="75">
        <v>72</v>
      </c>
      <c r="C56" s="76"/>
      <c r="D56" s="76">
        <v>13.111000000000001</v>
      </c>
      <c r="E56" s="76">
        <v>3.669</v>
      </c>
      <c r="F56" s="76">
        <v>3.669</v>
      </c>
      <c r="G56" s="76">
        <v>13.111000000000001</v>
      </c>
      <c r="H56" s="77">
        <v>0</v>
      </c>
      <c r="I56" s="77">
        <v>0.27984135458775072</v>
      </c>
      <c r="J56" s="78">
        <v>0.27984135458775072</v>
      </c>
      <c r="K56" s="75">
        <v>72</v>
      </c>
      <c r="L56" s="76">
        <v>0</v>
      </c>
      <c r="M56" s="76">
        <v>14.55</v>
      </c>
      <c r="N56" s="79">
        <v>0.49099999999999999</v>
      </c>
      <c r="O56" s="76">
        <v>0.49099999999999999</v>
      </c>
      <c r="P56" s="76">
        <v>14.55</v>
      </c>
      <c r="Q56" s="77">
        <v>0</v>
      </c>
      <c r="R56" s="77">
        <v>3.3745704467353949E-2</v>
      </c>
      <c r="S56" s="78">
        <v>3.3745704467353949E-2</v>
      </c>
      <c r="T56" s="75">
        <v>72</v>
      </c>
      <c r="U56" s="80">
        <v>0</v>
      </c>
      <c r="V56" s="80">
        <v>13.830500000000001</v>
      </c>
      <c r="W56" s="80">
        <v>2.08</v>
      </c>
      <c r="X56" s="80">
        <v>2.08</v>
      </c>
      <c r="Y56" s="80">
        <v>13.830500000000001</v>
      </c>
      <c r="Z56" s="81">
        <v>0</v>
      </c>
      <c r="AA56" s="81">
        <v>0.15679352952755232</v>
      </c>
      <c r="AB56" s="82">
        <v>0.15679352952755232</v>
      </c>
    </row>
    <row r="57" spans="2:28">
      <c r="B57" s="83">
        <v>73</v>
      </c>
      <c r="C57" s="84"/>
      <c r="D57" s="84">
        <v>12.65</v>
      </c>
      <c r="E57" s="84">
        <v>3.6669999999999998</v>
      </c>
      <c r="F57" s="84">
        <v>3.6669999999999998</v>
      </c>
      <c r="G57" s="84">
        <v>12.65</v>
      </c>
      <c r="H57" s="85">
        <v>0</v>
      </c>
      <c r="I57" s="85">
        <v>0.28988142292490116</v>
      </c>
      <c r="J57" s="78">
        <v>0.28988142292490116</v>
      </c>
      <c r="K57" s="83">
        <v>73</v>
      </c>
      <c r="L57" s="84">
        <v>0</v>
      </c>
      <c r="M57" s="84">
        <v>14.061999999999999</v>
      </c>
      <c r="N57" s="86">
        <v>0.47199999999999998</v>
      </c>
      <c r="O57" s="84">
        <v>0.47199999999999998</v>
      </c>
      <c r="P57" s="84">
        <v>14.061999999999999</v>
      </c>
      <c r="Q57" s="85">
        <v>0</v>
      </c>
      <c r="R57" s="85">
        <v>3.3565637889347175E-2</v>
      </c>
      <c r="S57" s="87">
        <v>3.3565637889347175E-2</v>
      </c>
      <c r="T57" s="83">
        <v>73</v>
      </c>
      <c r="U57" s="88">
        <v>0</v>
      </c>
      <c r="V57" s="88">
        <v>13.356</v>
      </c>
      <c r="W57" s="88">
        <v>2.0694999999999997</v>
      </c>
      <c r="X57" s="88">
        <v>2.0694999999999997</v>
      </c>
      <c r="Y57" s="88">
        <v>13.356</v>
      </c>
      <c r="Z57" s="29">
        <v>0</v>
      </c>
      <c r="AA57" s="29">
        <v>0.16172353040712417</v>
      </c>
      <c r="AB57" s="89">
        <v>0.16172353040712417</v>
      </c>
    </row>
    <row r="58" spans="2:28">
      <c r="B58" s="75">
        <v>74</v>
      </c>
      <c r="C58" s="76"/>
      <c r="D58" s="76">
        <v>12.18</v>
      </c>
      <c r="E58" s="76">
        <v>3.6619999999999999</v>
      </c>
      <c r="F58" s="76">
        <v>3.6619999999999999</v>
      </c>
      <c r="G58" s="76">
        <v>12.18</v>
      </c>
      <c r="H58" s="77">
        <v>0</v>
      </c>
      <c r="I58" s="77">
        <v>0.30065681444991788</v>
      </c>
      <c r="J58" s="78">
        <v>0.30065681444991788</v>
      </c>
      <c r="K58" s="75">
        <v>74</v>
      </c>
      <c r="L58" s="76">
        <v>0</v>
      </c>
      <c r="M58" s="76">
        <v>13.561999999999999</v>
      </c>
      <c r="N58" s="79">
        <v>0.45300000000000001</v>
      </c>
      <c r="O58" s="76">
        <v>0.45300000000000001</v>
      </c>
      <c r="P58" s="76">
        <v>13.561999999999999</v>
      </c>
      <c r="Q58" s="77">
        <v>0</v>
      </c>
      <c r="R58" s="77">
        <v>3.3402153074767738E-2</v>
      </c>
      <c r="S58" s="78">
        <v>3.3402153074767738E-2</v>
      </c>
      <c r="T58" s="75">
        <v>74</v>
      </c>
      <c r="U58" s="80">
        <v>0</v>
      </c>
      <c r="V58" s="80">
        <v>12.870999999999999</v>
      </c>
      <c r="W58" s="80">
        <v>2.0575000000000001</v>
      </c>
      <c r="X58" s="80">
        <v>2.0575000000000001</v>
      </c>
      <c r="Y58" s="80">
        <v>12.870999999999999</v>
      </c>
      <c r="Z58" s="81">
        <v>0</v>
      </c>
      <c r="AA58" s="81">
        <v>0.16702948376234281</v>
      </c>
      <c r="AB58" s="82">
        <v>0.16702948376234281</v>
      </c>
    </row>
    <row r="59" spans="2:28">
      <c r="B59" s="83">
        <v>75</v>
      </c>
      <c r="C59" s="84"/>
      <c r="D59" s="84">
        <v>11.701000000000001</v>
      </c>
      <c r="E59" s="84">
        <v>3.6549999999999998</v>
      </c>
      <c r="F59" s="84">
        <v>3.6549999999999998</v>
      </c>
      <c r="G59" s="84">
        <v>11.701000000000001</v>
      </c>
      <c r="H59" s="85">
        <v>0</v>
      </c>
      <c r="I59" s="85">
        <v>0.31236646440475169</v>
      </c>
      <c r="J59" s="78">
        <v>0.31236646440475169</v>
      </c>
      <c r="K59" s="83">
        <v>75</v>
      </c>
      <c r="L59" s="84">
        <v>0</v>
      </c>
      <c r="M59" s="84">
        <v>13.051</v>
      </c>
      <c r="N59" s="86">
        <v>0.434</v>
      </c>
      <c r="O59" s="84">
        <v>0.434</v>
      </c>
      <c r="P59" s="84">
        <v>13.051</v>
      </c>
      <c r="Q59" s="85">
        <v>0</v>
      </c>
      <c r="R59" s="85">
        <v>3.3254156769596199E-2</v>
      </c>
      <c r="S59" s="87">
        <v>3.3254156769596199E-2</v>
      </c>
      <c r="T59" s="83">
        <v>75</v>
      </c>
      <c r="U59" s="88">
        <v>0</v>
      </c>
      <c r="V59" s="88">
        <v>12.376000000000001</v>
      </c>
      <c r="W59" s="88">
        <v>2.0444999999999998</v>
      </c>
      <c r="X59" s="88">
        <v>2.0444999999999998</v>
      </c>
      <c r="Y59" s="88">
        <v>12.376000000000001</v>
      </c>
      <c r="Z59" s="29">
        <v>0</v>
      </c>
      <c r="AA59" s="29">
        <v>0.17281031058717394</v>
      </c>
      <c r="AB59" s="89">
        <v>0.17281031058717394</v>
      </c>
    </row>
    <row r="60" spans="2:28">
      <c r="B60" s="75">
        <v>76</v>
      </c>
      <c r="C60" s="76"/>
      <c r="D60" s="76">
        <v>11.215</v>
      </c>
      <c r="E60" s="76">
        <v>3.6429999999999998</v>
      </c>
      <c r="F60" s="76">
        <v>3.6429999999999998</v>
      </c>
      <c r="G60" s="76">
        <v>11.215</v>
      </c>
      <c r="H60" s="77">
        <v>0</v>
      </c>
      <c r="I60" s="77">
        <v>0.32483281319661167</v>
      </c>
      <c r="J60" s="78">
        <v>0.32483281319661167</v>
      </c>
      <c r="K60" s="75">
        <v>76</v>
      </c>
      <c r="L60" s="76">
        <v>0</v>
      </c>
      <c r="M60" s="76">
        <v>12.531000000000001</v>
      </c>
      <c r="N60" s="79">
        <v>0.41399999999999998</v>
      </c>
      <c r="O60" s="76">
        <v>0.41399999999999998</v>
      </c>
      <c r="P60" s="76">
        <v>12.531000000000001</v>
      </c>
      <c r="Q60" s="77">
        <v>0</v>
      </c>
      <c r="R60" s="77">
        <v>3.3038065597318644E-2</v>
      </c>
      <c r="S60" s="78">
        <v>3.3038065597318644E-2</v>
      </c>
      <c r="T60" s="75">
        <v>76</v>
      </c>
      <c r="U60" s="80">
        <v>0</v>
      </c>
      <c r="V60" s="80">
        <v>11.873000000000001</v>
      </c>
      <c r="W60" s="80">
        <v>2.0284999999999997</v>
      </c>
      <c r="X60" s="80">
        <v>2.0284999999999997</v>
      </c>
      <c r="Y60" s="80">
        <v>11.873000000000001</v>
      </c>
      <c r="Z60" s="81">
        <v>0</v>
      </c>
      <c r="AA60" s="81">
        <v>0.17893543939696516</v>
      </c>
      <c r="AB60" s="82">
        <v>0.17893543939696516</v>
      </c>
    </row>
    <row r="61" spans="2:28">
      <c r="B61" s="83">
        <v>77</v>
      </c>
      <c r="C61" s="84"/>
      <c r="D61" s="84">
        <v>10.724</v>
      </c>
      <c r="E61" s="84">
        <v>3.625</v>
      </c>
      <c r="F61" s="84">
        <v>3.625</v>
      </c>
      <c r="G61" s="84">
        <v>10.724</v>
      </c>
      <c r="H61" s="85">
        <v>0</v>
      </c>
      <c r="I61" s="85">
        <v>0.33802685565087653</v>
      </c>
      <c r="J61" s="78">
        <v>0.33802685565087653</v>
      </c>
      <c r="K61" s="83">
        <v>77</v>
      </c>
      <c r="L61" s="84">
        <v>0</v>
      </c>
      <c r="M61" s="84">
        <v>12.003</v>
      </c>
      <c r="N61" s="86">
        <v>0.39300000000000002</v>
      </c>
      <c r="O61" s="84">
        <v>0.39300000000000002</v>
      </c>
      <c r="P61" s="84">
        <v>12.003</v>
      </c>
      <c r="Q61" s="85">
        <v>0</v>
      </c>
      <c r="R61" s="85">
        <v>3.2741814546363407E-2</v>
      </c>
      <c r="S61" s="87">
        <v>3.2741814546363407E-2</v>
      </c>
      <c r="T61" s="83">
        <v>77</v>
      </c>
      <c r="U61" s="88">
        <v>0</v>
      </c>
      <c r="V61" s="88">
        <v>11.3635</v>
      </c>
      <c r="W61" s="88">
        <v>2.0089999999999999</v>
      </c>
      <c r="X61" s="88">
        <v>2.0089999999999999</v>
      </c>
      <c r="Y61" s="88">
        <v>11.3635</v>
      </c>
      <c r="Z61" s="29">
        <v>0</v>
      </c>
      <c r="AA61" s="29">
        <v>0.18538433509861996</v>
      </c>
      <c r="AB61" s="89">
        <v>0.18538433509861996</v>
      </c>
    </row>
    <row r="62" spans="2:28">
      <c r="B62" s="75">
        <v>78</v>
      </c>
      <c r="C62" s="76"/>
      <c r="D62" s="76">
        <v>10.228999999999999</v>
      </c>
      <c r="E62" s="76">
        <v>3.601</v>
      </c>
      <c r="F62" s="76">
        <v>3.601</v>
      </c>
      <c r="G62" s="76">
        <v>10.228999999999999</v>
      </c>
      <c r="H62" s="77">
        <v>0</v>
      </c>
      <c r="I62" s="77">
        <v>0.35203832241665856</v>
      </c>
      <c r="J62" s="78">
        <v>0.35203832241665856</v>
      </c>
      <c r="K62" s="75">
        <v>78</v>
      </c>
      <c r="L62" s="76">
        <v>0</v>
      </c>
      <c r="M62" s="76">
        <v>11.47</v>
      </c>
      <c r="N62" s="79">
        <v>0.371</v>
      </c>
      <c r="O62" s="76">
        <v>0.371</v>
      </c>
      <c r="P62" s="76">
        <v>11.47</v>
      </c>
      <c r="Q62" s="77">
        <v>0</v>
      </c>
      <c r="R62" s="77">
        <v>3.2345248474280733E-2</v>
      </c>
      <c r="S62" s="78">
        <v>3.2345248474280733E-2</v>
      </c>
      <c r="T62" s="75">
        <v>78</v>
      </c>
      <c r="U62" s="80">
        <v>0</v>
      </c>
      <c r="V62" s="80">
        <v>10.849499999999999</v>
      </c>
      <c r="W62" s="80">
        <v>1.986</v>
      </c>
      <c r="X62" s="80">
        <v>1.986</v>
      </c>
      <c r="Y62" s="80">
        <v>10.849499999999999</v>
      </c>
      <c r="Z62" s="81">
        <v>0</v>
      </c>
      <c r="AA62" s="81">
        <v>0.19219178544546964</v>
      </c>
      <c r="AB62" s="82">
        <v>0.19219178544546964</v>
      </c>
    </row>
    <row r="63" spans="2:28">
      <c r="B63" s="83">
        <v>79</v>
      </c>
      <c r="C63" s="84"/>
      <c r="D63" s="84">
        <v>9.7330000000000005</v>
      </c>
      <c r="E63" s="84">
        <v>3.57</v>
      </c>
      <c r="F63" s="84">
        <v>3.57</v>
      </c>
      <c r="G63" s="84">
        <v>9.7330000000000005</v>
      </c>
      <c r="H63" s="85">
        <v>0</v>
      </c>
      <c r="I63" s="85">
        <v>0.36679338333504569</v>
      </c>
      <c r="J63" s="78">
        <v>0.36679338333504569</v>
      </c>
      <c r="K63" s="83">
        <v>79</v>
      </c>
      <c r="L63" s="84">
        <v>0</v>
      </c>
      <c r="M63" s="84">
        <v>10.932</v>
      </c>
      <c r="N63" s="86">
        <v>0.34899999999999998</v>
      </c>
      <c r="O63" s="84">
        <v>0.34899999999999998</v>
      </c>
      <c r="P63" s="84">
        <v>10.932</v>
      </c>
      <c r="Q63" s="85">
        <v>0</v>
      </c>
      <c r="R63" s="85">
        <v>3.1924624954262709E-2</v>
      </c>
      <c r="S63" s="87">
        <v>3.1924624954262709E-2</v>
      </c>
      <c r="T63" s="83">
        <v>79</v>
      </c>
      <c r="U63" s="88">
        <v>0</v>
      </c>
      <c r="V63" s="88">
        <v>10.3325</v>
      </c>
      <c r="W63" s="88">
        <v>1.9594999999999998</v>
      </c>
      <c r="X63" s="88">
        <v>1.9594999999999998</v>
      </c>
      <c r="Y63" s="88">
        <v>10.3325</v>
      </c>
      <c r="Z63" s="29">
        <v>0</v>
      </c>
      <c r="AA63" s="29">
        <v>0.19935900414465418</v>
      </c>
      <c r="AB63" s="89">
        <v>0.19935900414465418</v>
      </c>
    </row>
    <row r="64" spans="2:28">
      <c r="B64" s="75">
        <v>80</v>
      </c>
      <c r="C64" s="76"/>
      <c r="D64" s="76">
        <v>9.2379999999999995</v>
      </c>
      <c r="E64" s="76">
        <v>3.5310000000000001</v>
      </c>
      <c r="F64" s="76">
        <v>3.5310000000000001</v>
      </c>
      <c r="G64" s="76">
        <v>9.2379999999999995</v>
      </c>
      <c r="H64" s="77">
        <v>0</v>
      </c>
      <c r="I64" s="77">
        <v>0.38222558995453565</v>
      </c>
      <c r="J64" s="78">
        <v>0.38222558995453565</v>
      </c>
      <c r="K64" s="75">
        <v>80</v>
      </c>
      <c r="L64" s="76">
        <v>0</v>
      </c>
      <c r="M64" s="76">
        <v>10.391999999999999</v>
      </c>
      <c r="N64" s="79">
        <v>0.32700000000000001</v>
      </c>
      <c r="O64" s="76">
        <v>0.32700000000000001</v>
      </c>
      <c r="P64" s="76">
        <v>10.391999999999999</v>
      </c>
      <c r="Q64" s="77">
        <v>0</v>
      </c>
      <c r="R64" s="77">
        <v>3.1466512702078522E-2</v>
      </c>
      <c r="S64" s="78">
        <v>3.1466512702078522E-2</v>
      </c>
      <c r="T64" s="75">
        <v>80</v>
      </c>
      <c r="U64" s="80">
        <v>0</v>
      </c>
      <c r="V64" s="80">
        <v>9.8149999999999995</v>
      </c>
      <c r="W64" s="80">
        <v>1.929</v>
      </c>
      <c r="X64" s="80">
        <v>1.929</v>
      </c>
      <c r="Y64" s="80">
        <v>9.8149999999999995</v>
      </c>
      <c r="Z64" s="81">
        <v>0</v>
      </c>
      <c r="AA64" s="81">
        <v>0.20684605132830708</v>
      </c>
      <c r="AB64" s="82">
        <v>0.20684605132830708</v>
      </c>
    </row>
    <row r="65" spans="2:28">
      <c r="B65" s="83">
        <v>81</v>
      </c>
      <c r="C65" s="84"/>
      <c r="D65" s="84">
        <v>8.7469999999999999</v>
      </c>
      <c r="E65" s="84">
        <v>3.4820000000000002</v>
      </c>
      <c r="F65" s="84">
        <v>3.4820000000000002</v>
      </c>
      <c r="G65" s="84">
        <v>8.7469999999999999</v>
      </c>
      <c r="H65" s="85">
        <v>0</v>
      </c>
      <c r="I65" s="85">
        <v>0.39807934148851037</v>
      </c>
      <c r="J65" s="78">
        <v>0.39807934148851037</v>
      </c>
      <c r="K65" s="83">
        <v>81</v>
      </c>
      <c r="L65" s="84">
        <v>0</v>
      </c>
      <c r="M65" s="84">
        <v>9.8529999999999998</v>
      </c>
      <c r="N65" s="86">
        <v>0.30399999999999999</v>
      </c>
      <c r="O65" s="84">
        <v>0.30399999999999999</v>
      </c>
      <c r="P65" s="84">
        <v>9.8529999999999998</v>
      </c>
      <c r="Q65" s="85">
        <v>0</v>
      </c>
      <c r="R65" s="85">
        <v>3.0853547143002133E-2</v>
      </c>
      <c r="S65" s="87">
        <v>3.0853547143002133E-2</v>
      </c>
      <c r="T65" s="83">
        <v>81</v>
      </c>
      <c r="U65" s="88">
        <v>0</v>
      </c>
      <c r="V65" s="88">
        <v>9.3000000000000007</v>
      </c>
      <c r="W65" s="88">
        <v>1.893</v>
      </c>
      <c r="X65" s="88">
        <v>1.893</v>
      </c>
      <c r="Y65" s="88">
        <v>9.3000000000000007</v>
      </c>
      <c r="Z65" s="29">
        <v>0</v>
      </c>
      <c r="AA65" s="29">
        <v>0.21446644431575626</v>
      </c>
      <c r="AB65" s="89">
        <v>0.21446644431575626</v>
      </c>
    </row>
    <row r="66" spans="2:28">
      <c r="B66" s="75">
        <v>82</v>
      </c>
      <c r="C66" s="76"/>
      <c r="D66" s="76">
        <v>8.2629999999999999</v>
      </c>
      <c r="E66" s="76">
        <v>3.4089999999999998</v>
      </c>
      <c r="F66" s="76">
        <v>3.4089999999999998</v>
      </c>
      <c r="G66" s="76">
        <v>8.2629999999999999</v>
      </c>
      <c r="H66" s="77">
        <v>0</v>
      </c>
      <c r="I66" s="77">
        <v>0.41256202347815563</v>
      </c>
      <c r="J66" s="78">
        <v>0.41256202347815563</v>
      </c>
      <c r="K66" s="75">
        <v>82</v>
      </c>
      <c r="L66" s="76">
        <v>0</v>
      </c>
      <c r="M66" s="76">
        <v>9.3179999999999996</v>
      </c>
      <c r="N66" s="79">
        <v>0.28100000000000003</v>
      </c>
      <c r="O66" s="76">
        <v>0.28100000000000003</v>
      </c>
      <c r="P66" s="76">
        <v>9.3179999999999996</v>
      </c>
      <c r="Q66" s="77">
        <v>0</v>
      </c>
      <c r="R66" s="77">
        <v>3.0156685984116766E-2</v>
      </c>
      <c r="S66" s="78">
        <v>3.0156685984116766E-2</v>
      </c>
      <c r="T66" s="75">
        <v>82</v>
      </c>
      <c r="U66" s="80">
        <v>0</v>
      </c>
      <c r="V66" s="80">
        <v>8.7904999999999998</v>
      </c>
      <c r="W66" s="80">
        <v>1.845</v>
      </c>
      <c r="X66" s="80">
        <v>1.845</v>
      </c>
      <c r="Y66" s="80">
        <v>8.7904999999999998</v>
      </c>
      <c r="Z66" s="81">
        <v>0</v>
      </c>
      <c r="AA66" s="81">
        <v>0.22135935473113619</v>
      </c>
      <c r="AB66" s="82">
        <v>0.22135935473113619</v>
      </c>
    </row>
    <row r="67" spans="2:28">
      <c r="B67" s="83">
        <v>83</v>
      </c>
      <c r="C67" s="84"/>
      <c r="D67" s="84">
        <v>7.7880000000000003</v>
      </c>
      <c r="E67" s="84">
        <v>3.3220000000000001</v>
      </c>
      <c r="F67" s="84">
        <v>3.3220000000000001</v>
      </c>
      <c r="G67" s="84">
        <v>7.7880000000000003</v>
      </c>
      <c r="H67" s="85">
        <v>0</v>
      </c>
      <c r="I67" s="85">
        <v>0.42655367231638419</v>
      </c>
      <c r="J67" s="78">
        <v>0.42655367231638419</v>
      </c>
      <c r="K67" s="83">
        <v>83</v>
      </c>
      <c r="L67" s="84">
        <v>0</v>
      </c>
      <c r="M67" s="84">
        <v>8.7889999999999997</v>
      </c>
      <c r="N67" s="86">
        <v>0.25800000000000001</v>
      </c>
      <c r="O67" s="84">
        <v>0.25800000000000001</v>
      </c>
      <c r="P67" s="84">
        <v>8.7889999999999997</v>
      </c>
      <c r="Q67" s="85">
        <v>0</v>
      </c>
      <c r="R67" s="85">
        <v>2.9354875412447381E-2</v>
      </c>
      <c r="S67" s="87">
        <v>2.9354875412447381E-2</v>
      </c>
      <c r="T67" s="83">
        <v>83</v>
      </c>
      <c r="U67" s="88">
        <v>0</v>
      </c>
      <c r="V67" s="88">
        <v>8.2884999999999991</v>
      </c>
      <c r="W67" s="88">
        <v>1.79</v>
      </c>
      <c r="X67" s="88">
        <v>1.79</v>
      </c>
      <c r="Y67" s="88">
        <v>8.2884999999999991</v>
      </c>
      <c r="Z67" s="29">
        <v>0</v>
      </c>
      <c r="AA67" s="29">
        <v>0.22795427386441577</v>
      </c>
      <c r="AB67" s="89">
        <v>0.22795427386441577</v>
      </c>
    </row>
    <row r="68" spans="2:28">
      <c r="B68" s="75">
        <v>84</v>
      </c>
      <c r="C68" s="76"/>
      <c r="D68" s="76">
        <v>7.327</v>
      </c>
      <c r="E68" s="76">
        <v>3.2229999999999999</v>
      </c>
      <c r="F68" s="76">
        <v>3.2229999999999999</v>
      </c>
      <c r="G68" s="76">
        <v>7.327</v>
      </c>
      <c r="H68" s="77">
        <v>0</v>
      </c>
      <c r="I68" s="77">
        <v>0.43987989627405483</v>
      </c>
      <c r="J68" s="78">
        <v>0.43987989627405483</v>
      </c>
      <c r="K68" s="75">
        <v>84</v>
      </c>
      <c r="L68" s="76">
        <v>0</v>
      </c>
      <c r="M68" s="76">
        <v>8.2710000000000008</v>
      </c>
      <c r="N68" s="79">
        <v>0.23499999999999999</v>
      </c>
      <c r="O68" s="76">
        <v>0.23499999999999999</v>
      </c>
      <c r="P68" s="76">
        <v>8.2710000000000008</v>
      </c>
      <c r="Q68" s="77">
        <v>0</v>
      </c>
      <c r="R68" s="77">
        <v>2.8412525692177483E-2</v>
      </c>
      <c r="S68" s="78">
        <v>2.8412525692177483E-2</v>
      </c>
      <c r="T68" s="75">
        <v>84</v>
      </c>
      <c r="U68" s="80">
        <v>0</v>
      </c>
      <c r="V68" s="80">
        <v>7.7990000000000004</v>
      </c>
      <c r="W68" s="80">
        <v>1.7289999999999999</v>
      </c>
      <c r="X68" s="80">
        <v>1.7289999999999999</v>
      </c>
      <c r="Y68" s="80">
        <v>7.7990000000000004</v>
      </c>
      <c r="Z68" s="81">
        <v>0</v>
      </c>
      <c r="AA68" s="81">
        <v>0.23414621098311617</v>
      </c>
      <c r="AB68" s="82">
        <v>0.23414621098311617</v>
      </c>
    </row>
    <row r="69" spans="2:28">
      <c r="B69" s="83">
        <v>85</v>
      </c>
      <c r="C69" s="84"/>
      <c r="D69" s="84">
        <v>6.883</v>
      </c>
      <c r="E69" s="84">
        <v>3.1139999999999999</v>
      </c>
      <c r="F69" s="84">
        <v>3.1139999999999999</v>
      </c>
      <c r="G69" s="84">
        <v>6.883</v>
      </c>
      <c r="H69" s="85">
        <v>0</v>
      </c>
      <c r="I69" s="85">
        <v>0.45241900334156615</v>
      </c>
      <c r="J69" s="78">
        <v>0.45241900334156615</v>
      </c>
      <c r="K69" s="83">
        <v>85</v>
      </c>
      <c r="L69" s="84">
        <v>0</v>
      </c>
      <c r="M69" s="84">
        <v>7.7679999999999998</v>
      </c>
      <c r="N69" s="86">
        <v>0.21</v>
      </c>
      <c r="O69" s="84">
        <v>0.21</v>
      </c>
      <c r="P69" s="84">
        <v>7.7679999999999998</v>
      </c>
      <c r="Q69" s="85">
        <v>0</v>
      </c>
      <c r="R69" s="85">
        <v>2.7033985581874358E-2</v>
      </c>
      <c r="S69" s="87">
        <v>2.7033985581874358E-2</v>
      </c>
      <c r="T69" s="83">
        <v>85</v>
      </c>
      <c r="U69" s="88">
        <v>0</v>
      </c>
      <c r="V69" s="88">
        <v>7.3254999999999999</v>
      </c>
      <c r="W69" s="88">
        <v>1.6619999999999999</v>
      </c>
      <c r="X69" s="88">
        <v>1.6619999999999999</v>
      </c>
      <c r="Y69" s="88">
        <v>7.3254999999999999</v>
      </c>
      <c r="Z69" s="29">
        <v>0</v>
      </c>
      <c r="AA69" s="29">
        <v>0.23972649446172026</v>
      </c>
      <c r="AB69" s="89">
        <v>0.23972649446172026</v>
      </c>
    </row>
    <row r="70" spans="2:28">
      <c r="B70" s="75">
        <v>86</v>
      </c>
      <c r="C70" s="76"/>
      <c r="D70" s="76">
        <v>6.4619999999999997</v>
      </c>
      <c r="E70" s="76">
        <v>2.9969999999999999</v>
      </c>
      <c r="F70" s="76">
        <v>2.9969999999999999</v>
      </c>
      <c r="G70" s="76">
        <v>6.4619999999999997</v>
      </c>
      <c r="H70" s="77">
        <v>0</v>
      </c>
      <c r="I70" s="77">
        <v>0.46378830083565459</v>
      </c>
      <c r="J70" s="78">
        <v>0.46378830083565459</v>
      </c>
      <c r="K70" s="75">
        <v>86</v>
      </c>
      <c r="L70" s="76">
        <v>0</v>
      </c>
      <c r="M70" s="76">
        <v>7.2850000000000001</v>
      </c>
      <c r="N70" s="79">
        <v>0.186</v>
      </c>
      <c r="O70" s="76">
        <v>0.186</v>
      </c>
      <c r="P70" s="76">
        <v>7.2850000000000001</v>
      </c>
      <c r="Q70" s="77">
        <v>0</v>
      </c>
      <c r="R70" s="77">
        <v>2.553191489361702E-2</v>
      </c>
      <c r="S70" s="78">
        <v>2.553191489361702E-2</v>
      </c>
      <c r="T70" s="75">
        <v>86</v>
      </c>
      <c r="U70" s="80">
        <v>0</v>
      </c>
      <c r="V70" s="80">
        <v>6.8734999999999999</v>
      </c>
      <c r="W70" s="80">
        <v>1.5914999999999999</v>
      </c>
      <c r="X70" s="80">
        <v>1.5914999999999999</v>
      </c>
      <c r="Y70" s="80">
        <v>6.8734999999999999</v>
      </c>
      <c r="Z70" s="81">
        <v>0</v>
      </c>
      <c r="AA70" s="81">
        <v>0.2446601078646358</v>
      </c>
      <c r="AB70" s="82">
        <v>0.2446601078646358</v>
      </c>
    </row>
    <row r="71" spans="2:28">
      <c r="B71" s="83">
        <v>87</v>
      </c>
      <c r="C71" s="84"/>
      <c r="D71" s="84">
        <v>6.069</v>
      </c>
      <c r="E71" s="84">
        <v>2.8730000000000002</v>
      </c>
      <c r="F71" s="84">
        <v>2.8730000000000002</v>
      </c>
      <c r="G71" s="84">
        <v>6.069</v>
      </c>
      <c r="H71" s="85">
        <v>0</v>
      </c>
      <c r="I71" s="85">
        <v>0.47338935574229696</v>
      </c>
      <c r="J71" s="78">
        <v>0.47338935574229696</v>
      </c>
      <c r="K71" s="83">
        <v>87</v>
      </c>
      <c r="L71" s="84">
        <v>0</v>
      </c>
      <c r="M71" s="84">
        <v>6.8259999999999996</v>
      </c>
      <c r="N71" s="86">
        <v>0.16200000000000001</v>
      </c>
      <c r="O71" s="84">
        <v>0.16200000000000001</v>
      </c>
      <c r="P71" s="84">
        <v>6.8259999999999996</v>
      </c>
      <c r="Q71" s="85">
        <v>0</v>
      </c>
      <c r="R71" s="85">
        <v>2.3732786404922358E-2</v>
      </c>
      <c r="S71" s="87">
        <v>2.3732786404922358E-2</v>
      </c>
      <c r="T71" s="83">
        <v>87</v>
      </c>
      <c r="U71" s="88">
        <v>0</v>
      </c>
      <c r="V71" s="88">
        <v>6.4474999999999998</v>
      </c>
      <c r="W71" s="88">
        <v>1.5175000000000001</v>
      </c>
      <c r="X71" s="88">
        <v>1.5175000000000001</v>
      </c>
      <c r="Y71" s="88">
        <v>6.4474999999999998</v>
      </c>
      <c r="Z71" s="29">
        <v>0</v>
      </c>
      <c r="AA71" s="29">
        <v>0.24856107107360967</v>
      </c>
      <c r="AB71" s="89">
        <v>0.24856107107360967</v>
      </c>
    </row>
    <row r="72" spans="2:28">
      <c r="B72" s="75">
        <v>88</v>
      </c>
      <c r="C72" s="76"/>
      <c r="D72" s="76">
        <v>5.7119999999999997</v>
      </c>
      <c r="E72" s="76">
        <v>2.7149999999999999</v>
      </c>
      <c r="F72" s="76">
        <v>2.7149999999999999</v>
      </c>
      <c r="G72" s="76">
        <v>5.7119999999999997</v>
      </c>
      <c r="H72" s="77">
        <v>0</v>
      </c>
      <c r="I72" s="77">
        <v>0.47531512605042014</v>
      </c>
      <c r="J72" s="78">
        <v>0.47531512605042014</v>
      </c>
      <c r="K72" s="75">
        <v>88</v>
      </c>
      <c r="L72" s="76">
        <v>0</v>
      </c>
      <c r="M72" s="76">
        <v>6.3979999999999997</v>
      </c>
      <c r="N72" s="79">
        <v>0.14000000000000001</v>
      </c>
      <c r="O72" s="76">
        <v>0.14000000000000001</v>
      </c>
      <c r="P72" s="76">
        <v>6.3979999999999997</v>
      </c>
      <c r="Q72" s="77">
        <v>0</v>
      </c>
      <c r="R72" s="77">
        <v>2.1881838074398252E-2</v>
      </c>
      <c r="S72" s="78">
        <v>2.1881838074398252E-2</v>
      </c>
      <c r="T72" s="75">
        <v>88</v>
      </c>
      <c r="U72" s="80">
        <v>0</v>
      </c>
      <c r="V72" s="80">
        <v>6.0549999999999997</v>
      </c>
      <c r="W72" s="80">
        <v>1.4275</v>
      </c>
      <c r="X72" s="80">
        <v>1.4275</v>
      </c>
      <c r="Y72" s="80">
        <v>6.0549999999999997</v>
      </c>
      <c r="Z72" s="81">
        <v>0</v>
      </c>
      <c r="AA72" s="81">
        <v>0.2485984820624092</v>
      </c>
      <c r="AB72" s="82">
        <v>0.2485984820624092</v>
      </c>
    </row>
    <row r="73" spans="2:28">
      <c r="B73" s="83">
        <v>89</v>
      </c>
      <c r="C73" s="84"/>
      <c r="D73" s="84">
        <v>5.3979999999999997</v>
      </c>
      <c r="E73" s="84">
        <v>2.5489999999999999</v>
      </c>
      <c r="F73" s="84">
        <v>2.5489999999999999</v>
      </c>
      <c r="G73" s="84">
        <v>5.3979999999999997</v>
      </c>
      <c r="H73" s="85">
        <v>0</v>
      </c>
      <c r="I73" s="85">
        <v>0.4722119303445721</v>
      </c>
      <c r="J73" s="78">
        <v>0.4722119303445721</v>
      </c>
      <c r="K73" s="83">
        <v>89</v>
      </c>
      <c r="L73" s="84">
        <v>0</v>
      </c>
      <c r="M73" s="84">
        <v>6.0069999999999997</v>
      </c>
      <c r="N73" s="86">
        <v>0.11700000000000001</v>
      </c>
      <c r="O73" s="84">
        <v>0.11700000000000001</v>
      </c>
      <c r="P73" s="84">
        <v>6.0069999999999997</v>
      </c>
      <c r="Q73" s="85">
        <v>0</v>
      </c>
      <c r="R73" s="85">
        <v>1.9477276510737475E-2</v>
      </c>
      <c r="S73" s="87">
        <v>1.9477276510737475E-2</v>
      </c>
      <c r="T73" s="83">
        <v>89</v>
      </c>
      <c r="U73" s="88">
        <v>0</v>
      </c>
      <c r="V73" s="88">
        <v>5.7024999999999997</v>
      </c>
      <c r="W73" s="88">
        <v>1.333</v>
      </c>
      <c r="X73" s="88">
        <v>1.333</v>
      </c>
      <c r="Y73" s="88">
        <v>5.7024999999999997</v>
      </c>
      <c r="Z73" s="29">
        <v>0</v>
      </c>
      <c r="AA73" s="29">
        <v>0.2458446034276548</v>
      </c>
      <c r="AB73" s="89">
        <v>0.2458446034276548</v>
      </c>
    </row>
    <row r="74" spans="2:28">
      <c r="B74" s="75">
        <v>90</v>
      </c>
      <c r="C74" s="76"/>
      <c r="D74" s="76">
        <v>5.1150000000000002</v>
      </c>
      <c r="E74" s="76">
        <v>2.387</v>
      </c>
      <c r="F74" s="76">
        <v>2.387</v>
      </c>
      <c r="G74" s="76">
        <v>5.1150000000000002</v>
      </c>
      <c r="H74" s="77">
        <v>0</v>
      </c>
      <c r="I74" s="77">
        <v>0.46666666666666667</v>
      </c>
      <c r="J74" s="78">
        <v>0.46666666666666667</v>
      </c>
      <c r="K74" s="75">
        <v>90</v>
      </c>
      <c r="L74" s="76">
        <v>0</v>
      </c>
      <c r="M74" s="76">
        <v>5.6550000000000002</v>
      </c>
      <c r="N74" s="79">
        <v>9.7000000000000003E-2</v>
      </c>
      <c r="O74" s="76">
        <v>9.7000000000000003E-2</v>
      </c>
      <c r="P74" s="76">
        <v>5.6550000000000002</v>
      </c>
      <c r="Q74" s="77">
        <v>0</v>
      </c>
      <c r="R74" s="77">
        <v>1.7152961980548186E-2</v>
      </c>
      <c r="S74" s="78">
        <v>1.7152961980548186E-2</v>
      </c>
      <c r="T74" s="75">
        <v>90</v>
      </c>
      <c r="U74" s="80">
        <v>0</v>
      </c>
      <c r="V74" s="80">
        <v>5.3849999999999998</v>
      </c>
      <c r="W74" s="80">
        <v>1.242</v>
      </c>
      <c r="X74" s="80">
        <v>1.242</v>
      </c>
      <c r="Y74" s="80">
        <v>5.3849999999999998</v>
      </c>
      <c r="Z74" s="81">
        <v>0</v>
      </c>
      <c r="AA74" s="81">
        <v>0.24190981432360742</v>
      </c>
      <c r="AB74" s="82">
        <v>0.24190981432360742</v>
      </c>
    </row>
    <row r="75" spans="2:28">
      <c r="B75" s="83">
        <v>91</v>
      </c>
      <c r="C75" s="84"/>
      <c r="D75" s="84">
        <v>4.8499999999999996</v>
      </c>
      <c r="E75" s="84">
        <v>2.2040000000000002</v>
      </c>
      <c r="F75" s="84">
        <v>2.2040000000000002</v>
      </c>
      <c r="G75" s="84">
        <v>4.8499999999999996</v>
      </c>
      <c r="H75" s="85">
        <v>0</v>
      </c>
      <c r="I75" s="85">
        <v>0.45443298969072171</v>
      </c>
      <c r="J75" s="78">
        <v>0.45443298969072171</v>
      </c>
      <c r="K75" s="83">
        <v>91</v>
      </c>
      <c r="L75" s="84">
        <v>0</v>
      </c>
      <c r="M75" s="84">
        <v>5.3319999999999999</v>
      </c>
      <c r="N75" s="86">
        <v>0.08</v>
      </c>
      <c r="O75" s="84">
        <v>0.08</v>
      </c>
      <c r="P75" s="84">
        <v>5.3319999999999999</v>
      </c>
      <c r="Q75" s="85">
        <v>0</v>
      </c>
      <c r="R75" s="85">
        <v>1.5003750937734435E-2</v>
      </c>
      <c r="S75" s="87">
        <v>1.5003750937734435E-2</v>
      </c>
      <c r="T75" s="83">
        <v>91</v>
      </c>
      <c r="U75" s="88">
        <v>0</v>
      </c>
      <c r="V75" s="88">
        <v>5.0909999999999993</v>
      </c>
      <c r="W75" s="88">
        <v>1.1420000000000001</v>
      </c>
      <c r="X75" s="88">
        <v>1.1420000000000001</v>
      </c>
      <c r="Y75" s="88">
        <v>5.0909999999999993</v>
      </c>
      <c r="Z75" s="29">
        <v>0</v>
      </c>
      <c r="AA75" s="29">
        <v>0.23471837031422807</v>
      </c>
      <c r="AB75" s="89">
        <v>0.23471837031422807</v>
      </c>
    </row>
    <row r="76" spans="2:28">
      <c r="B76" s="75">
        <v>92</v>
      </c>
      <c r="C76" s="76"/>
      <c r="D76" s="76">
        <v>4.6040000000000001</v>
      </c>
      <c r="E76" s="76">
        <v>2.0350000000000001</v>
      </c>
      <c r="F76" s="76">
        <v>2.0350000000000001</v>
      </c>
      <c r="G76" s="76">
        <v>4.6040000000000001</v>
      </c>
      <c r="H76" s="77">
        <v>0</v>
      </c>
      <c r="I76" s="77">
        <v>0.44200695047784538</v>
      </c>
      <c r="J76" s="78">
        <v>0.44200695047784538</v>
      </c>
      <c r="K76" s="75">
        <v>92</v>
      </c>
      <c r="L76" s="76">
        <v>0</v>
      </c>
      <c r="M76" s="76">
        <v>5.0289999999999999</v>
      </c>
      <c r="N76" s="79">
        <v>6.5000000000000002E-2</v>
      </c>
      <c r="O76" s="76">
        <v>6.5000000000000002E-2</v>
      </c>
      <c r="P76" s="76">
        <v>5.0289999999999999</v>
      </c>
      <c r="Q76" s="77">
        <v>0</v>
      </c>
      <c r="R76" s="77">
        <v>1.2925034798170611E-2</v>
      </c>
      <c r="S76" s="78">
        <v>1.2925034798170611E-2</v>
      </c>
      <c r="T76" s="75">
        <v>92</v>
      </c>
      <c r="U76" s="80">
        <v>0</v>
      </c>
      <c r="V76" s="80">
        <v>4.8164999999999996</v>
      </c>
      <c r="W76" s="80">
        <v>1.05</v>
      </c>
      <c r="X76" s="80">
        <v>1.05</v>
      </c>
      <c r="Y76" s="80">
        <v>4.8164999999999996</v>
      </c>
      <c r="Z76" s="81">
        <v>0</v>
      </c>
      <c r="AA76" s="81">
        <v>0.22746599263800799</v>
      </c>
      <c r="AB76" s="82">
        <v>0.22746599263800799</v>
      </c>
    </row>
    <row r="77" spans="2:28">
      <c r="B77" s="83">
        <v>93</v>
      </c>
      <c r="C77" s="84"/>
      <c r="D77" s="84">
        <v>4.3760000000000003</v>
      </c>
      <c r="E77" s="84">
        <v>1.85</v>
      </c>
      <c r="F77" s="84">
        <v>1.85</v>
      </c>
      <c r="G77" s="84">
        <v>4.3760000000000003</v>
      </c>
      <c r="H77" s="85">
        <v>0</v>
      </c>
      <c r="I77" s="85">
        <v>0.42276051188299818</v>
      </c>
      <c r="J77" s="78">
        <v>0.42276051188299818</v>
      </c>
      <c r="K77" s="83">
        <v>93</v>
      </c>
      <c r="L77" s="84">
        <v>0</v>
      </c>
      <c r="M77" s="84">
        <v>4.7469999999999999</v>
      </c>
      <c r="N77" s="86">
        <v>5.2999999999999999E-2</v>
      </c>
      <c r="O77" s="84">
        <v>5.2999999999999999E-2</v>
      </c>
      <c r="P77" s="84">
        <v>4.7469999999999999</v>
      </c>
      <c r="Q77" s="85">
        <v>0</v>
      </c>
      <c r="R77" s="85">
        <v>1.1164946281862228E-2</v>
      </c>
      <c r="S77" s="87">
        <v>1.1164946281862228E-2</v>
      </c>
      <c r="T77" s="83">
        <v>93</v>
      </c>
      <c r="U77" s="88">
        <v>0</v>
      </c>
      <c r="V77" s="88">
        <v>4.5615000000000006</v>
      </c>
      <c r="W77" s="88">
        <v>0.95150000000000001</v>
      </c>
      <c r="X77" s="88">
        <v>0.95150000000000001</v>
      </c>
      <c r="Y77" s="88">
        <v>4.5615000000000006</v>
      </c>
      <c r="Z77" s="29">
        <v>0</v>
      </c>
      <c r="AA77" s="29">
        <v>0.21696272908243019</v>
      </c>
      <c r="AB77" s="89">
        <v>0.21696272908243019</v>
      </c>
    </row>
    <row r="78" spans="2:28">
      <c r="B78" s="75">
        <v>94</v>
      </c>
      <c r="C78" s="76"/>
      <c r="D78" s="76">
        <v>4.1660000000000004</v>
      </c>
      <c r="E78" s="76">
        <v>1.6830000000000001</v>
      </c>
      <c r="F78" s="76">
        <v>1.6830000000000001</v>
      </c>
      <c r="G78" s="76">
        <v>4.1660000000000004</v>
      </c>
      <c r="H78" s="77">
        <v>0</v>
      </c>
      <c r="I78" s="77">
        <v>0.4039846375420067</v>
      </c>
      <c r="J78" s="78">
        <v>0.4039846375420067</v>
      </c>
      <c r="K78" s="75">
        <v>94</v>
      </c>
      <c r="L78" s="76">
        <v>0</v>
      </c>
      <c r="M78" s="76">
        <v>4.4850000000000003</v>
      </c>
      <c r="N78" s="79">
        <v>4.2000000000000003E-2</v>
      </c>
      <c r="O78" s="76">
        <v>4.2000000000000003E-2</v>
      </c>
      <c r="P78" s="76">
        <v>4.4850000000000003</v>
      </c>
      <c r="Q78" s="77">
        <v>0</v>
      </c>
      <c r="R78" s="77">
        <v>9.3645484949832769E-3</v>
      </c>
      <c r="S78" s="78">
        <v>9.3645484949832769E-3</v>
      </c>
      <c r="T78" s="75">
        <v>94</v>
      </c>
      <c r="U78" s="80">
        <v>0</v>
      </c>
      <c r="V78" s="80">
        <v>4.3254999999999999</v>
      </c>
      <c r="W78" s="80">
        <v>0.86250000000000004</v>
      </c>
      <c r="X78" s="80">
        <v>0.86250000000000004</v>
      </c>
      <c r="Y78" s="80">
        <v>4.3254999999999999</v>
      </c>
      <c r="Z78" s="81">
        <v>0</v>
      </c>
      <c r="AA78" s="81">
        <v>0.206674593018495</v>
      </c>
      <c r="AB78" s="82">
        <v>0.206674593018495</v>
      </c>
    </row>
    <row r="79" spans="2:28">
      <c r="B79" s="83">
        <v>95</v>
      </c>
      <c r="C79" s="84"/>
      <c r="D79" s="84">
        <v>3.9740000000000002</v>
      </c>
      <c r="E79" s="84">
        <v>1.5349999999999999</v>
      </c>
      <c r="F79" s="84">
        <v>1.5349999999999999</v>
      </c>
      <c r="G79" s="84">
        <v>3.9740000000000002</v>
      </c>
      <c r="H79" s="85">
        <v>0</v>
      </c>
      <c r="I79" s="85">
        <v>0.38626069451434319</v>
      </c>
      <c r="J79" s="78">
        <v>0.38626069451434319</v>
      </c>
      <c r="K79" s="83">
        <v>95</v>
      </c>
      <c r="L79" s="84">
        <v>0</v>
      </c>
      <c r="M79" s="84">
        <v>4.2450000000000001</v>
      </c>
      <c r="N79" s="86">
        <v>3.4000000000000002E-2</v>
      </c>
      <c r="O79" s="84">
        <v>3.4000000000000002E-2</v>
      </c>
      <c r="P79" s="84">
        <v>4.2450000000000001</v>
      </c>
      <c r="Q79" s="85">
        <v>0</v>
      </c>
      <c r="R79" s="85">
        <v>8.0094228504122497E-3</v>
      </c>
      <c r="S79" s="87">
        <v>8.0094228504122497E-3</v>
      </c>
      <c r="T79" s="83">
        <v>95</v>
      </c>
      <c r="U79" s="88">
        <v>0</v>
      </c>
      <c r="V79" s="88">
        <v>4.1095000000000006</v>
      </c>
      <c r="W79" s="88">
        <v>0.78449999999999998</v>
      </c>
      <c r="X79" s="88">
        <v>0.78449999999999998</v>
      </c>
      <c r="Y79" s="88">
        <v>4.1095000000000006</v>
      </c>
      <c r="Z79" s="29">
        <v>0</v>
      </c>
      <c r="AA79" s="29">
        <v>0.19713505868237771</v>
      </c>
      <c r="AB79" s="89">
        <v>0.19713505868237771</v>
      </c>
    </row>
    <row r="80" spans="2:28">
      <c r="B80" s="75">
        <v>96</v>
      </c>
      <c r="C80" s="76"/>
      <c r="D80" s="76">
        <v>3.798</v>
      </c>
      <c r="E80" s="76">
        <v>1.371</v>
      </c>
      <c r="F80" s="76">
        <v>1.371</v>
      </c>
      <c r="G80" s="76">
        <v>3.798</v>
      </c>
      <c r="H80" s="77">
        <v>0</v>
      </c>
      <c r="I80" s="77">
        <v>0.36097946287519744</v>
      </c>
      <c r="J80" s="78">
        <v>0.36097946287519744</v>
      </c>
      <c r="K80" s="75">
        <v>96</v>
      </c>
      <c r="L80" s="76">
        <v>0</v>
      </c>
      <c r="M80" s="76">
        <v>4.024</v>
      </c>
      <c r="N80" s="79">
        <v>2.7E-2</v>
      </c>
      <c r="O80" s="76">
        <v>2.7E-2</v>
      </c>
      <c r="P80" s="76">
        <v>4.024</v>
      </c>
      <c r="Q80" s="77">
        <v>0</v>
      </c>
      <c r="R80" s="77">
        <v>6.7097415506958248E-3</v>
      </c>
      <c r="S80" s="78">
        <v>6.7097415506958248E-3</v>
      </c>
      <c r="T80" s="75">
        <v>96</v>
      </c>
      <c r="U80" s="80">
        <v>0</v>
      </c>
      <c r="V80" s="80">
        <v>3.911</v>
      </c>
      <c r="W80" s="80">
        <v>0.69899999999999995</v>
      </c>
      <c r="X80" s="80">
        <v>0.69899999999999995</v>
      </c>
      <c r="Y80" s="80">
        <v>3.911</v>
      </c>
      <c r="Z80" s="81">
        <v>0</v>
      </c>
      <c r="AA80" s="81">
        <v>0.18384460221294663</v>
      </c>
      <c r="AB80" s="82">
        <v>0.18384460221294663</v>
      </c>
    </row>
    <row r="81" spans="2:28">
      <c r="B81" s="83">
        <v>97</v>
      </c>
      <c r="C81" s="84"/>
      <c r="D81" s="84">
        <v>3.6389999999999998</v>
      </c>
      <c r="E81" s="84">
        <v>1.216</v>
      </c>
      <c r="F81" s="84">
        <v>1.216</v>
      </c>
      <c r="G81" s="84">
        <v>3.6389999999999998</v>
      </c>
      <c r="H81" s="85">
        <v>0</v>
      </c>
      <c r="I81" s="85">
        <v>0.33415773564165979</v>
      </c>
      <c r="J81" s="78">
        <v>0.33415773564165979</v>
      </c>
      <c r="K81" s="83">
        <v>97</v>
      </c>
      <c r="L81" s="84">
        <v>0</v>
      </c>
      <c r="M81" s="84">
        <v>3.8239999999999998</v>
      </c>
      <c r="N81" s="86">
        <v>2.1000000000000001E-2</v>
      </c>
      <c r="O81" s="84">
        <v>2.1000000000000001E-2</v>
      </c>
      <c r="P81" s="84">
        <v>3.8239999999999998</v>
      </c>
      <c r="Q81" s="85">
        <v>0</v>
      </c>
      <c r="R81" s="85">
        <v>5.4916317991631804E-3</v>
      </c>
      <c r="S81" s="87">
        <v>5.4916317991631804E-3</v>
      </c>
      <c r="T81" s="83">
        <v>97</v>
      </c>
      <c r="U81" s="88">
        <v>0</v>
      </c>
      <c r="V81" s="88">
        <v>3.7314999999999996</v>
      </c>
      <c r="W81" s="88">
        <v>0.61849999999999994</v>
      </c>
      <c r="X81" s="88">
        <v>0.61849999999999994</v>
      </c>
      <c r="Y81" s="88">
        <v>3.7314999999999996</v>
      </c>
      <c r="Z81" s="29">
        <v>0</v>
      </c>
      <c r="AA81" s="29">
        <v>0.16982468372041148</v>
      </c>
      <c r="AB81" s="89">
        <v>0.16982468372041148</v>
      </c>
    </row>
    <row r="82" spans="2:28">
      <c r="B82" s="75">
        <v>98</v>
      </c>
      <c r="C82" s="76"/>
      <c r="D82" s="76">
        <v>3.4950000000000001</v>
      </c>
      <c r="E82" s="76">
        <v>1.0409999999999999</v>
      </c>
      <c r="F82" s="76">
        <v>1.0409999999999999</v>
      </c>
      <c r="G82" s="76">
        <v>3.4950000000000001</v>
      </c>
      <c r="H82" s="77">
        <v>0</v>
      </c>
      <c r="I82" s="77">
        <v>0.29785407725321883</v>
      </c>
      <c r="J82" s="78">
        <v>0.29785407725321883</v>
      </c>
      <c r="K82" s="75">
        <v>98</v>
      </c>
      <c r="L82" s="76">
        <v>0</v>
      </c>
      <c r="M82" s="76">
        <v>3.6429999999999998</v>
      </c>
      <c r="N82" s="79">
        <v>1.7000000000000001E-2</v>
      </c>
      <c r="O82" s="76">
        <v>1.7000000000000001E-2</v>
      </c>
      <c r="P82" s="76">
        <v>3.6429999999999998</v>
      </c>
      <c r="Q82" s="77">
        <v>0</v>
      </c>
      <c r="R82" s="77">
        <v>4.6664836673071652E-3</v>
      </c>
      <c r="S82" s="78">
        <v>4.6664836673071652E-3</v>
      </c>
      <c r="T82" s="75">
        <v>98</v>
      </c>
      <c r="U82" s="80">
        <v>0</v>
      </c>
      <c r="V82" s="80">
        <v>3.569</v>
      </c>
      <c r="W82" s="80">
        <v>0.52899999999999991</v>
      </c>
      <c r="X82" s="80">
        <v>0.52899999999999991</v>
      </c>
      <c r="Y82" s="80">
        <v>3.569</v>
      </c>
      <c r="Z82" s="81">
        <v>0</v>
      </c>
      <c r="AA82" s="81">
        <v>0.15126028046026299</v>
      </c>
      <c r="AB82" s="82">
        <v>0.15126028046026299</v>
      </c>
    </row>
    <row r="83" spans="2:28">
      <c r="B83" s="83">
        <v>99</v>
      </c>
      <c r="C83" s="84"/>
      <c r="D83" s="84">
        <v>3.3639999999999999</v>
      </c>
      <c r="E83" s="84">
        <v>0.84799999999999998</v>
      </c>
      <c r="F83" s="84">
        <v>0.84799999999999998</v>
      </c>
      <c r="G83" s="84">
        <v>3.3639999999999999</v>
      </c>
      <c r="H83" s="85">
        <v>0</v>
      </c>
      <c r="I83" s="85">
        <v>0.25208085612366232</v>
      </c>
      <c r="J83" s="78">
        <v>0.25208085612366232</v>
      </c>
      <c r="K83" s="83">
        <v>99</v>
      </c>
      <c r="L83" s="84">
        <v>0</v>
      </c>
      <c r="M83" s="84">
        <v>3.48</v>
      </c>
      <c r="N83" s="86">
        <v>1.2999999999999999E-2</v>
      </c>
      <c r="O83" s="84">
        <v>1.2999999999999999E-2</v>
      </c>
      <c r="P83" s="84">
        <v>3.48</v>
      </c>
      <c r="Q83" s="85">
        <v>0</v>
      </c>
      <c r="R83" s="85">
        <v>3.7356321839080459E-3</v>
      </c>
      <c r="S83" s="87">
        <v>3.7356321839080459E-3</v>
      </c>
      <c r="T83" s="83">
        <v>99</v>
      </c>
      <c r="U83" s="88">
        <v>0</v>
      </c>
      <c r="V83" s="88">
        <v>3.4219999999999997</v>
      </c>
      <c r="W83" s="88">
        <v>0.43049999999999999</v>
      </c>
      <c r="X83" s="88">
        <v>0.43049999999999999</v>
      </c>
      <c r="Y83" s="88">
        <v>3.4219999999999997</v>
      </c>
      <c r="Z83" s="29">
        <v>0</v>
      </c>
      <c r="AA83" s="29">
        <v>0.12790824415378518</v>
      </c>
      <c r="AB83" s="89">
        <v>0.12790824415378518</v>
      </c>
    </row>
    <row r="84" spans="2:28" ht="15.75" thickBot="1">
      <c r="B84" s="100">
        <v>100</v>
      </c>
      <c r="C84" s="101"/>
      <c r="D84" s="101">
        <v>3.2450000000000001</v>
      </c>
      <c r="E84" s="101">
        <v>0.67200000000000004</v>
      </c>
      <c r="F84" s="101">
        <v>0.67200000000000004</v>
      </c>
      <c r="G84" s="101">
        <v>3.2450000000000001</v>
      </c>
      <c r="H84" s="102">
        <v>0</v>
      </c>
      <c r="I84" s="102">
        <v>0.20708782742681048</v>
      </c>
      <c r="J84" s="78">
        <v>0.20708782742681048</v>
      </c>
      <c r="K84" s="100">
        <v>100</v>
      </c>
      <c r="L84" s="101">
        <v>0</v>
      </c>
      <c r="M84" s="101">
        <v>3.335</v>
      </c>
      <c r="N84" s="103">
        <v>0.01</v>
      </c>
      <c r="O84" s="101">
        <v>0.01</v>
      </c>
      <c r="P84" s="101">
        <v>3.335</v>
      </c>
      <c r="Q84" s="102">
        <v>0</v>
      </c>
      <c r="R84" s="102">
        <v>2.9985007496251873E-3</v>
      </c>
      <c r="S84" s="104">
        <v>2.9985007496251873E-3</v>
      </c>
      <c r="T84" s="100">
        <v>100</v>
      </c>
      <c r="U84" s="105">
        <v>0</v>
      </c>
      <c r="V84" s="105">
        <v>3.29</v>
      </c>
      <c r="W84" s="105">
        <v>0.34100000000000003</v>
      </c>
      <c r="X84" s="105">
        <v>0.34100000000000003</v>
      </c>
      <c r="Y84" s="105">
        <v>3.29</v>
      </c>
      <c r="Z84" s="106">
        <v>0</v>
      </c>
      <c r="AA84" s="106">
        <v>0.10504316408821783</v>
      </c>
      <c r="AB84" s="107">
        <v>0.10504316408821783</v>
      </c>
    </row>
  </sheetData>
  <mergeCells count="4">
    <mergeCell ref="B2:B3"/>
    <mergeCell ref="H2:J2"/>
    <mergeCell ref="Q2:S2"/>
    <mergeCell ref="Z2:AB2"/>
  </mergeCells>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CAF40-ED9A-40D3-B735-EE5A289B8E62}">
  <sheetPr codeName="Tabelle41"/>
  <dimension ref="A2:AB84"/>
  <sheetViews>
    <sheetView topLeftCell="B1" workbookViewId="0">
      <selection activeCell="B4" sqref="B4:AB84"/>
    </sheetView>
  </sheetViews>
  <sheetFormatPr baseColWidth="10" defaultColWidth="12.7109375" defaultRowHeight="15"/>
  <cols>
    <col min="1" max="1" width="24" hidden="1" customWidth="1"/>
    <col min="2" max="2" width="7" customWidth="1"/>
    <col min="3" max="3" width="11.5703125" customWidth="1"/>
    <col min="4" max="4" width="12.5703125" customWidth="1"/>
    <col min="5" max="6" width="10.42578125" customWidth="1"/>
    <col min="7" max="7" width="12.5703125" customWidth="1"/>
    <col min="8" max="9" width="11" customWidth="1"/>
    <col min="10" max="10" width="11" style="26" customWidth="1"/>
    <col min="11" max="11" width="7" customWidth="1"/>
    <col min="12" max="16" width="12.5703125" customWidth="1"/>
    <col min="17" max="18" width="11" customWidth="1"/>
    <col min="19" max="19" width="11" style="26" customWidth="1"/>
    <col min="20" max="20" width="7" customWidth="1"/>
    <col min="25" max="25" width="12.5703125" customWidth="1"/>
    <col min="26" max="27" width="11" customWidth="1"/>
    <col min="28" max="28" width="11" style="26" customWidth="1"/>
    <col min="29" max="29" width="13.28515625" bestFit="1" customWidth="1"/>
  </cols>
  <sheetData>
    <row r="2" spans="1:28" s="56" customFormat="1" ht="72" customHeight="1">
      <c r="A2" s="56" t="s">
        <v>3406</v>
      </c>
      <c r="B2" s="810" t="s">
        <v>2780</v>
      </c>
      <c r="C2" s="58" t="s">
        <v>3390</v>
      </c>
      <c r="D2" s="58" t="s">
        <v>3391</v>
      </c>
      <c r="E2" s="58" t="s">
        <v>3392</v>
      </c>
      <c r="F2" s="58" t="s">
        <v>3393</v>
      </c>
      <c r="G2" s="58" t="s">
        <v>3394</v>
      </c>
      <c r="H2" s="812" t="s">
        <v>3395</v>
      </c>
      <c r="I2" s="812"/>
      <c r="J2" s="813"/>
      <c r="K2" s="59"/>
      <c r="L2" s="60" t="s">
        <v>3390</v>
      </c>
      <c r="M2" s="60" t="s">
        <v>3391</v>
      </c>
      <c r="N2" s="60" t="s">
        <v>3392</v>
      </c>
      <c r="O2" s="60" t="s">
        <v>3393</v>
      </c>
      <c r="P2" s="60" t="str">
        <f>+G2</f>
        <v>Anwartschafts-barwert
Altersrente</v>
      </c>
      <c r="Q2" s="814" t="s">
        <v>3396</v>
      </c>
      <c r="R2" s="814"/>
      <c r="S2" s="815"/>
      <c r="T2" s="61"/>
      <c r="U2" s="62" t="s">
        <v>3390</v>
      </c>
      <c r="V2" s="62" t="s">
        <v>3391</v>
      </c>
      <c r="W2" s="62" t="s">
        <v>3392</v>
      </c>
      <c r="X2" s="62" t="s">
        <v>3393</v>
      </c>
      <c r="Y2" s="62" t="str">
        <f>+G2</f>
        <v>Anwartschafts-barwert
Altersrente</v>
      </c>
      <c r="Z2" s="816" t="s">
        <v>3396</v>
      </c>
      <c r="AA2" s="816"/>
      <c r="AB2" s="817"/>
    </row>
    <row r="3" spans="1:28" s="74" customFormat="1" ht="13.5">
      <c r="A3" s="63">
        <v>43111</v>
      </c>
      <c r="B3" s="811"/>
      <c r="C3" s="65" t="s">
        <v>3407</v>
      </c>
      <c r="D3" s="65" t="s">
        <v>3408</v>
      </c>
      <c r="E3" s="65" t="s">
        <v>3409</v>
      </c>
      <c r="F3" s="65" t="s">
        <v>3410</v>
      </c>
      <c r="G3" s="65"/>
      <c r="H3" s="66" t="s">
        <v>3400</v>
      </c>
      <c r="I3" s="66" t="s">
        <v>3401</v>
      </c>
      <c r="J3" s="67" t="s">
        <v>3402</v>
      </c>
      <c r="K3" s="68" t="s">
        <v>2780</v>
      </c>
      <c r="L3" s="69" t="s">
        <v>3411</v>
      </c>
      <c r="M3" s="69" t="s">
        <v>3412</v>
      </c>
      <c r="N3" s="69" t="s">
        <v>3405</v>
      </c>
      <c r="O3" s="69" t="s">
        <v>3413</v>
      </c>
      <c r="P3" s="69"/>
      <c r="Q3" s="69" t="s">
        <v>3400</v>
      </c>
      <c r="R3" s="69" t="s">
        <v>3401</v>
      </c>
      <c r="S3" s="70" t="s">
        <v>3402</v>
      </c>
      <c r="T3" s="71" t="s">
        <v>2780</v>
      </c>
      <c r="U3" s="72" t="s">
        <v>3411</v>
      </c>
      <c r="V3" s="72" t="s">
        <v>3412</v>
      </c>
      <c r="W3" s="72" t="s">
        <v>3405</v>
      </c>
      <c r="X3" s="72" t="s">
        <v>3413</v>
      </c>
      <c r="Y3" s="72"/>
      <c r="Z3" s="72" t="s">
        <v>3400</v>
      </c>
      <c r="AA3" s="72" t="s">
        <v>3401</v>
      </c>
      <c r="AB3" s="73" t="s">
        <v>3402</v>
      </c>
    </row>
    <row r="4" spans="1:28">
      <c r="B4" s="75">
        <v>20</v>
      </c>
      <c r="C4" s="76">
        <v>0.24</v>
      </c>
      <c r="D4" s="76">
        <v>5.3579999999999997</v>
      </c>
      <c r="E4" s="76">
        <v>0.53</v>
      </c>
      <c r="F4" s="76">
        <v>0.53</v>
      </c>
      <c r="G4" s="76">
        <v>5.1179999999999994</v>
      </c>
      <c r="H4" s="77">
        <v>4.6893317702227433E-2</v>
      </c>
      <c r="I4" s="77">
        <v>0.10355607659241893</v>
      </c>
      <c r="J4" s="78">
        <v>0.15044939429464638</v>
      </c>
      <c r="K4" s="75">
        <v>20</v>
      </c>
      <c r="L4" s="76">
        <v>0.254</v>
      </c>
      <c r="M4" s="76">
        <v>6.1280000000000001</v>
      </c>
      <c r="N4" s="79">
        <v>0.13100000000000001</v>
      </c>
      <c r="O4" s="76">
        <v>0.13100000000000001</v>
      </c>
      <c r="P4" s="76">
        <v>5.8740000000000006</v>
      </c>
      <c r="Q4" s="77">
        <v>4.3241402791964589E-2</v>
      </c>
      <c r="R4" s="77">
        <v>2.2301668369084097E-2</v>
      </c>
      <c r="S4" s="78">
        <v>6.5543071161048683E-2</v>
      </c>
      <c r="T4" s="75">
        <v>20</v>
      </c>
      <c r="U4" s="80">
        <v>0.247</v>
      </c>
      <c r="V4" s="80">
        <v>5.7430000000000003</v>
      </c>
      <c r="W4" s="80">
        <v>0.33050000000000002</v>
      </c>
      <c r="X4" s="80">
        <v>0.33050000000000002</v>
      </c>
      <c r="Y4" s="80">
        <v>5.4960000000000004</v>
      </c>
      <c r="Z4" s="81">
        <v>4.5067360247096011E-2</v>
      </c>
      <c r="AA4" s="81">
        <v>6.2928872480751519E-2</v>
      </c>
      <c r="AB4" s="82">
        <v>0.10799623272784753</v>
      </c>
    </row>
    <row r="5" spans="1:28">
      <c r="B5" s="83">
        <v>21</v>
      </c>
      <c r="C5" s="84">
        <v>0.27700000000000002</v>
      </c>
      <c r="D5" s="84">
        <v>5.52</v>
      </c>
      <c r="E5" s="84">
        <v>0.61599999999999999</v>
      </c>
      <c r="F5" s="84">
        <v>0.61599999999999999</v>
      </c>
      <c r="G5" s="84">
        <v>5.2429999999999994</v>
      </c>
      <c r="H5" s="85">
        <v>5.2832347892428008E-2</v>
      </c>
      <c r="I5" s="85">
        <v>0.11748998664886516</v>
      </c>
      <c r="J5" s="78">
        <v>0.17032233454129317</v>
      </c>
      <c r="K5" s="83">
        <v>21</v>
      </c>
      <c r="L5" s="84">
        <v>0.30499999999999999</v>
      </c>
      <c r="M5" s="84">
        <v>6.3120000000000003</v>
      </c>
      <c r="N5" s="86">
        <v>0.159</v>
      </c>
      <c r="O5" s="84">
        <v>0.159</v>
      </c>
      <c r="P5" s="84">
        <v>6.0070000000000006</v>
      </c>
      <c r="Q5" s="85">
        <v>5.07740968869652E-2</v>
      </c>
      <c r="R5" s="85">
        <v>2.6469119360745794E-2</v>
      </c>
      <c r="S5" s="87">
        <v>7.7243216247710994E-2</v>
      </c>
      <c r="T5" s="83">
        <v>21</v>
      </c>
      <c r="U5" s="88">
        <v>0.29100000000000004</v>
      </c>
      <c r="V5" s="88">
        <v>5.9160000000000004</v>
      </c>
      <c r="W5" s="88">
        <v>0.38750000000000001</v>
      </c>
      <c r="X5" s="88">
        <v>0.38750000000000001</v>
      </c>
      <c r="Y5" s="88">
        <v>5.625</v>
      </c>
      <c r="Z5" s="29">
        <v>5.1803222389696604E-2</v>
      </c>
      <c r="AA5" s="29">
        <v>7.1979553004805477E-2</v>
      </c>
      <c r="AB5" s="89">
        <v>0.12378277539450208</v>
      </c>
    </row>
    <row r="6" spans="1:28">
      <c r="B6" s="75">
        <v>22</v>
      </c>
      <c r="C6" s="76">
        <v>0.314</v>
      </c>
      <c r="D6" s="76">
        <v>5.6870000000000003</v>
      </c>
      <c r="E6" s="76">
        <v>0.70799999999999996</v>
      </c>
      <c r="F6" s="76">
        <v>0.70799999999999996</v>
      </c>
      <c r="G6" s="76">
        <v>5.3730000000000002</v>
      </c>
      <c r="H6" s="77">
        <v>5.8440349897636329E-2</v>
      </c>
      <c r="I6" s="77">
        <v>0.13176996091568954</v>
      </c>
      <c r="J6" s="78">
        <v>0.19021031081332587</v>
      </c>
      <c r="K6" s="75">
        <v>22</v>
      </c>
      <c r="L6" s="76">
        <v>0.35199999999999998</v>
      </c>
      <c r="M6" s="76">
        <v>6.5</v>
      </c>
      <c r="N6" s="79">
        <v>0.184</v>
      </c>
      <c r="O6" s="76">
        <v>0.184</v>
      </c>
      <c r="P6" s="76">
        <v>6.1479999999999997</v>
      </c>
      <c r="Q6" s="77">
        <v>5.7254391672088484E-2</v>
      </c>
      <c r="R6" s="77">
        <v>2.992843201040989E-2</v>
      </c>
      <c r="S6" s="78">
        <v>8.718282368249837E-2</v>
      </c>
      <c r="T6" s="75">
        <v>22</v>
      </c>
      <c r="U6" s="80">
        <v>0.33299999999999996</v>
      </c>
      <c r="V6" s="80">
        <v>6.0935000000000006</v>
      </c>
      <c r="W6" s="80">
        <v>0.44599999999999995</v>
      </c>
      <c r="X6" s="80">
        <v>0.44599999999999995</v>
      </c>
      <c r="Y6" s="80">
        <v>5.7605000000000004</v>
      </c>
      <c r="Z6" s="81">
        <v>5.7847370784862406E-2</v>
      </c>
      <c r="AA6" s="81">
        <v>8.0849196463049722E-2</v>
      </c>
      <c r="AB6" s="82">
        <v>0.13869656724791213</v>
      </c>
    </row>
    <row r="7" spans="1:28">
      <c r="B7" s="83">
        <v>23</v>
      </c>
      <c r="C7" s="84">
        <v>0.35299999999999998</v>
      </c>
      <c r="D7" s="84">
        <v>5.8579999999999997</v>
      </c>
      <c r="E7" s="84">
        <v>0.80300000000000005</v>
      </c>
      <c r="F7" s="84">
        <v>0.80300000000000005</v>
      </c>
      <c r="G7" s="84">
        <v>5.5049999999999999</v>
      </c>
      <c r="H7" s="85">
        <v>6.4123524069028159E-2</v>
      </c>
      <c r="I7" s="85">
        <v>0.14586739327883744</v>
      </c>
      <c r="J7" s="78">
        <v>0.2099909173478656</v>
      </c>
      <c r="K7" s="83">
        <v>23</v>
      </c>
      <c r="L7" s="84">
        <v>0.39</v>
      </c>
      <c r="M7" s="84">
        <v>6.6929999999999996</v>
      </c>
      <c r="N7" s="86">
        <v>0.20599999999999999</v>
      </c>
      <c r="O7" s="84">
        <v>0.20599999999999999</v>
      </c>
      <c r="P7" s="84">
        <v>6.3029999999999999</v>
      </c>
      <c r="Q7" s="85">
        <v>6.1875297477391719E-2</v>
      </c>
      <c r="R7" s="85">
        <v>3.2682849436776136E-2</v>
      </c>
      <c r="S7" s="87">
        <v>9.4558146914167862E-2</v>
      </c>
      <c r="T7" s="83">
        <v>23</v>
      </c>
      <c r="U7" s="88">
        <v>0.3715</v>
      </c>
      <c r="V7" s="88">
        <v>6.2754999999999992</v>
      </c>
      <c r="W7" s="88">
        <v>0.50450000000000006</v>
      </c>
      <c r="X7" s="88">
        <v>0.50450000000000006</v>
      </c>
      <c r="Y7" s="88">
        <v>5.9039999999999999</v>
      </c>
      <c r="Z7" s="29">
        <v>6.2999410773209946E-2</v>
      </c>
      <c r="AA7" s="29">
        <v>8.9275121357806783E-2</v>
      </c>
      <c r="AB7" s="89">
        <v>0.15227453213101672</v>
      </c>
    </row>
    <row r="8" spans="1:28">
      <c r="B8" s="75">
        <v>24</v>
      </c>
      <c r="C8" s="76">
        <v>0.38600000000000001</v>
      </c>
      <c r="D8" s="76">
        <v>6.0339999999999998</v>
      </c>
      <c r="E8" s="76">
        <v>0.89100000000000001</v>
      </c>
      <c r="F8" s="76">
        <v>0.89100000000000001</v>
      </c>
      <c r="G8" s="76">
        <v>5.6479999999999997</v>
      </c>
      <c r="H8" s="77">
        <v>6.8342776203966005E-2</v>
      </c>
      <c r="I8" s="77">
        <v>0.15775495750708216</v>
      </c>
      <c r="J8" s="78">
        <v>0.22609773371104816</v>
      </c>
      <c r="K8" s="75">
        <v>24</v>
      </c>
      <c r="L8" s="76">
        <v>0.42499999999999999</v>
      </c>
      <c r="M8" s="76">
        <v>6.891</v>
      </c>
      <c r="N8" s="79">
        <v>0.22600000000000001</v>
      </c>
      <c r="O8" s="76">
        <v>0.22600000000000001</v>
      </c>
      <c r="P8" s="76">
        <v>6.4660000000000002</v>
      </c>
      <c r="Q8" s="77">
        <v>6.5728425610887722E-2</v>
      </c>
      <c r="R8" s="77">
        <v>3.4952056913083826E-2</v>
      </c>
      <c r="S8" s="78">
        <v>0.10068048252397155</v>
      </c>
      <c r="T8" s="75">
        <v>24</v>
      </c>
      <c r="U8" s="80">
        <v>0.40549999999999997</v>
      </c>
      <c r="V8" s="80">
        <v>6.4625000000000004</v>
      </c>
      <c r="W8" s="80">
        <v>0.5585</v>
      </c>
      <c r="X8" s="80">
        <v>0.5585</v>
      </c>
      <c r="Y8" s="80">
        <v>6.0570000000000004</v>
      </c>
      <c r="Z8" s="81">
        <v>6.7035600907426857E-2</v>
      </c>
      <c r="AA8" s="81">
        <v>9.6353507210082984E-2</v>
      </c>
      <c r="AB8" s="82">
        <v>0.16338910811750984</v>
      </c>
    </row>
    <row r="9" spans="1:28">
      <c r="B9" s="83">
        <v>25</v>
      </c>
      <c r="C9" s="84">
        <v>0.41599999999999998</v>
      </c>
      <c r="D9" s="84">
        <v>6.2130000000000001</v>
      </c>
      <c r="E9" s="84">
        <v>0.97399999999999998</v>
      </c>
      <c r="F9" s="84">
        <v>0.97399999999999998</v>
      </c>
      <c r="G9" s="84">
        <v>5.7969999999999997</v>
      </c>
      <c r="H9" s="85">
        <v>7.1761255821976885E-2</v>
      </c>
      <c r="I9" s="85">
        <v>0.1680179403139555</v>
      </c>
      <c r="J9" s="78">
        <v>0.2397791961359324</v>
      </c>
      <c r="K9" s="83">
        <v>25</v>
      </c>
      <c r="L9" s="84">
        <v>0.45900000000000002</v>
      </c>
      <c r="M9" s="84">
        <v>7.0940000000000003</v>
      </c>
      <c r="N9" s="86">
        <v>0.246</v>
      </c>
      <c r="O9" s="84">
        <v>0.246</v>
      </c>
      <c r="P9" s="84">
        <v>6.6350000000000007</v>
      </c>
      <c r="Q9" s="85">
        <v>6.9178598342125086E-2</v>
      </c>
      <c r="R9" s="85">
        <v>3.7076111529766385E-2</v>
      </c>
      <c r="S9" s="87">
        <v>0.10625470987189148</v>
      </c>
      <c r="T9" s="83">
        <v>25</v>
      </c>
      <c r="U9" s="88">
        <v>0.4375</v>
      </c>
      <c r="V9" s="88">
        <v>6.6535000000000002</v>
      </c>
      <c r="W9" s="88">
        <v>0.61</v>
      </c>
      <c r="X9" s="88">
        <v>0.61</v>
      </c>
      <c r="Y9" s="88">
        <v>6.2160000000000002</v>
      </c>
      <c r="Z9" s="29">
        <v>7.0469927082050993E-2</v>
      </c>
      <c r="AA9" s="29">
        <v>0.10254702592186095</v>
      </c>
      <c r="AB9" s="89">
        <v>0.17301695300391196</v>
      </c>
    </row>
    <row r="10" spans="1:28">
      <c r="B10" s="75">
        <v>26</v>
      </c>
      <c r="C10" s="76">
        <v>0.442</v>
      </c>
      <c r="D10" s="76">
        <v>6.3970000000000002</v>
      </c>
      <c r="E10" s="76">
        <v>1.052</v>
      </c>
      <c r="F10" s="76">
        <v>1.052</v>
      </c>
      <c r="G10" s="76">
        <v>5.9550000000000001</v>
      </c>
      <c r="H10" s="77">
        <v>7.4223341729638959E-2</v>
      </c>
      <c r="I10" s="77">
        <v>0.17665827036104115</v>
      </c>
      <c r="J10" s="78">
        <v>0.25088161209068011</v>
      </c>
      <c r="K10" s="75">
        <v>26</v>
      </c>
      <c r="L10" s="76">
        <v>0.49299999999999999</v>
      </c>
      <c r="M10" s="76">
        <v>7.3010000000000002</v>
      </c>
      <c r="N10" s="79">
        <v>0.26700000000000002</v>
      </c>
      <c r="O10" s="76">
        <v>0.26700000000000002</v>
      </c>
      <c r="P10" s="76">
        <v>6.8079999999999998</v>
      </c>
      <c r="Q10" s="77">
        <v>7.241480611045828E-2</v>
      </c>
      <c r="R10" s="77">
        <v>3.9218566392479441E-2</v>
      </c>
      <c r="S10" s="78">
        <v>0.11163337250293773</v>
      </c>
      <c r="T10" s="75">
        <v>26</v>
      </c>
      <c r="U10" s="80">
        <v>0.46750000000000003</v>
      </c>
      <c r="V10" s="80">
        <v>6.8490000000000002</v>
      </c>
      <c r="W10" s="80">
        <v>0.65949999999999998</v>
      </c>
      <c r="X10" s="80">
        <v>0.65949999999999998</v>
      </c>
      <c r="Y10" s="80">
        <v>6.3815</v>
      </c>
      <c r="Z10" s="81">
        <v>7.3319073920048619E-2</v>
      </c>
      <c r="AA10" s="81">
        <v>0.1079384183767603</v>
      </c>
      <c r="AB10" s="82">
        <v>0.18125749229680893</v>
      </c>
    </row>
    <row r="11" spans="1:28">
      <c r="B11" s="83">
        <v>27</v>
      </c>
      <c r="C11" s="84">
        <v>0.46600000000000003</v>
      </c>
      <c r="D11" s="84">
        <v>6.585</v>
      </c>
      <c r="E11" s="84">
        <v>1.127</v>
      </c>
      <c r="F11" s="84">
        <v>1.127</v>
      </c>
      <c r="G11" s="84">
        <v>6.1189999999999998</v>
      </c>
      <c r="H11" s="85">
        <v>7.6156234678869103E-2</v>
      </c>
      <c r="I11" s="85">
        <v>0.18418042163752249</v>
      </c>
      <c r="J11" s="78">
        <v>0.26033665631639158</v>
      </c>
      <c r="K11" s="83">
        <v>27</v>
      </c>
      <c r="L11" s="84">
        <v>0.52500000000000002</v>
      </c>
      <c r="M11" s="84">
        <v>7.5129999999999999</v>
      </c>
      <c r="N11" s="86">
        <v>0.28699999999999998</v>
      </c>
      <c r="O11" s="84">
        <v>0.28699999999999998</v>
      </c>
      <c r="P11" s="84">
        <v>6.9879999999999995</v>
      </c>
      <c r="Q11" s="85">
        <v>7.5128792215226115E-2</v>
      </c>
      <c r="R11" s="85">
        <v>4.1070406410990266E-2</v>
      </c>
      <c r="S11" s="87">
        <v>0.11619919862621639</v>
      </c>
      <c r="T11" s="83">
        <v>27</v>
      </c>
      <c r="U11" s="88">
        <v>0.49550000000000005</v>
      </c>
      <c r="V11" s="88">
        <v>7.0489999999999995</v>
      </c>
      <c r="W11" s="88">
        <v>0.70699999999999996</v>
      </c>
      <c r="X11" s="88">
        <v>0.70699999999999996</v>
      </c>
      <c r="Y11" s="88">
        <v>6.5534999999999997</v>
      </c>
      <c r="Z11" s="29">
        <v>7.5642513447047616E-2</v>
      </c>
      <c r="AA11" s="29">
        <v>0.11262541402425638</v>
      </c>
      <c r="AB11" s="89">
        <v>0.188267927471304</v>
      </c>
    </row>
    <row r="12" spans="1:28">
      <c r="B12" s="75">
        <v>28</v>
      </c>
      <c r="C12" s="76">
        <v>0.48699999999999999</v>
      </c>
      <c r="D12" s="76">
        <v>6.7779999999999996</v>
      </c>
      <c r="E12" s="76">
        <v>1.2010000000000001</v>
      </c>
      <c r="F12" s="76">
        <v>1.2010000000000001</v>
      </c>
      <c r="G12" s="76">
        <v>6.2909999999999995</v>
      </c>
      <c r="H12" s="77">
        <v>7.7412176124622478E-2</v>
      </c>
      <c r="I12" s="77">
        <v>0.19090764584326819</v>
      </c>
      <c r="J12" s="78">
        <v>0.26831982196789067</v>
      </c>
      <c r="K12" s="75">
        <v>28</v>
      </c>
      <c r="L12" s="76">
        <v>0.55500000000000005</v>
      </c>
      <c r="M12" s="76">
        <v>7.7290000000000001</v>
      </c>
      <c r="N12" s="79">
        <v>0.307</v>
      </c>
      <c r="O12" s="76">
        <v>0.307</v>
      </c>
      <c r="P12" s="76">
        <v>7.1740000000000004</v>
      </c>
      <c r="Q12" s="77">
        <v>7.7362698633955951E-2</v>
      </c>
      <c r="R12" s="77">
        <v>4.2793420685809866E-2</v>
      </c>
      <c r="S12" s="78">
        <v>0.12015611931976582</v>
      </c>
      <c r="T12" s="75">
        <v>28</v>
      </c>
      <c r="U12" s="80">
        <v>0.52100000000000002</v>
      </c>
      <c r="V12" s="80">
        <v>7.2534999999999998</v>
      </c>
      <c r="W12" s="80">
        <v>0.754</v>
      </c>
      <c r="X12" s="80">
        <v>0.754</v>
      </c>
      <c r="Y12" s="80">
        <v>6.7324999999999999</v>
      </c>
      <c r="Z12" s="81">
        <v>7.7387437379289215E-2</v>
      </c>
      <c r="AA12" s="81">
        <v>0.11685053326453904</v>
      </c>
      <c r="AB12" s="82">
        <v>0.19423797064382825</v>
      </c>
    </row>
    <row r="13" spans="1:28">
      <c r="B13" s="83">
        <v>29</v>
      </c>
      <c r="C13" s="84">
        <v>0.50700000000000001</v>
      </c>
      <c r="D13" s="84">
        <v>6.976</v>
      </c>
      <c r="E13" s="84">
        <v>1.2729999999999999</v>
      </c>
      <c r="F13" s="84">
        <v>1.2729999999999999</v>
      </c>
      <c r="G13" s="84">
        <v>6.4690000000000003</v>
      </c>
      <c r="H13" s="85">
        <v>7.8373782655742769E-2</v>
      </c>
      <c r="I13" s="85">
        <v>0.19678466532694386</v>
      </c>
      <c r="J13" s="78">
        <v>0.27515844798268663</v>
      </c>
      <c r="K13" s="83">
        <v>29</v>
      </c>
      <c r="L13" s="84">
        <v>0.58299999999999996</v>
      </c>
      <c r="M13" s="84">
        <v>7.95</v>
      </c>
      <c r="N13" s="86">
        <v>0.32600000000000001</v>
      </c>
      <c r="O13" s="84">
        <v>0.32600000000000001</v>
      </c>
      <c r="P13" s="84">
        <v>7.367</v>
      </c>
      <c r="Q13" s="85">
        <v>7.9136690647482008E-2</v>
      </c>
      <c r="R13" s="85">
        <v>4.4251391339758382E-2</v>
      </c>
      <c r="S13" s="87">
        <v>0.12338808198724038</v>
      </c>
      <c r="T13" s="83">
        <v>29</v>
      </c>
      <c r="U13" s="88">
        <v>0.54499999999999993</v>
      </c>
      <c r="V13" s="88">
        <v>7.4630000000000001</v>
      </c>
      <c r="W13" s="88">
        <v>0.79949999999999999</v>
      </c>
      <c r="X13" s="88">
        <v>0.79949999999999999</v>
      </c>
      <c r="Y13" s="88">
        <v>6.9180000000000001</v>
      </c>
      <c r="Z13" s="29">
        <v>7.8755236651612381E-2</v>
      </c>
      <c r="AA13" s="29">
        <v>0.12051802833335112</v>
      </c>
      <c r="AB13" s="89">
        <v>0.19927326498496351</v>
      </c>
    </row>
    <row r="14" spans="1:28">
      <c r="B14" s="75">
        <v>30</v>
      </c>
      <c r="C14" s="76">
        <v>0.52500000000000002</v>
      </c>
      <c r="D14" s="76">
        <v>7.1790000000000003</v>
      </c>
      <c r="E14" s="76">
        <v>1.345</v>
      </c>
      <c r="F14" s="76">
        <v>1.345</v>
      </c>
      <c r="G14" s="76">
        <v>6.6539999999999999</v>
      </c>
      <c r="H14" s="77">
        <v>7.889990982867448E-2</v>
      </c>
      <c r="I14" s="77">
        <v>0.20213405470393747</v>
      </c>
      <c r="J14" s="78">
        <v>0.28103396453261198</v>
      </c>
      <c r="K14" s="75">
        <v>30</v>
      </c>
      <c r="L14" s="76">
        <v>0.60799999999999998</v>
      </c>
      <c r="M14" s="76">
        <v>8.1750000000000007</v>
      </c>
      <c r="N14" s="79">
        <v>0.34599999999999997</v>
      </c>
      <c r="O14" s="76">
        <v>0.34599999999999997</v>
      </c>
      <c r="P14" s="76">
        <v>7.5670000000000011</v>
      </c>
      <c r="Q14" s="77">
        <v>8.0348883309105307E-2</v>
      </c>
      <c r="R14" s="77">
        <v>4.5724857935773744E-2</v>
      </c>
      <c r="S14" s="78">
        <v>0.12607374124487905</v>
      </c>
      <c r="T14" s="75">
        <v>30</v>
      </c>
      <c r="U14" s="80">
        <v>0.5665</v>
      </c>
      <c r="V14" s="80">
        <v>7.6770000000000005</v>
      </c>
      <c r="W14" s="80">
        <v>0.84549999999999992</v>
      </c>
      <c r="X14" s="80">
        <v>0.84549999999999992</v>
      </c>
      <c r="Y14" s="80">
        <v>7.1105</v>
      </c>
      <c r="Z14" s="81">
        <v>7.9624396568889894E-2</v>
      </c>
      <c r="AA14" s="81">
        <v>0.12392945631985561</v>
      </c>
      <c r="AB14" s="82">
        <v>0.2035538528887455</v>
      </c>
    </row>
    <row r="15" spans="1:28">
      <c r="B15" s="83">
        <v>31</v>
      </c>
      <c r="C15" s="84">
        <v>0.54100000000000004</v>
      </c>
      <c r="D15" s="84">
        <v>7.3869999999999996</v>
      </c>
      <c r="E15" s="84">
        <v>1.4159999999999999</v>
      </c>
      <c r="F15" s="84">
        <v>1.4159999999999999</v>
      </c>
      <c r="G15" s="84">
        <v>6.8459999999999992</v>
      </c>
      <c r="H15" s="85">
        <v>7.9024247735904191E-2</v>
      </c>
      <c r="I15" s="85">
        <v>0.20683610867659949</v>
      </c>
      <c r="J15" s="78">
        <v>0.28586035641250368</v>
      </c>
      <c r="K15" s="83">
        <v>31</v>
      </c>
      <c r="L15" s="84">
        <v>0.63200000000000001</v>
      </c>
      <c r="M15" s="84">
        <v>8.4060000000000006</v>
      </c>
      <c r="N15" s="86">
        <v>0.36399999999999999</v>
      </c>
      <c r="O15" s="84">
        <v>0.36399999999999999</v>
      </c>
      <c r="P15" s="84">
        <v>7.7740000000000009</v>
      </c>
      <c r="Q15" s="85">
        <v>8.1296629791613062E-2</v>
      </c>
      <c r="R15" s="85">
        <v>4.6822742474916385E-2</v>
      </c>
      <c r="S15" s="87">
        <v>0.12811937226652945</v>
      </c>
      <c r="T15" s="83">
        <v>31</v>
      </c>
      <c r="U15" s="88">
        <v>0.58650000000000002</v>
      </c>
      <c r="V15" s="88">
        <v>7.8964999999999996</v>
      </c>
      <c r="W15" s="88">
        <v>0.8899999999999999</v>
      </c>
      <c r="X15" s="88">
        <v>0.8899999999999999</v>
      </c>
      <c r="Y15" s="88">
        <v>7.3100000000000005</v>
      </c>
      <c r="Z15" s="29">
        <v>8.0160438763758626E-2</v>
      </c>
      <c r="AA15" s="29">
        <v>0.12682942557575794</v>
      </c>
      <c r="AB15" s="89">
        <v>0.20698986433951655</v>
      </c>
    </row>
    <row r="16" spans="1:28">
      <c r="B16" s="75">
        <v>32</v>
      </c>
      <c r="C16" s="76">
        <v>0.55600000000000005</v>
      </c>
      <c r="D16" s="76">
        <v>7.6</v>
      </c>
      <c r="E16" s="76">
        <v>1.4870000000000001</v>
      </c>
      <c r="F16" s="76">
        <v>1.4870000000000001</v>
      </c>
      <c r="G16" s="76">
        <v>7.0439999999999996</v>
      </c>
      <c r="H16" s="77">
        <v>7.8932424758659858E-2</v>
      </c>
      <c r="I16" s="77">
        <v>0.21110164679159571</v>
      </c>
      <c r="J16" s="78">
        <v>0.29003407155025557</v>
      </c>
      <c r="K16" s="75">
        <v>32</v>
      </c>
      <c r="L16" s="76">
        <v>0.65300000000000002</v>
      </c>
      <c r="M16" s="76">
        <v>8.6419999999999995</v>
      </c>
      <c r="N16" s="79">
        <v>0.38300000000000001</v>
      </c>
      <c r="O16" s="76">
        <v>0.38300000000000001</v>
      </c>
      <c r="P16" s="76">
        <v>7.988999999999999</v>
      </c>
      <c r="Q16" s="77">
        <v>8.1737388909750922E-2</v>
      </c>
      <c r="R16" s="77">
        <v>4.7940918763299541E-2</v>
      </c>
      <c r="S16" s="78">
        <v>0.12967830767305047</v>
      </c>
      <c r="T16" s="75">
        <v>32</v>
      </c>
      <c r="U16" s="80">
        <v>0.60450000000000004</v>
      </c>
      <c r="V16" s="80">
        <v>8.1209999999999987</v>
      </c>
      <c r="W16" s="80">
        <v>0.93500000000000005</v>
      </c>
      <c r="X16" s="80">
        <v>0.93500000000000005</v>
      </c>
      <c r="Y16" s="80">
        <v>7.5164999999999988</v>
      </c>
      <c r="Z16" s="81">
        <v>8.0334906834205383E-2</v>
      </c>
      <c r="AA16" s="81">
        <v>0.12952128277744762</v>
      </c>
      <c r="AB16" s="82">
        <v>0.20985618961165303</v>
      </c>
    </row>
    <row r="17" spans="2:28">
      <c r="B17" s="83">
        <v>33</v>
      </c>
      <c r="C17" s="84">
        <v>0.56999999999999995</v>
      </c>
      <c r="D17" s="84">
        <v>7.819</v>
      </c>
      <c r="E17" s="84">
        <v>1.5580000000000001</v>
      </c>
      <c r="F17" s="84">
        <v>1.5580000000000001</v>
      </c>
      <c r="G17" s="84">
        <v>7.2489999999999997</v>
      </c>
      <c r="H17" s="85">
        <v>7.8631535384190918E-2</v>
      </c>
      <c r="I17" s="85">
        <v>0.21492619671678853</v>
      </c>
      <c r="J17" s="78">
        <v>0.29355773210097946</v>
      </c>
      <c r="K17" s="83">
        <v>33</v>
      </c>
      <c r="L17" s="84">
        <v>0.67100000000000004</v>
      </c>
      <c r="M17" s="84">
        <v>8.8829999999999991</v>
      </c>
      <c r="N17" s="86">
        <v>0.40100000000000002</v>
      </c>
      <c r="O17" s="84">
        <v>0.40100000000000002</v>
      </c>
      <c r="P17" s="84">
        <v>8.2119999999999997</v>
      </c>
      <c r="Q17" s="85">
        <v>8.1709693132001951E-2</v>
      </c>
      <c r="R17" s="85">
        <v>4.8830979055041406E-2</v>
      </c>
      <c r="S17" s="87">
        <v>0.13054067218704335</v>
      </c>
      <c r="T17" s="83">
        <v>33</v>
      </c>
      <c r="U17" s="88">
        <v>0.62050000000000005</v>
      </c>
      <c r="V17" s="88">
        <v>8.3509999999999991</v>
      </c>
      <c r="W17" s="88">
        <v>0.97950000000000004</v>
      </c>
      <c r="X17" s="88">
        <v>0.97950000000000004</v>
      </c>
      <c r="Y17" s="88">
        <v>7.7304999999999993</v>
      </c>
      <c r="Z17" s="29">
        <v>8.0170614258096434E-2</v>
      </c>
      <c r="AA17" s="29">
        <v>0.13187858788591497</v>
      </c>
      <c r="AB17" s="89">
        <v>0.21204920214401141</v>
      </c>
    </row>
    <row r="18" spans="2:28">
      <c r="B18" s="75">
        <v>34</v>
      </c>
      <c r="C18" s="76">
        <v>0.58199999999999996</v>
      </c>
      <c r="D18" s="76">
        <v>8.0440000000000005</v>
      </c>
      <c r="E18" s="76">
        <v>1.629</v>
      </c>
      <c r="F18" s="76">
        <v>1.629</v>
      </c>
      <c r="G18" s="76">
        <v>7.4620000000000006</v>
      </c>
      <c r="H18" s="77">
        <v>7.7995175556151153E-2</v>
      </c>
      <c r="I18" s="77">
        <v>0.21830608415974267</v>
      </c>
      <c r="J18" s="78">
        <v>0.29630125971589383</v>
      </c>
      <c r="K18" s="75">
        <v>34</v>
      </c>
      <c r="L18" s="76">
        <v>0.68600000000000005</v>
      </c>
      <c r="M18" s="76">
        <v>9.1300000000000008</v>
      </c>
      <c r="N18" s="79">
        <v>0.41799999999999998</v>
      </c>
      <c r="O18" s="76">
        <v>0.41799999999999998</v>
      </c>
      <c r="P18" s="76">
        <v>8.4440000000000008</v>
      </c>
      <c r="Q18" s="77">
        <v>8.1241117953576497E-2</v>
      </c>
      <c r="R18" s="77">
        <v>4.9502605400284221E-2</v>
      </c>
      <c r="S18" s="78">
        <v>0.13074372335386072</v>
      </c>
      <c r="T18" s="75">
        <v>34</v>
      </c>
      <c r="U18" s="80">
        <v>0.63400000000000001</v>
      </c>
      <c r="V18" s="80">
        <v>8.5869999999999997</v>
      </c>
      <c r="W18" s="80">
        <v>1.0235000000000001</v>
      </c>
      <c r="X18" s="80">
        <v>1.0235000000000001</v>
      </c>
      <c r="Y18" s="80">
        <v>7.9530000000000012</v>
      </c>
      <c r="Z18" s="81">
        <v>7.9618146754863825E-2</v>
      </c>
      <c r="AA18" s="81">
        <v>0.13390434478001345</v>
      </c>
      <c r="AB18" s="82">
        <v>0.21352249153487729</v>
      </c>
    </row>
    <row r="19" spans="2:28">
      <c r="B19" s="83">
        <v>35</v>
      </c>
      <c r="C19" s="84">
        <v>0.59099999999999997</v>
      </c>
      <c r="D19" s="84">
        <v>8.2750000000000004</v>
      </c>
      <c r="E19" s="84">
        <v>1.7010000000000001</v>
      </c>
      <c r="F19" s="84">
        <v>1.7010000000000001</v>
      </c>
      <c r="G19" s="84">
        <v>7.6840000000000002</v>
      </c>
      <c r="H19" s="85">
        <v>7.6913066111400308E-2</v>
      </c>
      <c r="I19" s="85">
        <v>0.2213690786048933</v>
      </c>
      <c r="J19" s="78">
        <v>0.29828214471629361</v>
      </c>
      <c r="K19" s="83">
        <v>35</v>
      </c>
      <c r="L19" s="84">
        <v>0.69699999999999995</v>
      </c>
      <c r="M19" s="84">
        <v>9.3810000000000002</v>
      </c>
      <c r="N19" s="86">
        <v>0.435</v>
      </c>
      <c r="O19" s="84">
        <v>0.435</v>
      </c>
      <c r="P19" s="84">
        <v>8.6840000000000011</v>
      </c>
      <c r="Q19" s="85">
        <v>8.0262551819438033E-2</v>
      </c>
      <c r="R19" s="85">
        <v>5.0092123445416852E-2</v>
      </c>
      <c r="S19" s="87">
        <v>0.13035467526485489</v>
      </c>
      <c r="T19" s="83">
        <v>35</v>
      </c>
      <c r="U19" s="88">
        <v>0.64399999999999991</v>
      </c>
      <c r="V19" s="88">
        <v>8.8279999999999994</v>
      </c>
      <c r="W19" s="88">
        <v>1.0680000000000001</v>
      </c>
      <c r="X19" s="88">
        <v>1.0680000000000001</v>
      </c>
      <c r="Y19" s="88">
        <v>8.1840000000000011</v>
      </c>
      <c r="Z19" s="29">
        <v>7.858780896541917E-2</v>
      </c>
      <c r="AA19" s="29">
        <v>0.13573060102515508</v>
      </c>
      <c r="AB19" s="89">
        <v>0.21431840999057425</v>
      </c>
    </row>
    <row r="20" spans="2:28">
      <c r="B20" s="75">
        <v>36</v>
      </c>
      <c r="C20" s="76">
        <v>0.59799999999999998</v>
      </c>
      <c r="D20" s="76">
        <v>8.51</v>
      </c>
      <c r="E20" s="76">
        <v>1.7729999999999999</v>
      </c>
      <c r="F20" s="76">
        <v>1.7729999999999999</v>
      </c>
      <c r="G20" s="76">
        <v>7.9119999999999999</v>
      </c>
      <c r="H20" s="77">
        <v>7.5581395348837205E-2</v>
      </c>
      <c r="I20" s="77">
        <v>0.22408998988877654</v>
      </c>
      <c r="J20" s="78">
        <v>0.29967138523761372</v>
      </c>
      <c r="K20" s="75">
        <v>36</v>
      </c>
      <c r="L20" s="76">
        <v>0.70399999999999996</v>
      </c>
      <c r="M20" s="76">
        <v>9.6370000000000005</v>
      </c>
      <c r="N20" s="79">
        <v>0.45100000000000001</v>
      </c>
      <c r="O20" s="76">
        <v>0.45100000000000001</v>
      </c>
      <c r="P20" s="76">
        <v>8.9329999999999998</v>
      </c>
      <c r="Q20" s="77">
        <v>7.8808910780252997E-2</v>
      </c>
      <c r="R20" s="77">
        <v>5.0486958468599574E-2</v>
      </c>
      <c r="S20" s="78">
        <v>0.12929586924885256</v>
      </c>
      <c r="T20" s="75">
        <v>36</v>
      </c>
      <c r="U20" s="80">
        <v>0.65100000000000002</v>
      </c>
      <c r="V20" s="80">
        <v>9.0734999999999992</v>
      </c>
      <c r="W20" s="80">
        <v>1.1119999999999999</v>
      </c>
      <c r="X20" s="80">
        <v>1.1119999999999999</v>
      </c>
      <c r="Y20" s="80">
        <v>8.4224999999999994</v>
      </c>
      <c r="Z20" s="81">
        <v>7.7195153064545108E-2</v>
      </c>
      <c r="AA20" s="81">
        <v>0.13728847417868806</v>
      </c>
      <c r="AB20" s="82">
        <v>0.21448362724323314</v>
      </c>
    </row>
    <row r="21" spans="2:28">
      <c r="B21" s="83">
        <v>37</v>
      </c>
      <c r="C21" s="84">
        <v>0.6</v>
      </c>
      <c r="D21" s="84">
        <v>8.75</v>
      </c>
      <c r="E21" s="84">
        <v>1.8440000000000001</v>
      </c>
      <c r="F21" s="84">
        <v>1.8440000000000001</v>
      </c>
      <c r="G21" s="84">
        <v>8.15</v>
      </c>
      <c r="H21" s="85">
        <v>7.3619631901840482E-2</v>
      </c>
      <c r="I21" s="85">
        <v>0.22625766871165645</v>
      </c>
      <c r="J21" s="78">
        <v>0.29987730061349693</v>
      </c>
      <c r="K21" s="83">
        <v>37</v>
      </c>
      <c r="L21" s="84">
        <v>0.70499999999999996</v>
      </c>
      <c r="M21" s="84">
        <v>9.8970000000000002</v>
      </c>
      <c r="N21" s="86">
        <v>0.46700000000000003</v>
      </c>
      <c r="O21" s="84">
        <v>0.46700000000000003</v>
      </c>
      <c r="P21" s="84">
        <v>9.1920000000000002</v>
      </c>
      <c r="Q21" s="85">
        <v>7.6697127937336809E-2</v>
      </c>
      <c r="R21" s="85">
        <v>5.0805047867711055E-2</v>
      </c>
      <c r="S21" s="87">
        <v>0.12750217580504786</v>
      </c>
      <c r="T21" s="83">
        <v>37</v>
      </c>
      <c r="U21" s="88">
        <v>0.65249999999999997</v>
      </c>
      <c r="V21" s="88">
        <v>9.3234999999999992</v>
      </c>
      <c r="W21" s="88">
        <v>1.1555</v>
      </c>
      <c r="X21" s="88">
        <v>1.1555</v>
      </c>
      <c r="Y21" s="88">
        <v>8.6709999999999994</v>
      </c>
      <c r="Z21" s="29">
        <v>7.5158379919588653E-2</v>
      </c>
      <c r="AA21" s="29">
        <v>0.13853135828968374</v>
      </c>
      <c r="AB21" s="89">
        <v>0.2136897382092724</v>
      </c>
    </row>
    <row r="22" spans="2:28">
      <c r="B22" s="75">
        <v>38</v>
      </c>
      <c r="C22" s="76">
        <v>0.59599999999999997</v>
      </c>
      <c r="D22" s="76">
        <v>8.9930000000000003</v>
      </c>
      <c r="E22" s="76">
        <v>1.9159999999999999</v>
      </c>
      <c r="F22" s="76">
        <v>1.9159999999999999</v>
      </c>
      <c r="G22" s="76">
        <v>8.3970000000000002</v>
      </c>
      <c r="H22" s="77">
        <v>7.097773014171728E-2</v>
      </c>
      <c r="I22" s="77">
        <v>0.22817672978444681</v>
      </c>
      <c r="J22" s="78">
        <v>0.29915445992616407</v>
      </c>
      <c r="K22" s="75">
        <v>38</v>
      </c>
      <c r="L22" s="76">
        <v>0.70099999999999996</v>
      </c>
      <c r="M22" s="76">
        <v>10.161</v>
      </c>
      <c r="N22" s="79">
        <v>0.48199999999999998</v>
      </c>
      <c r="O22" s="76">
        <v>0.48199999999999998</v>
      </c>
      <c r="P22" s="76">
        <v>9.4599999999999991</v>
      </c>
      <c r="Q22" s="77">
        <v>7.4101479915433408E-2</v>
      </c>
      <c r="R22" s="77">
        <v>5.0951374207188163E-2</v>
      </c>
      <c r="S22" s="78">
        <v>0.12505285412262157</v>
      </c>
      <c r="T22" s="75">
        <v>38</v>
      </c>
      <c r="U22" s="80">
        <v>0.64849999999999997</v>
      </c>
      <c r="V22" s="80">
        <v>9.577</v>
      </c>
      <c r="W22" s="80">
        <v>1.1989999999999998</v>
      </c>
      <c r="X22" s="80">
        <v>1.1989999999999998</v>
      </c>
      <c r="Y22" s="80">
        <v>8.9284999999999997</v>
      </c>
      <c r="Z22" s="81">
        <v>7.2539605028575344E-2</v>
      </c>
      <c r="AA22" s="81">
        <v>0.13956405199581748</v>
      </c>
      <c r="AB22" s="82">
        <v>0.21210365702439282</v>
      </c>
    </row>
    <row r="23" spans="2:28">
      <c r="B23" s="83">
        <v>39</v>
      </c>
      <c r="C23" s="84">
        <v>0.58799999999999997</v>
      </c>
      <c r="D23" s="84">
        <v>9.2409999999999997</v>
      </c>
      <c r="E23" s="84">
        <v>1.988</v>
      </c>
      <c r="F23" s="84">
        <v>1.988</v>
      </c>
      <c r="G23" s="84">
        <v>8.6530000000000005</v>
      </c>
      <c r="H23" s="85">
        <v>6.7953310990407939E-2</v>
      </c>
      <c r="I23" s="85">
        <v>0.22974690858661734</v>
      </c>
      <c r="J23" s="78">
        <v>0.2977002195770253</v>
      </c>
      <c r="K23" s="83">
        <v>39</v>
      </c>
      <c r="L23" s="84">
        <v>0.69</v>
      </c>
      <c r="M23" s="84">
        <v>10.43</v>
      </c>
      <c r="N23" s="86">
        <v>0.496</v>
      </c>
      <c r="O23" s="84">
        <v>0.496</v>
      </c>
      <c r="P23" s="84">
        <v>9.74</v>
      </c>
      <c r="Q23" s="85">
        <v>7.0841889117043116E-2</v>
      </c>
      <c r="R23" s="85">
        <v>5.0924024640657081E-2</v>
      </c>
      <c r="S23" s="87">
        <v>0.1217659137577002</v>
      </c>
      <c r="T23" s="83">
        <v>39</v>
      </c>
      <c r="U23" s="88">
        <v>0.63900000000000001</v>
      </c>
      <c r="V23" s="88">
        <v>9.8354999999999997</v>
      </c>
      <c r="W23" s="88">
        <v>1.242</v>
      </c>
      <c r="X23" s="88">
        <v>1.242</v>
      </c>
      <c r="Y23" s="88">
        <v>9.1965000000000003</v>
      </c>
      <c r="Z23" s="29">
        <v>6.9397600053725528E-2</v>
      </c>
      <c r="AA23" s="29">
        <v>0.14033546661363722</v>
      </c>
      <c r="AB23" s="89">
        <v>0.20973306666736274</v>
      </c>
    </row>
    <row r="24" spans="2:28">
      <c r="B24" s="75">
        <v>40</v>
      </c>
      <c r="C24" s="76">
        <v>0.57599999999999996</v>
      </c>
      <c r="D24" s="76">
        <v>9.4939999999999998</v>
      </c>
      <c r="E24" s="76">
        <v>2.0609999999999999</v>
      </c>
      <c r="F24" s="76">
        <v>2.0609999999999999</v>
      </c>
      <c r="G24" s="76">
        <v>8.9179999999999993</v>
      </c>
      <c r="H24" s="77">
        <v>6.4588472751738055E-2</v>
      </c>
      <c r="I24" s="77">
        <v>0.23110562906481275</v>
      </c>
      <c r="J24" s="78">
        <v>0.29569410181655081</v>
      </c>
      <c r="K24" s="75">
        <v>40</v>
      </c>
      <c r="L24" s="76">
        <v>0.67500000000000004</v>
      </c>
      <c r="M24" s="76">
        <v>10.705</v>
      </c>
      <c r="N24" s="79">
        <v>0.50900000000000001</v>
      </c>
      <c r="O24" s="76">
        <v>0.50900000000000001</v>
      </c>
      <c r="P24" s="76">
        <v>10.029999999999999</v>
      </c>
      <c r="Q24" s="77">
        <v>6.7298105682951151E-2</v>
      </c>
      <c r="R24" s="77">
        <v>5.0747756729810571E-2</v>
      </c>
      <c r="S24" s="78">
        <v>0.11804586241276172</v>
      </c>
      <c r="T24" s="75">
        <v>40</v>
      </c>
      <c r="U24" s="80">
        <v>0.62549999999999994</v>
      </c>
      <c r="V24" s="80">
        <v>10.099499999999999</v>
      </c>
      <c r="W24" s="80">
        <v>1.2849999999999999</v>
      </c>
      <c r="X24" s="80">
        <v>1.2849999999999999</v>
      </c>
      <c r="Y24" s="80">
        <v>9.4740000000000002</v>
      </c>
      <c r="Z24" s="81">
        <v>6.5943289217344603E-2</v>
      </c>
      <c r="AA24" s="81">
        <v>0.14092669289731166</v>
      </c>
      <c r="AB24" s="82">
        <v>0.20686998211465626</v>
      </c>
    </row>
    <row r="25" spans="2:28">
      <c r="B25" s="83">
        <v>41</v>
      </c>
      <c r="C25" s="84">
        <v>0.56100000000000005</v>
      </c>
      <c r="D25" s="84">
        <v>9.7560000000000002</v>
      </c>
      <c r="E25" s="84">
        <v>2.1349999999999998</v>
      </c>
      <c r="F25" s="84">
        <v>2.1349999999999998</v>
      </c>
      <c r="G25" s="84">
        <v>9.1950000000000003</v>
      </c>
      <c r="H25" s="85">
        <v>6.1011419249592171E-2</v>
      </c>
      <c r="I25" s="85">
        <v>0.23219140837411634</v>
      </c>
      <c r="J25" s="78">
        <v>0.29320282762370853</v>
      </c>
      <c r="K25" s="83">
        <v>41</v>
      </c>
      <c r="L25" s="84">
        <v>0.65600000000000003</v>
      </c>
      <c r="M25" s="84">
        <v>10.986000000000001</v>
      </c>
      <c r="N25" s="86">
        <v>0.52300000000000002</v>
      </c>
      <c r="O25" s="84">
        <v>0.52300000000000002</v>
      </c>
      <c r="P25" s="84">
        <v>10.33</v>
      </c>
      <c r="Q25" s="85">
        <v>6.3504356243949664E-2</v>
      </c>
      <c r="R25" s="85">
        <v>5.0629235237173283E-2</v>
      </c>
      <c r="S25" s="87">
        <v>0.11413359148112295</v>
      </c>
      <c r="T25" s="83">
        <v>41</v>
      </c>
      <c r="U25" s="88">
        <v>0.60850000000000004</v>
      </c>
      <c r="V25" s="88">
        <v>10.371</v>
      </c>
      <c r="W25" s="88">
        <v>1.329</v>
      </c>
      <c r="X25" s="88">
        <v>1.329</v>
      </c>
      <c r="Y25" s="88">
        <v>9.7624999999999993</v>
      </c>
      <c r="Z25" s="29">
        <v>6.2257887746770921E-2</v>
      </c>
      <c r="AA25" s="29">
        <v>0.14141032180564481</v>
      </c>
      <c r="AB25" s="89">
        <v>0.20366820955241574</v>
      </c>
    </row>
    <row r="26" spans="2:28">
      <c r="B26" s="75">
        <v>42</v>
      </c>
      <c r="C26" s="76">
        <v>0.54600000000000004</v>
      </c>
      <c r="D26" s="76">
        <v>10.026</v>
      </c>
      <c r="E26" s="76">
        <v>2.21</v>
      </c>
      <c r="F26" s="76">
        <v>2.21</v>
      </c>
      <c r="G26" s="76">
        <v>9.48</v>
      </c>
      <c r="H26" s="77">
        <v>5.7594936708860761E-2</v>
      </c>
      <c r="I26" s="77">
        <v>0.2331223628691983</v>
      </c>
      <c r="J26" s="78">
        <v>0.29071729957805903</v>
      </c>
      <c r="K26" s="75">
        <v>42</v>
      </c>
      <c r="L26" s="76">
        <v>0.63500000000000001</v>
      </c>
      <c r="M26" s="76">
        <v>11.276</v>
      </c>
      <c r="N26" s="79">
        <v>0.53600000000000003</v>
      </c>
      <c r="O26" s="76">
        <v>0.53600000000000003</v>
      </c>
      <c r="P26" s="76">
        <v>10.641</v>
      </c>
      <c r="Q26" s="77">
        <v>5.9674842589982145E-2</v>
      </c>
      <c r="R26" s="77">
        <v>5.0371205713748708E-2</v>
      </c>
      <c r="S26" s="78">
        <v>0.11004604830373085</v>
      </c>
      <c r="T26" s="75">
        <v>42</v>
      </c>
      <c r="U26" s="80">
        <v>0.59050000000000002</v>
      </c>
      <c r="V26" s="80">
        <v>10.651</v>
      </c>
      <c r="W26" s="80">
        <v>1.373</v>
      </c>
      <c r="X26" s="80">
        <v>1.373</v>
      </c>
      <c r="Y26" s="80">
        <v>10.060500000000001</v>
      </c>
      <c r="Z26" s="81">
        <v>5.8634889649421457E-2</v>
      </c>
      <c r="AA26" s="81">
        <v>0.1417467842914735</v>
      </c>
      <c r="AB26" s="82">
        <v>0.20038167394089496</v>
      </c>
    </row>
    <row r="27" spans="2:28">
      <c r="B27" s="83">
        <v>43</v>
      </c>
      <c r="C27" s="84">
        <v>0.53100000000000003</v>
      </c>
      <c r="D27" s="84">
        <v>10.305999999999999</v>
      </c>
      <c r="E27" s="84">
        <v>2.286</v>
      </c>
      <c r="F27" s="84">
        <v>2.286</v>
      </c>
      <c r="G27" s="84">
        <v>9.7749999999999986</v>
      </c>
      <c r="H27" s="85">
        <v>5.4322250639386199E-2</v>
      </c>
      <c r="I27" s="85">
        <v>0.23386189258312023</v>
      </c>
      <c r="J27" s="78">
        <v>0.28818414322250641</v>
      </c>
      <c r="K27" s="83">
        <v>43</v>
      </c>
      <c r="L27" s="84">
        <v>0.61199999999999999</v>
      </c>
      <c r="M27" s="84">
        <v>11.574999999999999</v>
      </c>
      <c r="N27" s="86">
        <v>0.54900000000000004</v>
      </c>
      <c r="O27" s="84">
        <v>0.54900000000000004</v>
      </c>
      <c r="P27" s="84">
        <v>10.962999999999999</v>
      </c>
      <c r="Q27" s="85">
        <v>5.5824135729271189E-2</v>
      </c>
      <c r="R27" s="85">
        <v>5.0077533521846219E-2</v>
      </c>
      <c r="S27" s="87">
        <v>0.10590166925111741</v>
      </c>
      <c r="T27" s="83">
        <v>43</v>
      </c>
      <c r="U27" s="88">
        <v>0.57150000000000001</v>
      </c>
      <c r="V27" s="88">
        <v>10.9405</v>
      </c>
      <c r="W27" s="88">
        <v>1.4175</v>
      </c>
      <c r="X27" s="88">
        <v>1.4175</v>
      </c>
      <c r="Y27" s="88">
        <v>10.369</v>
      </c>
      <c r="Z27" s="29">
        <v>5.5073193184328698E-2</v>
      </c>
      <c r="AA27" s="29">
        <v>0.14196971305248324</v>
      </c>
      <c r="AB27" s="89">
        <v>0.19704290623681192</v>
      </c>
    </row>
    <row r="28" spans="2:28">
      <c r="B28" s="75">
        <v>44</v>
      </c>
      <c r="C28" s="76">
        <v>0.51500000000000001</v>
      </c>
      <c r="D28" s="76">
        <v>10.596</v>
      </c>
      <c r="E28" s="76">
        <v>2.3639999999999999</v>
      </c>
      <c r="F28" s="76">
        <v>2.3639999999999999</v>
      </c>
      <c r="G28" s="76">
        <v>10.081</v>
      </c>
      <c r="H28" s="77">
        <v>5.108620176569785E-2</v>
      </c>
      <c r="I28" s="77">
        <v>0.23450054558079556</v>
      </c>
      <c r="J28" s="78">
        <v>0.28558674734649342</v>
      </c>
      <c r="K28" s="75">
        <v>44</v>
      </c>
      <c r="L28" s="76">
        <v>0.58699999999999997</v>
      </c>
      <c r="M28" s="76">
        <v>11.884</v>
      </c>
      <c r="N28" s="79">
        <v>0.56100000000000005</v>
      </c>
      <c r="O28" s="76">
        <v>0.56100000000000005</v>
      </c>
      <c r="P28" s="76">
        <v>11.297000000000001</v>
      </c>
      <c r="Q28" s="77">
        <v>5.1960697530317776E-2</v>
      </c>
      <c r="R28" s="77">
        <v>4.9659201557935739E-2</v>
      </c>
      <c r="S28" s="78">
        <v>0.10161989908825352</v>
      </c>
      <c r="T28" s="75">
        <v>44</v>
      </c>
      <c r="U28" s="80">
        <v>0.55099999999999993</v>
      </c>
      <c r="V28" s="80">
        <v>11.24</v>
      </c>
      <c r="W28" s="80">
        <v>1.4624999999999999</v>
      </c>
      <c r="X28" s="80">
        <v>1.4624999999999999</v>
      </c>
      <c r="Y28" s="80">
        <v>10.689</v>
      </c>
      <c r="Z28" s="81">
        <v>5.1523449648007813E-2</v>
      </c>
      <c r="AA28" s="81">
        <v>0.14207987356936563</v>
      </c>
      <c r="AB28" s="82">
        <v>0.19360332321737347</v>
      </c>
    </row>
    <row r="29" spans="2:28">
      <c r="B29" s="83">
        <v>45</v>
      </c>
      <c r="C29" s="84">
        <v>0.498</v>
      </c>
      <c r="D29" s="84">
        <v>10.897</v>
      </c>
      <c r="E29" s="84">
        <v>2.4409999999999998</v>
      </c>
      <c r="F29" s="84">
        <v>2.4409999999999998</v>
      </c>
      <c r="G29" s="84">
        <v>10.399000000000001</v>
      </c>
      <c r="H29" s="85">
        <v>4.788922011731897E-2</v>
      </c>
      <c r="I29" s="85">
        <v>0.23473410904894698</v>
      </c>
      <c r="J29" s="78">
        <v>0.28262332916626598</v>
      </c>
      <c r="K29" s="83">
        <v>45</v>
      </c>
      <c r="L29" s="84">
        <v>0.56000000000000005</v>
      </c>
      <c r="M29" s="84">
        <v>12.202999999999999</v>
      </c>
      <c r="N29" s="86">
        <v>0.57399999999999995</v>
      </c>
      <c r="O29" s="84">
        <v>0.57399999999999995</v>
      </c>
      <c r="P29" s="84">
        <v>11.642999999999999</v>
      </c>
      <c r="Q29" s="85">
        <v>4.8097569354977249E-2</v>
      </c>
      <c r="R29" s="85">
        <v>4.9300008588851668E-2</v>
      </c>
      <c r="S29" s="87">
        <v>9.7397577943828917E-2</v>
      </c>
      <c r="T29" s="83">
        <v>45</v>
      </c>
      <c r="U29" s="88">
        <v>0.52900000000000003</v>
      </c>
      <c r="V29" s="88">
        <v>11.55</v>
      </c>
      <c r="W29" s="88">
        <v>1.5074999999999998</v>
      </c>
      <c r="X29" s="88">
        <v>1.5074999999999998</v>
      </c>
      <c r="Y29" s="88">
        <v>11.021000000000001</v>
      </c>
      <c r="Z29" s="29">
        <v>4.7993394736148109E-2</v>
      </c>
      <c r="AA29" s="29">
        <v>0.14201705881889931</v>
      </c>
      <c r="AB29" s="89">
        <v>0.19001045355504745</v>
      </c>
    </row>
    <row r="30" spans="2:28">
      <c r="B30" s="75">
        <v>46</v>
      </c>
      <c r="C30" s="76">
        <v>0.48</v>
      </c>
      <c r="D30" s="76">
        <v>11.208</v>
      </c>
      <c r="E30" s="76">
        <v>2.5190000000000001</v>
      </c>
      <c r="F30" s="76">
        <v>2.5190000000000001</v>
      </c>
      <c r="G30" s="76">
        <v>10.728</v>
      </c>
      <c r="H30" s="77">
        <v>4.4742729306487698E-2</v>
      </c>
      <c r="I30" s="77">
        <v>0.2348061148396719</v>
      </c>
      <c r="J30" s="78">
        <v>0.2795488441461596</v>
      </c>
      <c r="K30" s="75">
        <v>46</v>
      </c>
      <c r="L30" s="76">
        <v>0.53300000000000003</v>
      </c>
      <c r="M30" s="76">
        <v>12.532</v>
      </c>
      <c r="N30" s="79">
        <v>0.58599999999999997</v>
      </c>
      <c r="O30" s="76">
        <v>0.58599999999999997</v>
      </c>
      <c r="P30" s="76">
        <v>11.999000000000001</v>
      </c>
      <c r="Q30" s="77">
        <v>4.4420368364030335E-2</v>
      </c>
      <c r="R30" s="77">
        <v>4.8837403116926408E-2</v>
      </c>
      <c r="S30" s="78">
        <v>9.3257771480956736E-2</v>
      </c>
      <c r="T30" s="75">
        <v>46</v>
      </c>
      <c r="U30" s="80">
        <v>0.50649999999999995</v>
      </c>
      <c r="V30" s="80">
        <v>11.870000000000001</v>
      </c>
      <c r="W30" s="80">
        <v>1.5525</v>
      </c>
      <c r="X30" s="80">
        <v>1.5525</v>
      </c>
      <c r="Y30" s="80">
        <v>11.3635</v>
      </c>
      <c r="Z30" s="81">
        <v>4.4581548835259013E-2</v>
      </c>
      <c r="AA30" s="81">
        <v>0.14182175897829916</v>
      </c>
      <c r="AB30" s="82">
        <v>0.18640330781355818</v>
      </c>
    </row>
    <row r="31" spans="2:28">
      <c r="B31" s="83">
        <v>47</v>
      </c>
      <c r="C31" s="84">
        <v>0.45900000000000002</v>
      </c>
      <c r="D31" s="84">
        <v>11.53</v>
      </c>
      <c r="E31" s="84">
        <v>2.5960000000000001</v>
      </c>
      <c r="F31" s="84">
        <v>2.5960000000000001</v>
      </c>
      <c r="G31" s="84">
        <v>11.071</v>
      </c>
      <c r="H31" s="85">
        <v>4.1459669406557674E-2</v>
      </c>
      <c r="I31" s="85">
        <v>0.23448649625146781</v>
      </c>
      <c r="J31" s="78">
        <v>0.27594616565802549</v>
      </c>
      <c r="K31" s="83">
        <v>47</v>
      </c>
      <c r="L31" s="84">
        <v>0.503</v>
      </c>
      <c r="M31" s="84">
        <v>12.872999999999999</v>
      </c>
      <c r="N31" s="86">
        <v>0.59799999999999998</v>
      </c>
      <c r="O31" s="84">
        <v>0.59799999999999998</v>
      </c>
      <c r="P31" s="84">
        <v>12.37</v>
      </c>
      <c r="Q31" s="85">
        <v>4.066289409862571E-2</v>
      </c>
      <c r="R31" s="85">
        <v>4.8342764753435734E-2</v>
      </c>
      <c r="S31" s="87">
        <v>8.9005658852061437E-2</v>
      </c>
      <c r="T31" s="83">
        <v>47</v>
      </c>
      <c r="U31" s="88">
        <v>0.48099999999999998</v>
      </c>
      <c r="V31" s="88">
        <v>12.201499999999999</v>
      </c>
      <c r="W31" s="88">
        <v>1.597</v>
      </c>
      <c r="X31" s="88">
        <v>1.597</v>
      </c>
      <c r="Y31" s="88">
        <v>11.720499999999999</v>
      </c>
      <c r="Z31" s="29">
        <v>4.1061281752591688E-2</v>
      </c>
      <c r="AA31" s="29">
        <v>0.14141463050245176</v>
      </c>
      <c r="AB31" s="89">
        <v>0.18247591225504345</v>
      </c>
    </row>
    <row r="32" spans="2:28">
      <c r="B32" s="75">
        <v>48</v>
      </c>
      <c r="C32" s="76">
        <v>0.436</v>
      </c>
      <c r="D32" s="76">
        <v>11.863</v>
      </c>
      <c r="E32" s="76">
        <v>2.6720000000000002</v>
      </c>
      <c r="F32" s="76">
        <v>2.6720000000000002</v>
      </c>
      <c r="G32" s="76">
        <v>11.427</v>
      </c>
      <c r="H32" s="77">
        <v>3.8155246346372629E-2</v>
      </c>
      <c r="I32" s="77">
        <v>0.23383215192088913</v>
      </c>
      <c r="J32" s="78">
        <v>0.27198739826726176</v>
      </c>
      <c r="K32" s="75">
        <v>48</v>
      </c>
      <c r="L32" s="76">
        <v>0.47099999999999997</v>
      </c>
      <c r="M32" s="76">
        <v>13.224</v>
      </c>
      <c r="N32" s="79">
        <v>0.60899999999999999</v>
      </c>
      <c r="O32" s="76">
        <v>0.60899999999999999</v>
      </c>
      <c r="P32" s="76">
        <v>12.753</v>
      </c>
      <c r="Q32" s="77">
        <v>3.6932486473770877E-2</v>
      </c>
      <c r="R32" s="77">
        <v>4.7753469771818394E-2</v>
      </c>
      <c r="S32" s="78">
        <v>8.4685956245589278E-2</v>
      </c>
      <c r="T32" s="75">
        <v>48</v>
      </c>
      <c r="U32" s="80">
        <v>0.45350000000000001</v>
      </c>
      <c r="V32" s="80">
        <v>12.5435</v>
      </c>
      <c r="W32" s="80">
        <v>1.6405000000000001</v>
      </c>
      <c r="X32" s="80">
        <v>1.6405000000000001</v>
      </c>
      <c r="Y32" s="80">
        <v>12.09</v>
      </c>
      <c r="Z32" s="81">
        <v>3.754386641007175E-2</v>
      </c>
      <c r="AA32" s="81">
        <v>0.14079281084635376</v>
      </c>
      <c r="AB32" s="82">
        <v>0.17833667725642552</v>
      </c>
    </row>
    <row r="33" spans="2:28">
      <c r="B33" s="83">
        <v>49</v>
      </c>
      <c r="C33" s="84">
        <v>0.41</v>
      </c>
      <c r="D33" s="84">
        <v>12.206</v>
      </c>
      <c r="E33" s="84">
        <v>2.7469999999999999</v>
      </c>
      <c r="F33" s="84">
        <v>2.7469999999999999</v>
      </c>
      <c r="G33" s="84">
        <v>11.795999999999999</v>
      </c>
      <c r="H33" s="85">
        <v>3.4757544930484913E-2</v>
      </c>
      <c r="I33" s="85">
        <v>0.2328755510342489</v>
      </c>
      <c r="J33" s="78">
        <v>0.26763309596473384</v>
      </c>
      <c r="K33" s="83">
        <v>49</v>
      </c>
      <c r="L33" s="84">
        <v>0.437</v>
      </c>
      <c r="M33" s="84">
        <v>13.587</v>
      </c>
      <c r="N33" s="86">
        <v>0.62</v>
      </c>
      <c r="O33" s="84">
        <v>0.62</v>
      </c>
      <c r="P33" s="84">
        <v>13.15</v>
      </c>
      <c r="Q33" s="85">
        <v>3.3231939163498099E-2</v>
      </c>
      <c r="R33" s="85">
        <v>4.714828897338403E-2</v>
      </c>
      <c r="S33" s="87">
        <v>8.0380228136882129E-2</v>
      </c>
      <c r="T33" s="83">
        <v>49</v>
      </c>
      <c r="U33" s="88">
        <v>0.42349999999999999</v>
      </c>
      <c r="V33" s="88">
        <v>12.8965</v>
      </c>
      <c r="W33" s="88">
        <v>1.6835</v>
      </c>
      <c r="X33" s="88">
        <v>1.6835</v>
      </c>
      <c r="Y33" s="88">
        <v>12.472999999999999</v>
      </c>
      <c r="Z33" s="29">
        <v>3.3994742046991502E-2</v>
      </c>
      <c r="AA33" s="29">
        <v>0.14001192000381646</v>
      </c>
      <c r="AB33" s="89">
        <v>0.17400666205080798</v>
      </c>
    </row>
    <row r="34" spans="2:28">
      <c r="B34" s="75">
        <v>50</v>
      </c>
      <c r="C34" s="76">
        <v>0.38</v>
      </c>
      <c r="D34" s="76">
        <v>12.561999999999999</v>
      </c>
      <c r="E34" s="76">
        <v>2.8210000000000002</v>
      </c>
      <c r="F34" s="76">
        <v>2.8210000000000002</v>
      </c>
      <c r="G34" s="76">
        <v>12.181999999999999</v>
      </c>
      <c r="H34" s="77">
        <v>3.1193564275160075E-2</v>
      </c>
      <c r="I34" s="77">
        <v>0.23157117057954363</v>
      </c>
      <c r="J34" s="78">
        <v>0.2627647348547037</v>
      </c>
      <c r="K34" s="75">
        <v>50</v>
      </c>
      <c r="L34" s="76">
        <v>0.40100000000000002</v>
      </c>
      <c r="M34" s="76">
        <v>13.961</v>
      </c>
      <c r="N34" s="79">
        <v>0.63</v>
      </c>
      <c r="O34" s="76">
        <v>0.63</v>
      </c>
      <c r="P34" s="76">
        <v>13.56</v>
      </c>
      <c r="Q34" s="77">
        <v>2.957227138643068E-2</v>
      </c>
      <c r="R34" s="77">
        <v>4.6460176991150438E-2</v>
      </c>
      <c r="S34" s="78">
        <v>7.6032448377581122E-2</v>
      </c>
      <c r="T34" s="75">
        <v>50</v>
      </c>
      <c r="U34" s="80">
        <v>0.39050000000000001</v>
      </c>
      <c r="V34" s="80">
        <v>13.2615</v>
      </c>
      <c r="W34" s="80">
        <v>1.7255</v>
      </c>
      <c r="X34" s="80">
        <v>1.7255</v>
      </c>
      <c r="Y34" s="80">
        <v>12.870999999999999</v>
      </c>
      <c r="Z34" s="81">
        <v>3.0382917830795379E-2</v>
      </c>
      <c r="AA34" s="81">
        <v>0.13901567378534704</v>
      </c>
      <c r="AB34" s="82">
        <v>0.1693985916161424</v>
      </c>
    </row>
    <row r="35" spans="2:28">
      <c r="B35" s="83">
        <v>51</v>
      </c>
      <c r="C35" s="84">
        <v>0.34599999999999997</v>
      </c>
      <c r="D35" s="84">
        <v>12.93</v>
      </c>
      <c r="E35" s="84">
        <v>2.8929999999999998</v>
      </c>
      <c r="F35" s="84">
        <v>2.8929999999999998</v>
      </c>
      <c r="G35" s="84">
        <v>12.584</v>
      </c>
      <c r="H35" s="85">
        <v>2.7495232040686584E-2</v>
      </c>
      <c r="I35" s="85">
        <v>0.2298951048951049</v>
      </c>
      <c r="J35" s="78">
        <v>0.2573903369357915</v>
      </c>
      <c r="K35" s="83">
        <v>51</v>
      </c>
      <c r="L35" s="84">
        <v>0.36099999999999999</v>
      </c>
      <c r="M35" s="84">
        <v>14.347</v>
      </c>
      <c r="N35" s="86">
        <v>0.63800000000000001</v>
      </c>
      <c r="O35" s="84">
        <v>0.63800000000000001</v>
      </c>
      <c r="P35" s="84">
        <v>13.985999999999999</v>
      </c>
      <c r="Q35" s="85">
        <v>2.5811525811525814E-2</v>
      </c>
      <c r="R35" s="85">
        <v>4.5617045617045625E-2</v>
      </c>
      <c r="S35" s="87">
        <v>7.1428571428571438E-2</v>
      </c>
      <c r="T35" s="83">
        <v>51</v>
      </c>
      <c r="U35" s="88">
        <v>0.35349999999999998</v>
      </c>
      <c r="V35" s="88">
        <v>13.638500000000001</v>
      </c>
      <c r="W35" s="88">
        <v>1.7654999999999998</v>
      </c>
      <c r="X35" s="88">
        <v>1.7654999999999998</v>
      </c>
      <c r="Y35" s="88">
        <v>13.285</v>
      </c>
      <c r="Z35" s="29">
        <v>2.6653378926106197E-2</v>
      </c>
      <c r="AA35" s="29">
        <v>0.13775607525607525</v>
      </c>
      <c r="AB35" s="89">
        <v>0.16440945418218147</v>
      </c>
    </row>
    <row r="36" spans="2:28">
      <c r="B36" s="75">
        <v>52</v>
      </c>
      <c r="C36" s="76">
        <v>0.309</v>
      </c>
      <c r="D36" s="76">
        <v>13.311999999999999</v>
      </c>
      <c r="E36" s="76">
        <v>2.9630000000000001</v>
      </c>
      <c r="F36" s="76">
        <v>2.9630000000000001</v>
      </c>
      <c r="G36" s="76">
        <v>13.003</v>
      </c>
      <c r="H36" s="77">
        <v>2.3763746827655155E-2</v>
      </c>
      <c r="I36" s="77">
        <v>0.22787049142505575</v>
      </c>
      <c r="J36" s="78">
        <v>0.25163423825271092</v>
      </c>
      <c r="K36" s="75">
        <v>52</v>
      </c>
      <c r="L36" s="76">
        <v>0.31900000000000001</v>
      </c>
      <c r="M36" s="76">
        <v>14.746</v>
      </c>
      <c r="N36" s="79">
        <v>0.64600000000000002</v>
      </c>
      <c r="O36" s="76">
        <v>0.64600000000000002</v>
      </c>
      <c r="P36" s="76">
        <v>14.427</v>
      </c>
      <c r="Q36" s="77">
        <v>2.2111319054550497E-2</v>
      </c>
      <c r="R36" s="77">
        <v>4.4777153947459625E-2</v>
      </c>
      <c r="S36" s="78">
        <v>6.6888473002010118E-2</v>
      </c>
      <c r="T36" s="75">
        <v>52</v>
      </c>
      <c r="U36" s="80">
        <v>0.314</v>
      </c>
      <c r="V36" s="80">
        <v>14.029</v>
      </c>
      <c r="W36" s="80">
        <v>1.8045</v>
      </c>
      <c r="X36" s="80">
        <v>1.8045</v>
      </c>
      <c r="Y36" s="80">
        <v>13.715</v>
      </c>
      <c r="Z36" s="81">
        <v>2.2937532941102824E-2</v>
      </c>
      <c r="AA36" s="81">
        <v>0.1363238226862577</v>
      </c>
      <c r="AB36" s="82">
        <v>0.15926135562736052</v>
      </c>
    </row>
    <row r="37" spans="2:28">
      <c r="B37" s="83">
        <v>53</v>
      </c>
      <c r="C37" s="84">
        <v>0.27</v>
      </c>
      <c r="D37" s="84">
        <v>13.709</v>
      </c>
      <c r="E37" s="84">
        <v>3.032</v>
      </c>
      <c r="F37" s="84">
        <v>3.032</v>
      </c>
      <c r="G37" s="84">
        <v>13.439</v>
      </c>
      <c r="H37" s="85">
        <v>2.0090780564030061E-2</v>
      </c>
      <c r="I37" s="85">
        <v>0.22561202470421907</v>
      </c>
      <c r="J37" s="78">
        <v>0.24570280526824911</v>
      </c>
      <c r="K37" s="83">
        <v>53</v>
      </c>
      <c r="L37" s="84">
        <v>0.27500000000000002</v>
      </c>
      <c r="M37" s="84">
        <v>15.157999999999999</v>
      </c>
      <c r="N37" s="86">
        <v>0.65300000000000002</v>
      </c>
      <c r="O37" s="84">
        <v>0.65300000000000002</v>
      </c>
      <c r="P37" s="84">
        <v>14.882999999999999</v>
      </c>
      <c r="Q37" s="85">
        <v>1.8477457501847747E-2</v>
      </c>
      <c r="R37" s="85">
        <v>4.3875562722569379E-2</v>
      </c>
      <c r="S37" s="87">
        <v>6.2353020224417126E-2</v>
      </c>
      <c r="T37" s="83">
        <v>53</v>
      </c>
      <c r="U37" s="88">
        <v>0.27250000000000002</v>
      </c>
      <c r="V37" s="88">
        <v>14.433499999999999</v>
      </c>
      <c r="W37" s="88">
        <v>1.8425</v>
      </c>
      <c r="X37" s="88">
        <v>1.8425</v>
      </c>
      <c r="Y37" s="88">
        <v>14.161</v>
      </c>
      <c r="Z37" s="29">
        <v>1.9284119032938904E-2</v>
      </c>
      <c r="AA37" s="29">
        <v>0.13474379371339423</v>
      </c>
      <c r="AB37" s="89">
        <v>0.15402791274633312</v>
      </c>
    </row>
    <row r="38" spans="2:28">
      <c r="B38" s="75">
        <v>54</v>
      </c>
      <c r="C38" s="76">
        <v>0.22800000000000001</v>
      </c>
      <c r="D38" s="76">
        <v>14.12</v>
      </c>
      <c r="E38" s="76">
        <v>3.0990000000000002</v>
      </c>
      <c r="F38" s="76">
        <v>3.0990000000000002</v>
      </c>
      <c r="G38" s="76">
        <v>13.891999999999999</v>
      </c>
      <c r="H38" s="77">
        <v>1.6412323639504751E-2</v>
      </c>
      <c r="I38" s="77">
        <v>0.22307803052116329</v>
      </c>
      <c r="J38" s="78">
        <v>0.23949035416066805</v>
      </c>
      <c r="K38" s="75">
        <v>54</v>
      </c>
      <c r="L38" s="76">
        <v>0.22900000000000001</v>
      </c>
      <c r="M38" s="76">
        <v>15.585000000000001</v>
      </c>
      <c r="N38" s="79">
        <v>0.65900000000000003</v>
      </c>
      <c r="O38" s="76">
        <v>0.65900000000000003</v>
      </c>
      <c r="P38" s="76">
        <v>15.356000000000002</v>
      </c>
      <c r="Q38" s="77">
        <v>1.4912737692107318E-2</v>
      </c>
      <c r="R38" s="77">
        <v>4.2914821568116691E-2</v>
      </c>
      <c r="S38" s="78">
        <v>5.782755926022401E-2</v>
      </c>
      <c r="T38" s="75">
        <v>54</v>
      </c>
      <c r="U38" s="80">
        <v>0.22850000000000001</v>
      </c>
      <c r="V38" s="80">
        <v>14.852499999999999</v>
      </c>
      <c r="W38" s="80">
        <v>1.879</v>
      </c>
      <c r="X38" s="80">
        <v>1.879</v>
      </c>
      <c r="Y38" s="80">
        <v>14.624000000000001</v>
      </c>
      <c r="Z38" s="81">
        <v>1.5662530665806036E-2</v>
      </c>
      <c r="AA38" s="81">
        <v>0.13299642604463999</v>
      </c>
      <c r="AB38" s="82">
        <v>0.14865895671044604</v>
      </c>
    </row>
    <row r="39" spans="2:28">
      <c r="B39" s="83">
        <v>55</v>
      </c>
      <c r="C39" s="84">
        <v>0.184</v>
      </c>
      <c r="D39" s="84">
        <v>14.548</v>
      </c>
      <c r="E39" s="84">
        <v>3.165</v>
      </c>
      <c r="F39" s="84">
        <v>3.165</v>
      </c>
      <c r="G39" s="84">
        <v>14.364000000000001</v>
      </c>
      <c r="H39" s="85">
        <v>1.2809802283486493E-2</v>
      </c>
      <c r="I39" s="85">
        <v>0.22034252297410192</v>
      </c>
      <c r="J39" s="78">
        <v>0.23315232525758842</v>
      </c>
      <c r="K39" s="83">
        <v>55</v>
      </c>
      <c r="L39" s="84">
        <v>0.18099999999999999</v>
      </c>
      <c r="M39" s="84">
        <v>16.026</v>
      </c>
      <c r="N39" s="86">
        <v>0.66400000000000003</v>
      </c>
      <c r="O39" s="84">
        <v>0.66400000000000003</v>
      </c>
      <c r="P39" s="84">
        <v>15.845000000000001</v>
      </c>
      <c r="Q39" s="85">
        <v>1.1423161880719469E-2</v>
      </c>
      <c r="R39" s="85">
        <v>4.1905964026506787E-2</v>
      </c>
      <c r="S39" s="87">
        <v>5.3329125907226257E-2</v>
      </c>
      <c r="T39" s="83">
        <v>55</v>
      </c>
      <c r="U39" s="88">
        <v>0.1825</v>
      </c>
      <c r="V39" s="88">
        <v>15.286999999999999</v>
      </c>
      <c r="W39" s="88">
        <v>1.9145000000000001</v>
      </c>
      <c r="X39" s="88">
        <v>1.9145000000000001</v>
      </c>
      <c r="Y39" s="88">
        <v>15.104500000000002</v>
      </c>
      <c r="Z39" s="29">
        <v>1.2116482082102982E-2</v>
      </c>
      <c r="AA39" s="29">
        <v>0.13112424350030435</v>
      </c>
      <c r="AB39" s="89">
        <v>0.14324072558240733</v>
      </c>
    </row>
    <row r="40" spans="2:28">
      <c r="B40" s="75">
        <v>56</v>
      </c>
      <c r="C40" s="76">
        <v>0.13900000000000001</v>
      </c>
      <c r="D40" s="76">
        <v>14.993</v>
      </c>
      <c r="E40" s="76">
        <v>3.2320000000000002</v>
      </c>
      <c r="F40" s="76">
        <v>3.2320000000000002</v>
      </c>
      <c r="G40" s="76">
        <v>14.854000000000001</v>
      </c>
      <c r="H40" s="77">
        <v>9.35774875454423E-3</v>
      </c>
      <c r="I40" s="77">
        <v>0.21758448902652483</v>
      </c>
      <c r="J40" s="78">
        <v>0.22694223778106906</v>
      </c>
      <c r="K40" s="75">
        <v>56</v>
      </c>
      <c r="L40" s="76">
        <v>0.13500000000000001</v>
      </c>
      <c r="M40" s="76">
        <v>16.484999999999999</v>
      </c>
      <c r="N40" s="79">
        <v>0.66900000000000004</v>
      </c>
      <c r="O40" s="76">
        <v>0.66900000000000004</v>
      </c>
      <c r="P40" s="76">
        <v>16.349999999999998</v>
      </c>
      <c r="Q40" s="77">
        <v>8.2568807339449563E-3</v>
      </c>
      <c r="R40" s="77">
        <v>4.0917431192660558E-2</v>
      </c>
      <c r="S40" s="78">
        <v>4.9174311926605513E-2</v>
      </c>
      <c r="T40" s="75">
        <v>56</v>
      </c>
      <c r="U40" s="80">
        <v>0.13700000000000001</v>
      </c>
      <c r="V40" s="80">
        <v>15.739000000000001</v>
      </c>
      <c r="W40" s="80">
        <v>1.9505000000000001</v>
      </c>
      <c r="X40" s="80">
        <v>1.9505000000000001</v>
      </c>
      <c r="Y40" s="80">
        <v>15.602</v>
      </c>
      <c r="Z40" s="81">
        <v>8.8073147442445932E-3</v>
      </c>
      <c r="AA40" s="81">
        <v>0.12925096010959269</v>
      </c>
      <c r="AB40" s="82">
        <v>0.13805827485383729</v>
      </c>
    </row>
    <row r="41" spans="2:28">
      <c r="B41" s="83">
        <v>57</v>
      </c>
      <c r="C41" s="84">
        <v>9.5000000000000001E-2</v>
      </c>
      <c r="D41" s="84">
        <v>15.458</v>
      </c>
      <c r="E41" s="84">
        <v>3.2989999999999999</v>
      </c>
      <c r="F41" s="84">
        <v>3.2989999999999999</v>
      </c>
      <c r="G41" s="84">
        <v>15.363</v>
      </c>
      <c r="H41" s="85">
        <v>6.1836880817548656E-3</v>
      </c>
      <c r="I41" s="85">
        <v>0.21473670507062423</v>
      </c>
      <c r="J41" s="78">
        <v>0.2209203931523791</v>
      </c>
      <c r="K41" s="83">
        <v>57</v>
      </c>
      <c r="L41" s="84">
        <v>9.0999999999999998E-2</v>
      </c>
      <c r="M41" s="84">
        <v>16.963000000000001</v>
      </c>
      <c r="N41" s="86">
        <v>0.67300000000000004</v>
      </c>
      <c r="O41" s="84">
        <v>0.67300000000000004</v>
      </c>
      <c r="P41" s="84">
        <v>16.872</v>
      </c>
      <c r="Q41" s="85">
        <v>5.3935514461830253E-3</v>
      </c>
      <c r="R41" s="85">
        <v>3.988857278330963E-2</v>
      </c>
      <c r="S41" s="87">
        <v>4.5282124229492654E-2</v>
      </c>
      <c r="T41" s="83">
        <v>57</v>
      </c>
      <c r="U41" s="88">
        <v>9.2999999999999999E-2</v>
      </c>
      <c r="V41" s="88">
        <v>16.2105</v>
      </c>
      <c r="W41" s="88">
        <v>1.986</v>
      </c>
      <c r="X41" s="88">
        <v>1.986</v>
      </c>
      <c r="Y41" s="88">
        <v>16.1175</v>
      </c>
      <c r="Z41" s="29">
        <v>5.7886197639689455E-3</v>
      </c>
      <c r="AA41" s="29">
        <v>0.12731263892696693</v>
      </c>
      <c r="AB41" s="89">
        <v>0.13310125869093586</v>
      </c>
    </row>
    <row r="42" spans="2:28">
      <c r="B42" s="75">
        <v>58</v>
      </c>
      <c r="C42" s="76">
        <v>5.7000000000000002E-2</v>
      </c>
      <c r="D42" s="76">
        <v>15.943</v>
      </c>
      <c r="E42" s="76">
        <v>3.3679999999999999</v>
      </c>
      <c r="F42" s="76">
        <v>3.3679999999999999</v>
      </c>
      <c r="G42" s="76">
        <v>15.885999999999999</v>
      </c>
      <c r="H42" s="77">
        <v>3.5880649628603806E-3</v>
      </c>
      <c r="I42" s="77">
        <v>0.21201057534936421</v>
      </c>
      <c r="J42" s="78">
        <v>0.21559864031222459</v>
      </c>
      <c r="K42" s="75">
        <v>58</v>
      </c>
      <c r="L42" s="76">
        <v>5.1999999999999998E-2</v>
      </c>
      <c r="M42" s="76">
        <v>17.463000000000001</v>
      </c>
      <c r="N42" s="79">
        <v>0.67800000000000005</v>
      </c>
      <c r="O42" s="76">
        <v>0.67800000000000005</v>
      </c>
      <c r="P42" s="76">
        <v>17.411000000000001</v>
      </c>
      <c r="Q42" s="77">
        <v>2.9866176555051402E-3</v>
      </c>
      <c r="R42" s="77">
        <v>3.8940899431393949E-2</v>
      </c>
      <c r="S42" s="78">
        <v>4.192751708689909E-2</v>
      </c>
      <c r="T42" s="75">
        <v>58</v>
      </c>
      <c r="U42" s="80">
        <v>5.45E-2</v>
      </c>
      <c r="V42" s="80">
        <v>16.702999999999999</v>
      </c>
      <c r="W42" s="80">
        <v>2.0230000000000001</v>
      </c>
      <c r="X42" s="80">
        <v>2.0230000000000001</v>
      </c>
      <c r="Y42" s="80">
        <v>16.648499999999999</v>
      </c>
      <c r="Z42" s="81">
        <v>3.2873413091827602E-3</v>
      </c>
      <c r="AA42" s="81">
        <v>0.12547573739037909</v>
      </c>
      <c r="AB42" s="82">
        <v>0.12876307869956183</v>
      </c>
    </row>
    <row r="43" spans="2:28">
      <c r="B43" s="83">
        <v>59</v>
      </c>
      <c r="C43" s="84">
        <v>2.5999999999999999E-2</v>
      </c>
      <c r="D43" s="84">
        <v>16.451000000000001</v>
      </c>
      <c r="E43" s="84">
        <v>3.4409999999999998</v>
      </c>
      <c r="F43" s="84">
        <v>3.4409999999999998</v>
      </c>
      <c r="G43" s="84">
        <v>16.425000000000001</v>
      </c>
      <c r="H43" s="85">
        <v>1.5829528158295279E-3</v>
      </c>
      <c r="I43" s="85">
        <v>0.20949771689497715</v>
      </c>
      <c r="J43" s="78">
        <v>0.21108066971080669</v>
      </c>
      <c r="K43" s="83">
        <v>59</v>
      </c>
      <c r="L43" s="84">
        <v>2.3E-2</v>
      </c>
      <c r="M43" s="84">
        <v>17.989000000000001</v>
      </c>
      <c r="N43" s="86">
        <v>0.68200000000000005</v>
      </c>
      <c r="O43" s="84">
        <v>0.68200000000000005</v>
      </c>
      <c r="P43" s="84">
        <v>17.966000000000001</v>
      </c>
      <c r="Q43" s="85">
        <v>1.2801959256373149E-3</v>
      </c>
      <c r="R43" s="85">
        <v>3.7960592229767338E-2</v>
      </c>
      <c r="S43" s="87">
        <v>3.9240788155404653E-2</v>
      </c>
      <c r="T43" s="83">
        <v>59</v>
      </c>
      <c r="U43" s="88">
        <v>2.4500000000000001E-2</v>
      </c>
      <c r="V43" s="88">
        <v>17.22</v>
      </c>
      <c r="W43" s="88">
        <v>2.0615000000000001</v>
      </c>
      <c r="X43" s="88">
        <v>2.0615000000000001</v>
      </c>
      <c r="Y43" s="88">
        <v>17.195500000000003</v>
      </c>
      <c r="Z43" s="29">
        <v>1.4315743707334215E-3</v>
      </c>
      <c r="AA43" s="29">
        <v>0.12372915456237224</v>
      </c>
      <c r="AB43" s="89">
        <v>0.12516072893310567</v>
      </c>
    </row>
    <row r="44" spans="2:28">
      <c r="B44" s="75">
        <v>60</v>
      </c>
      <c r="C44" s="76">
        <v>6.0000000000000001E-3</v>
      </c>
      <c r="D44" s="76">
        <v>16.986999999999998</v>
      </c>
      <c r="E44" s="76">
        <v>3.5169999999999999</v>
      </c>
      <c r="F44" s="76">
        <v>3.5169999999999999</v>
      </c>
      <c r="G44" s="76">
        <v>16.980999999999998</v>
      </c>
      <c r="H44" s="77">
        <v>3.5333608150285616E-4</v>
      </c>
      <c r="I44" s="77">
        <v>0.20711383310759085</v>
      </c>
      <c r="J44" s="78">
        <v>0.20746716918909372</v>
      </c>
      <c r="K44" s="75">
        <v>60</v>
      </c>
      <c r="L44" s="76">
        <v>5.0000000000000001E-3</v>
      </c>
      <c r="M44" s="76">
        <v>18.544</v>
      </c>
      <c r="N44" s="79">
        <v>0.68700000000000006</v>
      </c>
      <c r="O44" s="76">
        <v>0.68700000000000006</v>
      </c>
      <c r="P44" s="76">
        <v>18.539000000000001</v>
      </c>
      <c r="Q44" s="77">
        <v>2.6970170990884082E-4</v>
      </c>
      <c r="R44" s="77">
        <v>3.7057014941474731E-2</v>
      </c>
      <c r="S44" s="78">
        <v>3.7326716651383575E-2</v>
      </c>
      <c r="T44" s="75">
        <v>60</v>
      </c>
      <c r="U44" s="80">
        <v>5.4999999999999997E-3</v>
      </c>
      <c r="V44" s="80">
        <v>17.765499999999999</v>
      </c>
      <c r="W44" s="80">
        <v>2.1019999999999999</v>
      </c>
      <c r="X44" s="80">
        <v>2.1019999999999999</v>
      </c>
      <c r="Y44" s="80">
        <v>17.759999999999998</v>
      </c>
      <c r="Z44" s="81">
        <v>3.1151889570584846E-4</v>
      </c>
      <c r="AA44" s="81">
        <v>0.12208542402453279</v>
      </c>
      <c r="AB44" s="82">
        <v>0.12239694292023864</v>
      </c>
    </row>
    <row r="45" spans="2:28">
      <c r="B45" s="90">
        <v>61</v>
      </c>
      <c r="C45" s="91">
        <v>0</v>
      </c>
      <c r="D45" s="91">
        <v>17.553000000000001</v>
      </c>
      <c r="E45" s="91">
        <v>3.5979999999999999</v>
      </c>
      <c r="F45" s="91">
        <v>3.5979999999999999</v>
      </c>
      <c r="G45" s="91">
        <v>17.553000000000001</v>
      </c>
      <c r="H45" s="92">
        <v>0</v>
      </c>
      <c r="I45" s="92">
        <v>0.20497920583376059</v>
      </c>
      <c r="J45" s="93">
        <v>0.20497920583376059</v>
      </c>
      <c r="K45" s="90">
        <v>61</v>
      </c>
      <c r="L45" s="91">
        <v>0</v>
      </c>
      <c r="M45" s="91">
        <v>19.131</v>
      </c>
      <c r="N45" s="94">
        <v>0.69199999999999995</v>
      </c>
      <c r="O45" s="91">
        <v>0.69199999999999995</v>
      </c>
      <c r="P45" s="91">
        <v>19.131</v>
      </c>
      <c r="Q45" s="92">
        <v>0</v>
      </c>
      <c r="R45" s="92">
        <v>3.6171658564633315E-2</v>
      </c>
      <c r="S45" s="93">
        <v>3.6171658564633315E-2</v>
      </c>
      <c r="T45" s="90">
        <v>61</v>
      </c>
      <c r="U45" s="95">
        <v>0</v>
      </c>
      <c r="V45" s="95">
        <v>18.341999999999999</v>
      </c>
      <c r="W45" s="95">
        <v>2.145</v>
      </c>
      <c r="X45" s="95">
        <v>2.145</v>
      </c>
      <c r="Y45" s="95">
        <v>18.341999999999999</v>
      </c>
      <c r="Z45" s="96">
        <v>0</v>
      </c>
      <c r="AA45" s="96">
        <v>0.12057543219919695</v>
      </c>
      <c r="AB45" s="97">
        <v>0.12057543219919695</v>
      </c>
    </row>
    <row r="46" spans="2:28">
      <c r="B46" s="75">
        <v>62</v>
      </c>
      <c r="C46" s="76">
        <v>0</v>
      </c>
      <c r="D46" s="76">
        <v>17.187000000000001</v>
      </c>
      <c r="E46" s="76">
        <v>3.6219999999999999</v>
      </c>
      <c r="F46" s="76">
        <v>3.734</v>
      </c>
      <c r="G46" s="76">
        <v>17.187000000000001</v>
      </c>
      <c r="H46" s="77">
        <v>0</v>
      </c>
      <c r="I46" s="77">
        <v>0.21725722930121602</v>
      </c>
      <c r="J46" s="78">
        <v>0.21725722930121602</v>
      </c>
      <c r="K46" s="75">
        <v>62</v>
      </c>
      <c r="L46" s="76">
        <v>0</v>
      </c>
      <c r="M46" s="76">
        <v>18.765999999999998</v>
      </c>
      <c r="N46" s="79">
        <v>0.67600000000000005</v>
      </c>
      <c r="O46" s="76">
        <v>0.67600000000000005</v>
      </c>
      <c r="P46" s="76">
        <v>18.765999999999998</v>
      </c>
      <c r="Q46" s="77">
        <v>0</v>
      </c>
      <c r="R46" s="77">
        <v>3.6022594053074716E-2</v>
      </c>
      <c r="S46" s="78">
        <v>3.6022594053074716E-2</v>
      </c>
      <c r="T46" s="75">
        <v>62</v>
      </c>
      <c r="U46" s="80">
        <v>0</v>
      </c>
      <c r="V46" s="80">
        <v>17.976500000000001</v>
      </c>
      <c r="W46" s="80">
        <v>2.149</v>
      </c>
      <c r="X46" s="80">
        <v>2.2050000000000001</v>
      </c>
      <c r="Y46" s="80">
        <v>17.976500000000001</v>
      </c>
      <c r="Z46" s="81">
        <v>0</v>
      </c>
      <c r="AA46" s="81">
        <v>0.12663991167714536</v>
      </c>
      <c r="AB46" s="82">
        <v>0.12663991167714536</v>
      </c>
    </row>
    <row r="47" spans="2:28">
      <c r="B47" s="83">
        <v>63</v>
      </c>
      <c r="C47" s="84">
        <v>0</v>
      </c>
      <c r="D47" s="84">
        <v>16.815000000000001</v>
      </c>
      <c r="E47" s="84">
        <v>3.6419999999999999</v>
      </c>
      <c r="F47" s="84">
        <v>3.7530000000000001</v>
      </c>
      <c r="G47" s="84">
        <v>16.815000000000001</v>
      </c>
      <c r="H47" s="85">
        <v>0</v>
      </c>
      <c r="I47" s="85">
        <v>0.22319357716324709</v>
      </c>
      <c r="J47" s="78">
        <v>0.22319357716324709</v>
      </c>
      <c r="K47" s="83">
        <v>63</v>
      </c>
      <c r="L47" s="84">
        <v>0</v>
      </c>
      <c r="M47" s="84">
        <v>18.393000000000001</v>
      </c>
      <c r="N47" s="86">
        <v>0.65900000000000003</v>
      </c>
      <c r="O47" s="84">
        <v>0.65900000000000003</v>
      </c>
      <c r="P47" s="84">
        <v>18.393000000000001</v>
      </c>
      <c r="Q47" s="85">
        <v>0</v>
      </c>
      <c r="R47" s="85">
        <v>3.5828847931278204E-2</v>
      </c>
      <c r="S47" s="87">
        <v>3.5828847931278204E-2</v>
      </c>
      <c r="T47" s="83">
        <v>63</v>
      </c>
      <c r="U47" s="88">
        <v>0</v>
      </c>
      <c r="V47" s="88">
        <v>17.603999999999999</v>
      </c>
      <c r="W47" s="88">
        <v>2.1505000000000001</v>
      </c>
      <c r="X47" s="88">
        <v>2.206</v>
      </c>
      <c r="Y47" s="88">
        <v>17.603999999999999</v>
      </c>
      <c r="Z47" s="29">
        <v>0</v>
      </c>
      <c r="AA47" s="29">
        <v>0.12951121254726264</v>
      </c>
      <c r="AB47" s="89">
        <v>0.12951121254726264</v>
      </c>
    </row>
    <row r="48" spans="2:28">
      <c r="B48" s="75">
        <v>64</v>
      </c>
      <c r="C48" s="76">
        <v>0</v>
      </c>
      <c r="D48" s="76">
        <v>16.437999999999999</v>
      </c>
      <c r="E48" s="76">
        <v>3.6579999999999999</v>
      </c>
      <c r="F48" s="76">
        <v>3.7669999999999999</v>
      </c>
      <c r="G48" s="76">
        <v>16.437999999999999</v>
      </c>
      <c r="H48" s="77">
        <v>0</v>
      </c>
      <c r="I48" s="77">
        <v>0.22916413188952428</v>
      </c>
      <c r="J48" s="78">
        <v>0.22916413188952428</v>
      </c>
      <c r="K48" s="75">
        <v>64</v>
      </c>
      <c r="L48" s="76">
        <v>0</v>
      </c>
      <c r="M48" s="76">
        <v>18.010999999999999</v>
      </c>
      <c r="N48" s="79">
        <v>0.64100000000000001</v>
      </c>
      <c r="O48" s="76">
        <v>0.64100000000000001</v>
      </c>
      <c r="P48" s="76">
        <v>18.010999999999999</v>
      </c>
      <c r="Q48" s="77">
        <v>0</v>
      </c>
      <c r="R48" s="77">
        <v>3.5589362056521016E-2</v>
      </c>
      <c r="S48" s="78">
        <v>3.5589362056521016E-2</v>
      </c>
      <c r="T48" s="75">
        <v>64</v>
      </c>
      <c r="U48" s="80">
        <v>0</v>
      </c>
      <c r="V48" s="80">
        <v>17.224499999999999</v>
      </c>
      <c r="W48" s="80">
        <v>2.1494999999999997</v>
      </c>
      <c r="X48" s="80">
        <v>2.2039999999999997</v>
      </c>
      <c r="Y48" s="80">
        <v>17.224499999999999</v>
      </c>
      <c r="Z48" s="81">
        <v>0</v>
      </c>
      <c r="AA48" s="81">
        <v>0.13237674697302265</v>
      </c>
      <c r="AB48" s="82">
        <v>0.13237674697302265</v>
      </c>
    </row>
    <row r="49" spans="2:28">
      <c r="B49" s="83">
        <v>65</v>
      </c>
      <c r="C49" s="84">
        <v>0</v>
      </c>
      <c r="D49" s="84">
        <v>16.053000000000001</v>
      </c>
      <c r="E49" s="84">
        <v>3.6680000000000001</v>
      </c>
      <c r="F49" s="84">
        <v>3.7749999999999999</v>
      </c>
      <c r="G49" s="84">
        <v>16.053000000000001</v>
      </c>
      <c r="H49" s="85">
        <v>0</v>
      </c>
      <c r="I49" s="85">
        <v>0.23515853734504452</v>
      </c>
      <c r="J49" s="87">
        <v>0.23515853734504452</v>
      </c>
      <c r="K49" s="83">
        <v>65</v>
      </c>
      <c r="L49" s="84">
        <v>0</v>
      </c>
      <c r="M49" s="84">
        <v>17.619</v>
      </c>
      <c r="N49" s="86">
        <v>0.623</v>
      </c>
      <c r="O49" s="84">
        <v>0.623</v>
      </c>
      <c r="P49" s="84">
        <v>17.619</v>
      </c>
      <c r="Q49" s="85">
        <v>0</v>
      </c>
      <c r="R49" s="85">
        <v>3.5359555025824392E-2</v>
      </c>
      <c r="S49" s="87">
        <v>3.5359555025824392E-2</v>
      </c>
      <c r="T49" s="83">
        <v>65</v>
      </c>
      <c r="U49" s="88">
        <v>0</v>
      </c>
      <c r="V49" s="88">
        <v>16.835999999999999</v>
      </c>
      <c r="W49" s="88">
        <v>2.1455000000000002</v>
      </c>
      <c r="X49" s="88">
        <v>2.1989999999999998</v>
      </c>
      <c r="Y49" s="88">
        <v>16.835999999999999</v>
      </c>
      <c r="Z49" s="98">
        <v>0</v>
      </c>
      <c r="AA49" s="98">
        <v>0.13525904618543447</v>
      </c>
      <c r="AB49" s="99">
        <v>0.13525904618543447</v>
      </c>
    </row>
    <row r="50" spans="2:28">
      <c r="B50" s="75">
        <v>66</v>
      </c>
      <c r="C50" s="76"/>
      <c r="D50" s="76">
        <v>15.661</v>
      </c>
      <c r="E50" s="76">
        <v>3.6739999999999999</v>
      </c>
      <c r="F50" s="76">
        <v>3.778</v>
      </c>
      <c r="G50" s="76">
        <v>15.661</v>
      </c>
      <c r="H50" s="77">
        <v>0</v>
      </c>
      <c r="I50" s="77">
        <v>0.24123619181406042</v>
      </c>
      <c r="J50" s="78">
        <v>0.24123619181406042</v>
      </c>
      <c r="K50" s="75">
        <v>66</v>
      </c>
      <c r="L50" s="76">
        <v>0</v>
      </c>
      <c r="M50" s="76">
        <v>17.216999999999999</v>
      </c>
      <c r="N50" s="79">
        <v>0.60399999999999998</v>
      </c>
      <c r="O50" s="76">
        <v>0.60399999999999998</v>
      </c>
      <c r="P50" s="76">
        <v>17.216999999999999</v>
      </c>
      <c r="Q50" s="77">
        <v>0</v>
      </c>
      <c r="R50" s="77">
        <v>3.5081605390021489E-2</v>
      </c>
      <c r="S50" s="78">
        <v>3.5081605390021489E-2</v>
      </c>
      <c r="T50" s="75">
        <v>66</v>
      </c>
      <c r="U50" s="80">
        <v>0</v>
      </c>
      <c r="V50" s="80">
        <v>16.439</v>
      </c>
      <c r="W50" s="80">
        <v>2.1389999999999998</v>
      </c>
      <c r="X50" s="80">
        <v>2.1909999999999998</v>
      </c>
      <c r="Y50" s="80">
        <v>16.439</v>
      </c>
      <c r="Z50" s="81">
        <v>0</v>
      </c>
      <c r="AA50" s="81">
        <v>0.13815889860204095</v>
      </c>
      <c r="AB50" s="82">
        <v>0.13815889860204095</v>
      </c>
    </row>
    <row r="51" spans="2:28">
      <c r="B51" s="83">
        <v>67</v>
      </c>
      <c r="C51" s="84"/>
      <c r="D51" s="84">
        <v>15.260999999999999</v>
      </c>
      <c r="E51" s="84">
        <v>3.6779999999999999</v>
      </c>
      <c r="F51" s="84">
        <v>3.778</v>
      </c>
      <c r="G51" s="84">
        <v>15.260999999999999</v>
      </c>
      <c r="H51" s="85">
        <v>0</v>
      </c>
      <c r="I51" s="85">
        <v>0.24755913767118801</v>
      </c>
      <c r="J51" s="78">
        <v>0.24755913767118801</v>
      </c>
      <c r="K51" s="83">
        <v>67</v>
      </c>
      <c r="L51" s="84">
        <v>0</v>
      </c>
      <c r="M51" s="84">
        <v>16.803000000000001</v>
      </c>
      <c r="N51" s="86">
        <v>0.58599999999999997</v>
      </c>
      <c r="O51" s="84">
        <v>0.58599999999999997</v>
      </c>
      <c r="P51" s="84">
        <v>16.803000000000001</v>
      </c>
      <c r="Q51" s="85">
        <v>0</v>
      </c>
      <c r="R51" s="85">
        <v>3.4874724751532464E-2</v>
      </c>
      <c r="S51" s="87">
        <v>3.4874724751532464E-2</v>
      </c>
      <c r="T51" s="83">
        <v>67</v>
      </c>
      <c r="U51" s="88">
        <v>0</v>
      </c>
      <c r="V51" s="88">
        <v>16.032</v>
      </c>
      <c r="W51" s="88">
        <v>2.1320000000000001</v>
      </c>
      <c r="X51" s="88">
        <v>2.1819999999999999</v>
      </c>
      <c r="Y51" s="88">
        <v>16.032</v>
      </c>
      <c r="Z51" s="29">
        <v>0</v>
      </c>
      <c r="AA51" s="29">
        <v>0.14121693121136022</v>
      </c>
      <c r="AB51" s="89">
        <v>0.14121693121136022</v>
      </c>
    </row>
    <row r="52" spans="2:28">
      <c r="B52" s="75">
        <v>68</v>
      </c>
      <c r="C52" s="76"/>
      <c r="D52" s="76">
        <v>14.851000000000001</v>
      </c>
      <c r="E52" s="76">
        <v>3.68</v>
      </c>
      <c r="F52" s="76">
        <v>3.7770000000000001</v>
      </c>
      <c r="G52" s="76">
        <v>14.851000000000001</v>
      </c>
      <c r="H52" s="77">
        <v>0</v>
      </c>
      <c r="I52" s="77">
        <v>0.25432630799272776</v>
      </c>
      <c r="J52" s="78">
        <v>0.25432630799272776</v>
      </c>
      <c r="K52" s="75">
        <v>68</v>
      </c>
      <c r="L52" s="76">
        <v>0</v>
      </c>
      <c r="M52" s="76">
        <v>16.378</v>
      </c>
      <c r="N52" s="79">
        <v>0.56699999999999995</v>
      </c>
      <c r="O52" s="76">
        <v>0.56699999999999995</v>
      </c>
      <c r="P52" s="76">
        <v>16.378</v>
      </c>
      <c r="Q52" s="77">
        <v>0</v>
      </c>
      <c r="R52" s="77">
        <v>3.4619611674197089E-2</v>
      </c>
      <c r="S52" s="78">
        <v>3.4619611674197089E-2</v>
      </c>
      <c r="T52" s="75">
        <v>68</v>
      </c>
      <c r="U52" s="80">
        <v>0</v>
      </c>
      <c r="V52" s="80">
        <v>15.6145</v>
      </c>
      <c r="W52" s="80">
        <v>2.1234999999999999</v>
      </c>
      <c r="X52" s="80">
        <v>2.1720000000000002</v>
      </c>
      <c r="Y52" s="80">
        <v>15.6145</v>
      </c>
      <c r="Z52" s="81">
        <v>0</v>
      </c>
      <c r="AA52" s="81">
        <v>0.14447295983346242</v>
      </c>
      <c r="AB52" s="82">
        <v>0.14447295983346242</v>
      </c>
    </row>
    <row r="53" spans="2:28">
      <c r="B53" s="83">
        <v>69</v>
      </c>
      <c r="C53" s="84"/>
      <c r="D53" s="84">
        <v>14.432</v>
      </c>
      <c r="E53" s="84">
        <v>3.681</v>
      </c>
      <c r="F53" s="84">
        <v>3.7730000000000001</v>
      </c>
      <c r="G53" s="84">
        <v>14.432</v>
      </c>
      <c r="H53" s="85">
        <v>0</v>
      </c>
      <c r="I53" s="85">
        <v>0.26143292682926828</v>
      </c>
      <c r="J53" s="78">
        <v>0.26143292682926828</v>
      </c>
      <c r="K53" s="83">
        <v>69</v>
      </c>
      <c r="L53" s="84">
        <v>0</v>
      </c>
      <c r="M53" s="84">
        <v>15.94</v>
      </c>
      <c r="N53" s="86">
        <v>0.54900000000000004</v>
      </c>
      <c r="O53" s="84">
        <v>0.54900000000000004</v>
      </c>
      <c r="P53" s="84">
        <v>15.94</v>
      </c>
      <c r="Q53" s="85">
        <v>0</v>
      </c>
      <c r="R53" s="85">
        <v>3.4441656210790469E-2</v>
      </c>
      <c r="S53" s="87">
        <v>3.4441656210790469E-2</v>
      </c>
      <c r="T53" s="83">
        <v>69</v>
      </c>
      <c r="U53" s="88">
        <v>0</v>
      </c>
      <c r="V53" s="88">
        <v>15.186</v>
      </c>
      <c r="W53" s="88">
        <v>2.1150000000000002</v>
      </c>
      <c r="X53" s="88">
        <v>2.161</v>
      </c>
      <c r="Y53" s="88">
        <v>15.186</v>
      </c>
      <c r="Z53" s="29">
        <v>0</v>
      </c>
      <c r="AA53" s="29">
        <v>0.14793729152002938</v>
      </c>
      <c r="AB53" s="89">
        <v>0.14793729152002938</v>
      </c>
    </row>
    <row r="54" spans="2:28">
      <c r="B54" s="75">
        <v>70</v>
      </c>
      <c r="C54" s="76"/>
      <c r="D54" s="76">
        <v>14.002000000000001</v>
      </c>
      <c r="E54" s="76">
        <v>3.6789999999999998</v>
      </c>
      <c r="F54" s="76">
        <v>3.7669999999999999</v>
      </c>
      <c r="G54" s="76">
        <v>14.002000000000001</v>
      </c>
      <c r="H54" s="77">
        <v>0</v>
      </c>
      <c r="I54" s="77">
        <v>0.26903299528638763</v>
      </c>
      <c r="J54" s="78">
        <v>0.26903299528638763</v>
      </c>
      <c r="K54" s="75">
        <v>70</v>
      </c>
      <c r="L54" s="76">
        <v>0</v>
      </c>
      <c r="M54" s="76">
        <v>15.49</v>
      </c>
      <c r="N54" s="79">
        <v>0.53</v>
      </c>
      <c r="O54" s="76">
        <v>0.53</v>
      </c>
      <c r="P54" s="76">
        <v>15.49</v>
      </c>
      <c r="Q54" s="77">
        <v>0</v>
      </c>
      <c r="R54" s="77">
        <v>3.4215622982569402E-2</v>
      </c>
      <c r="S54" s="78">
        <v>3.4215622982569402E-2</v>
      </c>
      <c r="T54" s="75">
        <v>70</v>
      </c>
      <c r="U54" s="80">
        <v>0</v>
      </c>
      <c r="V54" s="80">
        <v>14.746</v>
      </c>
      <c r="W54" s="80">
        <v>2.1044999999999998</v>
      </c>
      <c r="X54" s="80">
        <v>2.1484999999999999</v>
      </c>
      <c r="Y54" s="80">
        <v>14.746</v>
      </c>
      <c r="Z54" s="81">
        <v>0</v>
      </c>
      <c r="AA54" s="81">
        <v>0.15162430913447852</v>
      </c>
      <c r="AB54" s="82">
        <v>0.15162430913447852</v>
      </c>
    </row>
    <row r="55" spans="2:28">
      <c r="B55" s="83">
        <v>71</v>
      </c>
      <c r="C55" s="84"/>
      <c r="D55" s="84">
        <v>13.561999999999999</v>
      </c>
      <c r="E55" s="84">
        <v>3.6749999999999998</v>
      </c>
      <c r="F55" s="84">
        <v>3.758</v>
      </c>
      <c r="G55" s="84">
        <v>13.561999999999999</v>
      </c>
      <c r="H55" s="85">
        <v>0</v>
      </c>
      <c r="I55" s="85">
        <v>0.277097773189795</v>
      </c>
      <c r="J55" s="78">
        <v>0.277097773189795</v>
      </c>
      <c r="K55" s="83">
        <v>71</v>
      </c>
      <c r="L55" s="84">
        <v>0</v>
      </c>
      <c r="M55" s="84">
        <v>15.026</v>
      </c>
      <c r="N55" s="86">
        <v>0.51</v>
      </c>
      <c r="O55" s="84">
        <v>0.51</v>
      </c>
      <c r="P55" s="84">
        <v>15.026</v>
      </c>
      <c r="Q55" s="85">
        <v>0</v>
      </c>
      <c r="R55" s="85">
        <v>3.3941168641022229E-2</v>
      </c>
      <c r="S55" s="87">
        <v>3.3941168641022229E-2</v>
      </c>
      <c r="T55" s="83">
        <v>71</v>
      </c>
      <c r="U55" s="88">
        <v>0</v>
      </c>
      <c r="V55" s="88">
        <v>14.294</v>
      </c>
      <c r="W55" s="88">
        <v>2.0924999999999998</v>
      </c>
      <c r="X55" s="88">
        <v>2.1339999999999999</v>
      </c>
      <c r="Y55" s="88">
        <v>14.294</v>
      </c>
      <c r="Z55" s="29">
        <v>0</v>
      </c>
      <c r="AA55" s="29">
        <v>0.15551947091540863</v>
      </c>
      <c r="AB55" s="89">
        <v>0.15551947091540863</v>
      </c>
    </row>
    <row r="56" spans="2:28">
      <c r="B56" s="75">
        <v>72</v>
      </c>
      <c r="C56" s="76"/>
      <c r="D56" s="76">
        <v>13.111000000000001</v>
      </c>
      <c r="E56" s="76">
        <v>3.669</v>
      </c>
      <c r="F56" s="76">
        <v>3.7469999999999999</v>
      </c>
      <c r="G56" s="76">
        <v>13.111000000000001</v>
      </c>
      <c r="H56" s="77">
        <v>0</v>
      </c>
      <c r="I56" s="77">
        <v>0.28579055754709781</v>
      </c>
      <c r="J56" s="78">
        <v>0.28579055754709781</v>
      </c>
      <c r="K56" s="75">
        <v>72</v>
      </c>
      <c r="L56" s="76">
        <v>0</v>
      </c>
      <c r="M56" s="76">
        <v>14.55</v>
      </c>
      <c r="N56" s="79">
        <v>0.49099999999999999</v>
      </c>
      <c r="O56" s="76">
        <v>0.49099999999999999</v>
      </c>
      <c r="P56" s="76">
        <v>14.55</v>
      </c>
      <c r="Q56" s="77">
        <v>0</v>
      </c>
      <c r="R56" s="77">
        <v>3.3745704467353949E-2</v>
      </c>
      <c r="S56" s="78">
        <v>3.3745704467353949E-2</v>
      </c>
      <c r="T56" s="75">
        <v>72</v>
      </c>
      <c r="U56" s="80">
        <v>0</v>
      </c>
      <c r="V56" s="80">
        <v>13.830500000000001</v>
      </c>
      <c r="W56" s="80">
        <v>2.08</v>
      </c>
      <c r="X56" s="80">
        <v>2.1189999999999998</v>
      </c>
      <c r="Y56" s="80">
        <v>13.830500000000001</v>
      </c>
      <c r="Z56" s="81">
        <v>0</v>
      </c>
      <c r="AA56" s="81">
        <v>0.15976813100722587</v>
      </c>
      <c r="AB56" s="82">
        <v>0.15976813100722587</v>
      </c>
    </row>
    <row r="57" spans="2:28">
      <c r="B57" s="83">
        <v>73</v>
      </c>
      <c r="C57" s="84"/>
      <c r="D57" s="84">
        <v>12.65</v>
      </c>
      <c r="E57" s="84">
        <v>3.6669999999999998</v>
      </c>
      <c r="F57" s="84">
        <v>3.7389999999999999</v>
      </c>
      <c r="G57" s="84">
        <v>12.65</v>
      </c>
      <c r="H57" s="85">
        <v>0</v>
      </c>
      <c r="I57" s="85">
        <v>0.29557312252964424</v>
      </c>
      <c r="J57" s="78">
        <v>0.29557312252964424</v>
      </c>
      <c r="K57" s="83">
        <v>73</v>
      </c>
      <c r="L57" s="84">
        <v>0</v>
      </c>
      <c r="M57" s="84">
        <v>14.061999999999999</v>
      </c>
      <c r="N57" s="86">
        <v>0.47199999999999998</v>
      </c>
      <c r="O57" s="84">
        <v>0.47199999999999998</v>
      </c>
      <c r="P57" s="84">
        <v>14.061999999999999</v>
      </c>
      <c r="Q57" s="85">
        <v>0</v>
      </c>
      <c r="R57" s="85">
        <v>3.3565637889347175E-2</v>
      </c>
      <c r="S57" s="87">
        <v>3.3565637889347175E-2</v>
      </c>
      <c r="T57" s="83">
        <v>73</v>
      </c>
      <c r="U57" s="88">
        <v>0</v>
      </c>
      <c r="V57" s="88">
        <v>13.356</v>
      </c>
      <c r="W57" s="88">
        <v>2.0694999999999997</v>
      </c>
      <c r="X57" s="88">
        <v>2.1055000000000001</v>
      </c>
      <c r="Y57" s="88">
        <v>13.356</v>
      </c>
      <c r="Z57" s="29">
        <v>0</v>
      </c>
      <c r="AA57" s="29">
        <v>0.16456938020949571</v>
      </c>
      <c r="AB57" s="89">
        <v>0.16456938020949571</v>
      </c>
    </row>
    <row r="58" spans="2:28">
      <c r="B58" s="75">
        <v>74</v>
      </c>
      <c r="C58" s="76"/>
      <c r="D58" s="76">
        <v>12.18</v>
      </c>
      <c r="E58" s="76">
        <v>3.6619999999999999</v>
      </c>
      <c r="F58" s="76">
        <v>3.7290000000000001</v>
      </c>
      <c r="G58" s="76">
        <v>12.18</v>
      </c>
      <c r="H58" s="77">
        <v>0</v>
      </c>
      <c r="I58" s="77">
        <v>0.3061576354679803</v>
      </c>
      <c r="J58" s="78">
        <v>0.3061576354679803</v>
      </c>
      <c r="K58" s="75">
        <v>74</v>
      </c>
      <c r="L58" s="76">
        <v>0</v>
      </c>
      <c r="M58" s="76">
        <v>13.561999999999999</v>
      </c>
      <c r="N58" s="79">
        <v>0.45300000000000001</v>
      </c>
      <c r="O58" s="76">
        <v>0.45300000000000001</v>
      </c>
      <c r="P58" s="76">
        <v>13.561999999999999</v>
      </c>
      <c r="Q58" s="77">
        <v>0</v>
      </c>
      <c r="R58" s="77">
        <v>3.3402153074767738E-2</v>
      </c>
      <c r="S58" s="78">
        <v>3.3402153074767738E-2</v>
      </c>
      <c r="T58" s="75">
        <v>74</v>
      </c>
      <c r="U58" s="80">
        <v>0</v>
      </c>
      <c r="V58" s="80">
        <v>12.870999999999999</v>
      </c>
      <c r="W58" s="80">
        <v>2.0575000000000001</v>
      </c>
      <c r="X58" s="80">
        <v>2.0910000000000002</v>
      </c>
      <c r="Y58" s="80">
        <v>12.870999999999999</v>
      </c>
      <c r="Z58" s="81">
        <v>0</v>
      </c>
      <c r="AA58" s="81">
        <v>0.16977989427137402</v>
      </c>
      <c r="AB58" s="82">
        <v>0.16977989427137402</v>
      </c>
    </row>
    <row r="59" spans="2:28">
      <c r="B59" s="83">
        <v>75</v>
      </c>
      <c r="C59" s="84"/>
      <c r="D59" s="84">
        <v>11.701000000000001</v>
      </c>
      <c r="E59" s="84">
        <v>3.6549999999999998</v>
      </c>
      <c r="F59" s="84">
        <v>3.7160000000000002</v>
      </c>
      <c r="G59" s="84">
        <v>11.701000000000001</v>
      </c>
      <c r="H59" s="85">
        <v>0</v>
      </c>
      <c r="I59" s="85">
        <v>0.31757969404324415</v>
      </c>
      <c r="J59" s="78">
        <v>0.31757969404324415</v>
      </c>
      <c r="K59" s="83">
        <v>75</v>
      </c>
      <c r="L59" s="84">
        <v>0</v>
      </c>
      <c r="M59" s="84">
        <v>13.051</v>
      </c>
      <c r="N59" s="86">
        <v>0.434</v>
      </c>
      <c r="O59" s="84">
        <v>0.434</v>
      </c>
      <c r="P59" s="84">
        <v>13.051</v>
      </c>
      <c r="Q59" s="85">
        <v>0</v>
      </c>
      <c r="R59" s="85">
        <v>3.3254156769596199E-2</v>
      </c>
      <c r="S59" s="87">
        <v>3.3254156769596199E-2</v>
      </c>
      <c r="T59" s="83">
        <v>75</v>
      </c>
      <c r="U59" s="88">
        <v>0</v>
      </c>
      <c r="V59" s="88">
        <v>12.376000000000001</v>
      </c>
      <c r="W59" s="88">
        <v>2.0444999999999998</v>
      </c>
      <c r="X59" s="88">
        <v>2.0750000000000002</v>
      </c>
      <c r="Y59" s="88">
        <v>12.376000000000001</v>
      </c>
      <c r="Z59" s="29">
        <v>0</v>
      </c>
      <c r="AA59" s="29">
        <v>0.17541692540642018</v>
      </c>
      <c r="AB59" s="89">
        <v>0.17541692540642018</v>
      </c>
    </row>
    <row r="60" spans="2:28">
      <c r="B60" s="75">
        <v>76</v>
      </c>
      <c r="C60" s="76"/>
      <c r="D60" s="76">
        <v>11.215</v>
      </c>
      <c r="E60" s="76">
        <v>3.6429999999999998</v>
      </c>
      <c r="F60" s="76">
        <v>3.698</v>
      </c>
      <c r="G60" s="76">
        <v>11.215</v>
      </c>
      <c r="H60" s="77">
        <v>0</v>
      </c>
      <c r="I60" s="77">
        <v>0.32973695942933573</v>
      </c>
      <c r="J60" s="78">
        <v>0.32973695942933573</v>
      </c>
      <c r="K60" s="75">
        <v>76</v>
      </c>
      <c r="L60" s="76">
        <v>0</v>
      </c>
      <c r="M60" s="76">
        <v>12.531000000000001</v>
      </c>
      <c r="N60" s="79">
        <v>0.41399999999999998</v>
      </c>
      <c r="O60" s="76">
        <v>0.41399999999999998</v>
      </c>
      <c r="P60" s="76">
        <v>12.531000000000001</v>
      </c>
      <c r="Q60" s="77">
        <v>0</v>
      </c>
      <c r="R60" s="77">
        <v>3.3038065597318644E-2</v>
      </c>
      <c r="S60" s="78">
        <v>3.3038065597318644E-2</v>
      </c>
      <c r="T60" s="75">
        <v>76</v>
      </c>
      <c r="U60" s="80">
        <v>0</v>
      </c>
      <c r="V60" s="80">
        <v>11.873000000000001</v>
      </c>
      <c r="W60" s="80">
        <v>2.0284999999999997</v>
      </c>
      <c r="X60" s="80">
        <v>2.056</v>
      </c>
      <c r="Y60" s="80">
        <v>11.873000000000001</v>
      </c>
      <c r="Z60" s="81">
        <v>0</v>
      </c>
      <c r="AA60" s="81">
        <v>0.18138751251332719</v>
      </c>
      <c r="AB60" s="82">
        <v>0.18138751251332719</v>
      </c>
    </row>
    <row r="61" spans="2:28">
      <c r="B61" s="83">
        <v>77</v>
      </c>
      <c r="C61" s="84"/>
      <c r="D61" s="84">
        <v>10.724</v>
      </c>
      <c r="E61" s="84">
        <v>3.625</v>
      </c>
      <c r="F61" s="84">
        <v>3.6749999999999998</v>
      </c>
      <c r="G61" s="84">
        <v>10.724</v>
      </c>
      <c r="H61" s="85">
        <v>0</v>
      </c>
      <c r="I61" s="85">
        <v>0.34268929503916445</v>
      </c>
      <c r="J61" s="78">
        <v>0.34268929503916445</v>
      </c>
      <c r="K61" s="83">
        <v>77</v>
      </c>
      <c r="L61" s="84">
        <v>0</v>
      </c>
      <c r="M61" s="84">
        <v>12.003</v>
      </c>
      <c r="N61" s="86">
        <v>0.39300000000000002</v>
      </c>
      <c r="O61" s="84">
        <v>0.39300000000000002</v>
      </c>
      <c r="P61" s="84">
        <v>12.003</v>
      </c>
      <c r="Q61" s="85">
        <v>0</v>
      </c>
      <c r="R61" s="85">
        <v>3.2741814546363407E-2</v>
      </c>
      <c r="S61" s="87">
        <v>3.2741814546363407E-2</v>
      </c>
      <c r="T61" s="83">
        <v>77</v>
      </c>
      <c r="U61" s="88">
        <v>0</v>
      </c>
      <c r="V61" s="88">
        <v>11.3635</v>
      </c>
      <c r="W61" s="88">
        <v>2.0089999999999999</v>
      </c>
      <c r="X61" s="88">
        <v>2.0339999999999998</v>
      </c>
      <c r="Y61" s="88">
        <v>11.3635</v>
      </c>
      <c r="Z61" s="29">
        <v>0</v>
      </c>
      <c r="AA61" s="29">
        <v>0.18771555479276392</v>
      </c>
      <c r="AB61" s="89">
        <v>0.18771555479276392</v>
      </c>
    </row>
    <row r="62" spans="2:28">
      <c r="B62" s="75">
        <v>78</v>
      </c>
      <c r="C62" s="76"/>
      <c r="D62" s="76">
        <v>10.228999999999999</v>
      </c>
      <c r="E62" s="76">
        <v>3.601</v>
      </c>
      <c r="F62" s="76">
        <v>3.645</v>
      </c>
      <c r="G62" s="76">
        <v>10.228999999999999</v>
      </c>
      <c r="H62" s="77">
        <v>0</v>
      </c>
      <c r="I62" s="77">
        <v>0.35633981816404342</v>
      </c>
      <c r="J62" s="78">
        <v>0.35633981816404342</v>
      </c>
      <c r="K62" s="75">
        <v>78</v>
      </c>
      <c r="L62" s="76">
        <v>0</v>
      </c>
      <c r="M62" s="76">
        <v>11.47</v>
      </c>
      <c r="N62" s="79">
        <v>0.371</v>
      </c>
      <c r="O62" s="76">
        <v>0.371</v>
      </c>
      <c r="P62" s="76">
        <v>11.47</v>
      </c>
      <c r="Q62" s="77">
        <v>0</v>
      </c>
      <c r="R62" s="77">
        <v>3.2345248474280733E-2</v>
      </c>
      <c r="S62" s="78">
        <v>3.2345248474280733E-2</v>
      </c>
      <c r="T62" s="75">
        <v>78</v>
      </c>
      <c r="U62" s="80">
        <v>0</v>
      </c>
      <c r="V62" s="80">
        <v>10.849499999999999</v>
      </c>
      <c r="W62" s="80">
        <v>1.986</v>
      </c>
      <c r="X62" s="80">
        <v>2.008</v>
      </c>
      <c r="Y62" s="80">
        <v>10.849499999999999</v>
      </c>
      <c r="Z62" s="81">
        <v>0</v>
      </c>
      <c r="AA62" s="81">
        <v>0.19434253331916207</v>
      </c>
      <c r="AB62" s="82">
        <v>0.19434253331916207</v>
      </c>
    </row>
    <row r="63" spans="2:28">
      <c r="B63" s="83">
        <v>79</v>
      </c>
      <c r="C63" s="84"/>
      <c r="D63" s="84">
        <v>9.7330000000000005</v>
      </c>
      <c r="E63" s="84">
        <v>3.57</v>
      </c>
      <c r="F63" s="84">
        <v>3.6070000000000002</v>
      </c>
      <c r="G63" s="84">
        <v>9.7330000000000005</v>
      </c>
      <c r="H63" s="85">
        <v>0</v>
      </c>
      <c r="I63" s="85">
        <v>0.37059488338641733</v>
      </c>
      <c r="J63" s="78">
        <v>0.37059488338641733</v>
      </c>
      <c r="K63" s="83">
        <v>79</v>
      </c>
      <c r="L63" s="84">
        <v>0</v>
      </c>
      <c r="M63" s="84">
        <v>10.932</v>
      </c>
      <c r="N63" s="86">
        <v>0.34899999999999998</v>
      </c>
      <c r="O63" s="84">
        <v>0.34899999999999998</v>
      </c>
      <c r="P63" s="84">
        <v>10.932</v>
      </c>
      <c r="Q63" s="85">
        <v>0</v>
      </c>
      <c r="R63" s="85">
        <v>3.1924624954262709E-2</v>
      </c>
      <c r="S63" s="87">
        <v>3.1924624954262709E-2</v>
      </c>
      <c r="T63" s="83">
        <v>79</v>
      </c>
      <c r="U63" s="88">
        <v>0</v>
      </c>
      <c r="V63" s="88">
        <v>10.3325</v>
      </c>
      <c r="W63" s="88">
        <v>1.9594999999999998</v>
      </c>
      <c r="X63" s="88">
        <v>1.9780000000000002</v>
      </c>
      <c r="Y63" s="88">
        <v>10.3325</v>
      </c>
      <c r="Z63" s="29">
        <v>0</v>
      </c>
      <c r="AA63" s="29">
        <v>0.20125975417034003</v>
      </c>
      <c r="AB63" s="89">
        <v>0.20125975417034003</v>
      </c>
    </row>
    <row r="64" spans="2:28">
      <c r="B64" s="75">
        <v>80</v>
      </c>
      <c r="C64" s="76"/>
      <c r="D64" s="76">
        <v>9.2379999999999995</v>
      </c>
      <c r="E64" s="76">
        <v>3.5310000000000001</v>
      </c>
      <c r="F64" s="76">
        <v>3.5619999999999998</v>
      </c>
      <c r="G64" s="76">
        <v>9.2379999999999995</v>
      </c>
      <c r="H64" s="77">
        <v>0</v>
      </c>
      <c r="I64" s="77">
        <v>0.38558129465252217</v>
      </c>
      <c r="J64" s="78">
        <v>0.38558129465252217</v>
      </c>
      <c r="K64" s="75">
        <v>80</v>
      </c>
      <c r="L64" s="76">
        <v>0</v>
      </c>
      <c r="M64" s="76">
        <v>10.391999999999999</v>
      </c>
      <c r="N64" s="79">
        <v>0.32700000000000001</v>
      </c>
      <c r="O64" s="76">
        <v>0.32700000000000001</v>
      </c>
      <c r="P64" s="76">
        <v>10.391999999999999</v>
      </c>
      <c r="Q64" s="77">
        <v>0</v>
      </c>
      <c r="R64" s="77">
        <v>3.1466512702078522E-2</v>
      </c>
      <c r="S64" s="78">
        <v>3.1466512702078522E-2</v>
      </c>
      <c r="T64" s="75">
        <v>80</v>
      </c>
      <c r="U64" s="80">
        <v>0</v>
      </c>
      <c r="V64" s="80">
        <v>9.8149999999999995</v>
      </c>
      <c r="W64" s="80">
        <v>1.929</v>
      </c>
      <c r="X64" s="80">
        <v>1.9444999999999999</v>
      </c>
      <c r="Y64" s="80">
        <v>9.8149999999999995</v>
      </c>
      <c r="Z64" s="81">
        <v>0</v>
      </c>
      <c r="AA64" s="81">
        <v>0.20852390367730034</v>
      </c>
      <c r="AB64" s="82">
        <v>0.20852390367730034</v>
      </c>
    </row>
    <row r="65" spans="2:28">
      <c r="B65" s="83">
        <v>81</v>
      </c>
      <c r="C65" s="84"/>
      <c r="D65" s="84">
        <v>8.7469999999999999</v>
      </c>
      <c r="E65" s="84">
        <v>3.4820000000000002</v>
      </c>
      <c r="F65" s="84">
        <v>3.5070000000000001</v>
      </c>
      <c r="G65" s="84">
        <v>8.7469999999999999</v>
      </c>
      <c r="H65" s="85">
        <v>0</v>
      </c>
      <c r="I65" s="85">
        <v>0.40093746427346522</v>
      </c>
      <c r="J65" s="78">
        <v>0.40093746427346522</v>
      </c>
      <c r="K65" s="83">
        <v>81</v>
      </c>
      <c r="L65" s="84">
        <v>0</v>
      </c>
      <c r="M65" s="84">
        <v>9.8529999999999998</v>
      </c>
      <c r="N65" s="86">
        <v>0.30399999999999999</v>
      </c>
      <c r="O65" s="84">
        <v>0.30399999999999999</v>
      </c>
      <c r="P65" s="84">
        <v>9.8529999999999998</v>
      </c>
      <c r="Q65" s="85">
        <v>0</v>
      </c>
      <c r="R65" s="85">
        <v>3.0853547143002133E-2</v>
      </c>
      <c r="S65" s="87">
        <v>3.0853547143002133E-2</v>
      </c>
      <c r="T65" s="83">
        <v>81</v>
      </c>
      <c r="U65" s="88">
        <v>0</v>
      </c>
      <c r="V65" s="88">
        <v>9.3000000000000007</v>
      </c>
      <c r="W65" s="88">
        <v>1.893</v>
      </c>
      <c r="X65" s="88">
        <v>1.9055</v>
      </c>
      <c r="Y65" s="88">
        <v>9.3000000000000007</v>
      </c>
      <c r="Z65" s="29">
        <v>0</v>
      </c>
      <c r="AA65" s="29">
        <v>0.21589550570823368</v>
      </c>
      <c r="AB65" s="89">
        <v>0.21589550570823368</v>
      </c>
    </row>
    <row r="66" spans="2:28">
      <c r="B66" s="75">
        <v>82</v>
      </c>
      <c r="C66" s="76"/>
      <c r="D66" s="76">
        <v>8.2629999999999999</v>
      </c>
      <c r="E66" s="76">
        <v>3.4089999999999998</v>
      </c>
      <c r="F66" s="76">
        <v>3.4260000000000002</v>
      </c>
      <c r="G66" s="76">
        <v>8.2629999999999999</v>
      </c>
      <c r="H66" s="77">
        <v>0</v>
      </c>
      <c r="I66" s="77">
        <v>0.41461938763161083</v>
      </c>
      <c r="J66" s="78">
        <v>0.41461938763161083</v>
      </c>
      <c r="K66" s="75">
        <v>82</v>
      </c>
      <c r="L66" s="76">
        <v>0</v>
      </c>
      <c r="M66" s="76">
        <v>9.3179999999999996</v>
      </c>
      <c r="N66" s="79">
        <v>0.28100000000000003</v>
      </c>
      <c r="O66" s="76">
        <v>0.28100000000000003</v>
      </c>
      <c r="P66" s="76">
        <v>9.3179999999999996</v>
      </c>
      <c r="Q66" s="77">
        <v>0</v>
      </c>
      <c r="R66" s="77">
        <v>3.0156685984116766E-2</v>
      </c>
      <c r="S66" s="78">
        <v>3.0156685984116766E-2</v>
      </c>
      <c r="T66" s="75">
        <v>82</v>
      </c>
      <c r="U66" s="80">
        <v>0</v>
      </c>
      <c r="V66" s="80">
        <v>8.7904999999999998</v>
      </c>
      <c r="W66" s="80">
        <v>1.845</v>
      </c>
      <c r="X66" s="80">
        <v>1.8535000000000001</v>
      </c>
      <c r="Y66" s="80">
        <v>8.7904999999999998</v>
      </c>
      <c r="Z66" s="81">
        <v>0</v>
      </c>
      <c r="AA66" s="81">
        <v>0.22238803680786379</v>
      </c>
      <c r="AB66" s="82">
        <v>0.22238803680786379</v>
      </c>
    </row>
    <row r="67" spans="2:28">
      <c r="B67" s="83">
        <v>83</v>
      </c>
      <c r="C67" s="84"/>
      <c r="D67" s="84">
        <v>7.7880000000000003</v>
      </c>
      <c r="E67" s="84">
        <v>3.3220000000000001</v>
      </c>
      <c r="F67" s="84">
        <v>3.3330000000000002</v>
      </c>
      <c r="G67" s="84">
        <v>7.7880000000000003</v>
      </c>
      <c r="H67" s="85">
        <v>0</v>
      </c>
      <c r="I67" s="85">
        <v>0.42796610169491528</v>
      </c>
      <c r="J67" s="78">
        <v>0.42796610169491528</v>
      </c>
      <c r="K67" s="83">
        <v>83</v>
      </c>
      <c r="L67" s="84">
        <v>0</v>
      </c>
      <c r="M67" s="84">
        <v>8.7889999999999997</v>
      </c>
      <c r="N67" s="86">
        <v>0.25800000000000001</v>
      </c>
      <c r="O67" s="84">
        <v>0.25800000000000001</v>
      </c>
      <c r="P67" s="84">
        <v>8.7889999999999997</v>
      </c>
      <c r="Q67" s="85">
        <v>0</v>
      </c>
      <c r="R67" s="85">
        <v>2.9354875412447381E-2</v>
      </c>
      <c r="S67" s="87">
        <v>2.9354875412447381E-2</v>
      </c>
      <c r="T67" s="83">
        <v>83</v>
      </c>
      <c r="U67" s="88">
        <v>0</v>
      </c>
      <c r="V67" s="88">
        <v>8.2884999999999991</v>
      </c>
      <c r="W67" s="88">
        <v>1.79</v>
      </c>
      <c r="X67" s="88">
        <v>1.7955000000000001</v>
      </c>
      <c r="Y67" s="88">
        <v>8.2884999999999991</v>
      </c>
      <c r="Z67" s="29">
        <v>0</v>
      </c>
      <c r="AA67" s="29">
        <v>0.22866048855368132</v>
      </c>
      <c r="AB67" s="89">
        <v>0.22866048855368132</v>
      </c>
    </row>
    <row r="68" spans="2:28">
      <c r="B68" s="75">
        <v>84</v>
      </c>
      <c r="C68" s="76"/>
      <c r="D68" s="76">
        <v>7.327</v>
      </c>
      <c r="E68" s="76">
        <v>3.2229999999999999</v>
      </c>
      <c r="F68" s="76">
        <v>3.2280000000000002</v>
      </c>
      <c r="G68" s="76">
        <v>7.327</v>
      </c>
      <c r="H68" s="77">
        <v>0</v>
      </c>
      <c r="I68" s="77">
        <v>0.44056230380783407</v>
      </c>
      <c r="J68" s="78">
        <v>0.44056230380783407</v>
      </c>
      <c r="K68" s="75">
        <v>84</v>
      </c>
      <c r="L68" s="76">
        <v>0</v>
      </c>
      <c r="M68" s="76">
        <v>8.2710000000000008</v>
      </c>
      <c r="N68" s="79">
        <v>0.23499999999999999</v>
      </c>
      <c r="O68" s="76">
        <v>0.23499999999999999</v>
      </c>
      <c r="P68" s="76">
        <v>8.2710000000000008</v>
      </c>
      <c r="Q68" s="77">
        <v>0</v>
      </c>
      <c r="R68" s="77">
        <v>2.8412525692177483E-2</v>
      </c>
      <c r="S68" s="78">
        <v>2.8412525692177483E-2</v>
      </c>
      <c r="T68" s="75">
        <v>84</v>
      </c>
      <c r="U68" s="80">
        <v>0</v>
      </c>
      <c r="V68" s="80">
        <v>7.7990000000000004</v>
      </c>
      <c r="W68" s="80">
        <v>1.7289999999999999</v>
      </c>
      <c r="X68" s="80">
        <v>1.7315</v>
      </c>
      <c r="Y68" s="80">
        <v>7.7990000000000004</v>
      </c>
      <c r="Z68" s="81">
        <v>0</v>
      </c>
      <c r="AA68" s="81">
        <v>0.23448741475000578</v>
      </c>
      <c r="AB68" s="82">
        <v>0.23448741475000578</v>
      </c>
    </row>
    <row r="69" spans="2:28">
      <c r="B69" s="83">
        <v>85</v>
      </c>
      <c r="C69" s="84"/>
      <c r="D69" s="84">
        <v>6.883</v>
      </c>
      <c r="E69" s="84">
        <v>3.1139999999999999</v>
      </c>
      <c r="F69" s="84">
        <v>3.1139999999999999</v>
      </c>
      <c r="G69" s="84">
        <v>6.883</v>
      </c>
      <c r="H69" s="85">
        <v>0</v>
      </c>
      <c r="I69" s="85">
        <v>0.45241900334156615</v>
      </c>
      <c r="J69" s="78">
        <v>0.45241900334156615</v>
      </c>
      <c r="K69" s="83">
        <v>85</v>
      </c>
      <c r="L69" s="84">
        <v>0</v>
      </c>
      <c r="M69" s="84">
        <v>7.7679999999999998</v>
      </c>
      <c r="N69" s="86">
        <v>0.21</v>
      </c>
      <c r="O69" s="84">
        <v>0.21</v>
      </c>
      <c r="P69" s="84">
        <v>7.7679999999999998</v>
      </c>
      <c r="Q69" s="85">
        <v>0</v>
      </c>
      <c r="R69" s="85">
        <v>2.7033985581874358E-2</v>
      </c>
      <c r="S69" s="87">
        <v>2.7033985581874358E-2</v>
      </c>
      <c r="T69" s="83">
        <v>85</v>
      </c>
      <c r="U69" s="88">
        <v>0</v>
      </c>
      <c r="V69" s="88">
        <v>7.3254999999999999</v>
      </c>
      <c r="W69" s="88">
        <v>1.6619999999999999</v>
      </c>
      <c r="X69" s="88">
        <v>1.6619999999999999</v>
      </c>
      <c r="Y69" s="88">
        <v>7.3254999999999999</v>
      </c>
      <c r="Z69" s="29">
        <v>0</v>
      </c>
      <c r="AA69" s="29">
        <v>0.23972649446172026</v>
      </c>
      <c r="AB69" s="89">
        <v>0.23972649446172026</v>
      </c>
    </row>
    <row r="70" spans="2:28">
      <c r="B70" s="75">
        <v>86</v>
      </c>
      <c r="C70" s="76"/>
      <c r="D70" s="76">
        <v>6.4619999999999997</v>
      </c>
      <c r="E70" s="76">
        <v>2.9969999999999999</v>
      </c>
      <c r="F70" s="76">
        <v>2.992</v>
      </c>
      <c r="G70" s="76">
        <v>6.4619999999999997</v>
      </c>
      <c r="H70" s="77">
        <v>0</v>
      </c>
      <c r="I70" s="77">
        <v>0.46301454658000618</v>
      </c>
      <c r="J70" s="78">
        <v>0.46301454658000618</v>
      </c>
      <c r="K70" s="75">
        <v>86</v>
      </c>
      <c r="L70" s="76">
        <v>0</v>
      </c>
      <c r="M70" s="76">
        <v>7.2850000000000001</v>
      </c>
      <c r="N70" s="79">
        <v>0.186</v>
      </c>
      <c r="O70" s="76">
        <v>0.186</v>
      </c>
      <c r="P70" s="76">
        <v>7.2850000000000001</v>
      </c>
      <c r="Q70" s="77">
        <v>0</v>
      </c>
      <c r="R70" s="77">
        <v>2.553191489361702E-2</v>
      </c>
      <c r="S70" s="78">
        <v>2.553191489361702E-2</v>
      </c>
      <c r="T70" s="75">
        <v>86</v>
      </c>
      <c r="U70" s="80">
        <v>0</v>
      </c>
      <c r="V70" s="80">
        <v>6.8734999999999999</v>
      </c>
      <c r="W70" s="80">
        <v>1.5914999999999999</v>
      </c>
      <c r="X70" s="80">
        <v>1.589</v>
      </c>
      <c r="Y70" s="80">
        <v>6.8734999999999999</v>
      </c>
      <c r="Z70" s="81">
        <v>0</v>
      </c>
      <c r="AA70" s="81">
        <v>0.24427323073681159</v>
      </c>
      <c r="AB70" s="82">
        <v>0.24427323073681159</v>
      </c>
    </row>
    <row r="71" spans="2:28">
      <c r="B71" s="83">
        <v>87</v>
      </c>
      <c r="C71" s="84"/>
      <c r="D71" s="84">
        <v>6.069</v>
      </c>
      <c r="E71" s="84">
        <v>2.8730000000000002</v>
      </c>
      <c r="F71" s="84">
        <v>2.8650000000000002</v>
      </c>
      <c r="G71" s="84">
        <v>6.069</v>
      </c>
      <c r="H71" s="85">
        <v>0</v>
      </c>
      <c r="I71" s="85">
        <v>0.47207118141374199</v>
      </c>
      <c r="J71" s="78">
        <v>0.47207118141374199</v>
      </c>
      <c r="K71" s="83">
        <v>87</v>
      </c>
      <c r="L71" s="84">
        <v>0</v>
      </c>
      <c r="M71" s="84">
        <v>6.8259999999999996</v>
      </c>
      <c r="N71" s="86">
        <v>0.16200000000000001</v>
      </c>
      <c r="O71" s="84">
        <v>0.16200000000000001</v>
      </c>
      <c r="P71" s="84">
        <v>6.8259999999999996</v>
      </c>
      <c r="Q71" s="85">
        <v>0</v>
      </c>
      <c r="R71" s="85">
        <v>2.3732786404922358E-2</v>
      </c>
      <c r="S71" s="87">
        <v>2.3732786404922358E-2</v>
      </c>
      <c r="T71" s="83">
        <v>87</v>
      </c>
      <c r="U71" s="88">
        <v>0</v>
      </c>
      <c r="V71" s="88">
        <v>6.4474999999999998</v>
      </c>
      <c r="W71" s="88">
        <v>1.5175000000000001</v>
      </c>
      <c r="X71" s="88">
        <v>1.5135000000000001</v>
      </c>
      <c r="Y71" s="88">
        <v>6.4474999999999998</v>
      </c>
      <c r="Z71" s="29">
        <v>0</v>
      </c>
      <c r="AA71" s="29">
        <v>0.24790198390933219</v>
      </c>
      <c r="AB71" s="89">
        <v>0.24790198390933219</v>
      </c>
    </row>
    <row r="72" spans="2:28">
      <c r="B72" s="75">
        <v>88</v>
      </c>
      <c r="C72" s="76"/>
      <c r="D72" s="76">
        <v>5.7119999999999997</v>
      </c>
      <c r="E72" s="76">
        <v>2.7149999999999999</v>
      </c>
      <c r="F72" s="76">
        <v>2.7050000000000001</v>
      </c>
      <c r="G72" s="76">
        <v>5.7119999999999997</v>
      </c>
      <c r="H72" s="77">
        <v>0</v>
      </c>
      <c r="I72" s="77">
        <v>0.47356442577030816</v>
      </c>
      <c r="J72" s="78">
        <v>0.47356442577030816</v>
      </c>
      <c r="K72" s="75">
        <v>88</v>
      </c>
      <c r="L72" s="76">
        <v>0</v>
      </c>
      <c r="M72" s="76">
        <v>6.3979999999999997</v>
      </c>
      <c r="N72" s="79">
        <v>0.14000000000000001</v>
      </c>
      <c r="O72" s="76">
        <v>0.14000000000000001</v>
      </c>
      <c r="P72" s="76">
        <v>6.3979999999999997</v>
      </c>
      <c r="Q72" s="77">
        <v>0</v>
      </c>
      <c r="R72" s="77">
        <v>2.1881838074398252E-2</v>
      </c>
      <c r="S72" s="78">
        <v>2.1881838074398252E-2</v>
      </c>
      <c r="T72" s="75">
        <v>88</v>
      </c>
      <c r="U72" s="80">
        <v>0</v>
      </c>
      <c r="V72" s="80">
        <v>6.0549999999999997</v>
      </c>
      <c r="W72" s="80">
        <v>1.4275</v>
      </c>
      <c r="X72" s="80">
        <v>1.4225000000000001</v>
      </c>
      <c r="Y72" s="80">
        <v>6.0549999999999997</v>
      </c>
      <c r="Z72" s="81">
        <v>0</v>
      </c>
      <c r="AA72" s="81">
        <v>0.24772313192235321</v>
      </c>
      <c r="AB72" s="82">
        <v>0.24772313192235321</v>
      </c>
    </row>
    <row r="73" spans="2:28">
      <c r="B73" s="83">
        <v>89</v>
      </c>
      <c r="C73" s="84"/>
      <c r="D73" s="84">
        <v>5.3979999999999997</v>
      </c>
      <c r="E73" s="84">
        <v>2.5489999999999999</v>
      </c>
      <c r="F73" s="84">
        <v>2.5379999999999998</v>
      </c>
      <c r="G73" s="84">
        <v>5.3979999999999997</v>
      </c>
      <c r="H73" s="85">
        <v>0</v>
      </c>
      <c r="I73" s="85">
        <v>0.47017413856984069</v>
      </c>
      <c r="J73" s="78">
        <v>0.47017413856984069</v>
      </c>
      <c r="K73" s="83">
        <v>89</v>
      </c>
      <c r="L73" s="84">
        <v>0</v>
      </c>
      <c r="M73" s="84">
        <v>6.0069999999999997</v>
      </c>
      <c r="N73" s="86">
        <v>0.11700000000000001</v>
      </c>
      <c r="O73" s="84">
        <v>0.11700000000000001</v>
      </c>
      <c r="P73" s="84">
        <v>6.0069999999999997</v>
      </c>
      <c r="Q73" s="85">
        <v>0</v>
      </c>
      <c r="R73" s="85">
        <v>1.9477276510737475E-2</v>
      </c>
      <c r="S73" s="87">
        <v>1.9477276510737475E-2</v>
      </c>
      <c r="T73" s="83">
        <v>89</v>
      </c>
      <c r="U73" s="88">
        <v>0</v>
      </c>
      <c r="V73" s="88">
        <v>5.7024999999999997</v>
      </c>
      <c r="W73" s="88">
        <v>1.333</v>
      </c>
      <c r="X73" s="88">
        <v>1.3274999999999999</v>
      </c>
      <c r="Y73" s="88">
        <v>5.7024999999999997</v>
      </c>
      <c r="Z73" s="29">
        <v>0</v>
      </c>
      <c r="AA73" s="29">
        <v>0.24482570754028909</v>
      </c>
      <c r="AB73" s="89">
        <v>0.24482570754028909</v>
      </c>
    </row>
    <row r="74" spans="2:28">
      <c r="B74" s="75">
        <v>90</v>
      </c>
      <c r="C74" s="76"/>
      <c r="D74" s="76">
        <v>5.1150000000000002</v>
      </c>
      <c r="E74" s="76">
        <v>2.387</v>
      </c>
      <c r="F74" s="76">
        <v>2.3759999999999999</v>
      </c>
      <c r="G74" s="76">
        <v>5.1150000000000002</v>
      </c>
      <c r="H74" s="77">
        <v>0</v>
      </c>
      <c r="I74" s="77">
        <v>0.46451612903225803</v>
      </c>
      <c r="J74" s="78">
        <v>0.46451612903225803</v>
      </c>
      <c r="K74" s="75">
        <v>90</v>
      </c>
      <c r="L74" s="76">
        <v>0</v>
      </c>
      <c r="M74" s="76">
        <v>5.6550000000000002</v>
      </c>
      <c r="N74" s="79">
        <v>9.7000000000000003E-2</v>
      </c>
      <c r="O74" s="76">
        <v>9.7000000000000003E-2</v>
      </c>
      <c r="P74" s="76">
        <v>5.6550000000000002</v>
      </c>
      <c r="Q74" s="77">
        <v>0</v>
      </c>
      <c r="R74" s="77">
        <v>1.7152961980548186E-2</v>
      </c>
      <c r="S74" s="78">
        <v>1.7152961980548186E-2</v>
      </c>
      <c r="T74" s="75">
        <v>90</v>
      </c>
      <c r="U74" s="80">
        <v>0</v>
      </c>
      <c r="V74" s="80">
        <v>5.3849999999999998</v>
      </c>
      <c r="W74" s="80">
        <v>1.242</v>
      </c>
      <c r="X74" s="80">
        <v>1.2364999999999999</v>
      </c>
      <c r="Y74" s="80">
        <v>5.3849999999999998</v>
      </c>
      <c r="Z74" s="81">
        <v>0</v>
      </c>
      <c r="AA74" s="81">
        <v>0.2408345455064031</v>
      </c>
      <c r="AB74" s="82">
        <v>0.2408345455064031</v>
      </c>
    </row>
    <row r="75" spans="2:28">
      <c r="B75" s="83">
        <v>91</v>
      </c>
      <c r="C75" s="84"/>
      <c r="D75" s="84">
        <v>4.8499999999999996</v>
      </c>
      <c r="E75" s="84">
        <v>2.2040000000000002</v>
      </c>
      <c r="F75" s="84">
        <v>2.1920000000000002</v>
      </c>
      <c r="G75" s="84">
        <v>4.8499999999999996</v>
      </c>
      <c r="H75" s="85">
        <v>0</v>
      </c>
      <c r="I75" s="85">
        <v>0.45195876288659803</v>
      </c>
      <c r="J75" s="78">
        <v>0.45195876288659803</v>
      </c>
      <c r="K75" s="83">
        <v>91</v>
      </c>
      <c r="L75" s="84">
        <v>0</v>
      </c>
      <c r="M75" s="84">
        <v>5.3319999999999999</v>
      </c>
      <c r="N75" s="86">
        <v>0.08</v>
      </c>
      <c r="O75" s="84">
        <v>0.08</v>
      </c>
      <c r="P75" s="84">
        <v>5.3319999999999999</v>
      </c>
      <c r="Q75" s="85">
        <v>0</v>
      </c>
      <c r="R75" s="85">
        <v>1.5003750937734435E-2</v>
      </c>
      <c r="S75" s="87">
        <v>1.5003750937734435E-2</v>
      </c>
      <c r="T75" s="83">
        <v>91</v>
      </c>
      <c r="U75" s="88">
        <v>0</v>
      </c>
      <c r="V75" s="88">
        <v>5.0909999999999993</v>
      </c>
      <c r="W75" s="88">
        <v>1.1420000000000001</v>
      </c>
      <c r="X75" s="88">
        <v>1.1360000000000001</v>
      </c>
      <c r="Y75" s="88">
        <v>5.0909999999999993</v>
      </c>
      <c r="Z75" s="29">
        <v>0</v>
      </c>
      <c r="AA75" s="29">
        <v>0.23348125691216623</v>
      </c>
      <c r="AB75" s="89">
        <v>0.23348125691216623</v>
      </c>
    </row>
    <row r="76" spans="2:28">
      <c r="B76" s="75">
        <v>92</v>
      </c>
      <c r="C76" s="76"/>
      <c r="D76" s="76">
        <v>4.6040000000000001</v>
      </c>
      <c r="E76" s="76">
        <v>2.0350000000000001</v>
      </c>
      <c r="F76" s="76">
        <v>2.024</v>
      </c>
      <c r="G76" s="76">
        <v>4.6040000000000001</v>
      </c>
      <c r="H76" s="77">
        <v>0</v>
      </c>
      <c r="I76" s="77">
        <v>0.43961772371850566</v>
      </c>
      <c r="J76" s="78">
        <v>0.43961772371850566</v>
      </c>
      <c r="K76" s="75">
        <v>92</v>
      </c>
      <c r="L76" s="76">
        <v>0</v>
      </c>
      <c r="M76" s="76">
        <v>5.0289999999999999</v>
      </c>
      <c r="N76" s="79">
        <v>6.5000000000000002E-2</v>
      </c>
      <c r="O76" s="76">
        <v>6.5000000000000002E-2</v>
      </c>
      <c r="P76" s="76">
        <v>5.0289999999999999</v>
      </c>
      <c r="Q76" s="77">
        <v>0</v>
      </c>
      <c r="R76" s="77">
        <v>1.2925034798170611E-2</v>
      </c>
      <c r="S76" s="78">
        <v>1.2925034798170611E-2</v>
      </c>
      <c r="T76" s="75">
        <v>92</v>
      </c>
      <c r="U76" s="80">
        <v>0</v>
      </c>
      <c r="V76" s="80">
        <v>4.8164999999999996</v>
      </c>
      <c r="W76" s="80">
        <v>1.05</v>
      </c>
      <c r="X76" s="80">
        <v>1.0445</v>
      </c>
      <c r="Y76" s="80">
        <v>4.8164999999999996</v>
      </c>
      <c r="Z76" s="81">
        <v>0</v>
      </c>
      <c r="AA76" s="81">
        <v>0.22627137925833812</v>
      </c>
      <c r="AB76" s="82">
        <v>0.22627137925833812</v>
      </c>
    </row>
    <row r="77" spans="2:28">
      <c r="B77" s="83">
        <v>93</v>
      </c>
      <c r="C77" s="84"/>
      <c r="D77" s="84">
        <v>4.3760000000000003</v>
      </c>
      <c r="E77" s="84">
        <v>1.85</v>
      </c>
      <c r="F77" s="84">
        <v>1.839</v>
      </c>
      <c r="G77" s="84">
        <v>4.3760000000000003</v>
      </c>
      <c r="H77" s="85">
        <v>0</v>
      </c>
      <c r="I77" s="85">
        <v>0.42024680073126136</v>
      </c>
      <c r="J77" s="78">
        <v>0.42024680073126136</v>
      </c>
      <c r="K77" s="83">
        <v>93</v>
      </c>
      <c r="L77" s="84">
        <v>0</v>
      </c>
      <c r="M77" s="84">
        <v>4.7469999999999999</v>
      </c>
      <c r="N77" s="86">
        <v>5.2999999999999999E-2</v>
      </c>
      <c r="O77" s="84">
        <v>5.2999999999999999E-2</v>
      </c>
      <c r="P77" s="84">
        <v>4.7469999999999999</v>
      </c>
      <c r="Q77" s="85">
        <v>0</v>
      </c>
      <c r="R77" s="85">
        <v>1.1164946281862228E-2</v>
      </c>
      <c r="S77" s="87">
        <v>1.1164946281862228E-2</v>
      </c>
      <c r="T77" s="83">
        <v>93</v>
      </c>
      <c r="U77" s="88">
        <v>0</v>
      </c>
      <c r="V77" s="88">
        <v>4.5615000000000006</v>
      </c>
      <c r="W77" s="88">
        <v>0.95150000000000001</v>
      </c>
      <c r="X77" s="88">
        <v>0.94599999999999995</v>
      </c>
      <c r="Y77" s="88">
        <v>4.5615000000000006</v>
      </c>
      <c r="Z77" s="29">
        <v>0</v>
      </c>
      <c r="AA77" s="29">
        <v>0.21570587350656178</v>
      </c>
      <c r="AB77" s="89">
        <v>0.21570587350656178</v>
      </c>
    </row>
    <row r="78" spans="2:28">
      <c r="B78" s="75">
        <v>94</v>
      </c>
      <c r="C78" s="76"/>
      <c r="D78" s="76">
        <v>4.1660000000000004</v>
      </c>
      <c r="E78" s="76">
        <v>1.6830000000000001</v>
      </c>
      <c r="F78" s="76">
        <v>1.6739999999999999</v>
      </c>
      <c r="G78" s="76">
        <v>4.1660000000000004</v>
      </c>
      <c r="H78" s="77">
        <v>0</v>
      </c>
      <c r="I78" s="77">
        <v>0.40182429188670182</v>
      </c>
      <c r="J78" s="78">
        <v>0.40182429188670182</v>
      </c>
      <c r="K78" s="75">
        <v>94</v>
      </c>
      <c r="L78" s="76">
        <v>0</v>
      </c>
      <c r="M78" s="76">
        <v>4.4850000000000003</v>
      </c>
      <c r="N78" s="79">
        <v>4.2000000000000003E-2</v>
      </c>
      <c r="O78" s="76">
        <v>4.2000000000000003E-2</v>
      </c>
      <c r="P78" s="76">
        <v>4.4850000000000003</v>
      </c>
      <c r="Q78" s="77">
        <v>0</v>
      </c>
      <c r="R78" s="77">
        <v>9.3645484949832769E-3</v>
      </c>
      <c r="S78" s="78">
        <v>9.3645484949832769E-3</v>
      </c>
      <c r="T78" s="75">
        <v>94</v>
      </c>
      <c r="U78" s="80">
        <v>0</v>
      </c>
      <c r="V78" s="80">
        <v>4.3254999999999999</v>
      </c>
      <c r="W78" s="80">
        <v>0.86250000000000004</v>
      </c>
      <c r="X78" s="80">
        <v>0.85799999999999998</v>
      </c>
      <c r="Y78" s="80">
        <v>4.3254999999999999</v>
      </c>
      <c r="Z78" s="81">
        <v>0</v>
      </c>
      <c r="AA78" s="81">
        <v>0.20559442019084256</v>
      </c>
      <c r="AB78" s="82">
        <v>0.20559442019084256</v>
      </c>
    </row>
    <row r="79" spans="2:28">
      <c r="B79" s="83">
        <v>95</v>
      </c>
      <c r="C79" s="84"/>
      <c r="D79" s="84">
        <v>3.9740000000000002</v>
      </c>
      <c r="E79" s="84">
        <v>1.5349999999999999</v>
      </c>
      <c r="F79" s="84">
        <v>1.528</v>
      </c>
      <c r="G79" s="84">
        <v>3.9740000000000002</v>
      </c>
      <c r="H79" s="85">
        <v>0</v>
      </c>
      <c r="I79" s="85">
        <v>0.38449924509310518</v>
      </c>
      <c r="J79" s="78">
        <v>0.38449924509310518</v>
      </c>
      <c r="K79" s="83">
        <v>95</v>
      </c>
      <c r="L79" s="84">
        <v>0</v>
      </c>
      <c r="M79" s="84">
        <v>4.2450000000000001</v>
      </c>
      <c r="N79" s="86">
        <v>3.4000000000000002E-2</v>
      </c>
      <c r="O79" s="84">
        <v>3.4000000000000002E-2</v>
      </c>
      <c r="P79" s="84">
        <v>4.2450000000000001</v>
      </c>
      <c r="Q79" s="85">
        <v>0</v>
      </c>
      <c r="R79" s="85">
        <v>8.0094228504122497E-3</v>
      </c>
      <c r="S79" s="87">
        <v>8.0094228504122497E-3</v>
      </c>
      <c r="T79" s="83">
        <v>95</v>
      </c>
      <c r="U79" s="88">
        <v>0</v>
      </c>
      <c r="V79" s="88">
        <v>4.1095000000000006</v>
      </c>
      <c r="W79" s="88">
        <v>0.78449999999999998</v>
      </c>
      <c r="X79" s="88">
        <v>0.78100000000000003</v>
      </c>
      <c r="Y79" s="88">
        <v>4.1095000000000006</v>
      </c>
      <c r="Z79" s="29">
        <v>0</v>
      </c>
      <c r="AA79" s="29">
        <v>0.1962543339717587</v>
      </c>
      <c r="AB79" s="89">
        <v>0.1962543339717587</v>
      </c>
    </row>
    <row r="80" spans="2:28">
      <c r="B80" s="75">
        <v>96</v>
      </c>
      <c r="C80" s="76"/>
      <c r="D80" s="76">
        <v>3.798</v>
      </c>
      <c r="E80" s="76">
        <v>1.371</v>
      </c>
      <c r="F80" s="76">
        <v>1.3640000000000001</v>
      </c>
      <c r="G80" s="76">
        <v>3.798</v>
      </c>
      <c r="H80" s="77">
        <v>0</v>
      </c>
      <c r="I80" s="77">
        <v>0.35913638757240657</v>
      </c>
      <c r="J80" s="78">
        <v>0.35913638757240657</v>
      </c>
      <c r="K80" s="75">
        <v>96</v>
      </c>
      <c r="L80" s="76">
        <v>0</v>
      </c>
      <c r="M80" s="76">
        <v>4.024</v>
      </c>
      <c r="N80" s="79">
        <v>2.7E-2</v>
      </c>
      <c r="O80" s="76">
        <v>2.7E-2</v>
      </c>
      <c r="P80" s="76">
        <v>4.024</v>
      </c>
      <c r="Q80" s="77">
        <v>0</v>
      </c>
      <c r="R80" s="77">
        <v>6.7097415506958248E-3</v>
      </c>
      <c r="S80" s="78">
        <v>6.7097415506958248E-3</v>
      </c>
      <c r="T80" s="75">
        <v>96</v>
      </c>
      <c r="U80" s="80">
        <v>0</v>
      </c>
      <c r="V80" s="80">
        <v>3.911</v>
      </c>
      <c r="W80" s="80">
        <v>0.69899999999999995</v>
      </c>
      <c r="X80" s="80">
        <v>0.69550000000000001</v>
      </c>
      <c r="Y80" s="80">
        <v>3.911</v>
      </c>
      <c r="Z80" s="81">
        <v>0</v>
      </c>
      <c r="AA80" s="81">
        <v>0.18292306456155119</v>
      </c>
      <c r="AB80" s="82">
        <v>0.18292306456155119</v>
      </c>
    </row>
    <row r="81" spans="2:28">
      <c r="B81" s="83">
        <v>97</v>
      </c>
      <c r="C81" s="84"/>
      <c r="D81" s="84">
        <v>3.6389999999999998</v>
      </c>
      <c r="E81" s="84">
        <v>1.216</v>
      </c>
      <c r="F81" s="84">
        <v>1.2110000000000001</v>
      </c>
      <c r="G81" s="84">
        <v>3.6389999999999998</v>
      </c>
      <c r="H81" s="85">
        <v>0</v>
      </c>
      <c r="I81" s="85">
        <v>0.33278373179444909</v>
      </c>
      <c r="J81" s="78">
        <v>0.33278373179444909</v>
      </c>
      <c r="K81" s="83">
        <v>97</v>
      </c>
      <c r="L81" s="84">
        <v>0</v>
      </c>
      <c r="M81" s="84">
        <v>3.8239999999999998</v>
      </c>
      <c r="N81" s="86">
        <v>2.1000000000000001E-2</v>
      </c>
      <c r="O81" s="84">
        <v>2.1000000000000001E-2</v>
      </c>
      <c r="P81" s="84">
        <v>3.8239999999999998</v>
      </c>
      <c r="Q81" s="85">
        <v>0</v>
      </c>
      <c r="R81" s="85">
        <v>5.4916317991631804E-3</v>
      </c>
      <c r="S81" s="87">
        <v>5.4916317991631804E-3</v>
      </c>
      <c r="T81" s="83">
        <v>97</v>
      </c>
      <c r="U81" s="88">
        <v>0</v>
      </c>
      <c r="V81" s="88">
        <v>3.7314999999999996</v>
      </c>
      <c r="W81" s="88">
        <v>0.61849999999999994</v>
      </c>
      <c r="X81" s="88">
        <v>0.61599999999999999</v>
      </c>
      <c r="Y81" s="88">
        <v>3.7314999999999996</v>
      </c>
      <c r="Z81" s="29">
        <v>0</v>
      </c>
      <c r="AA81" s="29">
        <v>0.16913768179680613</v>
      </c>
      <c r="AB81" s="89">
        <v>0.16913768179680613</v>
      </c>
    </row>
    <row r="82" spans="2:28">
      <c r="B82" s="75">
        <v>98</v>
      </c>
      <c r="C82" s="76"/>
      <c r="D82" s="76">
        <v>3.4950000000000001</v>
      </c>
      <c r="E82" s="76">
        <v>1.0409999999999999</v>
      </c>
      <c r="F82" s="76">
        <v>1.038</v>
      </c>
      <c r="G82" s="76">
        <v>3.4950000000000001</v>
      </c>
      <c r="H82" s="77">
        <v>0</v>
      </c>
      <c r="I82" s="77">
        <v>0.29699570815450643</v>
      </c>
      <c r="J82" s="78">
        <v>0.29699570815450643</v>
      </c>
      <c r="K82" s="75">
        <v>98</v>
      </c>
      <c r="L82" s="76">
        <v>0</v>
      </c>
      <c r="M82" s="76">
        <v>3.6429999999999998</v>
      </c>
      <c r="N82" s="79">
        <v>1.7000000000000001E-2</v>
      </c>
      <c r="O82" s="76">
        <v>1.7000000000000001E-2</v>
      </c>
      <c r="P82" s="76">
        <v>3.6429999999999998</v>
      </c>
      <c r="Q82" s="77">
        <v>0</v>
      </c>
      <c r="R82" s="77">
        <v>4.6664836673071652E-3</v>
      </c>
      <c r="S82" s="78">
        <v>4.6664836673071652E-3</v>
      </c>
      <c r="T82" s="75">
        <v>98</v>
      </c>
      <c r="U82" s="80">
        <v>0</v>
      </c>
      <c r="V82" s="80">
        <v>3.569</v>
      </c>
      <c r="W82" s="80">
        <v>0.52899999999999991</v>
      </c>
      <c r="X82" s="80">
        <v>0.52749999999999997</v>
      </c>
      <c r="Y82" s="80">
        <v>3.569</v>
      </c>
      <c r="Z82" s="81">
        <v>0</v>
      </c>
      <c r="AA82" s="81">
        <v>0.15083109591090679</v>
      </c>
      <c r="AB82" s="82">
        <v>0.15083109591090679</v>
      </c>
    </row>
    <row r="83" spans="2:28">
      <c r="B83" s="83">
        <v>99</v>
      </c>
      <c r="C83" s="84"/>
      <c r="D83" s="84">
        <v>3.3639999999999999</v>
      </c>
      <c r="E83" s="84">
        <v>0.84799999999999998</v>
      </c>
      <c r="F83" s="84">
        <v>0.84499999999999997</v>
      </c>
      <c r="G83" s="84">
        <v>3.3639999999999999</v>
      </c>
      <c r="H83" s="85">
        <v>0</v>
      </c>
      <c r="I83" s="85">
        <v>0.25118906064209273</v>
      </c>
      <c r="J83" s="78">
        <v>0.25118906064209273</v>
      </c>
      <c r="K83" s="83">
        <v>99</v>
      </c>
      <c r="L83" s="84">
        <v>0</v>
      </c>
      <c r="M83" s="84">
        <v>3.48</v>
      </c>
      <c r="N83" s="86">
        <v>1.2999999999999999E-2</v>
      </c>
      <c r="O83" s="84">
        <v>1.2999999999999999E-2</v>
      </c>
      <c r="P83" s="84">
        <v>3.48</v>
      </c>
      <c r="Q83" s="85">
        <v>0</v>
      </c>
      <c r="R83" s="85">
        <v>3.7356321839080459E-3</v>
      </c>
      <c r="S83" s="87">
        <v>3.7356321839080459E-3</v>
      </c>
      <c r="T83" s="83">
        <v>99</v>
      </c>
      <c r="U83" s="88">
        <v>0</v>
      </c>
      <c r="V83" s="88">
        <v>3.4219999999999997</v>
      </c>
      <c r="W83" s="88">
        <v>0.43049999999999999</v>
      </c>
      <c r="X83" s="88">
        <v>0.42899999999999999</v>
      </c>
      <c r="Y83" s="88">
        <v>3.4219999999999997</v>
      </c>
      <c r="Z83" s="29">
        <v>0</v>
      </c>
      <c r="AA83" s="29">
        <v>0.12746234641300039</v>
      </c>
      <c r="AB83" s="89">
        <v>0.12746234641300039</v>
      </c>
    </row>
    <row r="84" spans="2:28" ht="15.75" thickBot="1">
      <c r="B84" s="100">
        <v>100</v>
      </c>
      <c r="C84" s="101"/>
      <c r="D84" s="101">
        <v>3.2450000000000001</v>
      </c>
      <c r="E84" s="101">
        <v>0.67200000000000004</v>
      </c>
      <c r="F84" s="101">
        <v>0.67</v>
      </c>
      <c r="G84" s="101">
        <v>3.2450000000000001</v>
      </c>
      <c r="H84" s="102">
        <v>0</v>
      </c>
      <c r="I84" s="102">
        <v>0.20647149460708783</v>
      </c>
      <c r="J84" s="78">
        <v>0.20647149460708783</v>
      </c>
      <c r="K84" s="100">
        <v>100</v>
      </c>
      <c r="L84" s="101">
        <v>0</v>
      </c>
      <c r="M84" s="101">
        <v>3.335</v>
      </c>
      <c r="N84" s="103">
        <v>0.01</v>
      </c>
      <c r="O84" s="101">
        <v>0.01</v>
      </c>
      <c r="P84" s="101">
        <v>3.335</v>
      </c>
      <c r="Q84" s="102">
        <v>0</v>
      </c>
      <c r="R84" s="102">
        <v>2.9985007496251873E-3</v>
      </c>
      <c r="S84" s="104">
        <v>2.9985007496251873E-3</v>
      </c>
      <c r="T84" s="100">
        <v>100</v>
      </c>
      <c r="U84" s="105">
        <v>0</v>
      </c>
      <c r="V84" s="105">
        <v>3.29</v>
      </c>
      <c r="W84" s="105">
        <v>0.34100000000000003</v>
      </c>
      <c r="X84" s="105">
        <v>0.34</v>
      </c>
      <c r="Y84" s="105">
        <v>3.29</v>
      </c>
      <c r="Z84" s="106">
        <v>0</v>
      </c>
      <c r="AA84" s="106">
        <v>0.10473499767835651</v>
      </c>
      <c r="AB84" s="107">
        <v>0.10473499767835651</v>
      </c>
    </row>
  </sheetData>
  <mergeCells count="4">
    <mergeCell ref="B2:B3"/>
    <mergeCell ref="H2:J2"/>
    <mergeCell ref="Q2:S2"/>
    <mergeCell ref="Z2:AB2"/>
  </mergeCell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70A6-E47A-4EF2-BF7B-4B4049B1175C}">
  <sheetPr codeName="Tabelle42"/>
  <dimension ref="A2:AB84"/>
  <sheetViews>
    <sheetView topLeftCell="B1" workbookViewId="0">
      <selection activeCell="B4" sqref="B4:AB84"/>
    </sheetView>
  </sheetViews>
  <sheetFormatPr baseColWidth="10" defaultColWidth="12.7109375" defaultRowHeight="15"/>
  <cols>
    <col min="1" max="1" width="24" hidden="1" customWidth="1"/>
    <col min="2" max="2" width="7" customWidth="1"/>
    <col min="3" max="3" width="11.5703125" customWidth="1"/>
    <col min="4" max="4" width="12.5703125" customWidth="1"/>
    <col min="5" max="6" width="10.42578125" customWidth="1"/>
    <col min="7" max="7" width="12.5703125" customWidth="1"/>
    <col min="8" max="9" width="11" customWidth="1"/>
    <col min="10" max="10" width="11" style="26" customWidth="1"/>
    <col min="11" max="11" width="7" customWidth="1"/>
    <col min="12" max="16" width="12.5703125" customWidth="1"/>
    <col min="17" max="18" width="11" customWidth="1"/>
    <col min="19" max="19" width="11" style="26" customWidth="1"/>
    <col min="20" max="20" width="7" customWidth="1"/>
    <col min="25" max="25" width="12.5703125" customWidth="1"/>
    <col min="26" max="27" width="11" customWidth="1"/>
    <col min="28" max="28" width="11" style="26" customWidth="1"/>
    <col min="29" max="29" width="13.28515625" bestFit="1" customWidth="1"/>
  </cols>
  <sheetData>
    <row r="2" spans="1:28" s="56" customFormat="1" ht="72" customHeight="1">
      <c r="A2" s="56" t="s">
        <v>3414</v>
      </c>
      <c r="B2" s="810" t="s">
        <v>2780</v>
      </c>
      <c r="C2" s="58" t="s">
        <v>3390</v>
      </c>
      <c r="D2" s="58" t="s">
        <v>3391</v>
      </c>
      <c r="E2" s="58" t="s">
        <v>3392</v>
      </c>
      <c r="F2" s="58" t="s">
        <v>3393</v>
      </c>
      <c r="G2" s="58" t="s">
        <v>3394</v>
      </c>
      <c r="H2" s="812" t="s">
        <v>3395</v>
      </c>
      <c r="I2" s="812"/>
      <c r="J2" s="813"/>
      <c r="K2" s="59"/>
      <c r="L2" s="60" t="s">
        <v>3390</v>
      </c>
      <c r="M2" s="60" t="s">
        <v>3391</v>
      </c>
      <c r="N2" s="60" t="s">
        <v>3392</v>
      </c>
      <c r="O2" s="60" t="s">
        <v>3393</v>
      </c>
      <c r="P2" s="60" t="str">
        <f>+G2</f>
        <v>Anwartschafts-barwert
Altersrente</v>
      </c>
      <c r="Q2" s="814" t="s">
        <v>3396</v>
      </c>
      <c r="R2" s="814"/>
      <c r="S2" s="815"/>
      <c r="T2" s="61"/>
      <c r="U2" s="62" t="s">
        <v>3390</v>
      </c>
      <c r="V2" s="62" t="s">
        <v>3391</v>
      </c>
      <c r="W2" s="62" t="s">
        <v>3392</v>
      </c>
      <c r="X2" s="62" t="s">
        <v>3393</v>
      </c>
      <c r="Y2" s="62" t="str">
        <f>+G2</f>
        <v>Anwartschafts-barwert
Altersrente</v>
      </c>
      <c r="Z2" s="816" t="s">
        <v>3396</v>
      </c>
      <c r="AA2" s="816"/>
      <c r="AB2" s="817"/>
    </row>
    <row r="3" spans="1:28" s="74" customFormat="1" ht="13.5">
      <c r="A3" s="63">
        <v>43111</v>
      </c>
      <c r="B3" s="811"/>
      <c r="C3" s="65" t="s">
        <v>3407</v>
      </c>
      <c r="D3" s="65" t="s">
        <v>3408</v>
      </c>
      <c r="E3" s="65" t="s">
        <v>3409</v>
      </c>
      <c r="F3" s="65"/>
      <c r="G3" s="65"/>
      <c r="H3" s="66" t="s">
        <v>3400</v>
      </c>
      <c r="I3" s="66" t="s">
        <v>3401</v>
      </c>
      <c r="J3" s="67" t="s">
        <v>3402</v>
      </c>
      <c r="K3" s="68" t="s">
        <v>2780</v>
      </c>
      <c r="L3" s="69" t="s">
        <v>3411</v>
      </c>
      <c r="M3" s="69" t="s">
        <v>3412</v>
      </c>
      <c r="N3" s="69" t="s">
        <v>3405</v>
      </c>
      <c r="O3" s="69"/>
      <c r="P3" s="69"/>
      <c r="Q3" s="69" t="s">
        <v>3400</v>
      </c>
      <c r="R3" s="69" t="s">
        <v>3401</v>
      </c>
      <c r="S3" s="70" t="s">
        <v>3402</v>
      </c>
      <c r="T3" s="71" t="s">
        <v>2780</v>
      </c>
      <c r="U3" s="72" t="s">
        <v>3411</v>
      </c>
      <c r="V3" s="72" t="s">
        <v>3412</v>
      </c>
      <c r="W3" s="72" t="s">
        <v>3405</v>
      </c>
      <c r="X3" s="72" t="s">
        <v>3413</v>
      </c>
      <c r="Y3" s="72"/>
      <c r="Z3" s="72" t="s">
        <v>3400</v>
      </c>
      <c r="AA3" s="72" t="s">
        <v>3401</v>
      </c>
      <c r="AB3" s="73" t="s">
        <v>3402</v>
      </c>
    </row>
    <row r="4" spans="1:28">
      <c r="B4" s="75">
        <v>20</v>
      </c>
      <c r="C4" s="76">
        <v>0.26800000000000002</v>
      </c>
      <c r="D4" s="76">
        <v>5.1230000000000002</v>
      </c>
      <c r="E4" s="76">
        <v>0.53100000000000003</v>
      </c>
      <c r="F4" s="76">
        <v>0.53100000000000003</v>
      </c>
      <c r="G4" s="76">
        <v>4.8550000000000004</v>
      </c>
      <c r="H4" s="77">
        <v>5.5200823892893922E-2</v>
      </c>
      <c r="I4" s="77">
        <v>0.1093717816683831</v>
      </c>
      <c r="J4" s="78">
        <v>0.16457260556127701</v>
      </c>
      <c r="K4" s="75">
        <v>20</v>
      </c>
      <c r="L4" s="76">
        <v>0.26800000000000002</v>
      </c>
      <c r="M4" s="76">
        <v>5.8920000000000003</v>
      </c>
      <c r="N4" s="79">
        <v>0.13200000000000001</v>
      </c>
      <c r="O4" s="76">
        <v>0.13200000000000001</v>
      </c>
      <c r="P4" s="76">
        <v>5.6240000000000006</v>
      </c>
      <c r="Q4" s="77">
        <v>4.7652916073968703E-2</v>
      </c>
      <c r="R4" s="77">
        <v>2.3470839260312942E-2</v>
      </c>
      <c r="S4" s="78">
        <v>7.1123755334281641E-2</v>
      </c>
      <c r="T4" s="75">
        <v>20</v>
      </c>
      <c r="U4" s="80">
        <v>0.26800000000000002</v>
      </c>
      <c r="V4" s="80">
        <v>5.5075000000000003</v>
      </c>
      <c r="W4" s="80">
        <v>0.33150000000000002</v>
      </c>
      <c r="X4" s="80">
        <v>0.49299999999999999</v>
      </c>
      <c r="Y4" s="80">
        <v>5.8960000000000008</v>
      </c>
      <c r="Z4" s="81">
        <v>4.9533799533799529E-2</v>
      </c>
      <c r="AA4" s="81">
        <v>9.5765345765345747E-2</v>
      </c>
      <c r="AB4" s="82">
        <v>0.14529914529914528</v>
      </c>
    </row>
    <row r="5" spans="1:28">
      <c r="B5" s="83">
        <v>21</v>
      </c>
      <c r="C5" s="84">
        <v>0.32100000000000001</v>
      </c>
      <c r="D5" s="84">
        <v>5.2789999999999999</v>
      </c>
      <c r="E5" s="84">
        <v>0.61699999999999999</v>
      </c>
      <c r="F5" s="84">
        <v>0.61699999999999999</v>
      </c>
      <c r="G5" s="84">
        <v>4.9580000000000002</v>
      </c>
      <c r="H5" s="85">
        <v>6.4743848325937881E-2</v>
      </c>
      <c r="I5" s="85">
        <v>0.12444534086325131</v>
      </c>
      <c r="J5" s="87">
        <v>0.1891891891891892</v>
      </c>
      <c r="K5" s="83">
        <v>21</v>
      </c>
      <c r="L5" s="84">
        <v>0.32100000000000001</v>
      </c>
      <c r="M5" s="84">
        <v>6.0679999999999996</v>
      </c>
      <c r="N5" s="86">
        <v>0.159</v>
      </c>
      <c r="O5" s="84">
        <v>0.159</v>
      </c>
      <c r="P5" s="84">
        <v>5.7469999999999999</v>
      </c>
      <c r="Q5" s="85">
        <v>5.5855228815033936E-2</v>
      </c>
      <c r="R5" s="85">
        <v>2.7666608665390641E-2</v>
      </c>
      <c r="S5" s="87">
        <v>8.3521837480424577E-2</v>
      </c>
      <c r="T5" s="83">
        <v>21</v>
      </c>
      <c r="U5" s="88">
        <v>0.32100000000000001</v>
      </c>
      <c r="V5" s="88">
        <v>5.6734999999999998</v>
      </c>
      <c r="W5" s="88">
        <v>0.38800000000000001</v>
      </c>
      <c r="X5" s="88">
        <v>0.49299999999999999</v>
      </c>
      <c r="Y5" s="88">
        <v>5.8960000000000008</v>
      </c>
      <c r="Z5" s="29">
        <v>4.9533799533799529E-2</v>
      </c>
      <c r="AA5" s="29">
        <v>9.5765345765345747E-2</v>
      </c>
      <c r="AB5" s="89">
        <v>0.14529914529914528</v>
      </c>
    </row>
    <row r="6" spans="1:28">
      <c r="B6" s="75">
        <v>22</v>
      </c>
      <c r="C6" s="76">
        <v>0.371</v>
      </c>
      <c r="D6" s="76">
        <v>5.4379999999999997</v>
      </c>
      <c r="E6" s="76">
        <v>0.70899999999999996</v>
      </c>
      <c r="F6" s="76">
        <v>0.70899999999999996</v>
      </c>
      <c r="G6" s="76">
        <v>5.0670000000000002</v>
      </c>
      <c r="H6" s="77">
        <v>7.32188671797908E-2</v>
      </c>
      <c r="I6" s="77">
        <v>0.1399250049338859</v>
      </c>
      <c r="J6" s="78">
        <v>0.21314387211367669</v>
      </c>
      <c r="K6" s="75">
        <v>22</v>
      </c>
      <c r="L6" s="76">
        <v>0.371</v>
      </c>
      <c r="M6" s="76">
        <v>6.2489999999999997</v>
      </c>
      <c r="N6" s="79">
        <v>0.185</v>
      </c>
      <c r="O6" s="76">
        <v>0.185</v>
      </c>
      <c r="P6" s="76">
        <v>5.8780000000000001</v>
      </c>
      <c r="Q6" s="77">
        <v>6.31167063627084E-2</v>
      </c>
      <c r="R6" s="77">
        <v>3.1473290234773729E-2</v>
      </c>
      <c r="S6" s="78">
        <v>9.4589996597482129E-2</v>
      </c>
      <c r="T6" s="75">
        <v>22</v>
      </c>
      <c r="U6" s="80">
        <v>0.371</v>
      </c>
      <c r="V6" s="80">
        <v>5.8434999999999997</v>
      </c>
      <c r="W6" s="80">
        <v>0.44699999999999995</v>
      </c>
      <c r="X6" s="80">
        <v>0.49299999999999999</v>
      </c>
      <c r="Y6" s="80">
        <v>5.8960000000000008</v>
      </c>
      <c r="Z6" s="81">
        <v>4.9533799533799529E-2</v>
      </c>
      <c r="AA6" s="81">
        <v>9.5765345765345747E-2</v>
      </c>
      <c r="AB6" s="82">
        <v>0.14529914529914528</v>
      </c>
    </row>
    <row r="7" spans="1:28">
      <c r="B7" s="83">
        <v>23</v>
      </c>
      <c r="C7" s="84">
        <v>0.41199999999999998</v>
      </c>
      <c r="D7" s="84">
        <v>5.601</v>
      </c>
      <c r="E7" s="84">
        <v>0.80500000000000005</v>
      </c>
      <c r="F7" s="84">
        <v>0.80500000000000005</v>
      </c>
      <c r="G7" s="84">
        <v>5.1890000000000001</v>
      </c>
      <c r="H7" s="85">
        <v>7.9398728078627856E-2</v>
      </c>
      <c r="I7" s="85">
        <v>0.15513586432838697</v>
      </c>
      <c r="J7" s="87">
        <v>0.23453459240701482</v>
      </c>
      <c r="K7" s="83">
        <v>23</v>
      </c>
      <c r="L7" s="84">
        <v>0.41199999999999998</v>
      </c>
      <c r="M7" s="84">
        <v>6.4349999999999996</v>
      </c>
      <c r="N7" s="86">
        <v>0.20599999999999999</v>
      </c>
      <c r="O7" s="84">
        <v>0.20599999999999999</v>
      </c>
      <c r="P7" s="84">
        <v>6.0229999999999997</v>
      </c>
      <c r="Q7" s="85">
        <v>6.8404449609828985E-2</v>
      </c>
      <c r="R7" s="85">
        <v>3.4202224804914493E-2</v>
      </c>
      <c r="S7" s="87">
        <v>0.10260667441474347</v>
      </c>
      <c r="T7" s="83">
        <v>23</v>
      </c>
      <c r="U7" s="88">
        <v>0.41199999999999998</v>
      </c>
      <c r="V7" s="88">
        <v>6.0179999999999998</v>
      </c>
      <c r="W7" s="88">
        <v>0.50550000000000006</v>
      </c>
      <c r="X7" s="88">
        <v>0.49299999999999999</v>
      </c>
      <c r="Y7" s="88">
        <v>5.8960000000000008</v>
      </c>
      <c r="Z7" s="29">
        <v>4.9533799533799529E-2</v>
      </c>
      <c r="AA7" s="29">
        <v>9.5765345765345747E-2</v>
      </c>
      <c r="AB7" s="89">
        <v>0.14529914529914528</v>
      </c>
    </row>
    <row r="8" spans="1:28">
      <c r="B8" s="75">
        <v>24</v>
      </c>
      <c r="C8" s="76">
        <v>0.44900000000000001</v>
      </c>
      <c r="D8" s="76">
        <v>5.7690000000000001</v>
      </c>
      <c r="E8" s="76">
        <v>0.89400000000000002</v>
      </c>
      <c r="F8" s="76">
        <v>0.89400000000000002</v>
      </c>
      <c r="G8" s="76">
        <v>5.32</v>
      </c>
      <c r="H8" s="77">
        <v>8.43984962406015E-2</v>
      </c>
      <c r="I8" s="77">
        <v>0.16804511278195489</v>
      </c>
      <c r="J8" s="78">
        <v>0.25244360902255636</v>
      </c>
      <c r="K8" s="75">
        <v>24</v>
      </c>
      <c r="L8" s="76">
        <v>0.44900000000000001</v>
      </c>
      <c r="M8" s="76">
        <v>6.625</v>
      </c>
      <c r="N8" s="79">
        <v>0.22700000000000001</v>
      </c>
      <c r="O8" s="76">
        <v>0.22700000000000001</v>
      </c>
      <c r="P8" s="76">
        <v>6.1760000000000002</v>
      </c>
      <c r="Q8" s="77">
        <v>7.2700777202072533E-2</v>
      </c>
      <c r="R8" s="77">
        <v>3.6755181347150258E-2</v>
      </c>
      <c r="S8" s="78">
        <v>0.1094559585492228</v>
      </c>
      <c r="T8" s="75">
        <v>24</v>
      </c>
      <c r="U8" s="80">
        <v>0.44900000000000001</v>
      </c>
      <c r="V8" s="80">
        <v>6.1970000000000001</v>
      </c>
      <c r="W8" s="80">
        <v>0.5605</v>
      </c>
      <c r="X8" s="80">
        <v>0.49299999999999999</v>
      </c>
      <c r="Y8" s="80">
        <v>5.8960000000000008</v>
      </c>
      <c r="Z8" s="81">
        <v>4.9533799533799529E-2</v>
      </c>
      <c r="AA8" s="81">
        <v>9.5765345765345747E-2</v>
      </c>
      <c r="AB8" s="82">
        <v>0.14529914529914528</v>
      </c>
    </row>
    <row r="9" spans="1:28">
      <c r="B9" s="83">
        <v>25</v>
      </c>
      <c r="C9" s="84">
        <v>0.48599999999999999</v>
      </c>
      <c r="D9" s="84">
        <v>5.94</v>
      </c>
      <c r="E9" s="84">
        <v>0.97599999999999998</v>
      </c>
      <c r="F9" s="84">
        <v>0.97599999999999998</v>
      </c>
      <c r="G9" s="84">
        <v>5.4540000000000006</v>
      </c>
      <c r="H9" s="85">
        <v>8.9108910891089091E-2</v>
      </c>
      <c r="I9" s="85">
        <v>0.17895122845617892</v>
      </c>
      <c r="J9" s="87">
        <v>0.26806013934726802</v>
      </c>
      <c r="K9" s="83">
        <v>25</v>
      </c>
      <c r="L9" s="84">
        <v>0.48599999999999999</v>
      </c>
      <c r="M9" s="84">
        <v>6.819</v>
      </c>
      <c r="N9" s="86">
        <v>0.247</v>
      </c>
      <c r="O9" s="84">
        <v>0.247</v>
      </c>
      <c r="P9" s="84">
        <v>6.3330000000000002</v>
      </c>
      <c r="Q9" s="85">
        <v>7.6740881099005204E-2</v>
      </c>
      <c r="R9" s="85">
        <v>3.9002052739617876E-2</v>
      </c>
      <c r="S9" s="87">
        <v>0.11574293383862308</v>
      </c>
      <c r="T9" s="83">
        <v>25</v>
      </c>
      <c r="U9" s="88">
        <v>0.48599999999999999</v>
      </c>
      <c r="V9" s="88">
        <v>6.3795000000000002</v>
      </c>
      <c r="W9" s="88">
        <v>0.61149999999999993</v>
      </c>
      <c r="X9" s="88">
        <v>0.49299999999999999</v>
      </c>
      <c r="Y9" s="88">
        <v>5.8960000000000008</v>
      </c>
      <c r="Z9" s="29">
        <v>4.9533799533799529E-2</v>
      </c>
      <c r="AA9" s="29">
        <v>9.5765345765345747E-2</v>
      </c>
      <c r="AB9" s="89">
        <v>0.14529914529914528</v>
      </c>
    </row>
    <row r="10" spans="1:28">
      <c r="B10" s="75">
        <v>26</v>
      </c>
      <c r="C10" s="76">
        <v>0.52100000000000002</v>
      </c>
      <c r="D10" s="76">
        <v>6.1150000000000002</v>
      </c>
      <c r="E10" s="76">
        <v>1.054</v>
      </c>
      <c r="F10" s="76">
        <v>1.054</v>
      </c>
      <c r="G10" s="76">
        <v>5.5940000000000003</v>
      </c>
      <c r="H10" s="77">
        <v>9.3135502323918484E-2</v>
      </c>
      <c r="I10" s="77">
        <v>0.18841616017161245</v>
      </c>
      <c r="J10" s="78">
        <v>0.28155166249553093</v>
      </c>
      <c r="K10" s="75">
        <v>26</v>
      </c>
      <c r="L10" s="76">
        <v>0.52100000000000002</v>
      </c>
      <c r="M10" s="76">
        <v>7.0179999999999998</v>
      </c>
      <c r="N10" s="79">
        <v>0.26700000000000002</v>
      </c>
      <c r="O10" s="76">
        <v>0.26700000000000002</v>
      </c>
      <c r="P10" s="76">
        <v>6.4969999999999999</v>
      </c>
      <c r="Q10" s="77">
        <v>8.0190857318762507E-2</v>
      </c>
      <c r="R10" s="77">
        <v>4.1095890410958909E-2</v>
      </c>
      <c r="S10" s="78">
        <v>0.12128674772972142</v>
      </c>
      <c r="T10" s="75">
        <v>26</v>
      </c>
      <c r="U10" s="80">
        <v>0.52100000000000002</v>
      </c>
      <c r="V10" s="80">
        <v>6.5664999999999996</v>
      </c>
      <c r="W10" s="80">
        <v>0.66050000000000009</v>
      </c>
      <c r="X10" s="80">
        <v>0.49299999999999999</v>
      </c>
      <c r="Y10" s="80">
        <v>5.8960000000000008</v>
      </c>
      <c r="Z10" s="81">
        <v>4.9533799533799529E-2</v>
      </c>
      <c r="AA10" s="81">
        <v>9.5765345765345747E-2</v>
      </c>
      <c r="AB10" s="82">
        <v>0.14529914529914528</v>
      </c>
    </row>
    <row r="11" spans="1:28">
      <c r="B11" s="83">
        <v>27</v>
      </c>
      <c r="C11" s="84">
        <v>0.55500000000000005</v>
      </c>
      <c r="D11" s="84">
        <v>6.2949999999999999</v>
      </c>
      <c r="E11" s="84">
        <v>1.1299999999999999</v>
      </c>
      <c r="F11" s="84">
        <v>1.1299999999999999</v>
      </c>
      <c r="G11" s="84">
        <v>5.74</v>
      </c>
      <c r="H11" s="85">
        <v>9.6689895470383286E-2</v>
      </c>
      <c r="I11" s="85">
        <v>0.1968641114982578</v>
      </c>
      <c r="J11" s="87">
        <v>0.29355400696864109</v>
      </c>
      <c r="K11" s="83">
        <v>27</v>
      </c>
      <c r="L11" s="84">
        <v>0.55500000000000005</v>
      </c>
      <c r="M11" s="84">
        <v>7.22</v>
      </c>
      <c r="N11" s="86">
        <v>0.28799999999999998</v>
      </c>
      <c r="O11" s="84">
        <v>0.28799999999999998</v>
      </c>
      <c r="P11" s="84">
        <v>6.665</v>
      </c>
      <c r="Q11" s="85">
        <v>8.3270817704426112E-2</v>
      </c>
      <c r="R11" s="85">
        <v>4.3210802700675163E-2</v>
      </c>
      <c r="S11" s="87">
        <v>0.12648162040510127</v>
      </c>
      <c r="T11" s="83">
        <v>27</v>
      </c>
      <c r="U11" s="88">
        <v>0.55500000000000005</v>
      </c>
      <c r="V11" s="88">
        <v>6.7575000000000003</v>
      </c>
      <c r="W11" s="88">
        <v>0.70899999999999996</v>
      </c>
      <c r="X11" s="88">
        <v>0.49299999999999999</v>
      </c>
      <c r="Y11" s="88">
        <v>5.8960000000000008</v>
      </c>
      <c r="Z11" s="29">
        <v>4.9533799533799529E-2</v>
      </c>
      <c r="AA11" s="29">
        <v>9.5765345765345747E-2</v>
      </c>
      <c r="AB11" s="89">
        <v>0.14529914529914528</v>
      </c>
    </row>
    <row r="12" spans="1:28">
      <c r="B12" s="75">
        <v>28</v>
      </c>
      <c r="C12" s="76">
        <v>0.58799999999999997</v>
      </c>
      <c r="D12" s="76">
        <v>6.4790000000000001</v>
      </c>
      <c r="E12" s="76">
        <v>1.204</v>
      </c>
      <c r="F12" s="76">
        <v>1.204</v>
      </c>
      <c r="G12" s="76">
        <v>5.891</v>
      </c>
      <c r="H12" s="77">
        <v>9.981327448650483E-2</v>
      </c>
      <c r="I12" s="77">
        <v>0.20437956204379562</v>
      </c>
      <c r="J12" s="78">
        <v>0.30419283653030044</v>
      </c>
      <c r="K12" s="75">
        <v>28</v>
      </c>
      <c r="L12" s="76">
        <v>0.58799999999999997</v>
      </c>
      <c r="M12" s="76">
        <v>7.4279999999999999</v>
      </c>
      <c r="N12" s="79">
        <v>0.308</v>
      </c>
      <c r="O12" s="76">
        <v>0.308</v>
      </c>
      <c r="P12" s="76">
        <v>6.84</v>
      </c>
      <c r="Q12" s="77">
        <v>8.5964912280701758E-2</v>
      </c>
      <c r="R12" s="77">
        <v>4.502923976608187E-2</v>
      </c>
      <c r="S12" s="78">
        <v>0.13099415204678364</v>
      </c>
      <c r="T12" s="75">
        <v>28</v>
      </c>
      <c r="U12" s="80">
        <v>0.58799999999999997</v>
      </c>
      <c r="V12" s="80">
        <v>6.9535</v>
      </c>
      <c r="W12" s="80">
        <v>0.75600000000000001</v>
      </c>
      <c r="X12" s="80">
        <v>0.49299999999999999</v>
      </c>
      <c r="Y12" s="80">
        <v>5.8960000000000008</v>
      </c>
      <c r="Z12" s="81">
        <v>4.9533799533799529E-2</v>
      </c>
      <c r="AA12" s="81">
        <v>9.5765345765345747E-2</v>
      </c>
      <c r="AB12" s="82">
        <v>0.14529914529914528</v>
      </c>
    </row>
    <row r="13" spans="1:28">
      <c r="B13" s="83">
        <v>29</v>
      </c>
      <c r="C13" s="84">
        <v>0.61799999999999999</v>
      </c>
      <c r="D13" s="84">
        <v>6.6669999999999998</v>
      </c>
      <c r="E13" s="84">
        <v>1.276</v>
      </c>
      <c r="F13" s="84">
        <v>1.276</v>
      </c>
      <c r="G13" s="84">
        <v>6.0489999999999995</v>
      </c>
      <c r="H13" s="85">
        <v>0.10216564721441561</v>
      </c>
      <c r="I13" s="85">
        <v>0.21094395767895521</v>
      </c>
      <c r="J13" s="87">
        <v>0.31310960489337081</v>
      </c>
      <c r="K13" s="83">
        <v>29</v>
      </c>
      <c r="L13" s="84">
        <v>0.61799999999999999</v>
      </c>
      <c r="M13" s="84">
        <v>7.6390000000000002</v>
      </c>
      <c r="N13" s="86">
        <v>0.32700000000000001</v>
      </c>
      <c r="O13" s="84">
        <v>0.32700000000000001</v>
      </c>
      <c r="P13" s="84">
        <v>7.0209999999999999</v>
      </c>
      <c r="Q13" s="85">
        <v>8.802164933770118E-2</v>
      </c>
      <c r="R13" s="85">
        <v>4.6574562028201115E-2</v>
      </c>
      <c r="S13" s="87">
        <v>0.1345962113659023</v>
      </c>
      <c r="T13" s="83">
        <v>29</v>
      </c>
      <c r="U13" s="88">
        <v>0.61799999999999999</v>
      </c>
      <c r="V13" s="88">
        <v>7.1530000000000005</v>
      </c>
      <c r="W13" s="88">
        <v>0.80149999999999999</v>
      </c>
      <c r="X13" s="88">
        <v>0.49299999999999999</v>
      </c>
      <c r="Y13" s="88">
        <v>5.8960000000000008</v>
      </c>
      <c r="Z13" s="29">
        <v>4.9533799533799529E-2</v>
      </c>
      <c r="AA13" s="29">
        <v>9.5765345765345747E-2</v>
      </c>
      <c r="AB13" s="89">
        <v>0.14529914529914528</v>
      </c>
    </row>
    <row r="14" spans="1:28">
      <c r="B14" s="75">
        <v>30</v>
      </c>
      <c r="C14" s="76">
        <v>0.64700000000000002</v>
      </c>
      <c r="D14" s="76">
        <v>6.86</v>
      </c>
      <c r="E14" s="76">
        <v>1.3480000000000001</v>
      </c>
      <c r="F14" s="76">
        <v>1.3480000000000001</v>
      </c>
      <c r="G14" s="76">
        <v>6.2130000000000001</v>
      </c>
      <c r="H14" s="77">
        <v>0.10413648800901336</v>
      </c>
      <c r="I14" s="77">
        <v>0.21696442942217931</v>
      </c>
      <c r="J14" s="78">
        <v>0.32110091743119268</v>
      </c>
      <c r="K14" s="75">
        <v>30</v>
      </c>
      <c r="L14" s="76">
        <v>0.64700000000000002</v>
      </c>
      <c r="M14" s="76">
        <v>7.8550000000000004</v>
      </c>
      <c r="N14" s="79">
        <v>0.34699999999999998</v>
      </c>
      <c r="O14" s="76">
        <v>0.34699999999999998</v>
      </c>
      <c r="P14" s="76">
        <v>7.2080000000000002</v>
      </c>
      <c r="Q14" s="77">
        <v>8.9761376248612648E-2</v>
      </c>
      <c r="R14" s="77">
        <v>4.8140954495005543E-2</v>
      </c>
      <c r="S14" s="78">
        <v>0.13790233074361818</v>
      </c>
      <c r="T14" s="75">
        <v>30</v>
      </c>
      <c r="U14" s="80">
        <v>0.64700000000000002</v>
      </c>
      <c r="V14" s="80">
        <v>7.3574999999999999</v>
      </c>
      <c r="W14" s="80">
        <v>0.84750000000000003</v>
      </c>
      <c r="X14" s="80">
        <v>0.49299999999999999</v>
      </c>
      <c r="Y14" s="80">
        <v>5.8960000000000008</v>
      </c>
      <c r="Z14" s="81">
        <v>4.9533799533799529E-2</v>
      </c>
      <c r="AA14" s="81">
        <v>9.5765345765345747E-2</v>
      </c>
      <c r="AB14" s="82">
        <v>0.14529914529914528</v>
      </c>
    </row>
    <row r="15" spans="1:28">
      <c r="B15" s="83">
        <v>31</v>
      </c>
      <c r="C15" s="84">
        <v>0.67200000000000004</v>
      </c>
      <c r="D15" s="84">
        <v>7.0579999999999998</v>
      </c>
      <c r="E15" s="84">
        <v>1.419</v>
      </c>
      <c r="F15" s="84">
        <v>1.419</v>
      </c>
      <c r="G15" s="84">
        <v>6.3860000000000001</v>
      </c>
      <c r="H15" s="85">
        <v>0.10523019104290636</v>
      </c>
      <c r="I15" s="85">
        <v>0.2222048230504228</v>
      </c>
      <c r="J15" s="87">
        <v>0.32743501409332915</v>
      </c>
      <c r="K15" s="83">
        <v>31</v>
      </c>
      <c r="L15" s="84">
        <v>0.67200000000000004</v>
      </c>
      <c r="M15" s="84">
        <v>8.0760000000000005</v>
      </c>
      <c r="N15" s="86">
        <v>0.36499999999999999</v>
      </c>
      <c r="O15" s="84">
        <v>0.36499999999999999</v>
      </c>
      <c r="P15" s="84">
        <v>7.4040000000000008</v>
      </c>
      <c r="Q15" s="85">
        <v>9.0761750405186387E-2</v>
      </c>
      <c r="R15" s="85">
        <v>4.929767693138843E-2</v>
      </c>
      <c r="S15" s="87">
        <v>0.14005942733657481</v>
      </c>
      <c r="T15" s="83">
        <v>31</v>
      </c>
      <c r="U15" s="88">
        <v>0.67200000000000004</v>
      </c>
      <c r="V15" s="88">
        <v>7.5670000000000002</v>
      </c>
      <c r="W15" s="88">
        <v>0.89200000000000002</v>
      </c>
      <c r="X15" s="88">
        <v>0.49299999999999999</v>
      </c>
      <c r="Y15" s="88">
        <v>5.8960000000000008</v>
      </c>
      <c r="Z15" s="29">
        <v>4.9533799533799529E-2</v>
      </c>
      <c r="AA15" s="29">
        <v>9.5765345765345747E-2</v>
      </c>
      <c r="AB15" s="89">
        <v>0.14529914529914528</v>
      </c>
    </row>
    <row r="16" spans="1:28">
      <c r="B16" s="75">
        <v>32</v>
      </c>
      <c r="C16" s="76">
        <v>0.69599999999999995</v>
      </c>
      <c r="D16" s="76">
        <v>7.2610000000000001</v>
      </c>
      <c r="E16" s="76">
        <v>1.49</v>
      </c>
      <c r="F16" s="76">
        <v>1.49</v>
      </c>
      <c r="G16" s="76">
        <v>6.5650000000000004</v>
      </c>
      <c r="H16" s="77">
        <v>0.106016755521706</v>
      </c>
      <c r="I16" s="77">
        <v>0.22696115765422695</v>
      </c>
      <c r="J16" s="78">
        <v>0.33297791317593295</v>
      </c>
      <c r="K16" s="75">
        <v>32</v>
      </c>
      <c r="L16" s="76">
        <v>0.69599999999999995</v>
      </c>
      <c r="M16" s="76">
        <v>8.3010000000000002</v>
      </c>
      <c r="N16" s="79">
        <v>0.38400000000000001</v>
      </c>
      <c r="O16" s="76">
        <v>0.38400000000000001</v>
      </c>
      <c r="P16" s="76">
        <v>7.6050000000000004</v>
      </c>
      <c r="Q16" s="77">
        <v>9.1518737672583811E-2</v>
      </c>
      <c r="R16" s="77">
        <v>5.0493096646942799E-2</v>
      </c>
      <c r="S16" s="78">
        <v>0.1420118343195266</v>
      </c>
      <c r="T16" s="75">
        <v>32</v>
      </c>
      <c r="U16" s="80">
        <v>0.69599999999999995</v>
      </c>
      <c r="V16" s="80">
        <v>7.7810000000000006</v>
      </c>
      <c r="W16" s="80">
        <v>0.93700000000000006</v>
      </c>
      <c r="X16" s="80">
        <v>0.49299999999999999</v>
      </c>
      <c r="Y16" s="80">
        <v>5.8960000000000008</v>
      </c>
      <c r="Z16" s="81">
        <v>4.9533799533799529E-2</v>
      </c>
      <c r="AA16" s="81">
        <v>9.5765345765345747E-2</v>
      </c>
      <c r="AB16" s="82">
        <v>0.14529914529914528</v>
      </c>
    </row>
    <row r="17" spans="2:28">
      <c r="B17" s="83">
        <v>33</v>
      </c>
      <c r="C17" s="84">
        <v>0.71599999999999997</v>
      </c>
      <c r="D17" s="84">
        <v>7.47</v>
      </c>
      <c r="E17" s="84">
        <v>1.5620000000000001</v>
      </c>
      <c r="F17" s="84">
        <v>1.5620000000000001</v>
      </c>
      <c r="G17" s="84">
        <v>6.7539999999999996</v>
      </c>
      <c r="H17" s="85">
        <v>0.10601125259105715</v>
      </c>
      <c r="I17" s="85">
        <v>0.23127035830618894</v>
      </c>
      <c r="J17" s="87">
        <v>0.33728161089724606</v>
      </c>
      <c r="K17" s="83">
        <v>33</v>
      </c>
      <c r="L17" s="84">
        <v>0.71599999999999997</v>
      </c>
      <c r="M17" s="84">
        <v>8.532</v>
      </c>
      <c r="N17" s="86">
        <v>0.40200000000000002</v>
      </c>
      <c r="O17" s="84">
        <v>0.40200000000000002</v>
      </c>
      <c r="P17" s="84">
        <v>7.8159999999999998</v>
      </c>
      <c r="Q17" s="85">
        <v>9.1606960081883321E-2</v>
      </c>
      <c r="R17" s="85">
        <v>5.1432958034800413E-2</v>
      </c>
      <c r="S17" s="87">
        <v>0.14303991811668373</v>
      </c>
      <c r="T17" s="83">
        <v>33</v>
      </c>
      <c r="U17" s="88">
        <v>0.71599999999999997</v>
      </c>
      <c r="V17" s="88">
        <v>8.0009999999999994</v>
      </c>
      <c r="W17" s="88">
        <v>0.98199999999999998</v>
      </c>
      <c r="X17" s="88">
        <v>0.49299999999999999</v>
      </c>
      <c r="Y17" s="88">
        <v>5.8960000000000008</v>
      </c>
      <c r="Z17" s="29">
        <v>4.9533799533799529E-2</v>
      </c>
      <c r="AA17" s="29">
        <v>9.5765345765345747E-2</v>
      </c>
      <c r="AB17" s="89">
        <v>0.14529914529914528</v>
      </c>
    </row>
    <row r="18" spans="2:28">
      <c r="B18" s="75">
        <v>34</v>
      </c>
      <c r="C18" s="76">
        <v>0.73399999999999999</v>
      </c>
      <c r="D18" s="76">
        <v>7.6840000000000002</v>
      </c>
      <c r="E18" s="76">
        <v>1.633</v>
      </c>
      <c r="F18" s="76">
        <v>1.633</v>
      </c>
      <c r="G18" s="76">
        <v>6.95</v>
      </c>
      <c r="H18" s="77">
        <v>0.10561151079136691</v>
      </c>
      <c r="I18" s="77">
        <v>0.23496402877697842</v>
      </c>
      <c r="J18" s="78">
        <v>0.3405755395683453</v>
      </c>
      <c r="K18" s="75">
        <v>34</v>
      </c>
      <c r="L18" s="76">
        <v>0.73399999999999999</v>
      </c>
      <c r="M18" s="76">
        <v>8.7669999999999995</v>
      </c>
      <c r="N18" s="79">
        <v>0.41899999999999998</v>
      </c>
      <c r="O18" s="76">
        <v>0.41899999999999998</v>
      </c>
      <c r="P18" s="76">
        <v>8.0329999999999995</v>
      </c>
      <c r="Q18" s="77">
        <v>9.1373086020166819E-2</v>
      </c>
      <c r="R18" s="77">
        <v>5.2159840657288688E-2</v>
      </c>
      <c r="S18" s="78">
        <v>0.14353292667745551</v>
      </c>
      <c r="T18" s="75">
        <v>34</v>
      </c>
      <c r="U18" s="80">
        <v>0.73399999999999999</v>
      </c>
      <c r="V18" s="80">
        <v>8.2255000000000003</v>
      </c>
      <c r="W18" s="80">
        <v>1.026</v>
      </c>
      <c r="X18" s="80">
        <v>0.49299999999999999</v>
      </c>
      <c r="Y18" s="80">
        <v>5.8960000000000008</v>
      </c>
      <c r="Z18" s="81">
        <v>4.9533799533799529E-2</v>
      </c>
      <c r="AA18" s="81">
        <v>9.5765345765345747E-2</v>
      </c>
      <c r="AB18" s="82">
        <v>0.14529914529914528</v>
      </c>
    </row>
    <row r="19" spans="2:28">
      <c r="B19" s="83">
        <v>35</v>
      </c>
      <c r="C19" s="84">
        <v>0.748</v>
      </c>
      <c r="D19" s="84">
        <v>7.9029999999999996</v>
      </c>
      <c r="E19" s="84">
        <v>1.7050000000000001</v>
      </c>
      <c r="F19" s="84">
        <v>1.7050000000000001</v>
      </c>
      <c r="G19" s="84">
        <v>7.1549999999999994</v>
      </c>
      <c r="H19" s="85">
        <v>0.10454227812718379</v>
      </c>
      <c r="I19" s="85">
        <v>0.2382948986722572</v>
      </c>
      <c r="J19" s="87">
        <v>0.34283717679944098</v>
      </c>
      <c r="K19" s="83">
        <v>35</v>
      </c>
      <c r="L19" s="84">
        <v>0.748</v>
      </c>
      <c r="M19" s="84">
        <v>9.0069999999999997</v>
      </c>
      <c r="N19" s="86">
        <v>0.436</v>
      </c>
      <c r="O19" s="84">
        <v>0.436</v>
      </c>
      <c r="P19" s="84">
        <v>8.2590000000000003</v>
      </c>
      <c r="Q19" s="85">
        <v>9.0567865359002298E-2</v>
      </c>
      <c r="R19" s="85">
        <v>5.2790894781450534E-2</v>
      </c>
      <c r="S19" s="87">
        <v>0.14335876014045285</v>
      </c>
      <c r="T19" s="83">
        <v>35</v>
      </c>
      <c r="U19" s="88">
        <v>0.748</v>
      </c>
      <c r="V19" s="88">
        <v>8.4550000000000001</v>
      </c>
      <c r="W19" s="88">
        <v>1.0705</v>
      </c>
      <c r="X19" s="88">
        <v>0.49299999999999999</v>
      </c>
      <c r="Y19" s="88">
        <v>5.8960000000000008</v>
      </c>
      <c r="Z19" s="29">
        <v>4.9533799533799529E-2</v>
      </c>
      <c r="AA19" s="29">
        <v>9.5765345765345747E-2</v>
      </c>
      <c r="AB19" s="89">
        <v>0.14529914529914528</v>
      </c>
    </row>
    <row r="20" spans="2:28">
      <c r="B20" s="75">
        <v>36</v>
      </c>
      <c r="C20" s="76">
        <v>0.75700000000000001</v>
      </c>
      <c r="D20" s="76">
        <v>8.1259999999999994</v>
      </c>
      <c r="E20" s="76">
        <v>1.7769999999999999</v>
      </c>
      <c r="F20" s="76">
        <v>1.7769999999999999</v>
      </c>
      <c r="G20" s="76">
        <v>7.3689999999999998</v>
      </c>
      <c r="H20" s="77">
        <v>0.10272764282806351</v>
      </c>
      <c r="I20" s="77">
        <v>0.2411453385805401</v>
      </c>
      <c r="J20" s="78">
        <v>0.34387298140860362</v>
      </c>
      <c r="K20" s="75">
        <v>36</v>
      </c>
      <c r="L20" s="76">
        <v>0.75700000000000001</v>
      </c>
      <c r="M20" s="76">
        <v>9.2509999999999994</v>
      </c>
      <c r="N20" s="79">
        <v>0.45200000000000001</v>
      </c>
      <c r="O20" s="76">
        <v>0.45200000000000001</v>
      </c>
      <c r="P20" s="76">
        <v>8.4939999999999998</v>
      </c>
      <c r="Q20" s="77">
        <v>8.9121732987991531E-2</v>
      </c>
      <c r="R20" s="77">
        <v>5.3214033435366147E-2</v>
      </c>
      <c r="S20" s="78">
        <v>0.14233576642335768</v>
      </c>
      <c r="T20" s="75">
        <v>36</v>
      </c>
      <c r="U20" s="80">
        <v>0.75700000000000001</v>
      </c>
      <c r="V20" s="80">
        <v>8.6884999999999994</v>
      </c>
      <c r="W20" s="80">
        <v>1.1145</v>
      </c>
      <c r="X20" s="80">
        <v>0.49299999999999999</v>
      </c>
      <c r="Y20" s="80">
        <v>5.8960000000000008</v>
      </c>
      <c r="Z20" s="81">
        <v>4.9533799533799529E-2</v>
      </c>
      <c r="AA20" s="81">
        <v>9.5765345765345747E-2</v>
      </c>
      <c r="AB20" s="82">
        <v>0.14529914529914528</v>
      </c>
    </row>
    <row r="21" spans="2:28">
      <c r="B21" s="83">
        <v>37</v>
      </c>
      <c r="C21" s="84">
        <v>0.76</v>
      </c>
      <c r="D21" s="84">
        <v>8.3529999999999998</v>
      </c>
      <c r="E21" s="84">
        <v>1.8480000000000001</v>
      </c>
      <c r="F21" s="84">
        <v>1.8480000000000001</v>
      </c>
      <c r="G21" s="84">
        <v>7.593</v>
      </c>
      <c r="H21" s="85">
        <v>0.10009219017516133</v>
      </c>
      <c r="I21" s="85">
        <v>0.24338206242591862</v>
      </c>
      <c r="J21" s="87">
        <v>0.34347425260107994</v>
      </c>
      <c r="K21" s="83">
        <v>37</v>
      </c>
      <c r="L21" s="84">
        <v>0.76</v>
      </c>
      <c r="M21" s="84">
        <v>9.4979999999999993</v>
      </c>
      <c r="N21" s="86">
        <v>0.46800000000000003</v>
      </c>
      <c r="O21" s="84">
        <v>0.46800000000000003</v>
      </c>
      <c r="P21" s="84">
        <v>8.7379999999999995</v>
      </c>
      <c r="Q21" s="85">
        <v>8.6976424811169614E-2</v>
      </c>
      <c r="R21" s="85">
        <v>5.3559166857404444E-2</v>
      </c>
      <c r="S21" s="87">
        <v>0.14053559166857404</v>
      </c>
      <c r="T21" s="83">
        <v>37</v>
      </c>
      <c r="U21" s="88">
        <v>0.76</v>
      </c>
      <c r="V21" s="88">
        <v>8.9254999999999995</v>
      </c>
      <c r="W21" s="88">
        <v>1.1580000000000001</v>
      </c>
      <c r="X21" s="88">
        <v>0.49299999999999999</v>
      </c>
      <c r="Y21" s="88">
        <v>5.8960000000000008</v>
      </c>
      <c r="Z21" s="29">
        <v>4.9533799533799529E-2</v>
      </c>
      <c r="AA21" s="29">
        <v>9.5765345765345747E-2</v>
      </c>
      <c r="AB21" s="89">
        <v>0.14529914529914528</v>
      </c>
    </row>
    <row r="22" spans="2:28">
      <c r="B22" s="75">
        <v>38</v>
      </c>
      <c r="C22" s="76">
        <v>0.75800000000000001</v>
      </c>
      <c r="D22" s="76">
        <v>8.5839999999999996</v>
      </c>
      <c r="E22" s="76">
        <v>1.92</v>
      </c>
      <c r="F22" s="76">
        <v>1.92</v>
      </c>
      <c r="G22" s="76">
        <v>7.8259999999999996</v>
      </c>
      <c r="H22" s="77">
        <v>9.6856631740352681E-2</v>
      </c>
      <c r="I22" s="77">
        <v>0.24533605928954766</v>
      </c>
      <c r="J22" s="78">
        <v>0.34219269102990035</v>
      </c>
      <c r="K22" s="75">
        <v>38</v>
      </c>
      <c r="L22" s="76">
        <v>0.75800000000000001</v>
      </c>
      <c r="M22" s="76">
        <v>9.7490000000000006</v>
      </c>
      <c r="N22" s="79">
        <v>0.48199999999999998</v>
      </c>
      <c r="O22" s="76">
        <v>0.48199999999999998</v>
      </c>
      <c r="P22" s="76">
        <v>8.9909999999999997</v>
      </c>
      <c r="Q22" s="77">
        <v>8.4306528750973206E-2</v>
      </c>
      <c r="R22" s="77">
        <v>5.3609164720275833E-2</v>
      </c>
      <c r="S22" s="78">
        <v>0.13791569347124905</v>
      </c>
      <c r="T22" s="75">
        <v>38</v>
      </c>
      <c r="U22" s="80">
        <v>0.75800000000000001</v>
      </c>
      <c r="V22" s="80">
        <v>9.1664999999999992</v>
      </c>
      <c r="W22" s="80">
        <v>1.2010000000000001</v>
      </c>
      <c r="X22" s="80">
        <v>0.49299999999999999</v>
      </c>
      <c r="Y22" s="80">
        <v>5.8960000000000008</v>
      </c>
      <c r="Z22" s="81">
        <v>4.9533799533799529E-2</v>
      </c>
      <c r="AA22" s="81">
        <v>9.5765345765345747E-2</v>
      </c>
      <c r="AB22" s="82">
        <v>0.14529914529914528</v>
      </c>
    </row>
    <row r="23" spans="2:28">
      <c r="B23" s="83">
        <v>39</v>
      </c>
      <c r="C23" s="84">
        <v>0.75</v>
      </c>
      <c r="D23" s="84">
        <v>8.8179999999999996</v>
      </c>
      <c r="E23" s="84">
        <v>1.992</v>
      </c>
      <c r="F23" s="84">
        <v>1.992</v>
      </c>
      <c r="G23" s="84">
        <v>8.0679999999999996</v>
      </c>
      <c r="H23" s="85">
        <v>9.2959841348537436E-2</v>
      </c>
      <c r="I23" s="85">
        <v>0.24690133862171543</v>
      </c>
      <c r="J23" s="87">
        <v>0.33986117997025289</v>
      </c>
      <c r="K23" s="83">
        <v>39</v>
      </c>
      <c r="L23" s="84">
        <v>0.75</v>
      </c>
      <c r="M23" s="84">
        <v>10.005000000000001</v>
      </c>
      <c r="N23" s="86">
        <v>0.496</v>
      </c>
      <c r="O23" s="84">
        <v>0.496</v>
      </c>
      <c r="P23" s="84">
        <v>9.2550000000000008</v>
      </c>
      <c r="Q23" s="85">
        <v>8.1037277147487832E-2</v>
      </c>
      <c r="R23" s="85">
        <v>5.3592652620205287E-2</v>
      </c>
      <c r="S23" s="87">
        <v>0.13462992976769311</v>
      </c>
      <c r="T23" s="83">
        <v>39</v>
      </c>
      <c r="U23" s="88">
        <v>0.75</v>
      </c>
      <c r="V23" s="88">
        <v>9.4115000000000002</v>
      </c>
      <c r="W23" s="88">
        <v>1.244</v>
      </c>
      <c r="X23" s="88">
        <v>0.49299999999999999</v>
      </c>
      <c r="Y23" s="88">
        <v>5.8960000000000008</v>
      </c>
      <c r="Z23" s="29">
        <v>4.9533799533799529E-2</v>
      </c>
      <c r="AA23" s="29">
        <v>9.5765345765345747E-2</v>
      </c>
      <c r="AB23" s="89">
        <v>0.14529914529914528</v>
      </c>
    </row>
    <row r="24" spans="2:28">
      <c r="B24" s="75">
        <v>40</v>
      </c>
      <c r="C24" s="76">
        <v>0.73699999999999999</v>
      </c>
      <c r="D24" s="76">
        <v>9.0579999999999998</v>
      </c>
      <c r="E24" s="76">
        <v>2.0649999999999999</v>
      </c>
      <c r="F24" s="76">
        <v>2.0649999999999999</v>
      </c>
      <c r="G24" s="76">
        <v>8.3209999999999997</v>
      </c>
      <c r="H24" s="77">
        <v>8.8571085206105044E-2</v>
      </c>
      <c r="I24" s="77">
        <v>0.24816728758562673</v>
      </c>
      <c r="J24" s="78">
        <v>0.3367383727917318</v>
      </c>
      <c r="K24" s="75">
        <v>40</v>
      </c>
      <c r="L24" s="76">
        <v>0.73699999999999999</v>
      </c>
      <c r="M24" s="76">
        <v>10.265000000000001</v>
      </c>
      <c r="N24" s="79">
        <v>0.51</v>
      </c>
      <c r="O24" s="76">
        <v>0.51</v>
      </c>
      <c r="P24" s="76">
        <v>9.5280000000000005</v>
      </c>
      <c r="Q24" s="77">
        <v>7.7350965575146924E-2</v>
      </c>
      <c r="R24" s="77">
        <v>5.35264483627204E-2</v>
      </c>
      <c r="S24" s="78">
        <v>0.13087741393786734</v>
      </c>
      <c r="T24" s="75">
        <v>40</v>
      </c>
      <c r="U24" s="80">
        <v>0.73699999999999999</v>
      </c>
      <c r="V24" s="80">
        <v>9.6615000000000002</v>
      </c>
      <c r="W24" s="80">
        <v>1.2875000000000001</v>
      </c>
      <c r="X24" s="80">
        <v>0.49299999999999999</v>
      </c>
      <c r="Y24" s="80">
        <v>5.8960000000000008</v>
      </c>
      <c r="Z24" s="81">
        <v>4.9533799533799529E-2</v>
      </c>
      <c r="AA24" s="81">
        <v>9.5765345765345747E-2</v>
      </c>
      <c r="AB24" s="82">
        <v>0.14529914529914528</v>
      </c>
    </row>
    <row r="25" spans="2:28">
      <c r="B25" s="83">
        <v>41</v>
      </c>
      <c r="C25" s="84">
        <v>0.72</v>
      </c>
      <c r="D25" s="84">
        <v>9.3049999999999997</v>
      </c>
      <c r="E25" s="84">
        <v>2.1389999999999998</v>
      </c>
      <c r="F25" s="84">
        <v>2.1389999999999998</v>
      </c>
      <c r="G25" s="84">
        <v>8.5849999999999991</v>
      </c>
      <c r="H25" s="85">
        <v>8.3867210250436808E-2</v>
      </c>
      <c r="I25" s="85">
        <v>0.24915550378567269</v>
      </c>
      <c r="J25" s="87">
        <v>0.3330227140361095</v>
      </c>
      <c r="K25" s="83">
        <v>41</v>
      </c>
      <c r="L25" s="84">
        <v>0.72</v>
      </c>
      <c r="M25" s="84">
        <v>10.532</v>
      </c>
      <c r="N25" s="86">
        <v>0.52300000000000002</v>
      </c>
      <c r="O25" s="84">
        <v>0.52300000000000002</v>
      </c>
      <c r="P25" s="84">
        <v>9.8119999999999994</v>
      </c>
      <c r="Q25" s="85">
        <v>7.3379535262943343E-2</v>
      </c>
      <c r="R25" s="85">
        <v>5.3302079086832453E-2</v>
      </c>
      <c r="S25" s="87">
        <v>0.12668161434977579</v>
      </c>
      <c r="T25" s="83">
        <v>41</v>
      </c>
      <c r="U25" s="88">
        <v>0.72</v>
      </c>
      <c r="V25" s="88">
        <v>9.9184999999999999</v>
      </c>
      <c r="W25" s="88">
        <v>1.331</v>
      </c>
      <c r="X25" s="88">
        <v>0.49299999999999999</v>
      </c>
      <c r="Y25" s="88">
        <v>5.8960000000000008</v>
      </c>
      <c r="Z25" s="29">
        <v>4.9533799533799529E-2</v>
      </c>
      <c r="AA25" s="29">
        <v>9.5765345765345747E-2</v>
      </c>
      <c r="AB25" s="89">
        <v>0.14529914529914528</v>
      </c>
    </row>
    <row r="26" spans="2:28">
      <c r="B26" s="75">
        <v>42</v>
      </c>
      <c r="C26" s="76">
        <v>0.7</v>
      </c>
      <c r="D26" s="76">
        <v>9.56</v>
      </c>
      <c r="E26" s="76">
        <v>2.214</v>
      </c>
      <c r="F26" s="76">
        <v>2.214</v>
      </c>
      <c r="G26" s="76">
        <v>8.8600000000000012</v>
      </c>
      <c r="H26" s="77">
        <v>7.9006772009029336E-2</v>
      </c>
      <c r="I26" s="77">
        <v>0.2498871331828442</v>
      </c>
      <c r="J26" s="78">
        <v>0.32889390519187356</v>
      </c>
      <c r="K26" s="75">
        <v>42</v>
      </c>
      <c r="L26" s="76">
        <v>0.7</v>
      </c>
      <c r="M26" s="76">
        <v>10.805999999999999</v>
      </c>
      <c r="N26" s="79">
        <v>0.53600000000000003</v>
      </c>
      <c r="O26" s="76">
        <v>0.53600000000000003</v>
      </c>
      <c r="P26" s="76">
        <v>10.106</v>
      </c>
      <c r="Q26" s="77">
        <v>6.9265782703344547E-2</v>
      </c>
      <c r="R26" s="77">
        <v>5.3037799327132401E-2</v>
      </c>
      <c r="S26" s="78">
        <v>0.12230358203047695</v>
      </c>
      <c r="T26" s="75">
        <v>42</v>
      </c>
      <c r="U26" s="80">
        <v>0.7</v>
      </c>
      <c r="V26" s="80">
        <v>10.183</v>
      </c>
      <c r="W26" s="80">
        <v>1.375</v>
      </c>
      <c r="X26" s="80">
        <v>0.49299999999999999</v>
      </c>
      <c r="Y26" s="80">
        <v>5.8960000000000008</v>
      </c>
      <c r="Z26" s="81">
        <v>4.9533799533799529E-2</v>
      </c>
      <c r="AA26" s="81">
        <v>9.5765345765345747E-2</v>
      </c>
      <c r="AB26" s="82">
        <v>0.14529914529914528</v>
      </c>
    </row>
    <row r="27" spans="2:28">
      <c r="B27" s="83">
        <v>43</v>
      </c>
      <c r="C27" s="84">
        <v>0.67800000000000005</v>
      </c>
      <c r="D27" s="84">
        <v>9.8249999999999993</v>
      </c>
      <c r="E27" s="84">
        <v>2.29</v>
      </c>
      <c r="F27" s="84">
        <v>2.29</v>
      </c>
      <c r="G27" s="84">
        <v>9.1469999999999985</v>
      </c>
      <c r="H27" s="85">
        <v>7.4122663168251904E-2</v>
      </c>
      <c r="I27" s="85">
        <v>0.25035530775117532</v>
      </c>
      <c r="J27" s="87">
        <v>0.32447797091942721</v>
      </c>
      <c r="K27" s="83">
        <v>43</v>
      </c>
      <c r="L27" s="84">
        <v>0.67800000000000005</v>
      </c>
      <c r="M27" s="84">
        <v>11.089</v>
      </c>
      <c r="N27" s="86">
        <v>0.54900000000000004</v>
      </c>
      <c r="O27" s="84">
        <v>0.54900000000000004</v>
      </c>
      <c r="P27" s="84">
        <v>10.411</v>
      </c>
      <c r="Q27" s="85">
        <v>6.5123427144366544E-2</v>
      </c>
      <c r="R27" s="85">
        <v>5.2732686581500342E-2</v>
      </c>
      <c r="S27" s="87">
        <v>0.11785611372586688</v>
      </c>
      <c r="T27" s="83">
        <v>43</v>
      </c>
      <c r="U27" s="88">
        <v>0.67800000000000005</v>
      </c>
      <c r="V27" s="88">
        <v>10.457000000000001</v>
      </c>
      <c r="W27" s="88">
        <v>1.4195</v>
      </c>
      <c r="X27" s="88">
        <v>0.49299999999999999</v>
      </c>
      <c r="Y27" s="88">
        <v>5.8960000000000008</v>
      </c>
      <c r="Z27" s="29">
        <v>4.9533799533799529E-2</v>
      </c>
      <c r="AA27" s="29">
        <v>9.5765345765345747E-2</v>
      </c>
      <c r="AB27" s="89">
        <v>0.14529914529914528</v>
      </c>
    </row>
    <row r="28" spans="2:28">
      <c r="B28" s="75">
        <v>44</v>
      </c>
      <c r="C28" s="76">
        <v>0.65400000000000003</v>
      </c>
      <c r="D28" s="76">
        <v>10.099</v>
      </c>
      <c r="E28" s="76">
        <v>2.367</v>
      </c>
      <c r="F28" s="76">
        <v>2.367</v>
      </c>
      <c r="G28" s="76">
        <v>9.4450000000000003</v>
      </c>
      <c r="H28" s="77">
        <v>6.9242985706723131E-2</v>
      </c>
      <c r="I28" s="77">
        <v>0.25060878771836947</v>
      </c>
      <c r="J28" s="78">
        <v>0.31985177342509263</v>
      </c>
      <c r="K28" s="75">
        <v>44</v>
      </c>
      <c r="L28" s="76">
        <v>0.65400000000000003</v>
      </c>
      <c r="M28" s="76">
        <v>11.381</v>
      </c>
      <c r="N28" s="79">
        <v>0.56100000000000005</v>
      </c>
      <c r="O28" s="76">
        <v>0.56100000000000005</v>
      </c>
      <c r="P28" s="76">
        <v>10.727</v>
      </c>
      <c r="Q28" s="77">
        <v>6.0967651719958986E-2</v>
      </c>
      <c r="R28" s="77">
        <v>5.2297939778129958E-2</v>
      </c>
      <c r="S28" s="78">
        <v>0.11326559149808894</v>
      </c>
      <c r="T28" s="75">
        <v>44</v>
      </c>
      <c r="U28" s="80">
        <v>0.65400000000000003</v>
      </c>
      <c r="V28" s="80">
        <v>10.74</v>
      </c>
      <c r="W28" s="80">
        <v>1.464</v>
      </c>
      <c r="X28" s="80">
        <v>0.49299999999999999</v>
      </c>
      <c r="Y28" s="80">
        <v>5.8960000000000008</v>
      </c>
      <c r="Z28" s="81">
        <v>4.9533799533799529E-2</v>
      </c>
      <c r="AA28" s="81">
        <v>9.5765345765345747E-2</v>
      </c>
      <c r="AB28" s="82">
        <v>0.14529914529914528</v>
      </c>
    </row>
    <row r="29" spans="2:28">
      <c r="B29" s="83">
        <v>45</v>
      </c>
      <c r="C29" s="84">
        <v>0.629</v>
      </c>
      <c r="D29" s="84">
        <v>10.382999999999999</v>
      </c>
      <c r="E29" s="84">
        <v>2.444</v>
      </c>
      <c r="F29" s="84">
        <v>2.444</v>
      </c>
      <c r="G29" s="84">
        <v>9.7539999999999996</v>
      </c>
      <c r="H29" s="85">
        <v>6.4486364568382207E-2</v>
      </c>
      <c r="I29" s="85">
        <v>0.25056387123231494</v>
      </c>
      <c r="J29" s="87">
        <v>0.31505023580069713</v>
      </c>
      <c r="K29" s="83">
        <v>45</v>
      </c>
      <c r="L29" s="84">
        <v>0.629</v>
      </c>
      <c r="M29" s="84">
        <v>11.683</v>
      </c>
      <c r="N29" s="86">
        <v>0.57399999999999995</v>
      </c>
      <c r="O29" s="84">
        <v>0.57399999999999995</v>
      </c>
      <c r="P29" s="84">
        <v>11.054</v>
      </c>
      <c r="Q29" s="85">
        <v>5.690247874072734E-2</v>
      </c>
      <c r="R29" s="85">
        <v>5.1926904288040525E-2</v>
      </c>
      <c r="S29" s="87">
        <v>0.10882938302876786</v>
      </c>
      <c r="T29" s="83">
        <v>45</v>
      </c>
      <c r="U29" s="88">
        <v>0.629</v>
      </c>
      <c r="V29" s="88">
        <v>11.032999999999999</v>
      </c>
      <c r="W29" s="88">
        <v>1.5089999999999999</v>
      </c>
      <c r="X29" s="88">
        <v>0.49299999999999999</v>
      </c>
      <c r="Y29" s="88">
        <v>5.8960000000000008</v>
      </c>
      <c r="Z29" s="29">
        <v>4.9533799533799529E-2</v>
      </c>
      <c r="AA29" s="29">
        <v>9.5765345765345747E-2</v>
      </c>
      <c r="AB29" s="89">
        <v>0.14529914529914528</v>
      </c>
    </row>
    <row r="30" spans="2:28">
      <c r="B30" s="75">
        <v>46</v>
      </c>
      <c r="C30" s="76">
        <v>0.60199999999999998</v>
      </c>
      <c r="D30" s="76">
        <v>10.677</v>
      </c>
      <c r="E30" s="76">
        <v>2.5209999999999999</v>
      </c>
      <c r="F30" s="76">
        <v>2.5209999999999999</v>
      </c>
      <c r="G30" s="76">
        <v>10.074999999999999</v>
      </c>
      <c r="H30" s="77">
        <v>5.9751861042183628E-2</v>
      </c>
      <c r="I30" s="77">
        <v>0.25022332506203476</v>
      </c>
      <c r="J30" s="78">
        <v>0.30997518610421837</v>
      </c>
      <c r="K30" s="75">
        <v>46</v>
      </c>
      <c r="L30" s="76">
        <v>0.60199999999999998</v>
      </c>
      <c r="M30" s="76">
        <v>11.994999999999999</v>
      </c>
      <c r="N30" s="79">
        <v>0.58599999999999997</v>
      </c>
      <c r="O30" s="76">
        <v>0.58599999999999997</v>
      </c>
      <c r="P30" s="76">
        <v>11.392999999999999</v>
      </c>
      <c r="Q30" s="77">
        <v>5.2839462828052318E-2</v>
      </c>
      <c r="R30" s="77">
        <v>5.1435091722987804E-2</v>
      </c>
      <c r="S30" s="78">
        <v>0.10427455455104012</v>
      </c>
      <c r="T30" s="75">
        <v>46</v>
      </c>
      <c r="U30" s="80">
        <v>0.60199999999999998</v>
      </c>
      <c r="V30" s="80">
        <v>11.335999999999999</v>
      </c>
      <c r="W30" s="80">
        <v>1.5534999999999999</v>
      </c>
      <c r="X30" s="80">
        <v>0.49299999999999999</v>
      </c>
      <c r="Y30" s="80">
        <v>5.8960000000000008</v>
      </c>
      <c r="Z30" s="81">
        <v>4.9533799533799529E-2</v>
      </c>
      <c r="AA30" s="81">
        <v>9.5765345765345747E-2</v>
      </c>
      <c r="AB30" s="82">
        <v>0.14529914529914528</v>
      </c>
    </row>
    <row r="31" spans="2:28">
      <c r="B31" s="83">
        <v>47</v>
      </c>
      <c r="C31" s="84">
        <v>0.57399999999999995</v>
      </c>
      <c r="D31" s="84">
        <v>10.981</v>
      </c>
      <c r="E31" s="84">
        <v>2.5979999999999999</v>
      </c>
      <c r="F31" s="84">
        <v>2.5979999999999999</v>
      </c>
      <c r="G31" s="84">
        <v>10.407</v>
      </c>
      <c r="H31" s="85">
        <v>5.5155184010761985E-2</v>
      </c>
      <c r="I31" s="85">
        <v>0.24963966560968578</v>
      </c>
      <c r="J31" s="87">
        <v>0.30479484962044778</v>
      </c>
      <c r="K31" s="83">
        <v>47</v>
      </c>
      <c r="L31" s="84">
        <v>0.57399999999999995</v>
      </c>
      <c r="M31" s="84">
        <v>12.316000000000001</v>
      </c>
      <c r="N31" s="86">
        <v>0.59699999999999998</v>
      </c>
      <c r="O31" s="84">
        <v>0.59699999999999998</v>
      </c>
      <c r="P31" s="84">
        <v>11.742000000000001</v>
      </c>
      <c r="Q31" s="85">
        <v>4.8884346789303347E-2</v>
      </c>
      <c r="R31" s="85">
        <v>5.0843127235564632E-2</v>
      </c>
      <c r="S31" s="87">
        <v>9.9727474024867979E-2</v>
      </c>
      <c r="T31" s="83">
        <v>47</v>
      </c>
      <c r="U31" s="88">
        <v>0.57399999999999995</v>
      </c>
      <c r="V31" s="88">
        <v>11.6485</v>
      </c>
      <c r="W31" s="88">
        <v>1.5974999999999999</v>
      </c>
      <c r="X31" s="88">
        <v>0.49299999999999999</v>
      </c>
      <c r="Y31" s="88">
        <v>5.8960000000000008</v>
      </c>
      <c r="Z31" s="29">
        <v>4.9533799533799529E-2</v>
      </c>
      <c r="AA31" s="29">
        <v>9.5765345765345747E-2</v>
      </c>
      <c r="AB31" s="89">
        <v>0.14529914529914528</v>
      </c>
    </row>
    <row r="32" spans="2:28">
      <c r="B32" s="75">
        <v>48</v>
      </c>
      <c r="C32" s="76">
        <v>0.54300000000000004</v>
      </c>
      <c r="D32" s="76">
        <v>11.295</v>
      </c>
      <c r="E32" s="76">
        <v>2.673</v>
      </c>
      <c r="F32" s="76">
        <v>2.673</v>
      </c>
      <c r="G32" s="76">
        <v>10.752000000000001</v>
      </c>
      <c r="H32" s="77">
        <v>5.0502232142857144E-2</v>
      </c>
      <c r="I32" s="77">
        <v>0.2486049107142857</v>
      </c>
      <c r="J32" s="78">
        <v>0.29910714285714285</v>
      </c>
      <c r="K32" s="75">
        <v>48</v>
      </c>
      <c r="L32" s="76">
        <v>0.54300000000000004</v>
      </c>
      <c r="M32" s="76">
        <v>12.648</v>
      </c>
      <c r="N32" s="79">
        <v>0.60799999999999998</v>
      </c>
      <c r="O32" s="76">
        <v>0.60799999999999998</v>
      </c>
      <c r="P32" s="76">
        <v>12.105</v>
      </c>
      <c r="Q32" s="77">
        <v>4.4857496902106567E-2</v>
      </c>
      <c r="R32" s="77">
        <v>5.0227178851714162E-2</v>
      </c>
      <c r="S32" s="78">
        <v>9.5084675753820735E-2</v>
      </c>
      <c r="T32" s="75">
        <v>48</v>
      </c>
      <c r="U32" s="80">
        <v>0.54300000000000004</v>
      </c>
      <c r="V32" s="80">
        <v>11.971499999999999</v>
      </c>
      <c r="W32" s="80">
        <v>1.6405000000000001</v>
      </c>
      <c r="X32" s="80">
        <v>0.49299999999999999</v>
      </c>
      <c r="Y32" s="80">
        <v>5.8960000000000008</v>
      </c>
      <c r="Z32" s="81">
        <v>4.9533799533799529E-2</v>
      </c>
      <c r="AA32" s="81">
        <v>9.5765345765345747E-2</v>
      </c>
      <c r="AB32" s="82">
        <v>0.14529914529914528</v>
      </c>
    </row>
    <row r="33" spans="1:28">
      <c r="B33" s="83">
        <v>49</v>
      </c>
      <c r="C33" s="84">
        <v>0.50900000000000001</v>
      </c>
      <c r="D33" s="84">
        <v>11.619</v>
      </c>
      <c r="E33" s="84">
        <v>2.7480000000000002</v>
      </c>
      <c r="F33" s="84">
        <v>2.7480000000000002</v>
      </c>
      <c r="G33" s="84">
        <v>11.11</v>
      </c>
      <c r="H33" s="85">
        <v>4.581458145814582E-2</v>
      </c>
      <c r="I33" s="85">
        <v>0.24734473447344738</v>
      </c>
      <c r="J33" s="87">
        <v>0.29315931593159317</v>
      </c>
      <c r="K33" s="83">
        <v>49</v>
      </c>
      <c r="L33" s="84">
        <v>0.50900000000000001</v>
      </c>
      <c r="M33" s="84">
        <v>12.991</v>
      </c>
      <c r="N33" s="86">
        <v>0.61799999999999999</v>
      </c>
      <c r="O33" s="84">
        <v>0.61799999999999999</v>
      </c>
      <c r="P33" s="84">
        <v>12.481999999999999</v>
      </c>
      <c r="Q33" s="85">
        <v>4.0778721358756612E-2</v>
      </c>
      <c r="R33" s="85">
        <v>4.9511296266623941E-2</v>
      </c>
      <c r="S33" s="87">
        <v>9.0290017625380553E-2</v>
      </c>
      <c r="T33" s="83">
        <v>49</v>
      </c>
      <c r="U33" s="88">
        <v>0.50900000000000001</v>
      </c>
      <c r="V33" s="88">
        <v>12.305</v>
      </c>
      <c r="W33" s="88">
        <v>1.6830000000000001</v>
      </c>
      <c r="X33" s="88">
        <v>0.49299999999999999</v>
      </c>
      <c r="Y33" s="88">
        <v>5.8960000000000008</v>
      </c>
      <c r="Z33" s="29">
        <v>4.9533799533799529E-2</v>
      </c>
      <c r="AA33" s="29">
        <v>9.5765345765345747E-2</v>
      </c>
      <c r="AB33" s="89">
        <v>0.14529914529914528</v>
      </c>
    </row>
    <row r="34" spans="1:28">
      <c r="B34" s="75">
        <v>50</v>
      </c>
      <c r="C34" s="76">
        <v>0.47199999999999998</v>
      </c>
      <c r="D34" s="76">
        <v>11.954000000000001</v>
      </c>
      <c r="E34" s="76">
        <v>2.82</v>
      </c>
      <c r="F34" s="76">
        <v>2.82</v>
      </c>
      <c r="G34" s="76">
        <v>11.482000000000001</v>
      </c>
      <c r="H34" s="77">
        <v>4.1107820937118962E-2</v>
      </c>
      <c r="I34" s="77">
        <v>0.24560181153109212</v>
      </c>
      <c r="J34" s="78">
        <v>0.28670963246821107</v>
      </c>
      <c r="K34" s="75">
        <v>50</v>
      </c>
      <c r="L34" s="76">
        <v>0.47199999999999998</v>
      </c>
      <c r="M34" s="76">
        <v>13.343999999999999</v>
      </c>
      <c r="N34" s="79">
        <v>0.627</v>
      </c>
      <c r="O34" s="76">
        <v>0.627</v>
      </c>
      <c r="P34" s="76">
        <v>12.872</v>
      </c>
      <c r="Q34" s="77">
        <v>3.6668738346799255E-2</v>
      </c>
      <c r="R34" s="77">
        <v>4.8710379117464266E-2</v>
      </c>
      <c r="S34" s="78">
        <v>8.5379117464263521E-2</v>
      </c>
      <c r="T34" s="75">
        <v>50</v>
      </c>
      <c r="U34" s="80">
        <v>0.47199999999999998</v>
      </c>
      <c r="V34" s="80">
        <v>12.649000000000001</v>
      </c>
      <c r="W34" s="80">
        <v>1.7235</v>
      </c>
      <c r="X34" s="80">
        <v>0.49299999999999999</v>
      </c>
      <c r="Y34" s="80">
        <v>5.8960000000000008</v>
      </c>
      <c r="Z34" s="81">
        <v>4.9533799533799529E-2</v>
      </c>
      <c r="AA34" s="81">
        <v>9.5765345765345747E-2</v>
      </c>
      <c r="AB34" s="82">
        <v>0.14529914529914528</v>
      </c>
    </row>
    <row r="35" spans="1:28">
      <c r="B35" s="83">
        <v>51</v>
      </c>
      <c r="C35" s="84">
        <v>0.43099999999999999</v>
      </c>
      <c r="D35" s="84">
        <v>12.3</v>
      </c>
      <c r="E35" s="84">
        <v>2.891</v>
      </c>
      <c r="F35" s="84">
        <v>2.891</v>
      </c>
      <c r="G35" s="84">
        <v>11.869000000000002</v>
      </c>
      <c r="H35" s="85">
        <v>3.6313084505855582E-2</v>
      </c>
      <c r="I35" s="85">
        <v>0.24357570140702667</v>
      </c>
      <c r="J35" s="87">
        <v>0.27988878591288224</v>
      </c>
      <c r="K35" s="83">
        <v>51</v>
      </c>
      <c r="L35" s="84">
        <v>0.43099999999999999</v>
      </c>
      <c r="M35" s="84">
        <v>13.707000000000001</v>
      </c>
      <c r="N35" s="86">
        <v>0.63500000000000001</v>
      </c>
      <c r="O35" s="84">
        <v>0.63500000000000001</v>
      </c>
      <c r="P35" s="84">
        <v>13.276000000000002</v>
      </c>
      <c r="Q35" s="85">
        <v>3.2464597770412773E-2</v>
      </c>
      <c r="R35" s="85">
        <v>4.7830671889123225E-2</v>
      </c>
      <c r="S35" s="87">
        <v>8.0295269659535998E-2</v>
      </c>
      <c r="T35" s="83">
        <v>51</v>
      </c>
      <c r="U35" s="88">
        <v>0.43099999999999999</v>
      </c>
      <c r="V35" s="88">
        <v>13.003500000000001</v>
      </c>
      <c r="W35" s="88">
        <v>1.7629999999999999</v>
      </c>
      <c r="X35" s="88">
        <v>0.49299999999999999</v>
      </c>
      <c r="Y35" s="88">
        <v>5.8960000000000008</v>
      </c>
      <c r="Z35" s="29">
        <v>4.9533799533799529E-2</v>
      </c>
      <c r="AA35" s="29">
        <v>9.5765345765345747E-2</v>
      </c>
      <c r="AB35" s="89">
        <v>0.14529914529914528</v>
      </c>
    </row>
    <row r="36" spans="1:28">
      <c r="B36" s="75">
        <v>52</v>
      </c>
      <c r="C36" s="76">
        <v>0.38800000000000001</v>
      </c>
      <c r="D36" s="76">
        <v>12.659000000000001</v>
      </c>
      <c r="E36" s="76">
        <v>2.96</v>
      </c>
      <c r="F36" s="76">
        <v>2.96</v>
      </c>
      <c r="G36" s="76">
        <v>12.271000000000001</v>
      </c>
      <c r="H36" s="77">
        <v>3.1619264933583247E-2</v>
      </c>
      <c r="I36" s="77">
        <v>0.24121913454486185</v>
      </c>
      <c r="J36" s="78">
        <v>0.27283839947844513</v>
      </c>
      <c r="K36" s="75">
        <v>52</v>
      </c>
      <c r="L36" s="76">
        <v>0.38800000000000001</v>
      </c>
      <c r="M36" s="76">
        <v>14.083</v>
      </c>
      <c r="N36" s="79">
        <v>0.64300000000000002</v>
      </c>
      <c r="O36" s="76">
        <v>0.64300000000000002</v>
      </c>
      <c r="P36" s="76">
        <v>13.695</v>
      </c>
      <c r="Q36" s="77">
        <v>2.8331507849580138E-2</v>
      </c>
      <c r="R36" s="77">
        <v>4.6951442132165025E-2</v>
      </c>
      <c r="S36" s="78">
        <v>7.5282949981745159E-2</v>
      </c>
      <c r="T36" s="75">
        <v>52</v>
      </c>
      <c r="U36" s="80">
        <v>0.38800000000000001</v>
      </c>
      <c r="V36" s="80">
        <v>13.371</v>
      </c>
      <c r="W36" s="80">
        <v>1.8014999999999999</v>
      </c>
      <c r="X36" s="80">
        <v>0.49299999999999999</v>
      </c>
      <c r="Y36" s="80">
        <v>5.8960000000000008</v>
      </c>
      <c r="Z36" s="81">
        <v>4.9533799533799529E-2</v>
      </c>
      <c r="AA36" s="81">
        <v>9.5765345765345747E-2</v>
      </c>
      <c r="AB36" s="82">
        <v>0.14529914529914528</v>
      </c>
    </row>
    <row r="37" spans="1:28">
      <c r="B37" s="83">
        <v>53</v>
      </c>
      <c r="C37" s="84">
        <v>0.34100000000000003</v>
      </c>
      <c r="D37" s="84">
        <v>13.031000000000001</v>
      </c>
      <c r="E37" s="84">
        <v>3.0270000000000001</v>
      </c>
      <c r="F37" s="84">
        <v>3.0270000000000001</v>
      </c>
      <c r="G37" s="84">
        <v>12.690000000000001</v>
      </c>
      <c r="H37" s="85">
        <v>2.6871552403467298E-2</v>
      </c>
      <c r="I37" s="85">
        <v>0.23853427895981086</v>
      </c>
      <c r="J37" s="87">
        <v>0.26540583136327817</v>
      </c>
      <c r="K37" s="83">
        <v>53</v>
      </c>
      <c r="L37" s="84">
        <v>0.34100000000000003</v>
      </c>
      <c r="M37" s="84">
        <v>14.47</v>
      </c>
      <c r="N37" s="86">
        <v>0.64900000000000002</v>
      </c>
      <c r="O37" s="84">
        <v>0.64900000000000002</v>
      </c>
      <c r="P37" s="84">
        <v>14.129000000000001</v>
      </c>
      <c r="Q37" s="85">
        <v>2.4134758298534929E-2</v>
      </c>
      <c r="R37" s="85">
        <v>4.5933894826243896E-2</v>
      </c>
      <c r="S37" s="87">
        <v>7.0068653124778821E-2</v>
      </c>
      <c r="T37" s="83">
        <v>53</v>
      </c>
      <c r="U37" s="88">
        <v>0.34100000000000003</v>
      </c>
      <c r="V37" s="88">
        <v>13.750500000000001</v>
      </c>
      <c r="W37" s="88">
        <v>1.8380000000000001</v>
      </c>
      <c r="X37" s="88">
        <v>0.49299999999999999</v>
      </c>
      <c r="Y37" s="88">
        <v>5.8960000000000008</v>
      </c>
      <c r="Z37" s="29">
        <v>4.9533799533799529E-2</v>
      </c>
      <c r="AA37" s="29">
        <v>9.5765345765345747E-2</v>
      </c>
      <c r="AB37" s="89">
        <v>0.14529914529914528</v>
      </c>
    </row>
    <row r="38" spans="1:28">
      <c r="B38" s="75">
        <v>54</v>
      </c>
      <c r="C38" s="76">
        <v>0.29199999999999998</v>
      </c>
      <c r="D38" s="76">
        <v>13.417999999999999</v>
      </c>
      <c r="E38" s="76">
        <v>3.093</v>
      </c>
      <c r="F38" s="76">
        <v>3.093</v>
      </c>
      <c r="G38" s="76">
        <v>13.125999999999999</v>
      </c>
      <c r="H38" s="77">
        <v>2.2245924120067043E-2</v>
      </c>
      <c r="I38" s="77">
        <v>0.23563918939509371</v>
      </c>
      <c r="J38" s="78">
        <v>0.25788511351516075</v>
      </c>
      <c r="K38" s="75">
        <v>54</v>
      </c>
      <c r="L38" s="76">
        <v>0.29199999999999998</v>
      </c>
      <c r="M38" s="76">
        <v>14.87</v>
      </c>
      <c r="N38" s="79">
        <v>0.65400000000000003</v>
      </c>
      <c r="O38" s="76">
        <v>0.65400000000000003</v>
      </c>
      <c r="P38" s="76">
        <v>14.577999999999999</v>
      </c>
      <c r="Q38" s="77">
        <v>2.0030182466730689E-2</v>
      </c>
      <c r="R38" s="77">
        <v>4.4862121004252985E-2</v>
      </c>
      <c r="S38" s="78">
        <v>6.4892303470983681E-2</v>
      </c>
      <c r="T38" s="75">
        <v>54</v>
      </c>
      <c r="U38" s="80">
        <v>0.29199999999999998</v>
      </c>
      <c r="V38" s="80">
        <v>14.143999999999998</v>
      </c>
      <c r="W38" s="80">
        <v>1.8734999999999999</v>
      </c>
      <c r="X38" s="80">
        <v>0.49299999999999999</v>
      </c>
      <c r="Y38" s="80">
        <v>5.8960000000000008</v>
      </c>
      <c r="Z38" s="81">
        <v>4.9533799533799529E-2</v>
      </c>
      <c r="AA38" s="81">
        <v>9.5765345765345747E-2</v>
      </c>
      <c r="AB38" s="82">
        <v>0.14529914529914528</v>
      </c>
    </row>
    <row r="39" spans="1:28">
      <c r="B39" s="83">
        <v>55</v>
      </c>
      <c r="C39" s="84">
        <v>0.24</v>
      </c>
      <c r="D39" s="84">
        <v>13.818</v>
      </c>
      <c r="E39" s="84">
        <v>3.157</v>
      </c>
      <c r="F39" s="84">
        <v>3.157</v>
      </c>
      <c r="G39" s="84">
        <v>13.577999999999999</v>
      </c>
      <c r="H39" s="85">
        <v>1.7675651789659744E-2</v>
      </c>
      <c r="I39" s="85">
        <v>0.23250846958314922</v>
      </c>
      <c r="J39" s="87">
        <v>0.25018412137280899</v>
      </c>
      <c r="K39" s="83">
        <v>55</v>
      </c>
      <c r="L39" s="84">
        <v>0.24</v>
      </c>
      <c r="M39" s="84">
        <v>15.284000000000001</v>
      </c>
      <c r="N39" s="86">
        <v>0.65800000000000003</v>
      </c>
      <c r="O39" s="84">
        <v>0.65800000000000003</v>
      </c>
      <c r="P39" s="84">
        <v>15.044</v>
      </c>
      <c r="Q39" s="85">
        <v>1.5953203935123637E-2</v>
      </c>
      <c r="R39" s="85">
        <v>4.3738367455463972E-2</v>
      </c>
      <c r="S39" s="87">
        <v>5.969157139058761E-2</v>
      </c>
      <c r="T39" s="83">
        <v>55</v>
      </c>
      <c r="U39" s="88">
        <v>0.24</v>
      </c>
      <c r="V39" s="88">
        <v>14.551</v>
      </c>
      <c r="W39" s="88">
        <v>1.9075</v>
      </c>
      <c r="X39" s="88">
        <v>0.49299999999999999</v>
      </c>
      <c r="Y39" s="88">
        <v>5.8960000000000008</v>
      </c>
      <c r="Z39" s="29">
        <v>4.9533799533799529E-2</v>
      </c>
      <c r="AA39" s="29">
        <v>9.5765345765345747E-2</v>
      </c>
      <c r="AB39" s="89">
        <v>0.14529914529914528</v>
      </c>
    </row>
    <row r="40" spans="1:28">
      <c r="B40" s="75">
        <v>56</v>
      </c>
      <c r="C40" s="76">
        <v>0.188</v>
      </c>
      <c r="D40" s="76">
        <v>14.234999999999999</v>
      </c>
      <c r="E40" s="76">
        <v>3.22</v>
      </c>
      <c r="F40" s="76">
        <v>3.22</v>
      </c>
      <c r="G40" s="76">
        <v>14.046999999999999</v>
      </c>
      <c r="H40" s="77">
        <v>1.3383640635011036E-2</v>
      </c>
      <c r="I40" s="77">
        <v>0.22923044066348691</v>
      </c>
      <c r="J40" s="78">
        <v>0.24261408129849796</v>
      </c>
      <c r="K40" s="75">
        <v>56</v>
      </c>
      <c r="L40" s="76">
        <v>0.188</v>
      </c>
      <c r="M40" s="76">
        <v>15.712999999999999</v>
      </c>
      <c r="N40" s="79">
        <v>0.66100000000000003</v>
      </c>
      <c r="O40" s="76">
        <v>0.66100000000000003</v>
      </c>
      <c r="P40" s="76">
        <v>15.524999999999999</v>
      </c>
      <c r="Q40" s="77">
        <v>1.2109500805152979E-2</v>
      </c>
      <c r="R40" s="77">
        <v>4.2576489533011276E-2</v>
      </c>
      <c r="S40" s="78">
        <v>5.4685990338164257E-2</v>
      </c>
      <c r="T40" s="75">
        <v>56</v>
      </c>
      <c r="U40" s="80">
        <v>0.188</v>
      </c>
      <c r="V40" s="80">
        <v>14.974</v>
      </c>
      <c r="W40" s="80">
        <v>1.9405000000000001</v>
      </c>
      <c r="X40" s="80">
        <v>0.49299999999999999</v>
      </c>
      <c r="Y40" s="80">
        <v>5.8960000000000008</v>
      </c>
      <c r="Z40" s="81">
        <v>4.9533799533799529E-2</v>
      </c>
      <c r="AA40" s="81">
        <v>9.5765345765345747E-2</v>
      </c>
      <c r="AB40" s="82">
        <v>0.14529914529914528</v>
      </c>
    </row>
    <row r="41" spans="1:28">
      <c r="B41" s="83">
        <v>57</v>
      </c>
      <c r="C41" s="84">
        <v>0.13600000000000001</v>
      </c>
      <c r="D41" s="84">
        <v>14.669</v>
      </c>
      <c r="E41" s="84">
        <v>3.2829999999999999</v>
      </c>
      <c r="F41" s="84">
        <v>3.2829999999999999</v>
      </c>
      <c r="G41" s="84">
        <v>14.533000000000001</v>
      </c>
      <c r="H41" s="85">
        <v>9.35801279845868E-3</v>
      </c>
      <c r="I41" s="85">
        <v>0.22589967659808707</v>
      </c>
      <c r="J41" s="87">
        <v>0.23525768939654576</v>
      </c>
      <c r="K41" s="83">
        <v>57</v>
      </c>
      <c r="L41" s="84">
        <v>0.13600000000000001</v>
      </c>
      <c r="M41" s="84">
        <v>16.158999999999999</v>
      </c>
      <c r="N41" s="86">
        <v>0.66400000000000003</v>
      </c>
      <c r="O41" s="84">
        <v>0.66400000000000003</v>
      </c>
      <c r="P41" s="84">
        <v>16.023</v>
      </c>
      <c r="Q41" s="85">
        <v>8.4877987892404676E-3</v>
      </c>
      <c r="R41" s="85">
        <v>4.1440429382762281E-2</v>
      </c>
      <c r="S41" s="87">
        <v>4.992822817200275E-2</v>
      </c>
      <c r="T41" s="83">
        <v>57</v>
      </c>
      <c r="U41" s="88">
        <v>0.13600000000000001</v>
      </c>
      <c r="V41" s="88">
        <v>15.414</v>
      </c>
      <c r="W41" s="88">
        <v>1.9735</v>
      </c>
      <c r="X41" s="88">
        <v>0.49299999999999999</v>
      </c>
      <c r="Y41" s="88">
        <v>5.8960000000000008</v>
      </c>
      <c r="Z41" s="29">
        <v>4.9533799533799529E-2</v>
      </c>
      <c r="AA41" s="29">
        <v>9.5765345765345747E-2</v>
      </c>
      <c r="AB41" s="89">
        <v>0.14529914529914528</v>
      </c>
    </row>
    <row r="42" spans="1:28">
      <c r="B42" s="75">
        <v>58</v>
      </c>
      <c r="C42" s="76">
        <v>8.8999999999999996E-2</v>
      </c>
      <c r="D42" s="76">
        <v>15.122</v>
      </c>
      <c r="E42" s="76">
        <v>3.3490000000000002</v>
      </c>
      <c r="F42" s="76">
        <v>3.3490000000000002</v>
      </c>
      <c r="G42" s="76">
        <v>15.032999999999999</v>
      </c>
      <c r="H42" s="77">
        <v>5.9203086542938864E-3</v>
      </c>
      <c r="I42" s="77">
        <v>0.22277655823854189</v>
      </c>
      <c r="J42" s="78">
        <v>0.22869686689283578</v>
      </c>
      <c r="K42" s="75">
        <v>58</v>
      </c>
      <c r="L42" s="76">
        <v>8.8999999999999996E-2</v>
      </c>
      <c r="M42" s="76">
        <v>16.626000000000001</v>
      </c>
      <c r="N42" s="79">
        <v>0.66700000000000004</v>
      </c>
      <c r="O42" s="76">
        <v>0.66700000000000004</v>
      </c>
      <c r="P42" s="76">
        <v>16.537000000000003</v>
      </c>
      <c r="Q42" s="77">
        <v>5.381870956037974E-3</v>
      </c>
      <c r="R42" s="77">
        <v>4.0333796940194712E-2</v>
      </c>
      <c r="S42" s="78">
        <v>4.5715667896232687E-2</v>
      </c>
      <c r="T42" s="75">
        <v>58</v>
      </c>
      <c r="U42" s="80">
        <v>8.8999999999999996E-2</v>
      </c>
      <c r="V42" s="80">
        <v>15.874000000000001</v>
      </c>
      <c r="W42" s="80">
        <v>2.008</v>
      </c>
      <c r="X42" s="80">
        <v>0.49299999999999999</v>
      </c>
      <c r="Y42" s="80">
        <v>5.8960000000000008</v>
      </c>
      <c r="Z42" s="81">
        <v>4.9533799533799529E-2</v>
      </c>
      <c r="AA42" s="81">
        <v>9.5765345765345747E-2</v>
      </c>
      <c r="AB42" s="82">
        <v>0.14529914529914528</v>
      </c>
    </row>
    <row r="43" spans="1:28">
      <c r="B43" s="83">
        <v>59</v>
      </c>
      <c r="C43" s="84">
        <v>4.9000000000000002E-2</v>
      </c>
      <c r="D43" s="84">
        <v>15.597</v>
      </c>
      <c r="E43" s="84">
        <v>3.4159999999999999</v>
      </c>
      <c r="F43" s="84">
        <v>3.4159999999999999</v>
      </c>
      <c r="G43" s="84">
        <v>15.548</v>
      </c>
      <c r="H43" s="85">
        <v>3.1515307435039876E-3</v>
      </c>
      <c r="I43" s="85">
        <v>0.21970671468999228</v>
      </c>
      <c r="J43" s="87">
        <v>0.22285824543349628</v>
      </c>
      <c r="K43" s="83">
        <v>59</v>
      </c>
      <c r="L43" s="84">
        <v>4.9000000000000002E-2</v>
      </c>
      <c r="M43" s="84">
        <v>17.117000000000001</v>
      </c>
      <c r="N43" s="86">
        <v>0.67</v>
      </c>
      <c r="O43" s="84">
        <v>0.67</v>
      </c>
      <c r="P43" s="84">
        <v>17.068000000000001</v>
      </c>
      <c r="Q43" s="85">
        <v>2.8708694633231779E-3</v>
      </c>
      <c r="R43" s="85">
        <v>3.925474572299039E-2</v>
      </c>
      <c r="S43" s="87">
        <v>4.2125615186313567E-2</v>
      </c>
      <c r="T43" s="83">
        <v>59</v>
      </c>
      <c r="U43" s="88">
        <v>4.9000000000000002E-2</v>
      </c>
      <c r="V43" s="88">
        <v>16.356999999999999</v>
      </c>
      <c r="W43" s="88">
        <v>2.0430000000000001</v>
      </c>
      <c r="X43" s="88">
        <v>0.49299999999999999</v>
      </c>
      <c r="Y43" s="88">
        <v>5.8960000000000008</v>
      </c>
      <c r="Z43" s="29">
        <v>4.9533799533799529E-2</v>
      </c>
      <c r="AA43" s="29">
        <v>9.5765345765345747E-2</v>
      </c>
      <c r="AB43" s="89">
        <v>0.14529914529914528</v>
      </c>
    </row>
    <row r="44" spans="1:28">
      <c r="B44" s="75">
        <v>60</v>
      </c>
      <c r="C44" s="76">
        <v>2.1000000000000001E-2</v>
      </c>
      <c r="D44" s="76">
        <v>16.097000000000001</v>
      </c>
      <c r="E44" s="76">
        <v>3.4870000000000001</v>
      </c>
      <c r="F44" s="76">
        <v>3.4870000000000001</v>
      </c>
      <c r="G44" s="76">
        <v>16.076000000000001</v>
      </c>
      <c r="H44" s="77">
        <v>1.3062950982831551E-3</v>
      </c>
      <c r="I44" s="77">
        <v>0.21690719084349341</v>
      </c>
      <c r="J44" s="78">
        <v>0.21821348594177656</v>
      </c>
      <c r="K44" s="75">
        <v>60</v>
      </c>
      <c r="L44" s="76">
        <v>2.1000000000000001E-2</v>
      </c>
      <c r="M44" s="76">
        <v>17.635000000000002</v>
      </c>
      <c r="N44" s="79">
        <v>0.67300000000000004</v>
      </c>
      <c r="O44" s="76">
        <v>0.67300000000000004</v>
      </c>
      <c r="P44" s="76">
        <v>17.614000000000001</v>
      </c>
      <c r="Q44" s="77">
        <v>1.1922334506642444E-3</v>
      </c>
      <c r="R44" s="77">
        <v>3.8208243442716019E-2</v>
      </c>
      <c r="S44" s="78">
        <v>3.9400476893380262E-2</v>
      </c>
      <c r="T44" s="75">
        <v>60</v>
      </c>
      <c r="U44" s="80">
        <v>2.1000000000000001E-2</v>
      </c>
      <c r="V44" s="80">
        <v>16.866</v>
      </c>
      <c r="W44" s="80">
        <v>2.08</v>
      </c>
      <c r="X44" s="80">
        <v>0.49299999999999999</v>
      </c>
      <c r="Y44" s="80">
        <v>5.8960000000000008</v>
      </c>
      <c r="Z44" s="81">
        <v>4.9533799533799529E-2</v>
      </c>
      <c r="AA44" s="81">
        <v>9.5765345765345747E-2</v>
      </c>
      <c r="AB44" s="82">
        <v>0.14529914529914528</v>
      </c>
    </row>
    <row r="45" spans="1:28">
      <c r="B45" s="83">
        <v>61</v>
      </c>
      <c r="C45" s="84">
        <v>4.0000000000000001E-3</v>
      </c>
      <c r="D45" s="84">
        <v>16.626000000000001</v>
      </c>
      <c r="E45" s="84">
        <v>3.5619999999999998</v>
      </c>
      <c r="F45" s="84">
        <v>3.5619999999999998</v>
      </c>
      <c r="G45" s="84">
        <v>16.622</v>
      </c>
      <c r="H45" s="85">
        <v>2.406449284081338E-4</v>
      </c>
      <c r="I45" s="85">
        <v>0.21429430874744315</v>
      </c>
      <c r="J45" s="87">
        <v>0.21453495367585129</v>
      </c>
      <c r="K45" s="83">
        <v>61</v>
      </c>
      <c r="L45" s="84">
        <v>4.0000000000000001E-3</v>
      </c>
      <c r="M45" s="84">
        <v>18.184999999999999</v>
      </c>
      <c r="N45" s="86">
        <v>0.67600000000000005</v>
      </c>
      <c r="O45" s="84">
        <v>0.67600000000000005</v>
      </c>
      <c r="P45" s="84">
        <v>18.180999999999997</v>
      </c>
      <c r="Q45" s="85">
        <v>2.2000990044552008E-4</v>
      </c>
      <c r="R45" s="85">
        <v>3.7181673175292897E-2</v>
      </c>
      <c r="S45" s="87">
        <v>3.7401683075738414E-2</v>
      </c>
      <c r="T45" s="83">
        <v>61</v>
      </c>
      <c r="U45" s="88">
        <v>4.0000000000000001E-3</v>
      </c>
      <c r="V45" s="88">
        <v>17.4055</v>
      </c>
      <c r="W45" s="88">
        <v>2.1189999999999998</v>
      </c>
      <c r="X45" s="88">
        <v>0.49299999999999999</v>
      </c>
      <c r="Y45" s="88">
        <v>5.8960000000000008</v>
      </c>
      <c r="Z45" s="29">
        <v>4.9533799533799529E-2</v>
      </c>
      <c r="AA45" s="29">
        <v>9.5765345765345747E-2</v>
      </c>
      <c r="AB45" s="89">
        <v>0.14529914529914528</v>
      </c>
    </row>
    <row r="46" spans="1:28">
      <c r="A46" s="43"/>
      <c r="B46" s="90">
        <v>62</v>
      </c>
      <c r="C46" s="91">
        <v>0</v>
      </c>
      <c r="D46" s="91">
        <v>17.187000000000001</v>
      </c>
      <c r="E46" s="91">
        <v>3.6219999999999999</v>
      </c>
      <c r="F46" s="91">
        <v>3.6219999999999999</v>
      </c>
      <c r="G46" s="91">
        <v>17.187000000000001</v>
      </c>
      <c r="H46" s="92">
        <v>0</v>
      </c>
      <c r="I46" s="92">
        <v>0.21074067609239538</v>
      </c>
      <c r="J46" s="93">
        <v>0.21074067609239538</v>
      </c>
      <c r="K46" s="90">
        <v>62</v>
      </c>
      <c r="L46" s="91">
        <v>0</v>
      </c>
      <c r="M46" s="91">
        <v>18.765999999999998</v>
      </c>
      <c r="N46" s="94">
        <v>0.67600000000000005</v>
      </c>
      <c r="O46" s="91">
        <v>0.67600000000000005</v>
      </c>
      <c r="P46" s="91">
        <v>18.765999999999998</v>
      </c>
      <c r="Q46" s="92">
        <v>0</v>
      </c>
      <c r="R46" s="92">
        <v>3.6022594053074716E-2</v>
      </c>
      <c r="S46" s="93">
        <v>3.6022594053074716E-2</v>
      </c>
      <c r="T46" s="90">
        <v>62</v>
      </c>
      <c r="U46" s="95">
        <v>0</v>
      </c>
      <c r="V46" s="95">
        <v>17.976500000000001</v>
      </c>
      <c r="W46" s="95">
        <v>2.149</v>
      </c>
      <c r="X46" s="95">
        <v>0.49299999999999999</v>
      </c>
      <c r="Y46" s="95">
        <v>5.8960000000000008</v>
      </c>
      <c r="Z46" s="96">
        <v>4.9533799533799529E-2</v>
      </c>
      <c r="AA46" s="96">
        <v>9.5765345765345747E-2</v>
      </c>
      <c r="AB46" s="97">
        <v>0.14529914529914528</v>
      </c>
    </row>
    <row r="47" spans="1:28">
      <c r="B47" s="83">
        <v>63</v>
      </c>
      <c r="C47" s="84">
        <v>0</v>
      </c>
      <c r="D47" s="84">
        <v>16.815000000000001</v>
      </c>
      <c r="E47" s="84">
        <v>3.6419999999999999</v>
      </c>
      <c r="F47" s="84">
        <v>3.6419999999999999</v>
      </c>
      <c r="G47" s="84">
        <v>16.815000000000001</v>
      </c>
      <c r="H47" s="85">
        <v>0</v>
      </c>
      <c r="I47" s="85">
        <v>0.21659232827832289</v>
      </c>
      <c r="J47" s="87">
        <v>0.21659232827832289</v>
      </c>
      <c r="K47" s="83">
        <v>63</v>
      </c>
      <c r="L47" s="84">
        <v>0</v>
      </c>
      <c r="M47" s="84">
        <v>18.393000000000001</v>
      </c>
      <c r="N47" s="86">
        <v>0.65900000000000003</v>
      </c>
      <c r="O47" s="84">
        <v>0.65900000000000003</v>
      </c>
      <c r="P47" s="84">
        <v>18.393000000000001</v>
      </c>
      <c r="Q47" s="85">
        <v>0</v>
      </c>
      <c r="R47" s="85">
        <v>3.5828847931278204E-2</v>
      </c>
      <c r="S47" s="87">
        <v>3.5828847931278204E-2</v>
      </c>
      <c r="T47" s="83">
        <v>63</v>
      </c>
      <c r="U47" s="88">
        <v>0</v>
      </c>
      <c r="V47" s="88">
        <v>17.603999999999999</v>
      </c>
      <c r="W47" s="88">
        <v>2.1505000000000001</v>
      </c>
      <c r="X47" s="88">
        <v>0.49299999999999999</v>
      </c>
      <c r="Y47" s="88">
        <v>5.8960000000000008</v>
      </c>
      <c r="Z47" s="29">
        <v>4.9533799533799529E-2</v>
      </c>
      <c r="AA47" s="29">
        <v>9.5765345765345747E-2</v>
      </c>
      <c r="AB47" s="89">
        <v>0.14529914529914528</v>
      </c>
    </row>
    <row r="48" spans="1:28">
      <c r="B48" s="75">
        <v>64</v>
      </c>
      <c r="C48" s="76">
        <v>0</v>
      </c>
      <c r="D48" s="76">
        <v>16.437999999999999</v>
      </c>
      <c r="E48" s="76">
        <v>3.6579999999999999</v>
      </c>
      <c r="F48" s="76">
        <v>3.6579999999999999</v>
      </c>
      <c r="G48" s="76">
        <v>16.437999999999999</v>
      </c>
      <c r="H48" s="77">
        <v>0</v>
      </c>
      <c r="I48" s="77">
        <v>0.22253315488502251</v>
      </c>
      <c r="J48" s="78">
        <v>0.22253315488502251</v>
      </c>
      <c r="K48" s="75">
        <v>64</v>
      </c>
      <c r="L48" s="76">
        <v>0</v>
      </c>
      <c r="M48" s="76">
        <v>18.010999999999999</v>
      </c>
      <c r="N48" s="79">
        <v>0.64100000000000001</v>
      </c>
      <c r="O48" s="76">
        <v>0.64100000000000001</v>
      </c>
      <c r="P48" s="76">
        <v>18.010999999999999</v>
      </c>
      <c r="Q48" s="77">
        <v>0</v>
      </c>
      <c r="R48" s="77">
        <v>3.5589362056521016E-2</v>
      </c>
      <c r="S48" s="78">
        <v>3.5589362056521016E-2</v>
      </c>
      <c r="T48" s="75">
        <v>64</v>
      </c>
      <c r="U48" s="80">
        <v>0</v>
      </c>
      <c r="V48" s="80">
        <v>17.224499999999999</v>
      </c>
      <c r="W48" s="80">
        <v>2.1494999999999997</v>
      </c>
      <c r="X48" s="80">
        <v>0.49299999999999999</v>
      </c>
      <c r="Y48" s="80">
        <v>5.8960000000000008</v>
      </c>
      <c r="Z48" s="81">
        <v>4.9533799533799529E-2</v>
      </c>
      <c r="AA48" s="81">
        <v>9.5765345765345747E-2</v>
      </c>
      <c r="AB48" s="82">
        <v>0.14529914529914528</v>
      </c>
    </row>
    <row r="49" spans="2:28">
      <c r="B49" s="83">
        <v>65</v>
      </c>
      <c r="C49" s="84">
        <v>0</v>
      </c>
      <c r="D49" s="84">
        <v>16.053000000000001</v>
      </c>
      <c r="E49" s="84">
        <v>3.6680000000000001</v>
      </c>
      <c r="F49" s="84">
        <v>3.6680000000000001</v>
      </c>
      <c r="G49" s="84">
        <v>16.053000000000001</v>
      </c>
      <c r="H49" s="85">
        <v>0</v>
      </c>
      <c r="I49" s="85">
        <v>0.2284931165514234</v>
      </c>
      <c r="J49" s="87">
        <v>0.2284931165514234</v>
      </c>
      <c r="K49" s="83">
        <v>65</v>
      </c>
      <c r="L49" s="84">
        <v>0</v>
      </c>
      <c r="M49" s="84">
        <v>17.619</v>
      </c>
      <c r="N49" s="86">
        <v>0.623</v>
      </c>
      <c r="O49" s="84">
        <v>0.623</v>
      </c>
      <c r="P49" s="84">
        <v>17.619</v>
      </c>
      <c r="Q49" s="85">
        <v>0</v>
      </c>
      <c r="R49" s="85">
        <v>3.5359555025824392E-2</v>
      </c>
      <c r="S49" s="87">
        <v>3.5359555025824392E-2</v>
      </c>
      <c r="T49" s="83">
        <v>65</v>
      </c>
      <c r="U49" s="88">
        <v>0</v>
      </c>
      <c r="V49" s="88">
        <v>16.835999999999999</v>
      </c>
      <c r="W49" s="88">
        <v>2.1455000000000002</v>
      </c>
      <c r="X49" s="88">
        <v>0.49299999999999999</v>
      </c>
      <c r="Y49" s="88">
        <v>5.8960000000000008</v>
      </c>
      <c r="Z49" s="98">
        <v>4.9533799533799529E-2</v>
      </c>
      <c r="AA49" s="98">
        <v>9.5765345765345747E-2</v>
      </c>
      <c r="AB49" s="99">
        <v>0.14529914529914528</v>
      </c>
    </row>
    <row r="50" spans="2:28">
      <c r="B50" s="75">
        <v>66</v>
      </c>
      <c r="C50" s="76"/>
      <c r="D50" s="76">
        <v>15.661</v>
      </c>
      <c r="E50" s="76">
        <v>3.6739999999999999</v>
      </c>
      <c r="F50" s="76">
        <v>3.6739999999999999</v>
      </c>
      <c r="G50" s="76">
        <v>15.661</v>
      </c>
      <c r="H50" s="77">
        <v>0</v>
      </c>
      <c r="I50" s="77">
        <v>0.23459549198646318</v>
      </c>
      <c r="J50" s="78">
        <v>0.23459549198646318</v>
      </c>
      <c r="K50" s="75">
        <v>66</v>
      </c>
      <c r="L50" s="76">
        <v>0</v>
      </c>
      <c r="M50" s="76">
        <v>17.216999999999999</v>
      </c>
      <c r="N50" s="79">
        <v>0.60399999999999998</v>
      </c>
      <c r="O50" s="76">
        <v>0.60399999999999998</v>
      </c>
      <c r="P50" s="76">
        <v>17.216999999999999</v>
      </c>
      <c r="Q50" s="77">
        <v>0</v>
      </c>
      <c r="R50" s="77">
        <v>3.5081605390021489E-2</v>
      </c>
      <c r="S50" s="78">
        <v>3.5081605390021489E-2</v>
      </c>
      <c r="T50" s="75">
        <v>66</v>
      </c>
      <c r="U50" s="80">
        <v>0</v>
      </c>
      <c r="V50" s="80">
        <v>16.439</v>
      </c>
      <c r="W50" s="80">
        <v>2.1389999999999998</v>
      </c>
      <c r="X50" s="80">
        <v>0.49299999999999999</v>
      </c>
      <c r="Y50" s="80">
        <v>5.8960000000000008</v>
      </c>
      <c r="Z50" s="81">
        <v>4.9533799533799529E-2</v>
      </c>
      <c r="AA50" s="81">
        <v>9.5765345765345747E-2</v>
      </c>
      <c r="AB50" s="82">
        <v>0.14529914529914528</v>
      </c>
    </row>
    <row r="51" spans="2:28">
      <c r="B51" s="83">
        <v>67</v>
      </c>
      <c r="C51" s="84"/>
      <c r="D51" s="84">
        <v>15.260999999999999</v>
      </c>
      <c r="E51" s="84">
        <v>3.6779999999999999</v>
      </c>
      <c r="F51" s="84">
        <v>3.6779999999999999</v>
      </c>
      <c r="G51" s="84">
        <v>15.260999999999999</v>
      </c>
      <c r="H51" s="85">
        <v>0</v>
      </c>
      <c r="I51" s="85">
        <v>0.24100648712404169</v>
      </c>
      <c r="J51" s="87">
        <v>0.24100648712404169</v>
      </c>
      <c r="K51" s="83">
        <v>67</v>
      </c>
      <c r="L51" s="84">
        <v>0</v>
      </c>
      <c r="M51" s="84">
        <v>16.803000000000001</v>
      </c>
      <c r="N51" s="86">
        <v>0.58599999999999997</v>
      </c>
      <c r="O51" s="84">
        <v>0.58599999999999997</v>
      </c>
      <c r="P51" s="84">
        <v>16.803000000000001</v>
      </c>
      <c r="Q51" s="85">
        <v>0</v>
      </c>
      <c r="R51" s="85">
        <v>3.4874724751532464E-2</v>
      </c>
      <c r="S51" s="87">
        <v>3.4874724751532464E-2</v>
      </c>
      <c r="T51" s="83">
        <v>67</v>
      </c>
      <c r="U51" s="88">
        <v>0</v>
      </c>
      <c r="V51" s="88">
        <v>16.032</v>
      </c>
      <c r="W51" s="88">
        <v>2.1320000000000001</v>
      </c>
      <c r="X51" s="88">
        <v>0.49299999999999999</v>
      </c>
      <c r="Y51" s="88">
        <v>5.8960000000000008</v>
      </c>
      <c r="Z51" s="29">
        <v>4.9533799533799529E-2</v>
      </c>
      <c r="AA51" s="29">
        <v>9.5765345765345747E-2</v>
      </c>
      <c r="AB51" s="89">
        <v>0.14529914529914528</v>
      </c>
    </row>
    <row r="52" spans="2:28">
      <c r="B52" s="75">
        <v>68</v>
      </c>
      <c r="C52" s="76"/>
      <c r="D52" s="76">
        <v>14.851000000000001</v>
      </c>
      <c r="E52" s="76">
        <v>3.68</v>
      </c>
      <c r="F52" s="76">
        <v>3.68</v>
      </c>
      <c r="G52" s="76">
        <v>14.851000000000001</v>
      </c>
      <c r="H52" s="77">
        <v>0</v>
      </c>
      <c r="I52" s="77">
        <v>0.24779476129553565</v>
      </c>
      <c r="J52" s="78">
        <v>0.24779476129553565</v>
      </c>
      <c r="K52" s="75">
        <v>68</v>
      </c>
      <c r="L52" s="76">
        <v>0</v>
      </c>
      <c r="M52" s="76">
        <v>16.378</v>
      </c>
      <c r="N52" s="79">
        <v>0.56699999999999995</v>
      </c>
      <c r="O52" s="76">
        <v>0.56699999999999995</v>
      </c>
      <c r="P52" s="76">
        <v>16.378</v>
      </c>
      <c r="Q52" s="77">
        <v>0</v>
      </c>
      <c r="R52" s="77">
        <v>3.4619611674197089E-2</v>
      </c>
      <c r="S52" s="78">
        <v>3.4619611674197089E-2</v>
      </c>
      <c r="T52" s="75">
        <v>68</v>
      </c>
      <c r="U52" s="80">
        <v>0</v>
      </c>
      <c r="V52" s="80">
        <v>15.6145</v>
      </c>
      <c r="W52" s="80">
        <v>2.1234999999999999</v>
      </c>
      <c r="X52" s="80">
        <v>0.49299999999999999</v>
      </c>
      <c r="Y52" s="80">
        <v>5.8960000000000008</v>
      </c>
      <c r="Z52" s="81">
        <v>4.9533799533799529E-2</v>
      </c>
      <c r="AA52" s="81">
        <v>9.5765345765345747E-2</v>
      </c>
      <c r="AB52" s="82">
        <v>0.14529914529914528</v>
      </c>
    </row>
    <row r="53" spans="2:28">
      <c r="B53" s="83">
        <v>69</v>
      </c>
      <c r="C53" s="84"/>
      <c r="D53" s="84">
        <v>14.432</v>
      </c>
      <c r="E53" s="84">
        <v>3.681</v>
      </c>
      <c r="F53" s="84">
        <v>3.681</v>
      </c>
      <c r="G53" s="84">
        <v>14.432</v>
      </c>
      <c r="H53" s="85">
        <v>0</v>
      </c>
      <c r="I53" s="85">
        <v>0.25505820399113083</v>
      </c>
      <c r="J53" s="87">
        <v>0.25505820399113083</v>
      </c>
      <c r="K53" s="83">
        <v>69</v>
      </c>
      <c r="L53" s="84">
        <v>0</v>
      </c>
      <c r="M53" s="84">
        <v>15.94</v>
      </c>
      <c r="N53" s="86">
        <v>0.54900000000000004</v>
      </c>
      <c r="O53" s="84">
        <v>0.54900000000000004</v>
      </c>
      <c r="P53" s="84">
        <v>15.94</v>
      </c>
      <c r="Q53" s="85">
        <v>0</v>
      </c>
      <c r="R53" s="85">
        <v>3.4441656210790469E-2</v>
      </c>
      <c r="S53" s="87">
        <v>3.4441656210790469E-2</v>
      </c>
      <c r="T53" s="83">
        <v>69</v>
      </c>
      <c r="U53" s="88">
        <v>0</v>
      </c>
      <c r="V53" s="88">
        <v>15.186</v>
      </c>
      <c r="W53" s="88">
        <v>2.1150000000000002</v>
      </c>
      <c r="X53" s="88">
        <v>0.49299999999999999</v>
      </c>
      <c r="Y53" s="88">
        <v>5.8960000000000008</v>
      </c>
      <c r="Z53" s="29">
        <v>4.9533799533799529E-2</v>
      </c>
      <c r="AA53" s="29">
        <v>9.5765345765345747E-2</v>
      </c>
      <c r="AB53" s="89">
        <v>0.14529914529914528</v>
      </c>
    </row>
    <row r="54" spans="2:28">
      <c r="B54" s="75">
        <v>70</v>
      </c>
      <c r="C54" s="76"/>
      <c r="D54" s="76">
        <v>14.002000000000001</v>
      </c>
      <c r="E54" s="76">
        <v>3.6789999999999998</v>
      </c>
      <c r="F54" s="76">
        <v>3.6789999999999998</v>
      </c>
      <c r="G54" s="76">
        <v>14.002000000000001</v>
      </c>
      <c r="H54" s="77">
        <v>0</v>
      </c>
      <c r="I54" s="77">
        <v>0.26274817883159546</v>
      </c>
      <c r="J54" s="78">
        <v>0.26274817883159546</v>
      </c>
      <c r="K54" s="75">
        <v>70</v>
      </c>
      <c r="L54" s="76">
        <v>0</v>
      </c>
      <c r="M54" s="76">
        <v>15.49</v>
      </c>
      <c r="N54" s="79">
        <v>0.53</v>
      </c>
      <c r="O54" s="76">
        <v>0.53</v>
      </c>
      <c r="P54" s="76">
        <v>15.49</v>
      </c>
      <c r="Q54" s="77">
        <v>0</v>
      </c>
      <c r="R54" s="77">
        <v>3.4215622982569402E-2</v>
      </c>
      <c r="S54" s="78">
        <v>3.4215622982569402E-2</v>
      </c>
      <c r="T54" s="75">
        <v>70</v>
      </c>
      <c r="U54" s="80">
        <v>0</v>
      </c>
      <c r="V54" s="80">
        <v>14.746</v>
      </c>
      <c r="W54" s="80">
        <v>2.1044999999999998</v>
      </c>
      <c r="X54" s="80">
        <v>0.49299999999999999</v>
      </c>
      <c r="Y54" s="80">
        <v>5.8960000000000008</v>
      </c>
      <c r="Z54" s="81">
        <v>4.9533799533799529E-2</v>
      </c>
      <c r="AA54" s="81">
        <v>9.5765345765345747E-2</v>
      </c>
      <c r="AB54" s="82">
        <v>0.14529914529914528</v>
      </c>
    </row>
    <row r="55" spans="2:28">
      <c r="B55" s="83">
        <v>71</v>
      </c>
      <c r="C55" s="84"/>
      <c r="D55" s="84">
        <v>13.561999999999999</v>
      </c>
      <c r="E55" s="84">
        <v>3.6749999999999998</v>
      </c>
      <c r="F55" s="84">
        <v>3.6749999999999998</v>
      </c>
      <c r="G55" s="84">
        <v>13.561999999999999</v>
      </c>
      <c r="H55" s="85">
        <v>0</v>
      </c>
      <c r="I55" s="85">
        <v>0.27097773189795016</v>
      </c>
      <c r="J55" s="87">
        <v>0.27097773189795016</v>
      </c>
      <c r="K55" s="83">
        <v>71</v>
      </c>
      <c r="L55" s="84">
        <v>0</v>
      </c>
      <c r="M55" s="84">
        <v>15.026</v>
      </c>
      <c r="N55" s="86">
        <v>0.51</v>
      </c>
      <c r="O55" s="84">
        <v>0.51</v>
      </c>
      <c r="P55" s="84">
        <v>15.026</v>
      </c>
      <c r="Q55" s="85">
        <v>0</v>
      </c>
      <c r="R55" s="85">
        <v>3.3941168641022229E-2</v>
      </c>
      <c r="S55" s="87">
        <v>3.3941168641022229E-2</v>
      </c>
      <c r="T55" s="83">
        <v>71</v>
      </c>
      <c r="U55" s="88">
        <v>0</v>
      </c>
      <c r="V55" s="88">
        <v>14.294</v>
      </c>
      <c r="W55" s="88">
        <v>2.0924999999999998</v>
      </c>
      <c r="X55" s="88">
        <v>0.49299999999999999</v>
      </c>
      <c r="Y55" s="88">
        <v>5.8960000000000008</v>
      </c>
      <c r="Z55" s="29">
        <v>4.9533799533799529E-2</v>
      </c>
      <c r="AA55" s="29">
        <v>9.5765345765345747E-2</v>
      </c>
      <c r="AB55" s="89">
        <v>0.14529914529914528</v>
      </c>
    </row>
    <row r="56" spans="2:28">
      <c r="B56" s="75">
        <v>72</v>
      </c>
      <c r="C56" s="76"/>
      <c r="D56" s="76">
        <v>13.111000000000001</v>
      </c>
      <c r="E56" s="76">
        <v>3.669</v>
      </c>
      <c r="F56" s="76">
        <v>3.669</v>
      </c>
      <c r="G56" s="76">
        <v>13.111000000000001</v>
      </c>
      <c r="H56" s="77">
        <v>0</v>
      </c>
      <c r="I56" s="77">
        <v>0.27984135458775072</v>
      </c>
      <c r="J56" s="78">
        <v>0.27984135458775072</v>
      </c>
      <c r="K56" s="75">
        <v>72</v>
      </c>
      <c r="L56" s="76">
        <v>0</v>
      </c>
      <c r="M56" s="76">
        <v>14.55</v>
      </c>
      <c r="N56" s="79">
        <v>0.49099999999999999</v>
      </c>
      <c r="O56" s="76">
        <v>0.49099999999999999</v>
      </c>
      <c r="P56" s="76">
        <v>14.55</v>
      </c>
      <c r="Q56" s="77">
        <v>0</v>
      </c>
      <c r="R56" s="77">
        <v>3.3745704467353949E-2</v>
      </c>
      <c r="S56" s="78">
        <v>3.3745704467353949E-2</v>
      </c>
      <c r="T56" s="75">
        <v>72</v>
      </c>
      <c r="U56" s="80">
        <v>0</v>
      </c>
      <c r="V56" s="80">
        <v>13.830500000000001</v>
      </c>
      <c r="W56" s="80">
        <v>2.08</v>
      </c>
      <c r="X56" s="80">
        <v>0.49299999999999999</v>
      </c>
      <c r="Y56" s="80">
        <v>5.8960000000000008</v>
      </c>
      <c r="Z56" s="81">
        <v>4.9533799533799529E-2</v>
      </c>
      <c r="AA56" s="81">
        <v>9.5765345765345747E-2</v>
      </c>
      <c r="AB56" s="82">
        <v>0.14529914529914528</v>
      </c>
    </row>
    <row r="57" spans="2:28">
      <c r="B57" s="83">
        <v>73</v>
      </c>
      <c r="C57" s="84"/>
      <c r="D57" s="84">
        <v>12.65</v>
      </c>
      <c r="E57" s="84">
        <v>3.6669999999999998</v>
      </c>
      <c r="F57" s="84">
        <v>3.6669999999999998</v>
      </c>
      <c r="G57" s="84">
        <v>12.65</v>
      </c>
      <c r="H57" s="85">
        <v>0</v>
      </c>
      <c r="I57" s="85">
        <v>0.28988142292490116</v>
      </c>
      <c r="J57" s="87">
        <v>0.28988142292490116</v>
      </c>
      <c r="K57" s="83">
        <v>73</v>
      </c>
      <c r="L57" s="84">
        <v>0</v>
      </c>
      <c r="M57" s="84">
        <v>14.061999999999999</v>
      </c>
      <c r="N57" s="86">
        <v>0.47199999999999998</v>
      </c>
      <c r="O57" s="84">
        <v>0.47199999999999998</v>
      </c>
      <c r="P57" s="84">
        <v>14.061999999999999</v>
      </c>
      <c r="Q57" s="85">
        <v>0</v>
      </c>
      <c r="R57" s="85">
        <v>3.3565637889347175E-2</v>
      </c>
      <c r="S57" s="87">
        <v>3.3565637889347175E-2</v>
      </c>
      <c r="T57" s="83">
        <v>73</v>
      </c>
      <c r="U57" s="88">
        <v>0</v>
      </c>
      <c r="V57" s="88">
        <v>13.356</v>
      </c>
      <c r="W57" s="88">
        <v>2.0694999999999997</v>
      </c>
      <c r="X57" s="88">
        <v>0.49299999999999999</v>
      </c>
      <c r="Y57" s="88">
        <v>5.8960000000000008</v>
      </c>
      <c r="Z57" s="29">
        <v>4.9533799533799529E-2</v>
      </c>
      <c r="AA57" s="29">
        <v>9.5765345765345747E-2</v>
      </c>
      <c r="AB57" s="89">
        <v>0.14529914529914528</v>
      </c>
    </row>
    <row r="58" spans="2:28">
      <c r="B58" s="75">
        <v>74</v>
      </c>
      <c r="C58" s="76"/>
      <c r="D58" s="76">
        <v>12.18</v>
      </c>
      <c r="E58" s="76">
        <v>3.6619999999999999</v>
      </c>
      <c r="F58" s="76">
        <v>3.6619999999999999</v>
      </c>
      <c r="G58" s="76">
        <v>12.18</v>
      </c>
      <c r="H58" s="77">
        <v>0</v>
      </c>
      <c r="I58" s="77">
        <v>0.30065681444991788</v>
      </c>
      <c r="J58" s="78">
        <v>0.30065681444991788</v>
      </c>
      <c r="K58" s="75">
        <v>74</v>
      </c>
      <c r="L58" s="76">
        <v>0</v>
      </c>
      <c r="M58" s="76">
        <v>13.561999999999999</v>
      </c>
      <c r="N58" s="79">
        <v>0.45300000000000001</v>
      </c>
      <c r="O58" s="76">
        <v>0.45300000000000001</v>
      </c>
      <c r="P58" s="76">
        <v>13.561999999999999</v>
      </c>
      <c r="Q58" s="77">
        <v>0</v>
      </c>
      <c r="R58" s="77">
        <v>3.3402153074767738E-2</v>
      </c>
      <c r="S58" s="78">
        <v>3.3402153074767738E-2</v>
      </c>
      <c r="T58" s="75">
        <v>74</v>
      </c>
      <c r="U58" s="80">
        <v>0</v>
      </c>
      <c r="V58" s="80">
        <v>12.870999999999999</v>
      </c>
      <c r="W58" s="80">
        <v>2.0575000000000001</v>
      </c>
      <c r="X58" s="80">
        <v>0.49299999999999999</v>
      </c>
      <c r="Y58" s="80">
        <v>5.8960000000000008</v>
      </c>
      <c r="Z58" s="81">
        <v>4.9533799533799529E-2</v>
      </c>
      <c r="AA58" s="81">
        <v>9.5765345765345747E-2</v>
      </c>
      <c r="AB58" s="82">
        <v>0.14529914529914528</v>
      </c>
    </row>
    <row r="59" spans="2:28">
      <c r="B59" s="83">
        <v>75</v>
      </c>
      <c r="C59" s="84"/>
      <c r="D59" s="84">
        <v>11.701000000000001</v>
      </c>
      <c r="E59" s="84">
        <v>3.6549999999999998</v>
      </c>
      <c r="F59" s="84">
        <v>3.6549999999999998</v>
      </c>
      <c r="G59" s="84">
        <v>11.701000000000001</v>
      </c>
      <c r="H59" s="85">
        <v>0</v>
      </c>
      <c r="I59" s="85">
        <v>0.31236646440475169</v>
      </c>
      <c r="J59" s="87">
        <v>0.31236646440475169</v>
      </c>
      <c r="K59" s="83">
        <v>75</v>
      </c>
      <c r="L59" s="84">
        <v>0</v>
      </c>
      <c r="M59" s="84">
        <v>13.051</v>
      </c>
      <c r="N59" s="86">
        <v>0.434</v>
      </c>
      <c r="O59" s="84">
        <v>0.434</v>
      </c>
      <c r="P59" s="84">
        <v>13.051</v>
      </c>
      <c r="Q59" s="85">
        <v>0</v>
      </c>
      <c r="R59" s="85">
        <v>3.3254156769596199E-2</v>
      </c>
      <c r="S59" s="87">
        <v>3.3254156769596199E-2</v>
      </c>
      <c r="T59" s="83">
        <v>75</v>
      </c>
      <c r="U59" s="88">
        <v>0</v>
      </c>
      <c r="V59" s="88">
        <v>12.376000000000001</v>
      </c>
      <c r="W59" s="88">
        <v>2.0444999999999998</v>
      </c>
      <c r="X59" s="88">
        <v>0.49299999999999999</v>
      </c>
      <c r="Y59" s="88">
        <v>5.8960000000000008</v>
      </c>
      <c r="Z59" s="29">
        <v>4.9533799533799529E-2</v>
      </c>
      <c r="AA59" s="29">
        <v>9.5765345765345747E-2</v>
      </c>
      <c r="AB59" s="89">
        <v>0.14529914529914528</v>
      </c>
    </row>
    <row r="60" spans="2:28">
      <c r="B60" s="75">
        <v>76</v>
      </c>
      <c r="C60" s="76"/>
      <c r="D60" s="76">
        <v>11.215</v>
      </c>
      <c r="E60" s="76">
        <v>3.6429999999999998</v>
      </c>
      <c r="F60" s="76">
        <v>3.6429999999999998</v>
      </c>
      <c r="G60" s="76">
        <v>11.215</v>
      </c>
      <c r="H60" s="77">
        <v>0</v>
      </c>
      <c r="I60" s="77">
        <v>0.32483281319661167</v>
      </c>
      <c r="J60" s="78">
        <v>0.32483281319661167</v>
      </c>
      <c r="K60" s="75">
        <v>76</v>
      </c>
      <c r="L60" s="76">
        <v>0</v>
      </c>
      <c r="M60" s="76">
        <v>12.531000000000001</v>
      </c>
      <c r="N60" s="79">
        <v>0.41399999999999998</v>
      </c>
      <c r="O60" s="76">
        <v>0.41399999999999998</v>
      </c>
      <c r="P60" s="76">
        <v>12.531000000000001</v>
      </c>
      <c r="Q60" s="77">
        <v>0</v>
      </c>
      <c r="R60" s="77">
        <v>3.3038065597318644E-2</v>
      </c>
      <c r="S60" s="78">
        <v>3.3038065597318644E-2</v>
      </c>
      <c r="T60" s="75">
        <v>76</v>
      </c>
      <c r="U60" s="80">
        <v>0</v>
      </c>
      <c r="V60" s="80">
        <v>11.873000000000001</v>
      </c>
      <c r="W60" s="80">
        <v>2.0284999999999997</v>
      </c>
      <c r="X60" s="80">
        <v>0.49299999999999999</v>
      </c>
      <c r="Y60" s="80">
        <v>5.8960000000000008</v>
      </c>
      <c r="Z60" s="81">
        <v>4.9533799533799529E-2</v>
      </c>
      <c r="AA60" s="81">
        <v>9.5765345765345747E-2</v>
      </c>
      <c r="AB60" s="82">
        <v>0.14529914529914528</v>
      </c>
    </row>
    <row r="61" spans="2:28">
      <c r="B61" s="83">
        <v>77</v>
      </c>
      <c r="C61" s="84"/>
      <c r="D61" s="84">
        <v>10.724</v>
      </c>
      <c r="E61" s="84">
        <v>3.625</v>
      </c>
      <c r="F61" s="84">
        <v>3.625</v>
      </c>
      <c r="G61" s="84">
        <v>10.724</v>
      </c>
      <c r="H61" s="85">
        <v>0</v>
      </c>
      <c r="I61" s="85">
        <v>0.33802685565087653</v>
      </c>
      <c r="J61" s="87">
        <v>0.33802685565087653</v>
      </c>
      <c r="K61" s="83">
        <v>77</v>
      </c>
      <c r="L61" s="84">
        <v>0</v>
      </c>
      <c r="M61" s="84">
        <v>12.003</v>
      </c>
      <c r="N61" s="86">
        <v>0.39300000000000002</v>
      </c>
      <c r="O61" s="84">
        <v>0.39300000000000002</v>
      </c>
      <c r="P61" s="84">
        <v>12.003</v>
      </c>
      <c r="Q61" s="85">
        <v>0</v>
      </c>
      <c r="R61" s="85">
        <v>3.2741814546363407E-2</v>
      </c>
      <c r="S61" s="87">
        <v>3.2741814546363407E-2</v>
      </c>
      <c r="T61" s="83">
        <v>77</v>
      </c>
      <c r="U61" s="88">
        <v>0</v>
      </c>
      <c r="V61" s="88">
        <v>11.3635</v>
      </c>
      <c r="W61" s="88">
        <v>2.0089999999999999</v>
      </c>
      <c r="X61" s="88">
        <v>0.49299999999999999</v>
      </c>
      <c r="Y61" s="88">
        <v>5.8960000000000008</v>
      </c>
      <c r="Z61" s="29">
        <v>4.9533799533799529E-2</v>
      </c>
      <c r="AA61" s="29">
        <v>9.5765345765345747E-2</v>
      </c>
      <c r="AB61" s="89">
        <v>0.14529914529914528</v>
      </c>
    </row>
    <row r="62" spans="2:28">
      <c r="B62" s="75">
        <v>78</v>
      </c>
      <c r="C62" s="76"/>
      <c r="D62" s="76">
        <v>10.228999999999999</v>
      </c>
      <c r="E62" s="76">
        <v>3.601</v>
      </c>
      <c r="F62" s="76">
        <v>3.601</v>
      </c>
      <c r="G62" s="76">
        <v>10.228999999999999</v>
      </c>
      <c r="H62" s="77">
        <v>0</v>
      </c>
      <c r="I62" s="77">
        <v>0.35203832241665856</v>
      </c>
      <c r="J62" s="78">
        <v>0.35203832241665856</v>
      </c>
      <c r="K62" s="75">
        <v>78</v>
      </c>
      <c r="L62" s="76">
        <v>0</v>
      </c>
      <c r="M62" s="76">
        <v>11.47</v>
      </c>
      <c r="N62" s="79">
        <v>0.371</v>
      </c>
      <c r="O62" s="76">
        <v>0.371</v>
      </c>
      <c r="P62" s="76">
        <v>11.47</v>
      </c>
      <c r="Q62" s="77">
        <v>0</v>
      </c>
      <c r="R62" s="77">
        <v>3.2345248474280733E-2</v>
      </c>
      <c r="S62" s="78">
        <v>3.2345248474280733E-2</v>
      </c>
      <c r="T62" s="75">
        <v>78</v>
      </c>
      <c r="U62" s="80">
        <v>0</v>
      </c>
      <c r="V62" s="80">
        <v>10.849499999999999</v>
      </c>
      <c r="W62" s="80">
        <v>1.986</v>
      </c>
      <c r="X62" s="80">
        <v>0.49299999999999999</v>
      </c>
      <c r="Y62" s="80">
        <v>5.8960000000000008</v>
      </c>
      <c r="Z62" s="81">
        <v>4.9533799533799529E-2</v>
      </c>
      <c r="AA62" s="81">
        <v>9.5765345765345747E-2</v>
      </c>
      <c r="AB62" s="82">
        <v>0.14529914529914528</v>
      </c>
    </row>
    <row r="63" spans="2:28">
      <c r="B63" s="83">
        <v>79</v>
      </c>
      <c r="C63" s="84"/>
      <c r="D63" s="84">
        <v>9.7330000000000005</v>
      </c>
      <c r="E63" s="84">
        <v>3.57</v>
      </c>
      <c r="F63" s="84">
        <v>3.57</v>
      </c>
      <c r="G63" s="84">
        <v>9.7330000000000005</v>
      </c>
      <c r="H63" s="85">
        <v>0</v>
      </c>
      <c r="I63" s="85">
        <v>0.36679338333504569</v>
      </c>
      <c r="J63" s="87">
        <v>0.36679338333504569</v>
      </c>
      <c r="K63" s="83">
        <v>79</v>
      </c>
      <c r="L63" s="84">
        <v>0</v>
      </c>
      <c r="M63" s="84">
        <v>10.932</v>
      </c>
      <c r="N63" s="86">
        <v>0.34899999999999998</v>
      </c>
      <c r="O63" s="84">
        <v>0.34899999999999998</v>
      </c>
      <c r="P63" s="84">
        <v>10.932</v>
      </c>
      <c r="Q63" s="85">
        <v>0</v>
      </c>
      <c r="R63" s="85">
        <v>3.1924624954262709E-2</v>
      </c>
      <c r="S63" s="87">
        <v>3.1924624954262709E-2</v>
      </c>
      <c r="T63" s="83">
        <v>79</v>
      </c>
      <c r="U63" s="88">
        <v>0</v>
      </c>
      <c r="V63" s="88">
        <v>10.3325</v>
      </c>
      <c r="W63" s="88">
        <v>1.9594999999999998</v>
      </c>
      <c r="X63" s="88">
        <v>0.49299999999999999</v>
      </c>
      <c r="Y63" s="88">
        <v>5.8960000000000008</v>
      </c>
      <c r="Z63" s="29">
        <v>4.9533799533799529E-2</v>
      </c>
      <c r="AA63" s="29">
        <v>9.5765345765345747E-2</v>
      </c>
      <c r="AB63" s="89">
        <v>0.14529914529914528</v>
      </c>
    </row>
    <row r="64" spans="2:28">
      <c r="B64" s="75">
        <v>80</v>
      </c>
      <c r="C64" s="76"/>
      <c r="D64" s="76">
        <v>9.2379999999999995</v>
      </c>
      <c r="E64" s="76">
        <v>3.5310000000000001</v>
      </c>
      <c r="F64" s="76">
        <v>3.5310000000000001</v>
      </c>
      <c r="G64" s="76">
        <v>9.2379999999999995</v>
      </c>
      <c r="H64" s="77">
        <v>0</v>
      </c>
      <c r="I64" s="77">
        <v>0.38222558995453565</v>
      </c>
      <c r="J64" s="78">
        <v>0.38222558995453565</v>
      </c>
      <c r="K64" s="75">
        <v>80</v>
      </c>
      <c r="L64" s="76">
        <v>0</v>
      </c>
      <c r="M64" s="76">
        <v>10.391999999999999</v>
      </c>
      <c r="N64" s="79">
        <v>0.32700000000000001</v>
      </c>
      <c r="O64" s="76">
        <v>0.32700000000000001</v>
      </c>
      <c r="P64" s="76">
        <v>10.391999999999999</v>
      </c>
      <c r="Q64" s="77">
        <v>0</v>
      </c>
      <c r="R64" s="77">
        <v>3.1466512702078522E-2</v>
      </c>
      <c r="S64" s="78">
        <v>3.1466512702078522E-2</v>
      </c>
      <c r="T64" s="75">
        <v>80</v>
      </c>
      <c r="U64" s="80">
        <v>0</v>
      </c>
      <c r="V64" s="80">
        <v>9.8149999999999995</v>
      </c>
      <c r="W64" s="80">
        <v>1.929</v>
      </c>
      <c r="X64" s="80">
        <v>0.49299999999999999</v>
      </c>
      <c r="Y64" s="80">
        <v>5.8960000000000008</v>
      </c>
      <c r="Z64" s="81">
        <v>4.9533799533799529E-2</v>
      </c>
      <c r="AA64" s="81">
        <v>9.5765345765345747E-2</v>
      </c>
      <c r="AB64" s="82">
        <v>0.14529914529914528</v>
      </c>
    </row>
    <row r="65" spans="2:28">
      <c r="B65" s="83">
        <v>81</v>
      </c>
      <c r="C65" s="84"/>
      <c r="D65" s="84">
        <v>8.7469999999999999</v>
      </c>
      <c r="E65" s="84">
        <v>3.4820000000000002</v>
      </c>
      <c r="F65" s="84">
        <v>3.4820000000000002</v>
      </c>
      <c r="G65" s="84">
        <v>8.7469999999999999</v>
      </c>
      <c r="H65" s="85">
        <v>0</v>
      </c>
      <c r="I65" s="85">
        <v>0.39807934148851037</v>
      </c>
      <c r="J65" s="87">
        <v>0.39807934148851037</v>
      </c>
      <c r="K65" s="83">
        <v>81</v>
      </c>
      <c r="L65" s="84">
        <v>0</v>
      </c>
      <c r="M65" s="84">
        <v>9.8529999999999998</v>
      </c>
      <c r="N65" s="86">
        <v>0.30399999999999999</v>
      </c>
      <c r="O65" s="84">
        <v>0.30399999999999999</v>
      </c>
      <c r="P65" s="84">
        <v>9.8529999999999998</v>
      </c>
      <c r="Q65" s="85">
        <v>0</v>
      </c>
      <c r="R65" s="85">
        <v>3.0853547143002133E-2</v>
      </c>
      <c r="S65" s="87">
        <v>3.0853547143002133E-2</v>
      </c>
      <c r="T65" s="83">
        <v>81</v>
      </c>
      <c r="U65" s="88">
        <v>0</v>
      </c>
      <c r="V65" s="88">
        <v>9.3000000000000007</v>
      </c>
      <c r="W65" s="88">
        <v>1.893</v>
      </c>
      <c r="X65" s="88">
        <v>0.49299999999999999</v>
      </c>
      <c r="Y65" s="88">
        <v>5.8960000000000008</v>
      </c>
      <c r="Z65" s="29">
        <v>4.9533799533799529E-2</v>
      </c>
      <c r="AA65" s="29">
        <v>9.5765345765345747E-2</v>
      </c>
      <c r="AB65" s="89">
        <v>0.14529914529914528</v>
      </c>
    </row>
    <row r="66" spans="2:28">
      <c r="B66" s="75">
        <v>82</v>
      </c>
      <c r="C66" s="76"/>
      <c r="D66" s="76">
        <v>8.2629999999999999</v>
      </c>
      <c r="E66" s="76">
        <v>3.4089999999999998</v>
      </c>
      <c r="F66" s="76">
        <v>3.4089999999999998</v>
      </c>
      <c r="G66" s="76">
        <v>8.2629999999999999</v>
      </c>
      <c r="H66" s="77">
        <v>0</v>
      </c>
      <c r="I66" s="77">
        <v>0.41256202347815563</v>
      </c>
      <c r="J66" s="78">
        <v>0.41256202347815563</v>
      </c>
      <c r="K66" s="75">
        <v>82</v>
      </c>
      <c r="L66" s="76">
        <v>0</v>
      </c>
      <c r="M66" s="76">
        <v>9.3179999999999996</v>
      </c>
      <c r="N66" s="79">
        <v>0.28100000000000003</v>
      </c>
      <c r="O66" s="76">
        <v>0.28100000000000003</v>
      </c>
      <c r="P66" s="76">
        <v>9.3179999999999996</v>
      </c>
      <c r="Q66" s="77">
        <v>0</v>
      </c>
      <c r="R66" s="77">
        <v>3.0156685984116766E-2</v>
      </c>
      <c r="S66" s="78">
        <v>3.0156685984116766E-2</v>
      </c>
      <c r="T66" s="75">
        <v>82</v>
      </c>
      <c r="U66" s="80">
        <v>0</v>
      </c>
      <c r="V66" s="80">
        <v>8.7904999999999998</v>
      </c>
      <c r="W66" s="80">
        <v>1.845</v>
      </c>
      <c r="X66" s="80">
        <v>0.49299999999999999</v>
      </c>
      <c r="Y66" s="80">
        <v>5.8960000000000008</v>
      </c>
      <c r="Z66" s="81">
        <v>4.9533799533799529E-2</v>
      </c>
      <c r="AA66" s="81">
        <v>9.5765345765345747E-2</v>
      </c>
      <c r="AB66" s="82">
        <v>0.14529914529914528</v>
      </c>
    </row>
    <row r="67" spans="2:28">
      <c r="B67" s="83">
        <v>83</v>
      </c>
      <c r="C67" s="84"/>
      <c r="D67" s="84">
        <v>7.7880000000000003</v>
      </c>
      <c r="E67" s="84">
        <v>3.3220000000000001</v>
      </c>
      <c r="F67" s="84">
        <v>3.3220000000000001</v>
      </c>
      <c r="G67" s="84">
        <v>7.7880000000000003</v>
      </c>
      <c r="H67" s="85">
        <v>0</v>
      </c>
      <c r="I67" s="85">
        <v>0.42655367231638419</v>
      </c>
      <c r="J67" s="87">
        <v>0.42655367231638419</v>
      </c>
      <c r="K67" s="83">
        <v>83</v>
      </c>
      <c r="L67" s="84">
        <v>0</v>
      </c>
      <c r="M67" s="84">
        <v>8.7889999999999997</v>
      </c>
      <c r="N67" s="86">
        <v>0.25800000000000001</v>
      </c>
      <c r="O67" s="84">
        <v>0.25800000000000001</v>
      </c>
      <c r="P67" s="84">
        <v>8.7889999999999997</v>
      </c>
      <c r="Q67" s="85">
        <v>0</v>
      </c>
      <c r="R67" s="85">
        <v>2.9354875412447381E-2</v>
      </c>
      <c r="S67" s="87">
        <v>2.9354875412447381E-2</v>
      </c>
      <c r="T67" s="83">
        <v>83</v>
      </c>
      <c r="U67" s="88">
        <v>0</v>
      </c>
      <c r="V67" s="88">
        <v>8.2884999999999991</v>
      </c>
      <c r="W67" s="88">
        <v>1.79</v>
      </c>
      <c r="X67" s="88">
        <v>0.49299999999999999</v>
      </c>
      <c r="Y67" s="88">
        <v>5.8960000000000008</v>
      </c>
      <c r="Z67" s="29">
        <v>4.9533799533799529E-2</v>
      </c>
      <c r="AA67" s="29">
        <v>9.5765345765345747E-2</v>
      </c>
      <c r="AB67" s="89">
        <v>0.14529914529914528</v>
      </c>
    </row>
    <row r="68" spans="2:28">
      <c r="B68" s="75">
        <v>84</v>
      </c>
      <c r="C68" s="76"/>
      <c r="D68" s="76">
        <v>7.327</v>
      </c>
      <c r="E68" s="76">
        <v>3.2229999999999999</v>
      </c>
      <c r="F68" s="76">
        <v>3.2229999999999999</v>
      </c>
      <c r="G68" s="76">
        <v>7.327</v>
      </c>
      <c r="H68" s="77">
        <v>0</v>
      </c>
      <c r="I68" s="77">
        <v>0.43987989627405483</v>
      </c>
      <c r="J68" s="78">
        <v>0.43987989627405483</v>
      </c>
      <c r="K68" s="75">
        <v>84</v>
      </c>
      <c r="L68" s="76">
        <v>0</v>
      </c>
      <c r="M68" s="76">
        <v>8.2710000000000008</v>
      </c>
      <c r="N68" s="79">
        <v>0.23499999999999999</v>
      </c>
      <c r="O68" s="76">
        <v>0.23499999999999999</v>
      </c>
      <c r="P68" s="76">
        <v>8.2710000000000008</v>
      </c>
      <c r="Q68" s="77">
        <v>0</v>
      </c>
      <c r="R68" s="77">
        <v>2.8412525692177483E-2</v>
      </c>
      <c r="S68" s="78">
        <v>2.8412525692177483E-2</v>
      </c>
      <c r="T68" s="75">
        <v>84</v>
      </c>
      <c r="U68" s="80">
        <v>0</v>
      </c>
      <c r="V68" s="80">
        <v>7.7990000000000004</v>
      </c>
      <c r="W68" s="80">
        <v>1.7289999999999999</v>
      </c>
      <c r="X68" s="80">
        <v>0.49299999999999999</v>
      </c>
      <c r="Y68" s="80">
        <v>5.8960000000000008</v>
      </c>
      <c r="Z68" s="81">
        <v>4.9533799533799529E-2</v>
      </c>
      <c r="AA68" s="81">
        <v>9.5765345765345747E-2</v>
      </c>
      <c r="AB68" s="82">
        <v>0.14529914529914528</v>
      </c>
    </row>
    <row r="69" spans="2:28">
      <c r="B69" s="83">
        <v>85</v>
      </c>
      <c r="C69" s="84"/>
      <c r="D69" s="84">
        <v>6.883</v>
      </c>
      <c r="E69" s="84">
        <v>3.1139999999999999</v>
      </c>
      <c r="F69" s="84">
        <v>3.1139999999999999</v>
      </c>
      <c r="G69" s="84">
        <v>6.883</v>
      </c>
      <c r="H69" s="85">
        <v>0</v>
      </c>
      <c r="I69" s="85">
        <v>0.45241900334156615</v>
      </c>
      <c r="J69" s="87">
        <v>0.45241900334156615</v>
      </c>
      <c r="K69" s="83">
        <v>85</v>
      </c>
      <c r="L69" s="84">
        <v>0</v>
      </c>
      <c r="M69" s="84">
        <v>7.7679999999999998</v>
      </c>
      <c r="N69" s="86">
        <v>0.21</v>
      </c>
      <c r="O69" s="84">
        <v>0.21</v>
      </c>
      <c r="P69" s="84">
        <v>7.7679999999999998</v>
      </c>
      <c r="Q69" s="85">
        <v>0</v>
      </c>
      <c r="R69" s="85">
        <v>2.7033985581874358E-2</v>
      </c>
      <c r="S69" s="87">
        <v>2.7033985581874358E-2</v>
      </c>
      <c r="T69" s="83">
        <v>85</v>
      </c>
      <c r="U69" s="88">
        <v>0</v>
      </c>
      <c r="V69" s="88">
        <v>7.3254999999999999</v>
      </c>
      <c r="W69" s="88">
        <v>1.6619999999999999</v>
      </c>
      <c r="X69" s="88">
        <v>0.49299999999999999</v>
      </c>
      <c r="Y69" s="88">
        <v>5.8960000000000008</v>
      </c>
      <c r="Z69" s="29">
        <v>4.9533799533799529E-2</v>
      </c>
      <c r="AA69" s="29">
        <v>9.5765345765345747E-2</v>
      </c>
      <c r="AB69" s="89">
        <v>0.14529914529914528</v>
      </c>
    </row>
    <row r="70" spans="2:28">
      <c r="B70" s="75">
        <v>86</v>
      </c>
      <c r="C70" s="76"/>
      <c r="D70" s="76">
        <v>6.4619999999999997</v>
      </c>
      <c r="E70" s="76">
        <v>2.9969999999999999</v>
      </c>
      <c r="F70" s="76">
        <v>2.9969999999999999</v>
      </c>
      <c r="G70" s="76">
        <v>6.4619999999999997</v>
      </c>
      <c r="H70" s="77">
        <v>0</v>
      </c>
      <c r="I70" s="77">
        <v>0.46378830083565459</v>
      </c>
      <c r="J70" s="78">
        <v>0.46378830083565459</v>
      </c>
      <c r="K70" s="75">
        <v>86</v>
      </c>
      <c r="L70" s="76">
        <v>0</v>
      </c>
      <c r="M70" s="76">
        <v>7.2850000000000001</v>
      </c>
      <c r="N70" s="79">
        <v>0.186</v>
      </c>
      <c r="O70" s="76">
        <v>0.186</v>
      </c>
      <c r="P70" s="76">
        <v>7.2850000000000001</v>
      </c>
      <c r="Q70" s="77">
        <v>0</v>
      </c>
      <c r="R70" s="77">
        <v>2.553191489361702E-2</v>
      </c>
      <c r="S70" s="78">
        <v>2.553191489361702E-2</v>
      </c>
      <c r="T70" s="75">
        <v>86</v>
      </c>
      <c r="U70" s="80">
        <v>0</v>
      </c>
      <c r="V70" s="80">
        <v>6.8734999999999999</v>
      </c>
      <c r="W70" s="80">
        <v>1.5914999999999999</v>
      </c>
      <c r="X70" s="80">
        <v>0.49299999999999999</v>
      </c>
      <c r="Y70" s="80">
        <v>5.8960000000000008</v>
      </c>
      <c r="Z70" s="81">
        <v>4.9533799533799529E-2</v>
      </c>
      <c r="AA70" s="81">
        <v>9.5765345765345747E-2</v>
      </c>
      <c r="AB70" s="82">
        <v>0.14529914529914528</v>
      </c>
    </row>
    <row r="71" spans="2:28">
      <c r="B71" s="83">
        <v>87</v>
      </c>
      <c r="C71" s="84"/>
      <c r="D71" s="84">
        <v>6.069</v>
      </c>
      <c r="E71" s="84">
        <v>2.8730000000000002</v>
      </c>
      <c r="F71" s="84">
        <v>2.8730000000000002</v>
      </c>
      <c r="G71" s="84">
        <v>6.069</v>
      </c>
      <c r="H71" s="85">
        <v>0</v>
      </c>
      <c r="I71" s="85">
        <v>0.47338935574229696</v>
      </c>
      <c r="J71" s="87">
        <v>0.47338935574229696</v>
      </c>
      <c r="K71" s="83">
        <v>87</v>
      </c>
      <c r="L71" s="84">
        <v>0</v>
      </c>
      <c r="M71" s="84">
        <v>6.8259999999999996</v>
      </c>
      <c r="N71" s="86">
        <v>0.16200000000000001</v>
      </c>
      <c r="O71" s="84">
        <v>0.16200000000000001</v>
      </c>
      <c r="P71" s="84">
        <v>6.8259999999999996</v>
      </c>
      <c r="Q71" s="85">
        <v>0</v>
      </c>
      <c r="R71" s="85">
        <v>2.3732786404922358E-2</v>
      </c>
      <c r="S71" s="87">
        <v>2.3732786404922358E-2</v>
      </c>
      <c r="T71" s="83">
        <v>87</v>
      </c>
      <c r="U71" s="88">
        <v>0</v>
      </c>
      <c r="V71" s="88">
        <v>6.4474999999999998</v>
      </c>
      <c r="W71" s="88">
        <v>1.5175000000000001</v>
      </c>
      <c r="X71" s="88">
        <v>0.49299999999999999</v>
      </c>
      <c r="Y71" s="88">
        <v>5.8960000000000008</v>
      </c>
      <c r="Z71" s="29">
        <v>4.9533799533799529E-2</v>
      </c>
      <c r="AA71" s="29">
        <v>9.5765345765345747E-2</v>
      </c>
      <c r="AB71" s="89">
        <v>0.14529914529914528</v>
      </c>
    </row>
    <row r="72" spans="2:28">
      <c r="B72" s="75">
        <v>88</v>
      </c>
      <c r="C72" s="76"/>
      <c r="D72" s="76">
        <v>5.7119999999999997</v>
      </c>
      <c r="E72" s="76">
        <v>2.7149999999999999</v>
      </c>
      <c r="F72" s="76">
        <v>2.7149999999999999</v>
      </c>
      <c r="G72" s="76">
        <v>5.7119999999999997</v>
      </c>
      <c r="H72" s="77">
        <v>0</v>
      </c>
      <c r="I72" s="77">
        <v>0.47531512605042014</v>
      </c>
      <c r="J72" s="78">
        <v>0.47531512605042014</v>
      </c>
      <c r="K72" s="75">
        <v>88</v>
      </c>
      <c r="L72" s="76">
        <v>0</v>
      </c>
      <c r="M72" s="76">
        <v>6.3979999999999997</v>
      </c>
      <c r="N72" s="79">
        <v>0.14000000000000001</v>
      </c>
      <c r="O72" s="76">
        <v>0.14000000000000001</v>
      </c>
      <c r="P72" s="76">
        <v>6.3979999999999997</v>
      </c>
      <c r="Q72" s="77">
        <v>0</v>
      </c>
      <c r="R72" s="77">
        <v>2.1881838074398252E-2</v>
      </c>
      <c r="S72" s="78">
        <v>2.1881838074398252E-2</v>
      </c>
      <c r="T72" s="75">
        <v>88</v>
      </c>
      <c r="U72" s="80">
        <v>0</v>
      </c>
      <c r="V72" s="80">
        <v>6.0549999999999997</v>
      </c>
      <c r="W72" s="80">
        <v>1.4275</v>
      </c>
      <c r="X72" s="80">
        <v>0.49299999999999999</v>
      </c>
      <c r="Y72" s="80">
        <v>5.8960000000000008</v>
      </c>
      <c r="Z72" s="81">
        <v>4.9533799533799529E-2</v>
      </c>
      <c r="AA72" s="81">
        <v>9.5765345765345747E-2</v>
      </c>
      <c r="AB72" s="82">
        <v>0.14529914529914528</v>
      </c>
    </row>
    <row r="73" spans="2:28">
      <c r="B73" s="83">
        <v>89</v>
      </c>
      <c r="C73" s="84"/>
      <c r="D73" s="84">
        <v>5.3979999999999997</v>
      </c>
      <c r="E73" s="84">
        <v>2.5489999999999999</v>
      </c>
      <c r="F73" s="84">
        <v>2.5489999999999999</v>
      </c>
      <c r="G73" s="84">
        <v>5.3979999999999997</v>
      </c>
      <c r="H73" s="85">
        <v>0</v>
      </c>
      <c r="I73" s="85">
        <v>0.4722119303445721</v>
      </c>
      <c r="J73" s="87">
        <v>0.4722119303445721</v>
      </c>
      <c r="K73" s="83">
        <v>89</v>
      </c>
      <c r="L73" s="84">
        <v>0</v>
      </c>
      <c r="M73" s="84">
        <v>6.0069999999999997</v>
      </c>
      <c r="N73" s="86">
        <v>0.11700000000000001</v>
      </c>
      <c r="O73" s="84">
        <v>0.11700000000000001</v>
      </c>
      <c r="P73" s="84">
        <v>6.0069999999999997</v>
      </c>
      <c r="Q73" s="85">
        <v>0</v>
      </c>
      <c r="R73" s="85">
        <v>1.9477276510737475E-2</v>
      </c>
      <c r="S73" s="87">
        <v>1.9477276510737475E-2</v>
      </c>
      <c r="T73" s="83">
        <v>89</v>
      </c>
      <c r="U73" s="88">
        <v>0</v>
      </c>
      <c r="V73" s="88">
        <v>5.7024999999999997</v>
      </c>
      <c r="W73" s="88">
        <v>1.333</v>
      </c>
      <c r="X73" s="88">
        <v>0.49299999999999999</v>
      </c>
      <c r="Y73" s="88">
        <v>5.8960000000000008</v>
      </c>
      <c r="Z73" s="29">
        <v>4.9533799533799529E-2</v>
      </c>
      <c r="AA73" s="29">
        <v>9.5765345765345747E-2</v>
      </c>
      <c r="AB73" s="89">
        <v>0.14529914529914528</v>
      </c>
    </row>
    <row r="74" spans="2:28">
      <c r="B74" s="75">
        <v>90</v>
      </c>
      <c r="C74" s="76"/>
      <c r="D74" s="76">
        <v>5.1150000000000002</v>
      </c>
      <c r="E74" s="76">
        <v>2.387</v>
      </c>
      <c r="F74" s="76">
        <v>2.387</v>
      </c>
      <c r="G74" s="76">
        <v>5.1150000000000002</v>
      </c>
      <c r="H74" s="77">
        <v>0</v>
      </c>
      <c r="I74" s="77">
        <v>0.46666666666666667</v>
      </c>
      <c r="J74" s="78">
        <v>0.46666666666666667</v>
      </c>
      <c r="K74" s="75">
        <v>90</v>
      </c>
      <c r="L74" s="76">
        <v>0</v>
      </c>
      <c r="M74" s="76">
        <v>5.6550000000000002</v>
      </c>
      <c r="N74" s="79">
        <v>9.7000000000000003E-2</v>
      </c>
      <c r="O74" s="76">
        <v>9.7000000000000003E-2</v>
      </c>
      <c r="P74" s="76">
        <v>5.6550000000000002</v>
      </c>
      <c r="Q74" s="77">
        <v>0</v>
      </c>
      <c r="R74" s="77">
        <v>1.7152961980548186E-2</v>
      </c>
      <c r="S74" s="78">
        <v>1.7152961980548186E-2</v>
      </c>
      <c r="T74" s="75">
        <v>90</v>
      </c>
      <c r="U74" s="80">
        <v>0</v>
      </c>
      <c r="V74" s="80">
        <v>5.3849999999999998</v>
      </c>
      <c r="W74" s="80">
        <v>1.242</v>
      </c>
      <c r="X74" s="80">
        <v>0.49299999999999999</v>
      </c>
      <c r="Y74" s="80">
        <v>5.8960000000000008</v>
      </c>
      <c r="Z74" s="81">
        <v>4.9533799533799529E-2</v>
      </c>
      <c r="AA74" s="81">
        <v>9.5765345765345747E-2</v>
      </c>
      <c r="AB74" s="82">
        <v>0.14529914529914528</v>
      </c>
    </row>
    <row r="75" spans="2:28">
      <c r="B75" s="83">
        <v>91</v>
      </c>
      <c r="C75" s="84"/>
      <c r="D75" s="84">
        <v>4.8499999999999996</v>
      </c>
      <c r="E75" s="84">
        <v>2.2040000000000002</v>
      </c>
      <c r="F75" s="84">
        <v>2.2040000000000002</v>
      </c>
      <c r="G75" s="84">
        <v>4.8499999999999996</v>
      </c>
      <c r="H75" s="85">
        <v>0</v>
      </c>
      <c r="I75" s="85">
        <v>0.45443298969072171</v>
      </c>
      <c r="J75" s="87">
        <v>0.45443298969072171</v>
      </c>
      <c r="K75" s="83">
        <v>91</v>
      </c>
      <c r="L75" s="84">
        <v>0</v>
      </c>
      <c r="M75" s="84">
        <v>5.3319999999999999</v>
      </c>
      <c r="N75" s="86">
        <v>0.08</v>
      </c>
      <c r="O75" s="84">
        <v>0.08</v>
      </c>
      <c r="P75" s="84">
        <v>5.3319999999999999</v>
      </c>
      <c r="Q75" s="85">
        <v>0</v>
      </c>
      <c r="R75" s="85">
        <v>1.5003750937734435E-2</v>
      </c>
      <c r="S75" s="87">
        <v>1.5003750937734435E-2</v>
      </c>
      <c r="T75" s="83">
        <v>91</v>
      </c>
      <c r="U75" s="88">
        <v>0</v>
      </c>
      <c r="V75" s="88">
        <v>5.0909999999999993</v>
      </c>
      <c r="W75" s="88">
        <v>1.1420000000000001</v>
      </c>
      <c r="X75" s="88">
        <v>0.49299999999999999</v>
      </c>
      <c r="Y75" s="88">
        <v>5.8960000000000008</v>
      </c>
      <c r="Z75" s="29">
        <v>4.9533799533799529E-2</v>
      </c>
      <c r="AA75" s="29">
        <v>9.5765345765345747E-2</v>
      </c>
      <c r="AB75" s="89">
        <v>0.14529914529914528</v>
      </c>
    </row>
    <row r="76" spans="2:28">
      <c r="B76" s="75">
        <v>92</v>
      </c>
      <c r="C76" s="76"/>
      <c r="D76" s="76">
        <v>4.6040000000000001</v>
      </c>
      <c r="E76" s="76">
        <v>2.0350000000000001</v>
      </c>
      <c r="F76" s="76">
        <v>2.0350000000000001</v>
      </c>
      <c r="G76" s="76">
        <v>4.6040000000000001</v>
      </c>
      <c r="H76" s="77">
        <v>0</v>
      </c>
      <c r="I76" s="77">
        <v>0.44200695047784538</v>
      </c>
      <c r="J76" s="78">
        <v>0.44200695047784538</v>
      </c>
      <c r="K76" s="75">
        <v>92</v>
      </c>
      <c r="L76" s="76">
        <v>0</v>
      </c>
      <c r="M76" s="76">
        <v>5.0289999999999999</v>
      </c>
      <c r="N76" s="79">
        <v>6.5000000000000002E-2</v>
      </c>
      <c r="O76" s="76">
        <v>6.5000000000000002E-2</v>
      </c>
      <c r="P76" s="76">
        <v>5.0289999999999999</v>
      </c>
      <c r="Q76" s="77">
        <v>0</v>
      </c>
      <c r="R76" s="77">
        <v>1.2925034798170611E-2</v>
      </c>
      <c r="S76" s="78">
        <v>1.2925034798170611E-2</v>
      </c>
      <c r="T76" s="75">
        <v>92</v>
      </c>
      <c r="U76" s="80">
        <v>0</v>
      </c>
      <c r="V76" s="80">
        <v>4.8164999999999996</v>
      </c>
      <c r="W76" s="80">
        <v>1.05</v>
      </c>
      <c r="X76" s="80">
        <v>0.49299999999999999</v>
      </c>
      <c r="Y76" s="80">
        <v>5.8960000000000008</v>
      </c>
      <c r="Z76" s="81">
        <v>4.9533799533799529E-2</v>
      </c>
      <c r="AA76" s="81">
        <v>9.5765345765345747E-2</v>
      </c>
      <c r="AB76" s="82">
        <v>0.14529914529914528</v>
      </c>
    </row>
    <row r="77" spans="2:28">
      <c r="B77" s="83">
        <v>93</v>
      </c>
      <c r="C77" s="84"/>
      <c r="D77" s="84">
        <v>4.3760000000000003</v>
      </c>
      <c r="E77" s="84">
        <v>1.85</v>
      </c>
      <c r="F77" s="84">
        <v>1.85</v>
      </c>
      <c r="G77" s="84">
        <v>4.3760000000000003</v>
      </c>
      <c r="H77" s="85">
        <v>0</v>
      </c>
      <c r="I77" s="85">
        <v>0.42276051188299818</v>
      </c>
      <c r="J77" s="87">
        <v>0.42276051188299818</v>
      </c>
      <c r="K77" s="83">
        <v>93</v>
      </c>
      <c r="L77" s="84">
        <v>0</v>
      </c>
      <c r="M77" s="84">
        <v>4.7469999999999999</v>
      </c>
      <c r="N77" s="86">
        <v>5.2999999999999999E-2</v>
      </c>
      <c r="O77" s="84">
        <v>5.2999999999999999E-2</v>
      </c>
      <c r="P77" s="84">
        <v>4.7469999999999999</v>
      </c>
      <c r="Q77" s="85">
        <v>0</v>
      </c>
      <c r="R77" s="85">
        <v>1.1164946281862228E-2</v>
      </c>
      <c r="S77" s="87">
        <v>1.1164946281862228E-2</v>
      </c>
      <c r="T77" s="83">
        <v>93</v>
      </c>
      <c r="U77" s="88">
        <v>0</v>
      </c>
      <c r="V77" s="88">
        <v>4.5615000000000006</v>
      </c>
      <c r="W77" s="88">
        <v>0.95150000000000001</v>
      </c>
      <c r="X77" s="88">
        <v>0.49299999999999999</v>
      </c>
      <c r="Y77" s="88">
        <v>5.8960000000000008</v>
      </c>
      <c r="Z77" s="29">
        <v>4.9533799533799529E-2</v>
      </c>
      <c r="AA77" s="29">
        <v>9.5765345765345747E-2</v>
      </c>
      <c r="AB77" s="89">
        <v>0.14529914529914528</v>
      </c>
    </row>
    <row r="78" spans="2:28">
      <c r="B78" s="75">
        <v>94</v>
      </c>
      <c r="C78" s="76"/>
      <c r="D78" s="76">
        <v>4.1660000000000004</v>
      </c>
      <c r="E78" s="76">
        <v>1.6830000000000001</v>
      </c>
      <c r="F78" s="76">
        <v>1.6830000000000001</v>
      </c>
      <c r="G78" s="76">
        <v>4.1660000000000004</v>
      </c>
      <c r="H78" s="77">
        <v>0</v>
      </c>
      <c r="I78" s="77">
        <v>0.4039846375420067</v>
      </c>
      <c r="J78" s="78">
        <v>0.4039846375420067</v>
      </c>
      <c r="K78" s="75">
        <v>94</v>
      </c>
      <c r="L78" s="76">
        <v>0</v>
      </c>
      <c r="M78" s="76">
        <v>4.4850000000000003</v>
      </c>
      <c r="N78" s="79">
        <v>4.2000000000000003E-2</v>
      </c>
      <c r="O78" s="76">
        <v>4.2000000000000003E-2</v>
      </c>
      <c r="P78" s="76">
        <v>4.4850000000000003</v>
      </c>
      <c r="Q78" s="77">
        <v>0</v>
      </c>
      <c r="R78" s="77">
        <v>9.3645484949832769E-3</v>
      </c>
      <c r="S78" s="78">
        <v>9.3645484949832769E-3</v>
      </c>
      <c r="T78" s="75">
        <v>94</v>
      </c>
      <c r="U78" s="80">
        <v>0</v>
      </c>
      <c r="V78" s="80">
        <v>4.3254999999999999</v>
      </c>
      <c r="W78" s="80">
        <v>0.86250000000000004</v>
      </c>
      <c r="X78" s="80">
        <v>0.49299999999999999</v>
      </c>
      <c r="Y78" s="80">
        <v>5.8960000000000008</v>
      </c>
      <c r="Z78" s="81">
        <v>4.9533799533799529E-2</v>
      </c>
      <c r="AA78" s="81">
        <v>9.5765345765345747E-2</v>
      </c>
      <c r="AB78" s="82">
        <v>0.14529914529914528</v>
      </c>
    </row>
    <row r="79" spans="2:28">
      <c r="B79" s="83">
        <v>95</v>
      </c>
      <c r="C79" s="84"/>
      <c r="D79" s="84">
        <v>3.9740000000000002</v>
      </c>
      <c r="E79" s="84">
        <v>1.5349999999999999</v>
      </c>
      <c r="F79" s="84">
        <v>1.5349999999999999</v>
      </c>
      <c r="G79" s="84">
        <v>3.9740000000000002</v>
      </c>
      <c r="H79" s="85">
        <v>0</v>
      </c>
      <c r="I79" s="85">
        <v>0.38626069451434319</v>
      </c>
      <c r="J79" s="87">
        <v>0.38626069451434319</v>
      </c>
      <c r="K79" s="83">
        <v>95</v>
      </c>
      <c r="L79" s="84">
        <v>0</v>
      </c>
      <c r="M79" s="84">
        <v>4.2450000000000001</v>
      </c>
      <c r="N79" s="86">
        <v>3.4000000000000002E-2</v>
      </c>
      <c r="O79" s="84">
        <v>3.4000000000000002E-2</v>
      </c>
      <c r="P79" s="84">
        <v>4.2450000000000001</v>
      </c>
      <c r="Q79" s="85">
        <v>0</v>
      </c>
      <c r="R79" s="85">
        <v>8.0094228504122497E-3</v>
      </c>
      <c r="S79" s="87">
        <v>8.0094228504122497E-3</v>
      </c>
      <c r="T79" s="83">
        <v>95</v>
      </c>
      <c r="U79" s="88">
        <v>0</v>
      </c>
      <c r="V79" s="88">
        <v>4.1095000000000006</v>
      </c>
      <c r="W79" s="88">
        <v>0.78449999999999998</v>
      </c>
      <c r="X79" s="88">
        <v>0.49299999999999999</v>
      </c>
      <c r="Y79" s="88">
        <v>5.8960000000000008</v>
      </c>
      <c r="Z79" s="29">
        <v>4.9533799533799529E-2</v>
      </c>
      <c r="AA79" s="29">
        <v>9.5765345765345747E-2</v>
      </c>
      <c r="AB79" s="89">
        <v>0.14529914529914528</v>
      </c>
    </row>
    <row r="80" spans="2:28">
      <c r="B80" s="75">
        <v>96</v>
      </c>
      <c r="C80" s="76"/>
      <c r="D80" s="76">
        <v>3.798</v>
      </c>
      <c r="E80" s="76">
        <v>1.371</v>
      </c>
      <c r="F80" s="76">
        <v>1.371</v>
      </c>
      <c r="G80" s="76">
        <v>3.798</v>
      </c>
      <c r="H80" s="77">
        <v>0</v>
      </c>
      <c r="I80" s="77">
        <v>0.36097946287519744</v>
      </c>
      <c r="J80" s="78">
        <v>0.36097946287519744</v>
      </c>
      <c r="K80" s="75">
        <v>96</v>
      </c>
      <c r="L80" s="76">
        <v>0</v>
      </c>
      <c r="M80" s="76">
        <v>4.024</v>
      </c>
      <c r="N80" s="79">
        <v>2.7E-2</v>
      </c>
      <c r="O80" s="76">
        <v>2.7E-2</v>
      </c>
      <c r="P80" s="76">
        <v>4.024</v>
      </c>
      <c r="Q80" s="77">
        <v>0</v>
      </c>
      <c r="R80" s="77">
        <v>6.7097415506958248E-3</v>
      </c>
      <c r="S80" s="78">
        <v>6.7097415506958248E-3</v>
      </c>
      <c r="T80" s="75">
        <v>96</v>
      </c>
      <c r="U80" s="80">
        <v>0</v>
      </c>
      <c r="V80" s="80">
        <v>3.911</v>
      </c>
      <c r="W80" s="80">
        <v>0.69899999999999995</v>
      </c>
      <c r="X80" s="80">
        <v>0.49299999999999999</v>
      </c>
      <c r="Y80" s="80">
        <v>5.8960000000000008</v>
      </c>
      <c r="Z80" s="81">
        <v>4.9533799533799529E-2</v>
      </c>
      <c r="AA80" s="81">
        <v>9.5765345765345747E-2</v>
      </c>
      <c r="AB80" s="82">
        <v>0.14529914529914528</v>
      </c>
    </row>
    <row r="81" spans="2:28">
      <c r="B81" s="83">
        <v>97</v>
      </c>
      <c r="C81" s="84"/>
      <c r="D81" s="84">
        <v>3.6389999999999998</v>
      </c>
      <c r="E81" s="84">
        <v>1.216</v>
      </c>
      <c r="F81" s="84">
        <v>1.216</v>
      </c>
      <c r="G81" s="84">
        <v>3.6389999999999998</v>
      </c>
      <c r="H81" s="85">
        <v>0</v>
      </c>
      <c r="I81" s="85">
        <v>0.33415773564165979</v>
      </c>
      <c r="J81" s="87">
        <v>0.33415773564165979</v>
      </c>
      <c r="K81" s="83">
        <v>97</v>
      </c>
      <c r="L81" s="84">
        <v>0</v>
      </c>
      <c r="M81" s="84">
        <v>3.8239999999999998</v>
      </c>
      <c r="N81" s="86">
        <v>2.1000000000000001E-2</v>
      </c>
      <c r="O81" s="84">
        <v>2.1000000000000001E-2</v>
      </c>
      <c r="P81" s="84">
        <v>3.8239999999999998</v>
      </c>
      <c r="Q81" s="85">
        <v>0</v>
      </c>
      <c r="R81" s="85">
        <v>5.4916317991631804E-3</v>
      </c>
      <c r="S81" s="87">
        <v>5.4916317991631804E-3</v>
      </c>
      <c r="T81" s="83">
        <v>97</v>
      </c>
      <c r="U81" s="88">
        <v>0</v>
      </c>
      <c r="V81" s="88">
        <v>3.7314999999999996</v>
      </c>
      <c r="W81" s="88">
        <v>0.61849999999999994</v>
      </c>
      <c r="X81" s="88">
        <v>0.49299999999999999</v>
      </c>
      <c r="Y81" s="88">
        <v>5.8960000000000008</v>
      </c>
      <c r="Z81" s="29">
        <v>4.9533799533799529E-2</v>
      </c>
      <c r="AA81" s="29">
        <v>9.5765345765345747E-2</v>
      </c>
      <c r="AB81" s="89">
        <v>0.14529914529914528</v>
      </c>
    </row>
    <row r="82" spans="2:28">
      <c r="B82" s="75">
        <v>98</v>
      </c>
      <c r="C82" s="76"/>
      <c r="D82" s="76">
        <v>3.4950000000000001</v>
      </c>
      <c r="E82" s="76">
        <v>1.0409999999999999</v>
      </c>
      <c r="F82" s="76">
        <v>1.0409999999999999</v>
      </c>
      <c r="G82" s="76">
        <v>3.4950000000000001</v>
      </c>
      <c r="H82" s="77">
        <v>0</v>
      </c>
      <c r="I82" s="77">
        <v>0.29785407725321883</v>
      </c>
      <c r="J82" s="78">
        <v>0.29785407725321883</v>
      </c>
      <c r="K82" s="75">
        <v>98</v>
      </c>
      <c r="L82" s="76">
        <v>0</v>
      </c>
      <c r="M82" s="76">
        <v>3.6429999999999998</v>
      </c>
      <c r="N82" s="79">
        <v>1.7000000000000001E-2</v>
      </c>
      <c r="O82" s="76">
        <v>1.7000000000000001E-2</v>
      </c>
      <c r="P82" s="76">
        <v>3.6429999999999998</v>
      </c>
      <c r="Q82" s="77">
        <v>0</v>
      </c>
      <c r="R82" s="77">
        <v>4.6664836673071652E-3</v>
      </c>
      <c r="S82" s="78">
        <v>4.6664836673071652E-3</v>
      </c>
      <c r="T82" s="75">
        <v>98</v>
      </c>
      <c r="U82" s="80">
        <v>0</v>
      </c>
      <c r="V82" s="80">
        <v>3.569</v>
      </c>
      <c r="W82" s="80">
        <v>0.52899999999999991</v>
      </c>
      <c r="X82" s="80">
        <v>0.49299999999999999</v>
      </c>
      <c r="Y82" s="80">
        <v>5.8960000000000008</v>
      </c>
      <c r="Z82" s="81">
        <v>4.9533799533799529E-2</v>
      </c>
      <c r="AA82" s="81">
        <v>9.5765345765345747E-2</v>
      </c>
      <c r="AB82" s="82">
        <v>0.14529914529914528</v>
      </c>
    </row>
    <row r="83" spans="2:28">
      <c r="B83" s="83">
        <v>99</v>
      </c>
      <c r="C83" s="84"/>
      <c r="D83" s="84">
        <v>3.3639999999999999</v>
      </c>
      <c r="E83" s="84">
        <v>0.84799999999999998</v>
      </c>
      <c r="F83" s="84">
        <v>0.84799999999999998</v>
      </c>
      <c r="G83" s="84">
        <v>3.3639999999999999</v>
      </c>
      <c r="H83" s="85">
        <v>0</v>
      </c>
      <c r="I83" s="85">
        <v>0.25208085612366232</v>
      </c>
      <c r="J83" s="87">
        <v>0.25208085612366232</v>
      </c>
      <c r="K83" s="83">
        <v>99</v>
      </c>
      <c r="L83" s="84">
        <v>0</v>
      </c>
      <c r="M83" s="84">
        <v>3.48</v>
      </c>
      <c r="N83" s="86">
        <v>1.2999999999999999E-2</v>
      </c>
      <c r="O83" s="84">
        <v>1.2999999999999999E-2</v>
      </c>
      <c r="P83" s="84">
        <v>3.48</v>
      </c>
      <c r="Q83" s="85">
        <v>0</v>
      </c>
      <c r="R83" s="85">
        <v>3.7356321839080459E-3</v>
      </c>
      <c r="S83" s="87">
        <v>3.7356321839080459E-3</v>
      </c>
      <c r="T83" s="83">
        <v>99</v>
      </c>
      <c r="U83" s="88">
        <v>0</v>
      </c>
      <c r="V83" s="88">
        <v>3.4219999999999997</v>
      </c>
      <c r="W83" s="88">
        <v>0.43049999999999999</v>
      </c>
      <c r="X83" s="88">
        <v>0.49299999999999999</v>
      </c>
      <c r="Y83" s="88">
        <v>5.8960000000000008</v>
      </c>
      <c r="Z83" s="29">
        <v>4.9533799533799529E-2</v>
      </c>
      <c r="AA83" s="29">
        <v>9.5765345765345747E-2</v>
      </c>
      <c r="AB83" s="89">
        <v>0.14529914529914528</v>
      </c>
    </row>
    <row r="84" spans="2:28" ht="15.75" thickBot="1">
      <c r="B84" s="100">
        <v>100</v>
      </c>
      <c r="C84" s="101"/>
      <c r="D84" s="101">
        <v>3.2450000000000001</v>
      </c>
      <c r="E84" s="101">
        <v>0.67200000000000004</v>
      </c>
      <c r="F84" s="101">
        <v>0.67200000000000004</v>
      </c>
      <c r="G84" s="101">
        <v>3.2450000000000001</v>
      </c>
      <c r="H84" s="102">
        <v>0</v>
      </c>
      <c r="I84" s="102">
        <v>0.20708782742681048</v>
      </c>
      <c r="J84" s="104">
        <v>0.20708782742681048</v>
      </c>
      <c r="K84" s="100">
        <v>100</v>
      </c>
      <c r="L84" s="101">
        <v>0</v>
      </c>
      <c r="M84" s="101">
        <v>3.335</v>
      </c>
      <c r="N84" s="103">
        <v>0.01</v>
      </c>
      <c r="O84" s="101">
        <v>0.01</v>
      </c>
      <c r="P84" s="101">
        <v>3.335</v>
      </c>
      <c r="Q84" s="102">
        <v>0</v>
      </c>
      <c r="R84" s="102">
        <v>2.9985007496251873E-3</v>
      </c>
      <c r="S84" s="104">
        <v>2.9985007496251873E-3</v>
      </c>
      <c r="T84" s="100">
        <v>100</v>
      </c>
      <c r="U84" s="105">
        <v>0</v>
      </c>
      <c r="V84" s="105">
        <v>3.29</v>
      </c>
      <c r="W84" s="105">
        <v>0.34100000000000003</v>
      </c>
      <c r="X84" s="105">
        <v>0.49299999999999999</v>
      </c>
      <c r="Y84" s="105">
        <v>5.8960000000000008</v>
      </c>
      <c r="Z84" s="106">
        <v>4.9533799533799529E-2</v>
      </c>
      <c r="AA84" s="106">
        <v>9.5765345765345747E-2</v>
      </c>
      <c r="AB84" s="107">
        <v>0.14529914529914528</v>
      </c>
    </row>
  </sheetData>
  <mergeCells count="4">
    <mergeCell ref="B2:B3"/>
    <mergeCell ref="H2:J2"/>
    <mergeCell ref="Q2:S2"/>
    <mergeCell ref="Z2:AB2"/>
  </mergeCells>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5DB6B-C84B-466F-89F0-7F808AD76E3A}">
  <sheetPr codeName="Tabelle43"/>
  <dimension ref="A2:AB84"/>
  <sheetViews>
    <sheetView topLeftCell="B1" workbookViewId="0">
      <selection activeCell="B4" sqref="B4:AB84"/>
    </sheetView>
  </sheetViews>
  <sheetFormatPr baseColWidth="10" defaultColWidth="12.7109375" defaultRowHeight="15"/>
  <cols>
    <col min="1" max="1" width="24" hidden="1" customWidth="1"/>
    <col min="2" max="2" width="7" customWidth="1"/>
    <col min="3" max="3" width="11.5703125" customWidth="1"/>
    <col min="4" max="4" width="12.5703125" customWidth="1"/>
    <col min="5" max="6" width="10.42578125" customWidth="1"/>
    <col min="7" max="7" width="12.5703125" customWidth="1"/>
    <col min="8" max="9" width="11" customWidth="1"/>
    <col min="10" max="10" width="11" style="26" customWidth="1"/>
    <col min="11" max="11" width="7" customWidth="1"/>
    <col min="12" max="16" width="12.5703125" customWidth="1"/>
    <col min="17" max="18" width="11" customWidth="1"/>
    <col min="19" max="19" width="11" style="26" customWidth="1"/>
    <col min="20" max="20" width="7" customWidth="1"/>
    <col min="25" max="25" width="12.5703125" customWidth="1"/>
    <col min="26" max="27" width="11" customWidth="1"/>
    <col min="28" max="28" width="11" style="26" customWidth="1"/>
    <col min="29" max="29" width="13.28515625" bestFit="1" customWidth="1"/>
  </cols>
  <sheetData>
    <row r="2" spans="1:28" s="56" customFormat="1" ht="78.75" customHeight="1">
      <c r="A2" s="56" t="s">
        <v>3415</v>
      </c>
      <c r="B2" s="57" t="s">
        <v>2780</v>
      </c>
      <c r="C2" s="58" t="s">
        <v>3390</v>
      </c>
      <c r="D2" s="58" t="s">
        <v>3391</v>
      </c>
      <c r="E2" s="58" t="s">
        <v>3392</v>
      </c>
      <c r="F2" s="58" t="s">
        <v>3393</v>
      </c>
      <c r="G2" s="58" t="s">
        <v>3394</v>
      </c>
      <c r="H2" s="818" t="s">
        <v>3395</v>
      </c>
      <c r="I2" s="819"/>
      <c r="J2" s="820"/>
      <c r="K2" s="59" t="s">
        <v>2780</v>
      </c>
      <c r="L2" s="60" t="s">
        <v>3390</v>
      </c>
      <c r="M2" s="60" t="s">
        <v>3391</v>
      </c>
      <c r="N2" s="60" t="s">
        <v>3392</v>
      </c>
      <c r="O2" s="60" t="s">
        <v>3393</v>
      </c>
      <c r="P2" s="60" t="str">
        <f>+G2</f>
        <v>Anwartschafts-barwert
Altersrente</v>
      </c>
      <c r="Q2" s="821" t="s">
        <v>3396</v>
      </c>
      <c r="R2" s="822"/>
      <c r="S2" s="823"/>
      <c r="T2" s="61" t="s">
        <v>2780</v>
      </c>
      <c r="U2" s="62" t="s">
        <v>3390</v>
      </c>
      <c r="V2" s="62" t="s">
        <v>3391</v>
      </c>
      <c r="W2" s="62" t="s">
        <v>3392</v>
      </c>
      <c r="X2" s="62" t="s">
        <v>3393</v>
      </c>
      <c r="Y2" s="62" t="str">
        <f>+P2</f>
        <v>Anwartschafts-barwert
Altersrente</v>
      </c>
      <c r="Z2" s="824" t="s">
        <v>3416</v>
      </c>
      <c r="AA2" s="825"/>
      <c r="AB2" s="826"/>
    </row>
    <row r="3" spans="1:28" s="74" customFormat="1" ht="13.5">
      <c r="A3" s="63">
        <v>43111</v>
      </c>
      <c r="B3" s="64"/>
      <c r="C3" s="65" t="s">
        <v>3407</v>
      </c>
      <c r="D3" s="65" t="s">
        <v>3408</v>
      </c>
      <c r="E3" s="65" t="s">
        <v>3409</v>
      </c>
      <c r="F3" s="65"/>
      <c r="G3" s="65"/>
      <c r="H3" s="66" t="s">
        <v>3400</v>
      </c>
      <c r="I3" s="66" t="s">
        <v>3401</v>
      </c>
      <c r="J3" s="67" t="s">
        <v>3402</v>
      </c>
      <c r="K3" s="68"/>
      <c r="L3" s="69" t="s">
        <v>3411</v>
      </c>
      <c r="M3" s="69" t="s">
        <v>3412</v>
      </c>
      <c r="N3" s="69" t="s">
        <v>3405</v>
      </c>
      <c r="O3" s="69"/>
      <c r="P3" s="69"/>
      <c r="Q3" s="69" t="s">
        <v>3400</v>
      </c>
      <c r="R3" s="69" t="s">
        <v>3401</v>
      </c>
      <c r="S3" s="70" t="s">
        <v>3402</v>
      </c>
      <c r="T3" s="71"/>
      <c r="U3" s="72" t="s">
        <v>3411</v>
      </c>
      <c r="V3" s="72" t="s">
        <v>3412</v>
      </c>
      <c r="W3" s="72" t="s">
        <v>3405</v>
      </c>
      <c r="X3" s="72" t="s">
        <v>3413</v>
      </c>
      <c r="Y3" s="72"/>
      <c r="Z3" s="72" t="s">
        <v>3400</v>
      </c>
      <c r="AA3" s="72" t="s">
        <v>3401</v>
      </c>
      <c r="AB3" s="73" t="s">
        <v>3402</v>
      </c>
    </row>
    <row r="4" spans="1:28">
      <c r="B4" s="75">
        <v>20</v>
      </c>
      <c r="C4" s="76">
        <v>0.26900000000000002</v>
      </c>
      <c r="D4" s="76">
        <v>4.8979999999999997</v>
      </c>
      <c r="E4" s="76">
        <v>0.53200000000000003</v>
      </c>
      <c r="F4" s="76">
        <v>0.53200000000000003</v>
      </c>
      <c r="G4" s="76">
        <v>4.6289999999999996</v>
      </c>
      <c r="H4" s="77">
        <v>5.8111903218837774E-2</v>
      </c>
      <c r="I4" s="77">
        <v>0.11492763015770147</v>
      </c>
      <c r="J4" s="78">
        <v>0.17303953337653924</v>
      </c>
      <c r="K4" s="75">
        <v>20</v>
      </c>
      <c r="L4" s="76">
        <v>0.28100000000000003</v>
      </c>
      <c r="M4" s="76">
        <v>5.665</v>
      </c>
      <c r="N4" s="79">
        <v>0.13200000000000001</v>
      </c>
      <c r="O4" s="76">
        <v>0.13200000000000001</v>
      </c>
      <c r="P4" s="76">
        <v>5.3840000000000003</v>
      </c>
      <c r="Q4" s="77">
        <v>5.2191679049034177E-2</v>
      </c>
      <c r="R4" s="77">
        <v>2.4517087667161961E-2</v>
      </c>
      <c r="S4" s="78">
        <v>7.6708766716196142E-2</v>
      </c>
      <c r="T4" s="75">
        <v>20</v>
      </c>
      <c r="U4" s="80">
        <v>0.27500000000000002</v>
      </c>
      <c r="V4" s="80">
        <v>5.2814999999999994</v>
      </c>
      <c r="W4" s="80">
        <v>0.33200000000000002</v>
      </c>
      <c r="X4" s="80">
        <v>0.33200000000000002</v>
      </c>
      <c r="Y4" s="80">
        <v>5.0065</v>
      </c>
      <c r="Z4" s="81">
        <v>5.5151791133935979E-2</v>
      </c>
      <c r="AA4" s="81">
        <v>6.9722358912431712E-2</v>
      </c>
      <c r="AB4" s="82">
        <v>0.12487415004636769</v>
      </c>
    </row>
    <row r="5" spans="1:28">
      <c r="B5" s="83">
        <v>21</v>
      </c>
      <c r="C5" s="84">
        <v>0.31</v>
      </c>
      <c r="D5" s="84">
        <v>5.0469999999999997</v>
      </c>
      <c r="E5" s="84">
        <v>0.61899999999999999</v>
      </c>
      <c r="F5" s="84">
        <v>0.61899999999999999</v>
      </c>
      <c r="G5" s="84">
        <v>4.7370000000000001</v>
      </c>
      <c r="H5" s="85">
        <v>6.5442263035676587E-2</v>
      </c>
      <c r="I5" s="85">
        <v>0.13067342199704454</v>
      </c>
      <c r="J5" s="87">
        <v>0.19611568503272114</v>
      </c>
      <c r="K5" s="83">
        <v>21</v>
      </c>
      <c r="L5" s="84">
        <v>0.33800000000000002</v>
      </c>
      <c r="M5" s="84">
        <v>5.8339999999999996</v>
      </c>
      <c r="N5" s="86">
        <v>0.16</v>
      </c>
      <c r="O5" s="84">
        <v>0.16</v>
      </c>
      <c r="P5" s="84">
        <v>5.4959999999999996</v>
      </c>
      <c r="Q5" s="85">
        <v>6.1499272197962161E-2</v>
      </c>
      <c r="R5" s="85">
        <v>2.9112081513828242E-2</v>
      </c>
      <c r="S5" s="87">
        <v>9.061135371179041E-2</v>
      </c>
      <c r="T5" s="83">
        <v>21</v>
      </c>
      <c r="U5" s="88">
        <v>0.32400000000000001</v>
      </c>
      <c r="V5" s="88">
        <v>5.4405000000000001</v>
      </c>
      <c r="W5" s="88">
        <v>0.38950000000000001</v>
      </c>
      <c r="X5" s="88">
        <v>0.38950000000000001</v>
      </c>
      <c r="Y5" s="88">
        <v>5.1165000000000003</v>
      </c>
      <c r="Z5" s="29">
        <v>6.3470767616819371E-2</v>
      </c>
      <c r="AA5" s="29">
        <v>7.9892751755436392E-2</v>
      </c>
      <c r="AB5" s="89">
        <v>0.14336351937225578</v>
      </c>
    </row>
    <row r="6" spans="1:28">
      <c r="B6" s="75">
        <v>22</v>
      </c>
      <c r="C6" s="76">
        <v>0.35199999999999998</v>
      </c>
      <c r="D6" s="76">
        <v>5.1989999999999998</v>
      </c>
      <c r="E6" s="76">
        <v>0.71099999999999997</v>
      </c>
      <c r="F6" s="76">
        <v>0.71099999999999997</v>
      </c>
      <c r="G6" s="76">
        <v>4.8469999999999995</v>
      </c>
      <c r="H6" s="77">
        <v>7.2622240561171864E-2</v>
      </c>
      <c r="I6" s="77">
        <v>0.14668867340623065</v>
      </c>
      <c r="J6" s="78">
        <v>0.21931091396740252</v>
      </c>
      <c r="K6" s="75">
        <v>22</v>
      </c>
      <c r="L6" s="76">
        <v>0.39</v>
      </c>
      <c r="M6" s="76">
        <v>6.008</v>
      </c>
      <c r="N6" s="79">
        <v>0.185</v>
      </c>
      <c r="O6" s="76">
        <v>0.185</v>
      </c>
      <c r="P6" s="76">
        <v>5.6180000000000003</v>
      </c>
      <c r="Q6" s="77">
        <v>6.9419722321110711E-2</v>
      </c>
      <c r="R6" s="77">
        <v>3.2929868280526874E-2</v>
      </c>
      <c r="S6" s="78">
        <v>0.10234959060163759</v>
      </c>
      <c r="T6" s="75">
        <v>22</v>
      </c>
      <c r="U6" s="80">
        <v>0.371</v>
      </c>
      <c r="V6" s="80">
        <v>5.6035000000000004</v>
      </c>
      <c r="W6" s="80">
        <v>0.44799999999999995</v>
      </c>
      <c r="X6" s="80">
        <v>0.44799999999999995</v>
      </c>
      <c r="Y6" s="80">
        <v>5.2324999999999999</v>
      </c>
      <c r="Z6" s="81">
        <v>7.1020981441141287E-2</v>
      </c>
      <c r="AA6" s="81">
        <v>8.9809270843378766E-2</v>
      </c>
      <c r="AB6" s="82">
        <v>0.16083025228452005</v>
      </c>
    </row>
    <row r="7" spans="1:28">
      <c r="B7" s="83">
        <v>23</v>
      </c>
      <c r="C7" s="84">
        <v>0.39500000000000002</v>
      </c>
      <c r="D7" s="84">
        <v>5.3550000000000004</v>
      </c>
      <c r="E7" s="84">
        <v>0.80800000000000005</v>
      </c>
      <c r="F7" s="84">
        <v>0.80800000000000005</v>
      </c>
      <c r="G7" s="84">
        <v>4.9600000000000009</v>
      </c>
      <c r="H7" s="85">
        <v>7.9637096774193533E-2</v>
      </c>
      <c r="I7" s="85">
        <v>0.16290322580645158</v>
      </c>
      <c r="J7" s="87">
        <v>0.24254032258064512</v>
      </c>
      <c r="K7" s="83">
        <v>23</v>
      </c>
      <c r="L7" s="84">
        <v>0.434</v>
      </c>
      <c r="M7" s="84">
        <v>6.1859999999999999</v>
      </c>
      <c r="N7" s="86">
        <v>0.20699999999999999</v>
      </c>
      <c r="O7" s="84">
        <v>0.20699999999999999</v>
      </c>
      <c r="P7" s="84">
        <v>5.7519999999999998</v>
      </c>
      <c r="Q7" s="85">
        <v>7.545201668984701E-2</v>
      </c>
      <c r="R7" s="85">
        <v>3.5987482614742695E-2</v>
      </c>
      <c r="S7" s="87">
        <v>0.11143949930458971</v>
      </c>
      <c r="T7" s="83">
        <v>23</v>
      </c>
      <c r="U7" s="88">
        <v>0.41449999999999998</v>
      </c>
      <c r="V7" s="88">
        <v>5.7705000000000002</v>
      </c>
      <c r="W7" s="88">
        <v>0.50750000000000006</v>
      </c>
      <c r="X7" s="88">
        <v>0.50750000000000006</v>
      </c>
      <c r="Y7" s="88">
        <v>5.3559999999999999</v>
      </c>
      <c r="Z7" s="29">
        <v>7.7544556732020264E-2</v>
      </c>
      <c r="AA7" s="29">
        <v>9.9445354210597137E-2</v>
      </c>
      <c r="AB7" s="89">
        <v>0.1769899109426174</v>
      </c>
    </row>
    <row r="8" spans="1:28">
      <c r="B8" s="75">
        <v>24</v>
      </c>
      <c r="C8" s="76">
        <v>0.434</v>
      </c>
      <c r="D8" s="76">
        <v>5.5149999999999997</v>
      </c>
      <c r="E8" s="76">
        <v>0.89600000000000002</v>
      </c>
      <c r="F8" s="76">
        <v>0.89600000000000002</v>
      </c>
      <c r="G8" s="76">
        <v>5.0809999999999995</v>
      </c>
      <c r="H8" s="77">
        <v>8.5416256642393232E-2</v>
      </c>
      <c r="I8" s="77">
        <v>0.17634323951977959</v>
      </c>
      <c r="J8" s="78">
        <v>0.26175949616217281</v>
      </c>
      <c r="K8" s="75">
        <v>24</v>
      </c>
      <c r="L8" s="76">
        <v>0.47299999999999998</v>
      </c>
      <c r="M8" s="76">
        <v>6.3680000000000003</v>
      </c>
      <c r="N8" s="79">
        <v>0.22700000000000001</v>
      </c>
      <c r="O8" s="76">
        <v>0.22700000000000001</v>
      </c>
      <c r="P8" s="76">
        <v>5.8950000000000005</v>
      </c>
      <c r="Q8" s="77">
        <v>8.0237489397794737E-2</v>
      </c>
      <c r="R8" s="77">
        <v>3.8507209499575909E-2</v>
      </c>
      <c r="S8" s="78">
        <v>0.11874469889737065</v>
      </c>
      <c r="T8" s="75">
        <v>24</v>
      </c>
      <c r="U8" s="80">
        <v>0.45350000000000001</v>
      </c>
      <c r="V8" s="80">
        <v>5.9414999999999996</v>
      </c>
      <c r="W8" s="80">
        <v>0.5615</v>
      </c>
      <c r="X8" s="80">
        <v>0.5615</v>
      </c>
      <c r="Y8" s="80">
        <v>5.4879999999999995</v>
      </c>
      <c r="Z8" s="81">
        <v>8.2826873020093977E-2</v>
      </c>
      <c r="AA8" s="81">
        <v>0.10742522450967776</v>
      </c>
      <c r="AB8" s="82">
        <v>0.19025209752977174</v>
      </c>
    </row>
    <row r="9" spans="1:28">
      <c r="B9" s="83">
        <v>25</v>
      </c>
      <c r="C9" s="84">
        <v>0.46800000000000003</v>
      </c>
      <c r="D9" s="84">
        <v>5.6779999999999999</v>
      </c>
      <c r="E9" s="84">
        <v>0.97899999999999998</v>
      </c>
      <c r="F9" s="84">
        <v>0.97899999999999998</v>
      </c>
      <c r="G9" s="84">
        <v>5.21</v>
      </c>
      <c r="H9" s="85">
        <v>8.9827255278310952E-2</v>
      </c>
      <c r="I9" s="85">
        <v>0.18790786948176583</v>
      </c>
      <c r="J9" s="87">
        <v>0.27773512476007678</v>
      </c>
      <c r="K9" s="83">
        <v>25</v>
      </c>
      <c r="L9" s="84">
        <v>0.51200000000000001</v>
      </c>
      <c r="M9" s="84">
        <v>6.5549999999999997</v>
      </c>
      <c r="N9" s="86">
        <v>0.248</v>
      </c>
      <c r="O9" s="84">
        <v>0.248</v>
      </c>
      <c r="P9" s="84">
        <v>6.0429999999999993</v>
      </c>
      <c r="Q9" s="85">
        <v>8.4726129405924222E-2</v>
      </c>
      <c r="R9" s="85">
        <v>4.1039218930994541E-2</v>
      </c>
      <c r="S9" s="87">
        <v>0.12576534833691877</v>
      </c>
      <c r="T9" s="83">
        <v>25</v>
      </c>
      <c r="U9" s="88">
        <v>0.49</v>
      </c>
      <c r="V9" s="88">
        <v>6.1165000000000003</v>
      </c>
      <c r="W9" s="88">
        <v>0.61349999999999993</v>
      </c>
      <c r="X9" s="88">
        <v>0.61349999999999993</v>
      </c>
      <c r="Y9" s="88">
        <v>5.6265000000000001</v>
      </c>
      <c r="Z9" s="29">
        <v>8.7276692342117587E-2</v>
      </c>
      <c r="AA9" s="29">
        <v>0.11447354420638019</v>
      </c>
      <c r="AB9" s="89">
        <v>0.20175023654849777</v>
      </c>
    </row>
    <row r="10" spans="1:28">
      <c r="B10" s="75">
        <v>26</v>
      </c>
      <c r="C10" s="76">
        <v>0.499</v>
      </c>
      <c r="D10" s="76">
        <v>5.8460000000000001</v>
      </c>
      <c r="E10" s="76">
        <v>1.0569999999999999</v>
      </c>
      <c r="F10" s="76">
        <v>1.0569999999999999</v>
      </c>
      <c r="G10" s="76">
        <v>5.3470000000000004</v>
      </c>
      <c r="H10" s="77">
        <v>9.3323358892837091E-2</v>
      </c>
      <c r="I10" s="77">
        <v>0.19768094258462687</v>
      </c>
      <c r="J10" s="78">
        <v>0.29100430147746398</v>
      </c>
      <c r="K10" s="75">
        <v>26</v>
      </c>
      <c r="L10" s="76">
        <v>0.55000000000000004</v>
      </c>
      <c r="M10" s="76">
        <v>6.7450000000000001</v>
      </c>
      <c r="N10" s="79">
        <v>0.26800000000000002</v>
      </c>
      <c r="O10" s="76">
        <v>0.26800000000000002</v>
      </c>
      <c r="P10" s="76">
        <v>6.1950000000000003</v>
      </c>
      <c r="Q10" s="77">
        <v>8.8781275221953185E-2</v>
      </c>
      <c r="R10" s="77">
        <v>4.3260694108151733E-2</v>
      </c>
      <c r="S10" s="78">
        <v>0.13204196933010492</v>
      </c>
      <c r="T10" s="75">
        <v>26</v>
      </c>
      <c r="U10" s="80">
        <v>0.52449999999999997</v>
      </c>
      <c r="V10" s="80">
        <v>6.2955000000000005</v>
      </c>
      <c r="W10" s="80">
        <v>0.66249999999999998</v>
      </c>
      <c r="X10" s="80">
        <v>0.66249999999999998</v>
      </c>
      <c r="Y10" s="80">
        <v>5.7710000000000008</v>
      </c>
      <c r="Z10" s="81">
        <v>9.1052317057395138E-2</v>
      </c>
      <c r="AA10" s="81">
        <v>0.1204708183463893</v>
      </c>
      <c r="AB10" s="82">
        <v>0.21152313540378445</v>
      </c>
    </row>
    <row r="11" spans="1:28">
      <c r="B11" s="83">
        <v>27</v>
      </c>
      <c r="C11" s="84">
        <v>0.52600000000000002</v>
      </c>
      <c r="D11" s="84">
        <v>6.0170000000000003</v>
      </c>
      <c r="E11" s="84">
        <v>1.133</v>
      </c>
      <c r="F11" s="84">
        <v>1.133</v>
      </c>
      <c r="G11" s="84">
        <v>5.4910000000000005</v>
      </c>
      <c r="H11" s="85">
        <v>9.5793116008013102E-2</v>
      </c>
      <c r="I11" s="85">
        <v>0.20633764341649971</v>
      </c>
      <c r="J11" s="87">
        <v>0.30213075942451284</v>
      </c>
      <c r="K11" s="83">
        <v>27</v>
      </c>
      <c r="L11" s="84">
        <v>0.58599999999999997</v>
      </c>
      <c r="M11" s="84">
        <v>6.94</v>
      </c>
      <c r="N11" s="86">
        <v>0.28799999999999998</v>
      </c>
      <c r="O11" s="84">
        <v>0.28799999999999998</v>
      </c>
      <c r="P11" s="84">
        <v>6.3540000000000001</v>
      </c>
      <c r="Q11" s="85">
        <v>9.2225369845766444E-2</v>
      </c>
      <c r="R11" s="85">
        <v>4.5325779036827191E-2</v>
      </c>
      <c r="S11" s="87">
        <v>0.13755114888259362</v>
      </c>
      <c r="T11" s="83">
        <v>27</v>
      </c>
      <c r="U11" s="88">
        <v>0.55600000000000005</v>
      </c>
      <c r="V11" s="88">
        <v>6.4785000000000004</v>
      </c>
      <c r="W11" s="88">
        <v>0.71050000000000002</v>
      </c>
      <c r="X11" s="88">
        <v>0.71050000000000002</v>
      </c>
      <c r="Y11" s="88">
        <v>5.9225000000000003</v>
      </c>
      <c r="Z11" s="29">
        <v>9.400924292688978E-2</v>
      </c>
      <c r="AA11" s="29">
        <v>0.12583171122666345</v>
      </c>
      <c r="AB11" s="89">
        <v>0.21984095415355323</v>
      </c>
    </row>
    <row r="12" spans="1:28">
      <c r="B12" s="75">
        <v>28</v>
      </c>
      <c r="C12" s="76">
        <v>0.55200000000000005</v>
      </c>
      <c r="D12" s="76">
        <v>6.1920000000000002</v>
      </c>
      <c r="E12" s="76">
        <v>1.2070000000000001</v>
      </c>
      <c r="F12" s="76">
        <v>1.2070000000000001</v>
      </c>
      <c r="G12" s="76">
        <v>5.6400000000000006</v>
      </c>
      <c r="H12" s="77">
        <v>9.7872340425531917E-2</v>
      </c>
      <c r="I12" s="77">
        <v>0.21400709219858155</v>
      </c>
      <c r="J12" s="78">
        <v>0.31187943262411344</v>
      </c>
      <c r="K12" s="75">
        <v>28</v>
      </c>
      <c r="L12" s="76">
        <v>0.621</v>
      </c>
      <c r="M12" s="76">
        <v>7.1379999999999999</v>
      </c>
      <c r="N12" s="79">
        <v>0.308</v>
      </c>
      <c r="O12" s="76">
        <v>0.308</v>
      </c>
      <c r="P12" s="76">
        <v>6.5169999999999995</v>
      </c>
      <c r="Q12" s="77">
        <v>9.5289243516955668E-2</v>
      </c>
      <c r="R12" s="77">
        <v>4.7261009667024706E-2</v>
      </c>
      <c r="S12" s="78">
        <v>0.14255025318398037</v>
      </c>
      <c r="T12" s="75">
        <v>28</v>
      </c>
      <c r="U12" s="80">
        <v>0.58650000000000002</v>
      </c>
      <c r="V12" s="80">
        <v>6.665</v>
      </c>
      <c r="W12" s="80">
        <v>0.75750000000000006</v>
      </c>
      <c r="X12" s="80">
        <v>0.75750000000000006</v>
      </c>
      <c r="Y12" s="80">
        <v>6.0785</v>
      </c>
      <c r="Z12" s="81">
        <v>9.6580791971243793E-2</v>
      </c>
      <c r="AA12" s="81">
        <v>0.13063405093280311</v>
      </c>
      <c r="AB12" s="82">
        <v>0.22721484290404692</v>
      </c>
    </row>
    <row r="13" spans="1:28">
      <c r="B13" s="83">
        <v>29</v>
      </c>
      <c r="C13" s="84">
        <v>0.57499999999999996</v>
      </c>
      <c r="D13" s="84">
        <v>6.3710000000000004</v>
      </c>
      <c r="E13" s="84">
        <v>1.28</v>
      </c>
      <c r="F13" s="84">
        <v>1.28</v>
      </c>
      <c r="G13" s="84">
        <v>5.7960000000000003</v>
      </c>
      <c r="H13" s="85">
        <v>9.9206349206349201E-2</v>
      </c>
      <c r="I13" s="85">
        <v>0.22084195997239475</v>
      </c>
      <c r="J13" s="87">
        <v>0.32004830917874394</v>
      </c>
      <c r="K13" s="83">
        <v>29</v>
      </c>
      <c r="L13" s="84">
        <v>0.65400000000000003</v>
      </c>
      <c r="M13" s="84">
        <v>7.3410000000000002</v>
      </c>
      <c r="N13" s="86">
        <v>0.32800000000000001</v>
      </c>
      <c r="O13" s="84">
        <v>0.32800000000000001</v>
      </c>
      <c r="P13" s="84">
        <v>6.6870000000000003</v>
      </c>
      <c r="Q13" s="85">
        <v>9.7801704800358907E-2</v>
      </c>
      <c r="R13" s="85">
        <v>4.9050396291311499E-2</v>
      </c>
      <c r="S13" s="87">
        <v>0.14685210109167041</v>
      </c>
      <c r="T13" s="83">
        <v>29</v>
      </c>
      <c r="U13" s="88">
        <v>0.61450000000000005</v>
      </c>
      <c r="V13" s="88">
        <v>6.8559999999999999</v>
      </c>
      <c r="W13" s="88">
        <v>0.80400000000000005</v>
      </c>
      <c r="X13" s="88">
        <v>0.80400000000000005</v>
      </c>
      <c r="Y13" s="88">
        <v>6.2415000000000003</v>
      </c>
      <c r="Z13" s="29">
        <v>9.8504027003354061E-2</v>
      </c>
      <c r="AA13" s="29">
        <v>0.13494617813185311</v>
      </c>
      <c r="AB13" s="89">
        <v>0.23345020513520717</v>
      </c>
    </row>
    <row r="14" spans="1:28">
      <c r="B14" s="75">
        <v>30</v>
      </c>
      <c r="C14" s="76">
        <v>0.59699999999999998</v>
      </c>
      <c r="D14" s="76">
        <v>6.5549999999999997</v>
      </c>
      <c r="E14" s="76">
        <v>1.3520000000000001</v>
      </c>
      <c r="F14" s="76">
        <v>1.3520000000000001</v>
      </c>
      <c r="G14" s="76">
        <v>5.9580000000000002</v>
      </c>
      <c r="H14" s="77">
        <v>0.10020140986908357</v>
      </c>
      <c r="I14" s="77">
        <v>0.22692178583417255</v>
      </c>
      <c r="J14" s="78">
        <v>0.3271231957032561</v>
      </c>
      <c r="K14" s="75">
        <v>30</v>
      </c>
      <c r="L14" s="76">
        <v>0.68500000000000005</v>
      </c>
      <c r="M14" s="76">
        <v>7.5469999999999997</v>
      </c>
      <c r="N14" s="79">
        <v>0.34699999999999998</v>
      </c>
      <c r="O14" s="76">
        <v>0.34699999999999998</v>
      </c>
      <c r="P14" s="76">
        <v>6.8620000000000001</v>
      </c>
      <c r="Q14" s="77">
        <v>9.982512387059167E-2</v>
      </c>
      <c r="R14" s="77">
        <v>5.0568347420577087E-2</v>
      </c>
      <c r="S14" s="78">
        <v>0.15039347129116876</v>
      </c>
      <c r="T14" s="75">
        <v>30</v>
      </c>
      <c r="U14" s="80">
        <v>0.64100000000000001</v>
      </c>
      <c r="V14" s="80">
        <v>7.0510000000000002</v>
      </c>
      <c r="W14" s="80">
        <v>0.84950000000000003</v>
      </c>
      <c r="X14" s="80">
        <v>0.84950000000000003</v>
      </c>
      <c r="Y14" s="80">
        <v>6.41</v>
      </c>
      <c r="Z14" s="81">
        <v>0.10001326686983762</v>
      </c>
      <c r="AA14" s="81">
        <v>0.13874506662737482</v>
      </c>
      <c r="AB14" s="82">
        <v>0.23875833349721243</v>
      </c>
    </row>
    <row r="15" spans="1:28">
      <c r="B15" s="83">
        <v>31</v>
      </c>
      <c r="C15" s="84">
        <v>0.61699999999999999</v>
      </c>
      <c r="D15" s="84">
        <v>6.7430000000000003</v>
      </c>
      <c r="E15" s="84">
        <v>1.423</v>
      </c>
      <c r="F15" s="84">
        <v>1.423</v>
      </c>
      <c r="G15" s="84">
        <v>6.1260000000000003</v>
      </c>
      <c r="H15" s="85">
        <v>0.10071825008161932</v>
      </c>
      <c r="I15" s="85">
        <v>0.23228860594188702</v>
      </c>
      <c r="J15" s="87">
        <v>0.33300685602350633</v>
      </c>
      <c r="K15" s="83">
        <v>31</v>
      </c>
      <c r="L15" s="84">
        <v>0.71299999999999997</v>
      </c>
      <c r="M15" s="84">
        <v>7.758</v>
      </c>
      <c r="N15" s="86">
        <v>0.36599999999999999</v>
      </c>
      <c r="O15" s="84">
        <v>0.36599999999999999</v>
      </c>
      <c r="P15" s="84">
        <v>7.0449999999999999</v>
      </c>
      <c r="Q15" s="85">
        <v>0.10120652945351312</v>
      </c>
      <c r="R15" s="85">
        <v>5.1951738821859474E-2</v>
      </c>
      <c r="S15" s="87">
        <v>0.1531582682753726</v>
      </c>
      <c r="T15" s="83">
        <v>31</v>
      </c>
      <c r="U15" s="88">
        <v>0.66500000000000004</v>
      </c>
      <c r="V15" s="88">
        <v>7.2505000000000006</v>
      </c>
      <c r="W15" s="88">
        <v>0.89450000000000007</v>
      </c>
      <c r="X15" s="88">
        <v>0.89450000000000007</v>
      </c>
      <c r="Y15" s="88">
        <v>6.5854999999999997</v>
      </c>
      <c r="Z15" s="29">
        <v>0.10096238976756622</v>
      </c>
      <c r="AA15" s="29">
        <v>0.14212017238187324</v>
      </c>
      <c r="AB15" s="89">
        <v>0.24308256214943946</v>
      </c>
    </row>
    <row r="16" spans="1:28">
      <c r="B16" s="75">
        <v>32</v>
      </c>
      <c r="C16" s="76">
        <v>0.63700000000000001</v>
      </c>
      <c r="D16" s="76">
        <v>6.9370000000000003</v>
      </c>
      <c r="E16" s="76">
        <v>1.494</v>
      </c>
      <c r="F16" s="76">
        <v>1.494</v>
      </c>
      <c r="G16" s="76">
        <v>6.3000000000000007</v>
      </c>
      <c r="H16" s="77">
        <v>0.1011111111111111</v>
      </c>
      <c r="I16" s="77">
        <v>0.23714285714285713</v>
      </c>
      <c r="J16" s="78">
        <v>0.33825396825396825</v>
      </c>
      <c r="K16" s="75">
        <v>32</v>
      </c>
      <c r="L16" s="76">
        <v>0.73899999999999999</v>
      </c>
      <c r="M16" s="76">
        <v>7.9740000000000002</v>
      </c>
      <c r="N16" s="79">
        <v>0.38500000000000001</v>
      </c>
      <c r="O16" s="76">
        <v>0.38500000000000001</v>
      </c>
      <c r="P16" s="76">
        <v>7.2350000000000003</v>
      </c>
      <c r="Q16" s="77">
        <v>0.10214236351071181</v>
      </c>
      <c r="R16" s="77">
        <v>5.3213545266067724E-2</v>
      </c>
      <c r="S16" s="78">
        <v>0.15535590877677952</v>
      </c>
      <c r="T16" s="75">
        <v>32</v>
      </c>
      <c r="U16" s="80">
        <v>0.68799999999999994</v>
      </c>
      <c r="V16" s="80">
        <v>7.4555000000000007</v>
      </c>
      <c r="W16" s="80">
        <v>0.9395</v>
      </c>
      <c r="X16" s="80">
        <v>0.9395</v>
      </c>
      <c r="Y16" s="80">
        <v>6.7675000000000001</v>
      </c>
      <c r="Z16" s="81">
        <v>0.10162673731091146</v>
      </c>
      <c r="AA16" s="81">
        <v>0.14517820120446243</v>
      </c>
      <c r="AB16" s="82">
        <v>0.24680493851537388</v>
      </c>
    </row>
    <row r="17" spans="2:28">
      <c r="B17" s="83">
        <v>33</v>
      </c>
      <c r="C17" s="84">
        <v>0.65400000000000003</v>
      </c>
      <c r="D17" s="84">
        <v>7.1349999999999998</v>
      </c>
      <c r="E17" s="84">
        <v>1.5660000000000001</v>
      </c>
      <c r="F17" s="84">
        <v>1.5660000000000001</v>
      </c>
      <c r="G17" s="84">
        <v>6.4809999999999999</v>
      </c>
      <c r="H17" s="85">
        <v>0.10091035334053387</v>
      </c>
      <c r="I17" s="85">
        <v>0.24162937818237928</v>
      </c>
      <c r="J17" s="87">
        <v>0.34253973152291317</v>
      </c>
      <c r="K17" s="83">
        <v>33</v>
      </c>
      <c r="L17" s="84">
        <v>0.76200000000000001</v>
      </c>
      <c r="M17" s="84">
        <v>8.1940000000000008</v>
      </c>
      <c r="N17" s="86">
        <v>0.40200000000000002</v>
      </c>
      <c r="O17" s="84">
        <v>0.40200000000000002</v>
      </c>
      <c r="P17" s="84">
        <v>7.4320000000000004</v>
      </c>
      <c r="Q17" s="85">
        <v>0.10252960172228202</v>
      </c>
      <c r="R17" s="85">
        <v>5.4090419806243274E-2</v>
      </c>
      <c r="S17" s="87">
        <v>0.15662002152852531</v>
      </c>
      <c r="T17" s="83">
        <v>33</v>
      </c>
      <c r="U17" s="88">
        <v>0.70799999999999996</v>
      </c>
      <c r="V17" s="88">
        <v>7.6645000000000003</v>
      </c>
      <c r="W17" s="88">
        <v>0.98399999999999999</v>
      </c>
      <c r="X17" s="88">
        <v>0.98399999999999999</v>
      </c>
      <c r="Y17" s="88">
        <v>6.9565000000000001</v>
      </c>
      <c r="Z17" s="29">
        <v>0.10171997753140795</v>
      </c>
      <c r="AA17" s="29">
        <v>0.14785989899431129</v>
      </c>
      <c r="AB17" s="89">
        <v>0.24957987652571922</v>
      </c>
    </row>
    <row r="18" spans="2:28">
      <c r="B18" s="75">
        <v>34</v>
      </c>
      <c r="C18" s="76">
        <v>0.67</v>
      </c>
      <c r="D18" s="76">
        <v>7.3390000000000004</v>
      </c>
      <c r="E18" s="76">
        <v>1.637</v>
      </c>
      <c r="F18" s="76">
        <v>1.637</v>
      </c>
      <c r="G18" s="76">
        <v>6.6690000000000005</v>
      </c>
      <c r="H18" s="77">
        <v>0.10046483730694257</v>
      </c>
      <c r="I18" s="77">
        <v>0.2454640875693507</v>
      </c>
      <c r="J18" s="78">
        <v>0.34592892487629329</v>
      </c>
      <c r="K18" s="75">
        <v>34</v>
      </c>
      <c r="L18" s="76">
        <v>0.78200000000000003</v>
      </c>
      <c r="M18" s="76">
        <v>8.4190000000000005</v>
      </c>
      <c r="N18" s="79">
        <v>0.42</v>
      </c>
      <c r="O18" s="76">
        <v>0.42</v>
      </c>
      <c r="P18" s="76">
        <v>7.6370000000000005</v>
      </c>
      <c r="Q18" s="77">
        <v>0.1023962288856881</v>
      </c>
      <c r="R18" s="77">
        <v>5.4995417048579277E-2</v>
      </c>
      <c r="S18" s="78">
        <v>0.15739164593426738</v>
      </c>
      <c r="T18" s="75">
        <v>34</v>
      </c>
      <c r="U18" s="80">
        <v>0.72599999999999998</v>
      </c>
      <c r="V18" s="80">
        <v>7.8790000000000004</v>
      </c>
      <c r="W18" s="80">
        <v>1.0285</v>
      </c>
      <c r="X18" s="80">
        <v>1.0285</v>
      </c>
      <c r="Y18" s="80">
        <v>7.1530000000000005</v>
      </c>
      <c r="Z18" s="81">
        <v>0.10143053309631533</v>
      </c>
      <c r="AA18" s="81">
        <v>0.15022975230896499</v>
      </c>
      <c r="AB18" s="82">
        <v>0.25166028540528035</v>
      </c>
    </row>
    <row r="19" spans="2:28">
      <c r="B19" s="83">
        <v>35</v>
      </c>
      <c r="C19" s="84">
        <v>0.68400000000000005</v>
      </c>
      <c r="D19" s="84">
        <v>7.5469999999999997</v>
      </c>
      <c r="E19" s="84">
        <v>1.7090000000000001</v>
      </c>
      <c r="F19" s="84">
        <v>1.7090000000000001</v>
      </c>
      <c r="G19" s="84">
        <v>6.8629999999999995</v>
      </c>
      <c r="H19" s="85">
        <v>9.9664869590558078E-2</v>
      </c>
      <c r="I19" s="85">
        <v>0.24901646510272479</v>
      </c>
      <c r="J19" s="87">
        <v>0.34868133469328288</v>
      </c>
      <c r="K19" s="83">
        <v>35</v>
      </c>
      <c r="L19" s="84">
        <v>0.79800000000000004</v>
      </c>
      <c r="M19" s="84">
        <v>8.6470000000000002</v>
      </c>
      <c r="N19" s="86">
        <v>0.437</v>
      </c>
      <c r="O19" s="84">
        <v>0.437</v>
      </c>
      <c r="P19" s="84">
        <v>7.8490000000000002</v>
      </c>
      <c r="Q19" s="85">
        <v>0.10166900242069053</v>
      </c>
      <c r="R19" s="85">
        <v>5.5675882277997198E-2</v>
      </c>
      <c r="S19" s="87">
        <v>0.15734488469868774</v>
      </c>
      <c r="T19" s="83">
        <v>35</v>
      </c>
      <c r="U19" s="88">
        <v>0.7410000000000001</v>
      </c>
      <c r="V19" s="88">
        <v>8.0969999999999995</v>
      </c>
      <c r="W19" s="88">
        <v>1.073</v>
      </c>
      <c r="X19" s="88">
        <v>1.073</v>
      </c>
      <c r="Y19" s="88">
        <v>7.3559999999999999</v>
      </c>
      <c r="Z19" s="29">
        <v>0.10066693600562431</v>
      </c>
      <c r="AA19" s="29">
        <v>0.15234617369036099</v>
      </c>
      <c r="AB19" s="89">
        <v>0.25301310969598534</v>
      </c>
    </row>
    <row r="20" spans="2:28">
      <c r="B20" s="75">
        <v>36</v>
      </c>
      <c r="C20" s="76">
        <v>0.69499999999999995</v>
      </c>
      <c r="D20" s="76">
        <v>7.7590000000000003</v>
      </c>
      <c r="E20" s="76">
        <v>1.7809999999999999</v>
      </c>
      <c r="F20" s="76">
        <v>1.7809999999999999</v>
      </c>
      <c r="G20" s="76">
        <v>7.0640000000000001</v>
      </c>
      <c r="H20" s="77">
        <v>9.838618346545866E-2</v>
      </c>
      <c r="I20" s="77">
        <v>0.25212344280860699</v>
      </c>
      <c r="J20" s="78">
        <v>0.35050962627406568</v>
      </c>
      <c r="K20" s="75">
        <v>36</v>
      </c>
      <c r="L20" s="76">
        <v>0.81</v>
      </c>
      <c r="M20" s="76">
        <v>8.8800000000000008</v>
      </c>
      <c r="N20" s="79">
        <v>0.45300000000000001</v>
      </c>
      <c r="O20" s="76">
        <v>0.45300000000000001</v>
      </c>
      <c r="P20" s="76">
        <v>8.07</v>
      </c>
      <c r="Q20" s="77">
        <v>0.10037174721189591</v>
      </c>
      <c r="R20" s="77">
        <v>5.6133828996282525E-2</v>
      </c>
      <c r="S20" s="78">
        <v>0.15650557620817845</v>
      </c>
      <c r="T20" s="75">
        <v>36</v>
      </c>
      <c r="U20" s="80">
        <v>0.75249999999999995</v>
      </c>
      <c r="V20" s="80">
        <v>8.3195000000000014</v>
      </c>
      <c r="W20" s="80">
        <v>1.117</v>
      </c>
      <c r="X20" s="80">
        <v>1.117</v>
      </c>
      <c r="Y20" s="80">
        <v>7.5670000000000002</v>
      </c>
      <c r="Z20" s="81">
        <v>9.9378965338677294E-2</v>
      </c>
      <c r="AA20" s="81">
        <v>0.15412863590244474</v>
      </c>
      <c r="AB20" s="82">
        <v>0.25350760124112204</v>
      </c>
    </row>
    <row r="21" spans="2:28">
      <c r="B21" s="83">
        <v>37</v>
      </c>
      <c r="C21" s="84">
        <v>0.70099999999999996</v>
      </c>
      <c r="D21" s="84">
        <v>7.9740000000000002</v>
      </c>
      <c r="E21" s="84">
        <v>1.853</v>
      </c>
      <c r="F21" s="84">
        <v>1.853</v>
      </c>
      <c r="G21" s="84">
        <v>7.2730000000000006</v>
      </c>
      <c r="H21" s="85">
        <v>9.6383885604289829E-2</v>
      </c>
      <c r="I21" s="85">
        <v>0.25477794582703145</v>
      </c>
      <c r="J21" s="87">
        <v>0.35116183143132129</v>
      </c>
      <c r="K21" s="83">
        <v>37</v>
      </c>
      <c r="L21" s="84">
        <v>0.81599999999999995</v>
      </c>
      <c r="M21" s="84">
        <v>9.1150000000000002</v>
      </c>
      <c r="N21" s="86">
        <v>0.46899999999999997</v>
      </c>
      <c r="O21" s="84">
        <v>0.46899999999999997</v>
      </c>
      <c r="P21" s="84">
        <v>8.2989999999999995</v>
      </c>
      <c r="Q21" s="85">
        <v>9.8325099409567421E-2</v>
      </c>
      <c r="R21" s="85">
        <v>5.6512832871430295E-2</v>
      </c>
      <c r="S21" s="87">
        <v>0.15483793228099771</v>
      </c>
      <c r="T21" s="83">
        <v>37</v>
      </c>
      <c r="U21" s="88">
        <v>0.75849999999999995</v>
      </c>
      <c r="V21" s="88">
        <v>8.5444999999999993</v>
      </c>
      <c r="W21" s="88">
        <v>1.161</v>
      </c>
      <c r="X21" s="88">
        <v>1.161</v>
      </c>
      <c r="Y21" s="88">
        <v>7.7859999999999996</v>
      </c>
      <c r="Z21" s="29">
        <v>9.7354492506928625E-2</v>
      </c>
      <c r="AA21" s="29">
        <v>0.15564538934923086</v>
      </c>
      <c r="AB21" s="89">
        <v>0.25299988185615951</v>
      </c>
    </row>
    <row r="22" spans="2:28">
      <c r="B22" s="75">
        <v>38</v>
      </c>
      <c r="C22" s="76">
        <v>0.70099999999999996</v>
      </c>
      <c r="D22" s="76">
        <v>8.1920000000000002</v>
      </c>
      <c r="E22" s="76">
        <v>1.925</v>
      </c>
      <c r="F22" s="76">
        <v>1.925</v>
      </c>
      <c r="G22" s="76">
        <v>7.4910000000000005</v>
      </c>
      <c r="H22" s="77">
        <v>9.3578961420371101E-2</v>
      </c>
      <c r="I22" s="77">
        <v>0.25697503671071953</v>
      </c>
      <c r="J22" s="78">
        <v>0.35055399813109062</v>
      </c>
      <c r="K22" s="75">
        <v>38</v>
      </c>
      <c r="L22" s="76">
        <v>0.81599999999999995</v>
      </c>
      <c r="M22" s="76">
        <v>9.3539999999999992</v>
      </c>
      <c r="N22" s="79">
        <v>0.48299999999999998</v>
      </c>
      <c r="O22" s="76">
        <v>0.48299999999999998</v>
      </c>
      <c r="P22" s="76">
        <v>8.5379999999999985</v>
      </c>
      <c r="Q22" s="77">
        <v>9.5572733661278997E-2</v>
      </c>
      <c r="R22" s="77">
        <v>5.6570625439212936E-2</v>
      </c>
      <c r="S22" s="78">
        <v>0.15214335910049193</v>
      </c>
      <c r="T22" s="75">
        <v>38</v>
      </c>
      <c r="U22" s="80">
        <v>0.75849999999999995</v>
      </c>
      <c r="V22" s="80">
        <v>8.7729999999999997</v>
      </c>
      <c r="W22" s="80">
        <v>1.204</v>
      </c>
      <c r="X22" s="80">
        <v>1.204</v>
      </c>
      <c r="Y22" s="80">
        <v>8.0145</v>
      </c>
      <c r="Z22" s="81">
        <v>9.4575847540825042E-2</v>
      </c>
      <c r="AA22" s="81">
        <v>0.15677283107496623</v>
      </c>
      <c r="AB22" s="82">
        <v>0.25134867861579124</v>
      </c>
    </row>
    <row r="23" spans="2:28">
      <c r="B23" s="83">
        <v>39</v>
      </c>
      <c r="C23" s="84">
        <v>0.69599999999999995</v>
      </c>
      <c r="D23" s="84">
        <v>8.4139999999999997</v>
      </c>
      <c r="E23" s="84">
        <v>1.9970000000000001</v>
      </c>
      <c r="F23" s="84">
        <v>1.9970000000000001</v>
      </c>
      <c r="G23" s="84">
        <v>7.718</v>
      </c>
      <c r="H23" s="85">
        <v>9.0178802798652494E-2</v>
      </c>
      <c r="I23" s="85">
        <v>0.2587457890645245</v>
      </c>
      <c r="J23" s="87">
        <v>0.34892459186317698</v>
      </c>
      <c r="K23" s="83">
        <v>39</v>
      </c>
      <c r="L23" s="84">
        <v>0.81</v>
      </c>
      <c r="M23" s="84">
        <v>9.5960000000000001</v>
      </c>
      <c r="N23" s="86">
        <v>0.497</v>
      </c>
      <c r="O23" s="84">
        <v>0.497</v>
      </c>
      <c r="P23" s="84">
        <v>8.7859999999999996</v>
      </c>
      <c r="Q23" s="85">
        <v>9.2192123833371289E-2</v>
      </c>
      <c r="R23" s="85">
        <v>5.6567266105167317E-2</v>
      </c>
      <c r="S23" s="87">
        <v>0.1487593899385386</v>
      </c>
      <c r="T23" s="83">
        <v>39</v>
      </c>
      <c r="U23" s="88">
        <v>0.753</v>
      </c>
      <c r="V23" s="88">
        <v>9.004999999999999</v>
      </c>
      <c r="W23" s="88">
        <v>1.2470000000000001</v>
      </c>
      <c r="X23" s="88">
        <v>1.2470000000000001</v>
      </c>
      <c r="Y23" s="88">
        <v>8.2519999999999989</v>
      </c>
      <c r="Z23" s="29">
        <v>9.1185463316011892E-2</v>
      </c>
      <c r="AA23" s="29">
        <v>0.15765652758484591</v>
      </c>
      <c r="AB23" s="89">
        <v>0.24884199090085779</v>
      </c>
    </row>
    <row r="24" spans="2:28">
      <c r="B24" s="75">
        <v>40</v>
      </c>
      <c r="C24" s="76">
        <v>0.68799999999999994</v>
      </c>
      <c r="D24" s="76">
        <v>8.64</v>
      </c>
      <c r="E24" s="76">
        <v>2.069</v>
      </c>
      <c r="F24" s="76">
        <v>2.069</v>
      </c>
      <c r="G24" s="76">
        <v>7.9520000000000008</v>
      </c>
      <c r="H24" s="77">
        <v>8.6519114688128756E-2</v>
      </c>
      <c r="I24" s="77">
        <v>0.2601861167002012</v>
      </c>
      <c r="J24" s="78">
        <v>0.34670523138832998</v>
      </c>
      <c r="K24" s="75">
        <v>40</v>
      </c>
      <c r="L24" s="76">
        <v>0.79800000000000004</v>
      </c>
      <c r="M24" s="76">
        <v>9.8420000000000005</v>
      </c>
      <c r="N24" s="79">
        <v>0.51100000000000001</v>
      </c>
      <c r="O24" s="76">
        <v>0.51100000000000001</v>
      </c>
      <c r="P24" s="76">
        <v>9.0440000000000005</v>
      </c>
      <c r="Q24" s="77">
        <v>8.8235294117647065E-2</v>
      </c>
      <c r="R24" s="77">
        <v>5.6501547987616099E-2</v>
      </c>
      <c r="S24" s="78">
        <v>0.14473684210526316</v>
      </c>
      <c r="T24" s="75">
        <v>40</v>
      </c>
      <c r="U24" s="80">
        <v>0.74299999999999999</v>
      </c>
      <c r="V24" s="80">
        <v>9.2409999999999997</v>
      </c>
      <c r="W24" s="80">
        <v>1.29</v>
      </c>
      <c r="X24" s="80">
        <v>1.29</v>
      </c>
      <c r="Y24" s="80">
        <v>8.4980000000000011</v>
      </c>
      <c r="Z24" s="81">
        <v>8.7377204402887904E-2</v>
      </c>
      <c r="AA24" s="81">
        <v>0.15834383234390864</v>
      </c>
      <c r="AB24" s="82">
        <v>0.24572103674679657</v>
      </c>
    </row>
    <row r="25" spans="2:28">
      <c r="B25" s="83">
        <v>41</v>
      </c>
      <c r="C25" s="84">
        <v>0.67700000000000005</v>
      </c>
      <c r="D25" s="84">
        <v>8.8729999999999993</v>
      </c>
      <c r="E25" s="84">
        <v>2.1429999999999998</v>
      </c>
      <c r="F25" s="84">
        <v>2.1429999999999998</v>
      </c>
      <c r="G25" s="84">
        <v>8.1959999999999997</v>
      </c>
      <c r="H25" s="85">
        <v>8.2601268911664236E-2</v>
      </c>
      <c r="I25" s="85">
        <v>0.26146900927281597</v>
      </c>
      <c r="J25" s="87">
        <v>0.34407027818448022</v>
      </c>
      <c r="K25" s="83">
        <v>41</v>
      </c>
      <c r="L25" s="84">
        <v>0.78300000000000003</v>
      </c>
      <c r="M25" s="84">
        <v>10.095000000000001</v>
      </c>
      <c r="N25" s="86">
        <v>0.52400000000000002</v>
      </c>
      <c r="O25" s="84">
        <v>0.52400000000000002</v>
      </c>
      <c r="P25" s="84">
        <v>9.3120000000000012</v>
      </c>
      <c r="Q25" s="85">
        <v>8.4085051546391745E-2</v>
      </c>
      <c r="R25" s="85">
        <v>5.6271477663230235E-2</v>
      </c>
      <c r="S25" s="87">
        <v>0.14035652920962199</v>
      </c>
      <c r="T25" s="83">
        <v>41</v>
      </c>
      <c r="U25" s="88">
        <v>0.73</v>
      </c>
      <c r="V25" s="88">
        <v>9.484</v>
      </c>
      <c r="W25" s="88">
        <v>1.3334999999999999</v>
      </c>
      <c r="X25" s="88">
        <v>1.3334999999999999</v>
      </c>
      <c r="Y25" s="88">
        <v>8.7540000000000013</v>
      </c>
      <c r="Z25" s="29">
        <v>8.334316022902799E-2</v>
      </c>
      <c r="AA25" s="29">
        <v>0.15887024346802309</v>
      </c>
      <c r="AB25" s="89">
        <v>0.24221340369705111</v>
      </c>
    </row>
    <row r="26" spans="2:28">
      <c r="B26" s="75">
        <v>42</v>
      </c>
      <c r="C26" s="76">
        <v>0.66500000000000004</v>
      </c>
      <c r="D26" s="76">
        <v>9.1140000000000008</v>
      </c>
      <c r="E26" s="76">
        <v>2.218</v>
      </c>
      <c r="F26" s="76">
        <v>2.218</v>
      </c>
      <c r="G26" s="76">
        <v>8.4490000000000016</v>
      </c>
      <c r="H26" s="77">
        <v>7.8707539353769659E-2</v>
      </c>
      <c r="I26" s="77">
        <v>0.26251627411527984</v>
      </c>
      <c r="J26" s="78">
        <v>0.34122381346904951</v>
      </c>
      <c r="K26" s="75">
        <v>42</v>
      </c>
      <c r="L26" s="76">
        <v>0.76500000000000001</v>
      </c>
      <c r="M26" s="76">
        <v>10.353999999999999</v>
      </c>
      <c r="N26" s="79">
        <v>0.53700000000000003</v>
      </c>
      <c r="O26" s="76">
        <v>0.53700000000000003</v>
      </c>
      <c r="P26" s="76">
        <v>9.5889999999999986</v>
      </c>
      <c r="Q26" s="77">
        <v>7.977891333820003E-2</v>
      </c>
      <c r="R26" s="77">
        <v>5.6001668578579633E-2</v>
      </c>
      <c r="S26" s="78">
        <v>0.13578058191677966</v>
      </c>
      <c r="T26" s="75">
        <v>42</v>
      </c>
      <c r="U26" s="80">
        <v>0.71500000000000008</v>
      </c>
      <c r="V26" s="80">
        <v>9.734</v>
      </c>
      <c r="W26" s="80">
        <v>1.3774999999999999</v>
      </c>
      <c r="X26" s="80">
        <v>1.3774999999999999</v>
      </c>
      <c r="Y26" s="80">
        <v>9.0190000000000001</v>
      </c>
      <c r="Z26" s="81">
        <v>7.9243226345984852E-2</v>
      </c>
      <c r="AA26" s="81">
        <v>0.15925897134692973</v>
      </c>
      <c r="AB26" s="82">
        <v>0.23850219769291459</v>
      </c>
    </row>
    <row r="27" spans="2:28">
      <c r="B27" s="83">
        <v>43</v>
      </c>
      <c r="C27" s="84">
        <v>0.65300000000000002</v>
      </c>
      <c r="D27" s="84">
        <v>9.3640000000000008</v>
      </c>
      <c r="E27" s="84">
        <v>2.294</v>
      </c>
      <c r="F27" s="84">
        <v>2.294</v>
      </c>
      <c r="G27" s="84">
        <v>8.7110000000000003</v>
      </c>
      <c r="H27" s="85">
        <v>7.4962690850648606E-2</v>
      </c>
      <c r="I27" s="85">
        <v>0.26334519572953735</v>
      </c>
      <c r="J27" s="87">
        <v>0.33830788658018596</v>
      </c>
      <c r="K27" s="83">
        <v>43</v>
      </c>
      <c r="L27" s="84">
        <v>0.745</v>
      </c>
      <c r="M27" s="84">
        <v>10.622</v>
      </c>
      <c r="N27" s="86">
        <v>0.54900000000000004</v>
      </c>
      <c r="O27" s="84">
        <v>0.54900000000000004</v>
      </c>
      <c r="P27" s="84">
        <v>9.8770000000000007</v>
      </c>
      <c r="Q27" s="85">
        <v>7.5427761466032195E-2</v>
      </c>
      <c r="R27" s="85">
        <v>5.5583679254834463E-2</v>
      </c>
      <c r="S27" s="87">
        <v>0.13101144072086665</v>
      </c>
      <c r="T27" s="83">
        <v>43</v>
      </c>
      <c r="U27" s="88">
        <v>0.69900000000000007</v>
      </c>
      <c r="V27" s="88">
        <v>9.9930000000000003</v>
      </c>
      <c r="W27" s="88">
        <v>1.4215</v>
      </c>
      <c r="X27" s="88">
        <v>1.4215</v>
      </c>
      <c r="Y27" s="88">
        <v>9.2940000000000005</v>
      </c>
      <c r="Z27" s="29">
        <v>7.51952261583404E-2</v>
      </c>
      <c r="AA27" s="29">
        <v>0.15946443749218592</v>
      </c>
      <c r="AB27" s="89">
        <v>0.23465966365052632</v>
      </c>
    </row>
    <row r="28" spans="2:28">
      <c r="B28" s="75">
        <v>44</v>
      </c>
      <c r="C28" s="76">
        <v>0.64100000000000001</v>
      </c>
      <c r="D28" s="76">
        <v>9.6219999999999999</v>
      </c>
      <c r="E28" s="76">
        <v>2.37</v>
      </c>
      <c r="F28" s="76">
        <v>2.37</v>
      </c>
      <c r="G28" s="76">
        <v>8.9809999999999999</v>
      </c>
      <c r="H28" s="77">
        <v>7.1372898340941987E-2</v>
      </c>
      <c r="I28" s="77">
        <v>0.26389043536354528</v>
      </c>
      <c r="J28" s="78">
        <v>0.33526333370448724</v>
      </c>
      <c r="K28" s="75">
        <v>44</v>
      </c>
      <c r="L28" s="76">
        <v>0.72299999999999998</v>
      </c>
      <c r="M28" s="76">
        <v>10.898</v>
      </c>
      <c r="N28" s="79">
        <v>0.56200000000000006</v>
      </c>
      <c r="O28" s="76">
        <v>0.56200000000000006</v>
      </c>
      <c r="P28" s="76">
        <v>10.174999999999999</v>
      </c>
      <c r="Q28" s="77">
        <v>7.1056511056511062E-2</v>
      </c>
      <c r="R28" s="77">
        <v>5.5233415233415246E-2</v>
      </c>
      <c r="S28" s="78">
        <v>0.1262899262899263</v>
      </c>
      <c r="T28" s="75">
        <v>44</v>
      </c>
      <c r="U28" s="80">
        <v>0.68199999999999994</v>
      </c>
      <c r="V28" s="80">
        <v>10.26</v>
      </c>
      <c r="W28" s="80">
        <v>1.4660000000000002</v>
      </c>
      <c r="X28" s="80">
        <v>1.4660000000000002</v>
      </c>
      <c r="Y28" s="80">
        <v>9.5779999999999994</v>
      </c>
      <c r="Z28" s="81">
        <v>7.1214704698726525E-2</v>
      </c>
      <c r="AA28" s="81">
        <v>0.15956192529848026</v>
      </c>
      <c r="AB28" s="82">
        <v>0.23077662999720677</v>
      </c>
    </row>
    <row r="29" spans="2:28">
      <c r="B29" s="83">
        <v>45</v>
      </c>
      <c r="C29" s="84">
        <v>0.627</v>
      </c>
      <c r="D29" s="84">
        <v>9.89</v>
      </c>
      <c r="E29" s="84">
        <v>2.4470000000000001</v>
      </c>
      <c r="F29" s="84">
        <v>2.4470000000000001</v>
      </c>
      <c r="G29" s="84">
        <v>9.2629999999999999</v>
      </c>
      <c r="H29" s="85">
        <v>6.7688653783871316E-2</v>
      </c>
      <c r="I29" s="85">
        <v>0.26416927561265252</v>
      </c>
      <c r="J29" s="87">
        <v>0.33185792939652381</v>
      </c>
      <c r="K29" s="83">
        <v>45</v>
      </c>
      <c r="L29" s="84">
        <v>0.69899999999999995</v>
      </c>
      <c r="M29" s="84">
        <v>11.183</v>
      </c>
      <c r="N29" s="86">
        <v>0.57399999999999995</v>
      </c>
      <c r="O29" s="84">
        <v>0.57399999999999995</v>
      </c>
      <c r="P29" s="84">
        <v>10.484</v>
      </c>
      <c r="Q29" s="85">
        <v>6.6673025562762306E-2</v>
      </c>
      <c r="R29" s="85">
        <v>5.475009538344143E-2</v>
      </c>
      <c r="S29" s="87">
        <v>0.12142312094620374</v>
      </c>
      <c r="T29" s="83">
        <v>45</v>
      </c>
      <c r="U29" s="88">
        <v>0.66300000000000003</v>
      </c>
      <c r="V29" s="88">
        <v>10.5365</v>
      </c>
      <c r="W29" s="88">
        <v>1.5105</v>
      </c>
      <c r="X29" s="88">
        <v>1.5105</v>
      </c>
      <c r="Y29" s="88">
        <v>9.8734999999999999</v>
      </c>
      <c r="Z29" s="29">
        <v>6.7180839673316811E-2</v>
      </c>
      <c r="AA29" s="29">
        <v>0.15945968549804698</v>
      </c>
      <c r="AB29" s="89">
        <v>0.22664052517136377</v>
      </c>
    </row>
    <row r="30" spans="2:28">
      <c r="B30" s="75">
        <v>46</v>
      </c>
      <c r="C30" s="76">
        <v>0.61199999999999999</v>
      </c>
      <c r="D30" s="76">
        <v>10.167999999999999</v>
      </c>
      <c r="E30" s="76">
        <v>2.524</v>
      </c>
      <c r="F30" s="76">
        <v>2.524</v>
      </c>
      <c r="G30" s="76">
        <v>9.5559999999999992</v>
      </c>
      <c r="H30" s="77">
        <v>6.4043532858936797E-2</v>
      </c>
      <c r="I30" s="77">
        <v>0.26412724989535374</v>
      </c>
      <c r="J30" s="78">
        <v>0.32817078275429057</v>
      </c>
      <c r="K30" s="75">
        <v>46</v>
      </c>
      <c r="L30" s="76">
        <v>0.67300000000000004</v>
      </c>
      <c r="M30" s="76">
        <v>11.478</v>
      </c>
      <c r="N30" s="79">
        <v>0.58499999999999996</v>
      </c>
      <c r="O30" s="76">
        <v>0.58499999999999996</v>
      </c>
      <c r="P30" s="76">
        <v>10.805</v>
      </c>
      <c r="Q30" s="77">
        <v>6.2285978713558544E-2</v>
      </c>
      <c r="R30" s="77">
        <v>5.4141601110596946E-2</v>
      </c>
      <c r="S30" s="78">
        <v>0.1164275798241555</v>
      </c>
      <c r="T30" s="75">
        <v>46</v>
      </c>
      <c r="U30" s="80">
        <v>0.64250000000000007</v>
      </c>
      <c r="V30" s="80">
        <v>10.823</v>
      </c>
      <c r="W30" s="80">
        <v>1.5545</v>
      </c>
      <c r="X30" s="80">
        <v>1.5545</v>
      </c>
      <c r="Y30" s="80">
        <v>10.180499999999999</v>
      </c>
      <c r="Z30" s="81">
        <v>6.3164755786247667E-2</v>
      </c>
      <c r="AA30" s="81">
        <v>0.15913442550297535</v>
      </c>
      <c r="AB30" s="82">
        <v>0.22229918128922305</v>
      </c>
    </row>
    <row r="31" spans="2:28">
      <c r="B31" s="83">
        <v>47</v>
      </c>
      <c r="C31" s="84">
        <v>0.59399999999999997</v>
      </c>
      <c r="D31" s="84">
        <v>10.454000000000001</v>
      </c>
      <c r="E31" s="84">
        <v>2.6</v>
      </c>
      <c r="F31" s="84">
        <v>2.6</v>
      </c>
      <c r="G31" s="84">
        <v>9.8600000000000012</v>
      </c>
      <c r="H31" s="85">
        <v>6.0243407707910743E-2</v>
      </c>
      <c r="I31" s="85">
        <v>0.26369168356997968</v>
      </c>
      <c r="J31" s="87">
        <v>0.32393509127789044</v>
      </c>
      <c r="K31" s="83">
        <v>47</v>
      </c>
      <c r="L31" s="84">
        <v>0.64600000000000002</v>
      </c>
      <c r="M31" s="84">
        <v>11.781000000000001</v>
      </c>
      <c r="N31" s="86">
        <v>0.59699999999999998</v>
      </c>
      <c r="O31" s="84">
        <v>0.59699999999999998</v>
      </c>
      <c r="P31" s="84">
        <v>11.135</v>
      </c>
      <c r="Q31" s="85">
        <v>5.8015267175572524E-2</v>
      </c>
      <c r="R31" s="85">
        <v>5.3614728334081721E-2</v>
      </c>
      <c r="S31" s="87">
        <v>0.11162999550965425</v>
      </c>
      <c r="T31" s="83">
        <v>47</v>
      </c>
      <c r="U31" s="88">
        <v>0.62</v>
      </c>
      <c r="V31" s="88">
        <v>11.1175</v>
      </c>
      <c r="W31" s="88">
        <v>1.5985</v>
      </c>
      <c r="X31" s="88">
        <v>1.5985</v>
      </c>
      <c r="Y31" s="88">
        <v>10.4975</v>
      </c>
      <c r="Z31" s="29">
        <v>5.9129337441741633E-2</v>
      </c>
      <c r="AA31" s="29">
        <v>0.1586532059520307</v>
      </c>
      <c r="AB31" s="89">
        <v>0.21778254339377234</v>
      </c>
    </row>
    <row r="32" spans="2:28">
      <c r="B32" s="75">
        <v>48</v>
      </c>
      <c r="C32" s="76">
        <v>0.57299999999999995</v>
      </c>
      <c r="D32" s="76">
        <v>10.75</v>
      </c>
      <c r="E32" s="76">
        <v>2.6760000000000002</v>
      </c>
      <c r="F32" s="76">
        <v>2.6760000000000002</v>
      </c>
      <c r="G32" s="76">
        <v>10.177</v>
      </c>
      <c r="H32" s="77">
        <v>5.6303429301365823E-2</v>
      </c>
      <c r="I32" s="77">
        <v>0.26294585830794931</v>
      </c>
      <c r="J32" s="78">
        <v>0.31924928760931515</v>
      </c>
      <c r="K32" s="75">
        <v>48</v>
      </c>
      <c r="L32" s="76">
        <v>0.61499999999999999</v>
      </c>
      <c r="M32" s="76">
        <v>12.095000000000001</v>
      </c>
      <c r="N32" s="79">
        <v>0.60699999999999998</v>
      </c>
      <c r="O32" s="76">
        <v>0.60699999999999998</v>
      </c>
      <c r="P32" s="76">
        <v>11.48</v>
      </c>
      <c r="Q32" s="77">
        <v>5.3571428571428568E-2</v>
      </c>
      <c r="R32" s="77">
        <v>5.2874564459930308E-2</v>
      </c>
      <c r="S32" s="78">
        <v>0.10644599303135888</v>
      </c>
      <c r="T32" s="75">
        <v>48</v>
      </c>
      <c r="U32" s="80">
        <v>0.59399999999999997</v>
      </c>
      <c r="V32" s="80">
        <v>11.422499999999999</v>
      </c>
      <c r="W32" s="80">
        <v>1.6415000000000002</v>
      </c>
      <c r="X32" s="80">
        <v>1.6415000000000002</v>
      </c>
      <c r="Y32" s="80">
        <v>10.8285</v>
      </c>
      <c r="Z32" s="81">
        <v>5.4937428936397192E-2</v>
      </c>
      <c r="AA32" s="81">
        <v>0.15791021138393982</v>
      </c>
      <c r="AB32" s="82">
        <v>0.21284764032033701</v>
      </c>
    </row>
    <row r="33" spans="2:28">
      <c r="B33" s="83">
        <v>49</v>
      </c>
      <c r="C33" s="84">
        <v>0.54800000000000004</v>
      </c>
      <c r="D33" s="84">
        <v>11.055</v>
      </c>
      <c r="E33" s="84">
        <v>2.75</v>
      </c>
      <c r="F33" s="84">
        <v>2.75</v>
      </c>
      <c r="G33" s="84">
        <v>10.507</v>
      </c>
      <c r="H33" s="85">
        <v>5.2155705719996198E-2</v>
      </c>
      <c r="I33" s="85">
        <v>0.2617302750547254</v>
      </c>
      <c r="J33" s="87">
        <v>0.31388598077472163</v>
      </c>
      <c r="K33" s="83">
        <v>49</v>
      </c>
      <c r="L33" s="84">
        <v>0.58199999999999996</v>
      </c>
      <c r="M33" s="84">
        <v>12.417</v>
      </c>
      <c r="N33" s="86">
        <v>0.61699999999999999</v>
      </c>
      <c r="O33" s="84">
        <v>0.61699999999999999</v>
      </c>
      <c r="P33" s="84">
        <v>11.834999999999999</v>
      </c>
      <c r="Q33" s="85">
        <v>4.9176172370088721E-2</v>
      </c>
      <c r="R33" s="85">
        <v>5.2133502323616396E-2</v>
      </c>
      <c r="S33" s="87">
        <v>0.10130967469370511</v>
      </c>
      <c r="T33" s="83">
        <v>49</v>
      </c>
      <c r="U33" s="88">
        <v>0.56499999999999995</v>
      </c>
      <c r="V33" s="88">
        <v>11.736000000000001</v>
      </c>
      <c r="W33" s="88">
        <v>1.6835</v>
      </c>
      <c r="X33" s="88">
        <v>1.6835</v>
      </c>
      <c r="Y33" s="88">
        <v>11.170999999999999</v>
      </c>
      <c r="Z33" s="29">
        <v>5.0665939045042463E-2</v>
      </c>
      <c r="AA33" s="29">
        <v>0.15693188868917091</v>
      </c>
      <c r="AB33" s="89">
        <v>0.20759782773421337</v>
      </c>
    </row>
    <row r="34" spans="2:28">
      <c r="B34" s="75">
        <v>50</v>
      </c>
      <c r="C34" s="76">
        <v>0.51900000000000002</v>
      </c>
      <c r="D34" s="76">
        <v>11.37</v>
      </c>
      <c r="E34" s="76">
        <v>2.8210000000000002</v>
      </c>
      <c r="F34" s="76">
        <v>2.8210000000000002</v>
      </c>
      <c r="G34" s="76">
        <v>10.850999999999999</v>
      </c>
      <c r="H34" s="77">
        <v>4.7829693115841863E-2</v>
      </c>
      <c r="I34" s="77">
        <v>0.25997603907473971</v>
      </c>
      <c r="J34" s="78">
        <v>0.30780573219058155</v>
      </c>
      <c r="K34" s="75">
        <v>50</v>
      </c>
      <c r="L34" s="76">
        <v>0.54500000000000004</v>
      </c>
      <c r="M34" s="76">
        <v>12.75</v>
      </c>
      <c r="N34" s="79">
        <v>0.626</v>
      </c>
      <c r="O34" s="76">
        <v>0.626</v>
      </c>
      <c r="P34" s="76">
        <v>12.205</v>
      </c>
      <c r="Q34" s="77">
        <v>4.4653830397378129E-2</v>
      </c>
      <c r="R34" s="77">
        <v>5.1290454731667351E-2</v>
      </c>
      <c r="S34" s="78">
        <v>9.5944285129045487E-2</v>
      </c>
      <c r="T34" s="75">
        <v>50</v>
      </c>
      <c r="U34" s="80">
        <v>0.53200000000000003</v>
      </c>
      <c r="V34" s="80">
        <v>12.059999999999999</v>
      </c>
      <c r="W34" s="80">
        <v>1.7235</v>
      </c>
      <c r="X34" s="80">
        <v>1.7235</v>
      </c>
      <c r="Y34" s="80">
        <v>11.527999999999999</v>
      </c>
      <c r="Z34" s="81">
        <v>4.6241761756609996E-2</v>
      </c>
      <c r="AA34" s="81">
        <v>0.15563324690320351</v>
      </c>
      <c r="AB34" s="82">
        <v>0.2018750086598135</v>
      </c>
    </row>
    <row r="35" spans="2:28">
      <c r="B35" s="83">
        <v>51</v>
      </c>
      <c r="C35" s="84">
        <v>0.48499999999999999</v>
      </c>
      <c r="D35" s="84">
        <v>11.695</v>
      </c>
      <c r="E35" s="84">
        <v>2.891</v>
      </c>
      <c r="F35" s="84">
        <v>2.891</v>
      </c>
      <c r="G35" s="84">
        <v>11.21</v>
      </c>
      <c r="H35" s="85">
        <v>4.3264942016057087E-2</v>
      </c>
      <c r="I35" s="85">
        <v>0.25789473684210523</v>
      </c>
      <c r="J35" s="87">
        <v>0.30115967885816231</v>
      </c>
      <c r="K35" s="83">
        <v>51</v>
      </c>
      <c r="L35" s="84">
        <v>0.504</v>
      </c>
      <c r="M35" s="84">
        <v>13.092000000000001</v>
      </c>
      <c r="N35" s="86">
        <v>0.63300000000000001</v>
      </c>
      <c r="O35" s="84">
        <v>0.63300000000000001</v>
      </c>
      <c r="P35" s="84">
        <v>12.588000000000001</v>
      </c>
      <c r="Q35" s="85">
        <v>4.0038131553860816E-2</v>
      </c>
      <c r="R35" s="85">
        <v>5.0285986653956144E-2</v>
      </c>
      <c r="S35" s="87">
        <v>9.0324118207816967E-2</v>
      </c>
      <c r="T35" s="83">
        <v>51</v>
      </c>
      <c r="U35" s="88">
        <v>0.4945</v>
      </c>
      <c r="V35" s="88">
        <v>12.3935</v>
      </c>
      <c r="W35" s="88">
        <v>1.762</v>
      </c>
      <c r="X35" s="88">
        <v>1.762</v>
      </c>
      <c r="Y35" s="88">
        <v>11.899000000000001</v>
      </c>
      <c r="Z35" s="29">
        <v>4.1651536784958948E-2</v>
      </c>
      <c r="AA35" s="29">
        <v>0.1540903617480307</v>
      </c>
      <c r="AB35" s="89">
        <v>0.19574189853298962</v>
      </c>
    </row>
    <row r="36" spans="2:28">
      <c r="B36" s="75">
        <v>52</v>
      </c>
      <c r="C36" s="76">
        <v>0.44700000000000001</v>
      </c>
      <c r="D36" s="76">
        <v>12.032</v>
      </c>
      <c r="E36" s="76">
        <v>2.9590000000000001</v>
      </c>
      <c r="F36" s="76">
        <v>2.9590000000000001</v>
      </c>
      <c r="G36" s="76">
        <v>11.585000000000001</v>
      </c>
      <c r="H36" s="77">
        <v>3.8584376348726801E-2</v>
      </c>
      <c r="I36" s="77">
        <v>0.25541648683642643</v>
      </c>
      <c r="J36" s="78">
        <v>0.29400086318515323</v>
      </c>
      <c r="K36" s="75">
        <v>52</v>
      </c>
      <c r="L36" s="76">
        <v>0.45900000000000002</v>
      </c>
      <c r="M36" s="76">
        <v>13.445</v>
      </c>
      <c r="N36" s="79">
        <v>0.64</v>
      </c>
      <c r="O36" s="76">
        <v>0.64</v>
      </c>
      <c r="P36" s="76">
        <v>12.986000000000001</v>
      </c>
      <c r="Q36" s="77">
        <v>3.5345756969043587E-2</v>
      </c>
      <c r="R36" s="77">
        <v>4.9283844139842908E-2</v>
      </c>
      <c r="S36" s="78">
        <v>8.4629601108886496E-2</v>
      </c>
      <c r="T36" s="75">
        <v>52</v>
      </c>
      <c r="U36" s="80">
        <v>0.45300000000000001</v>
      </c>
      <c r="V36" s="80">
        <v>12.7385</v>
      </c>
      <c r="W36" s="80">
        <v>1.7995000000000001</v>
      </c>
      <c r="X36" s="80">
        <v>1.7995000000000001</v>
      </c>
      <c r="Y36" s="80">
        <v>12.285500000000001</v>
      </c>
      <c r="Z36" s="81">
        <v>3.6965066658885194E-2</v>
      </c>
      <c r="AA36" s="81">
        <v>0.15235016548813468</v>
      </c>
      <c r="AB36" s="82">
        <v>0.18931523214701987</v>
      </c>
    </row>
    <row r="37" spans="2:28">
      <c r="B37" s="83">
        <v>53</v>
      </c>
      <c r="C37" s="84">
        <v>0.40500000000000003</v>
      </c>
      <c r="D37" s="84">
        <v>12.381</v>
      </c>
      <c r="E37" s="84">
        <v>3.0249999999999999</v>
      </c>
      <c r="F37" s="84">
        <v>3.0249999999999999</v>
      </c>
      <c r="G37" s="84">
        <v>11.976000000000001</v>
      </c>
      <c r="H37" s="85">
        <v>3.3817635270541081E-2</v>
      </c>
      <c r="I37" s="85">
        <v>0.2525885103540414</v>
      </c>
      <c r="J37" s="87">
        <v>0.2864061456245825</v>
      </c>
      <c r="K37" s="83">
        <v>53</v>
      </c>
      <c r="L37" s="84">
        <v>0.41099999999999998</v>
      </c>
      <c r="M37" s="84">
        <v>13.808</v>
      </c>
      <c r="N37" s="86">
        <v>0.64500000000000002</v>
      </c>
      <c r="O37" s="84">
        <v>0.64500000000000002</v>
      </c>
      <c r="P37" s="84">
        <v>13.397</v>
      </c>
      <c r="Q37" s="85">
        <v>3.0678510114204669E-2</v>
      </c>
      <c r="R37" s="85">
        <v>4.8145107113532884E-2</v>
      </c>
      <c r="S37" s="87">
        <v>7.882361722773755E-2</v>
      </c>
      <c r="T37" s="83">
        <v>53</v>
      </c>
      <c r="U37" s="88">
        <v>0.40800000000000003</v>
      </c>
      <c r="V37" s="88">
        <v>13.0945</v>
      </c>
      <c r="W37" s="88">
        <v>1.835</v>
      </c>
      <c r="X37" s="88">
        <v>1.835</v>
      </c>
      <c r="Y37" s="88">
        <v>12.686500000000001</v>
      </c>
      <c r="Z37" s="29">
        <v>3.2248072692372877E-2</v>
      </c>
      <c r="AA37" s="29">
        <v>0.15036680873378713</v>
      </c>
      <c r="AB37" s="89">
        <v>0.18261488142616003</v>
      </c>
    </row>
    <row r="38" spans="2:28">
      <c r="B38" s="75">
        <v>54</v>
      </c>
      <c r="C38" s="76">
        <v>0.35899999999999999</v>
      </c>
      <c r="D38" s="76">
        <v>12.743</v>
      </c>
      <c r="E38" s="76">
        <v>3.0880000000000001</v>
      </c>
      <c r="F38" s="76">
        <v>3.0880000000000001</v>
      </c>
      <c r="G38" s="76">
        <v>12.384</v>
      </c>
      <c r="H38" s="77">
        <v>2.8989018087855294E-2</v>
      </c>
      <c r="I38" s="77">
        <v>0.24935400516795866</v>
      </c>
      <c r="J38" s="78">
        <v>0.27834302325581395</v>
      </c>
      <c r="K38" s="75">
        <v>54</v>
      </c>
      <c r="L38" s="76">
        <v>0.35799999999999998</v>
      </c>
      <c r="M38" s="76">
        <v>14.182</v>
      </c>
      <c r="N38" s="79">
        <v>0.65</v>
      </c>
      <c r="O38" s="76">
        <v>0.65</v>
      </c>
      <c r="P38" s="76">
        <v>13.824</v>
      </c>
      <c r="Q38" s="77">
        <v>2.5896990740740741E-2</v>
      </c>
      <c r="R38" s="77">
        <v>4.701967592592593E-2</v>
      </c>
      <c r="S38" s="78">
        <v>7.2916666666666671E-2</v>
      </c>
      <c r="T38" s="75">
        <v>54</v>
      </c>
      <c r="U38" s="80">
        <v>0.35849999999999999</v>
      </c>
      <c r="V38" s="80">
        <v>13.4625</v>
      </c>
      <c r="W38" s="80">
        <v>1.869</v>
      </c>
      <c r="X38" s="80">
        <v>1.869</v>
      </c>
      <c r="Y38" s="80">
        <v>13.103999999999999</v>
      </c>
      <c r="Z38" s="81">
        <v>2.744300441429802E-2</v>
      </c>
      <c r="AA38" s="81">
        <v>0.14818684054694231</v>
      </c>
      <c r="AB38" s="82">
        <v>0.17562984496124032</v>
      </c>
    </row>
    <row r="39" spans="2:28">
      <c r="B39" s="83">
        <v>55</v>
      </c>
      <c r="C39" s="84">
        <v>0.308</v>
      </c>
      <c r="D39" s="84">
        <v>13.118</v>
      </c>
      <c r="E39" s="84">
        <v>3.15</v>
      </c>
      <c r="F39" s="84">
        <v>3.15</v>
      </c>
      <c r="G39" s="84">
        <v>12.81</v>
      </c>
      <c r="H39" s="85">
        <v>2.4043715846994534E-2</v>
      </c>
      <c r="I39" s="85">
        <v>0.24590163934426229</v>
      </c>
      <c r="J39" s="87">
        <v>0.26994535519125684</v>
      </c>
      <c r="K39" s="83">
        <v>55</v>
      </c>
      <c r="L39" s="84">
        <v>0.30299999999999999</v>
      </c>
      <c r="M39" s="84">
        <v>14.569000000000001</v>
      </c>
      <c r="N39" s="86">
        <v>0.65300000000000002</v>
      </c>
      <c r="O39" s="84">
        <v>0.65300000000000002</v>
      </c>
      <c r="P39" s="84">
        <v>14.266</v>
      </c>
      <c r="Q39" s="85">
        <v>2.1239310248142435E-2</v>
      </c>
      <c r="R39" s="85">
        <v>4.577316697041918E-2</v>
      </c>
      <c r="S39" s="87">
        <v>6.7012477218561614E-2</v>
      </c>
      <c r="T39" s="83">
        <v>55</v>
      </c>
      <c r="U39" s="88">
        <v>0.30549999999999999</v>
      </c>
      <c r="V39" s="88">
        <v>13.843500000000001</v>
      </c>
      <c r="W39" s="88">
        <v>1.9015</v>
      </c>
      <c r="X39" s="88">
        <v>1.9015</v>
      </c>
      <c r="Y39" s="88">
        <v>13.538</v>
      </c>
      <c r="Z39" s="29">
        <v>2.2641513047568486E-2</v>
      </c>
      <c r="AA39" s="29">
        <v>0.14583740315734073</v>
      </c>
      <c r="AB39" s="89">
        <v>0.16847891620490923</v>
      </c>
    </row>
    <row r="40" spans="2:28">
      <c r="B40" s="75">
        <v>56</v>
      </c>
      <c r="C40" s="76">
        <v>0.254</v>
      </c>
      <c r="D40" s="76">
        <v>13.506</v>
      </c>
      <c r="E40" s="76">
        <v>3.2109999999999999</v>
      </c>
      <c r="F40" s="76">
        <v>3.2109999999999999</v>
      </c>
      <c r="G40" s="76">
        <v>13.252000000000001</v>
      </c>
      <c r="H40" s="77">
        <v>1.916691820102626E-2</v>
      </c>
      <c r="I40" s="77">
        <v>0.24230304859643825</v>
      </c>
      <c r="J40" s="78">
        <v>0.26146996679746454</v>
      </c>
      <c r="K40" s="75">
        <v>56</v>
      </c>
      <c r="L40" s="76">
        <v>0.245</v>
      </c>
      <c r="M40" s="76">
        <v>14.968999999999999</v>
      </c>
      <c r="N40" s="79">
        <v>0.65500000000000003</v>
      </c>
      <c r="O40" s="76">
        <v>0.65500000000000003</v>
      </c>
      <c r="P40" s="76">
        <v>14.724</v>
      </c>
      <c r="Q40" s="77">
        <v>1.6639500135832652E-2</v>
      </c>
      <c r="R40" s="77">
        <v>4.4485194240695462E-2</v>
      </c>
      <c r="S40" s="78">
        <v>6.1124694376528114E-2</v>
      </c>
      <c r="T40" s="75">
        <v>56</v>
      </c>
      <c r="U40" s="80">
        <v>0.2495</v>
      </c>
      <c r="V40" s="80">
        <v>14.237500000000001</v>
      </c>
      <c r="W40" s="80">
        <v>1.9329999999999998</v>
      </c>
      <c r="X40" s="80">
        <v>1.9329999999999998</v>
      </c>
      <c r="Y40" s="80">
        <v>13.988</v>
      </c>
      <c r="Z40" s="81">
        <v>1.7903209168429454E-2</v>
      </c>
      <c r="AA40" s="81">
        <v>0.14339412141856686</v>
      </c>
      <c r="AB40" s="82">
        <v>0.16129733058699633</v>
      </c>
    </row>
    <row r="41" spans="2:28">
      <c r="B41" s="83">
        <v>57</v>
      </c>
      <c r="C41" s="84">
        <v>0.19800000000000001</v>
      </c>
      <c r="D41" s="84">
        <v>13.911</v>
      </c>
      <c r="E41" s="84">
        <v>3.2709999999999999</v>
      </c>
      <c r="F41" s="84">
        <v>3.2709999999999999</v>
      </c>
      <c r="G41" s="84">
        <v>13.712999999999999</v>
      </c>
      <c r="H41" s="85">
        <v>1.4438853642528988E-2</v>
      </c>
      <c r="I41" s="85">
        <v>0.23853277911470869</v>
      </c>
      <c r="J41" s="87">
        <v>0.25297163275723766</v>
      </c>
      <c r="K41" s="83">
        <v>57</v>
      </c>
      <c r="L41" s="84">
        <v>0.187</v>
      </c>
      <c r="M41" s="84">
        <v>15.385</v>
      </c>
      <c r="N41" s="86">
        <v>0.65700000000000003</v>
      </c>
      <c r="O41" s="84">
        <v>0.65700000000000003</v>
      </c>
      <c r="P41" s="84">
        <v>15.198</v>
      </c>
      <c r="Q41" s="85">
        <v>1.2304250559284116E-2</v>
      </c>
      <c r="R41" s="85">
        <v>4.3229372285827086E-2</v>
      </c>
      <c r="S41" s="87">
        <v>5.5533622845111201E-2</v>
      </c>
      <c r="T41" s="83">
        <v>57</v>
      </c>
      <c r="U41" s="88">
        <v>0.1925</v>
      </c>
      <c r="V41" s="88">
        <v>14.648</v>
      </c>
      <c r="W41" s="88">
        <v>1.964</v>
      </c>
      <c r="X41" s="88">
        <v>1.964</v>
      </c>
      <c r="Y41" s="88">
        <v>14.455500000000001</v>
      </c>
      <c r="Z41" s="29">
        <v>1.3371552100906552E-2</v>
      </c>
      <c r="AA41" s="29">
        <v>0.14088107570026789</v>
      </c>
      <c r="AB41" s="89">
        <v>0.15425262780117444</v>
      </c>
    </row>
    <row r="42" spans="2:28">
      <c r="B42" s="75">
        <v>58</v>
      </c>
      <c r="C42" s="76">
        <v>0.14299999999999999</v>
      </c>
      <c r="D42" s="76">
        <v>14.332000000000001</v>
      </c>
      <c r="E42" s="76">
        <v>3.3330000000000002</v>
      </c>
      <c r="F42" s="76">
        <v>3.3330000000000002</v>
      </c>
      <c r="G42" s="76">
        <v>14.189</v>
      </c>
      <c r="H42" s="77">
        <v>1.0078229614490097E-2</v>
      </c>
      <c r="I42" s="77">
        <v>0.23490027486080767</v>
      </c>
      <c r="J42" s="78">
        <v>0.24497850447529776</v>
      </c>
      <c r="K42" s="75">
        <v>58</v>
      </c>
      <c r="L42" s="76">
        <v>0.13100000000000001</v>
      </c>
      <c r="M42" s="76">
        <v>15.819000000000001</v>
      </c>
      <c r="N42" s="79">
        <v>0.65800000000000003</v>
      </c>
      <c r="O42" s="76">
        <v>0.65800000000000003</v>
      </c>
      <c r="P42" s="76">
        <v>15.688000000000001</v>
      </c>
      <c r="Q42" s="77">
        <v>8.35033146353901E-3</v>
      </c>
      <c r="R42" s="77">
        <v>4.1942886282508925E-2</v>
      </c>
      <c r="S42" s="78">
        <v>5.0293217746047933E-2</v>
      </c>
      <c r="T42" s="75">
        <v>58</v>
      </c>
      <c r="U42" s="80">
        <v>0.13700000000000001</v>
      </c>
      <c r="V42" s="80">
        <v>15.075500000000002</v>
      </c>
      <c r="W42" s="80">
        <v>1.9955000000000001</v>
      </c>
      <c r="X42" s="80">
        <v>1.9955000000000001</v>
      </c>
      <c r="Y42" s="80">
        <v>14.938500000000001</v>
      </c>
      <c r="Z42" s="81">
        <v>9.2142805390145535E-3</v>
      </c>
      <c r="AA42" s="81">
        <v>0.13842158057165829</v>
      </c>
      <c r="AB42" s="82">
        <v>0.14763586111067284</v>
      </c>
    </row>
    <row r="43" spans="2:28">
      <c r="B43" s="83">
        <v>59</v>
      </c>
      <c r="C43" s="84">
        <v>9.2999999999999999E-2</v>
      </c>
      <c r="D43" s="84">
        <v>14.775</v>
      </c>
      <c r="E43" s="84">
        <v>3.3959999999999999</v>
      </c>
      <c r="F43" s="84">
        <v>3.3959999999999999</v>
      </c>
      <c r="G43" s="84">
        <v>14.682</v>
      </c>
      <c r="H43" s="85">
        <v>6.334286881896199E-3</v>
      </c>
      <c r="I43" s="85">
        <v>0.23130363710666121</v>
      </c>
      <c r="J43" s="87">
        <v>0.2376379239885574</v>
      </c>
      <c r="K43" s="83">
        <v>59</v>
      </c>
      <c r="L43" s="84">
        <v>8.2000000000000003E-2</v>
      </c>
      <c r="M43" s="84">
        <v>16.276</v>
      </c>
      <c r="N43" s="86">
        <v>0.66</v>
      </c>
      <c r="O43" s="84">
        <v>0.66</v>
      </c>
      <c r="P43" s="84">
        <v>16.193999999999999</v>
      </c>
      <c r="Q43" s="85">
        <v>5.0636038038779797E-3</v>
      </c>
      <c r="R43" s="85">
        <v>4.0755835494627642E-2</v>
      </c>
      <c r="S43" s="87">
        <v>4.581943929850562E-2</v>
      </c>
      <c r="T43" s="83">
        <v>59</v>
      </c>
      <c r="U43" s="88">
        <v>8.7499999999999994E-2</v>
      </c>
      <c r="V43" s="88">
        <v>15.525500000000001</v>
      </c>
      <c r="W43" s="88">
        <v>2.028</v>
      </c>
      <c r="X43" s="88">
        <v>2.028</v>
      </c>
      <c r="Y43" s="88">
        <v>15.437999999999999</v>
      </c>
      <c r="Z43" s="29">
        <v>5.6989453428870889E-3</v>
      </c>
      <c r="AA43" s="29">
        <v>0.13602973630064444</v>
      </c>
      <c r="AB43" s="89">
        <v>0.1417286816435315</v>
      </c>
    </row>
    <row r="44" spans="2:28">
      <c r="B44" s="75">
        <v>60</v>
      </c>
      <c r="C44" s="76">
        <v>5.1999999999999998E-2</v>
      </c>
      <c r="D44" s="76">
        <v>15.241</v>
      </c>
      <c r="E44" s="76">
        <v>3.4630000000000001</v>
      </c>
      <c r="F44" s="76">
        <v>3.4630000000000001</v>
      </c>
      <c r="G44" s="76">
        <v>15.189</v>
      </c>
      <c r="H44" s="77">
        <v>3.4235301863190467E-3</v>
      </c>
      <c r="I44" s="77">
        <v>0.22799394298505499</v>
      </c>
      <c r="J44" s="78">
        <v>0.23141747317137404</v>
      </c>
      <c r="K44" s="75">
        <v>60</v>
      </c>
      <c r="L44" s="76">
        <v>4.3999999999999997E-2</v>
      </c>
      <c r="M44" s="76">
        <v>16.759</v>
      </c>
      <c r="N44" s="79">
        <v>0.66100000000000003</v>
      </c>
      <c r="O44" s="76">
        <v>0.66100000000000003</v>
      </c>
      <c r="P44" s="76">
        <v>16.715</v>
      </c>
      <c r="Q44" s="77">
        <v>2.6323661381992222E-3</v>
      </c>
      <c r="R44" s="77">
        <v>3.9545318576129231E-2</v>
      </c>
      <c r="S44" s="78">
        <v>4.2177684714328451E-2</v>
      </c>
      <c r="T44" s="75">
        <v>60</v>
      </c>
      <c r="U44" s="80">
        <v>4.8000000000000001E-2</v>
      </c>
      <c r="V44" s="80">
        <v>16</v>
      </c>
      <c r="W44" s="80">
        <v>2.0620000000000003</v>
      </c>
      <c r="X44" s="80">
        <v>2.0620000000000003</v>
      </c>
      <c r="Y44" s="80">
        <v>15.952</v>
      </c>
      <c r="Z44" s="81">
        <v>3.0279481622591344E-3</v>
      </c>
      <c r="AA44" s="81">
        <v>0.13376963078059212</v>
      </c>
      <c r="AB44" s="82">
        <v>0.13679757894285124</v>
      </c>
    </row>
    <row r="45" spans="2:28">
      <c r="B45" s="83">
        <v>61</v>
      </c>
      <c r="C45" s="84">
        <v>2.1999999999999999E-2</v>
      </c>
      <c r="D45" s="84">
        <v>15.734</v>
      </c>
      <c r="E45" s="84">
        <v>3.532</v>
      </c>
      <c r="F45" s="84">
        <v>3.532</v>
      </c>
      <c r="G45" s="84">
        <v>15.712</v>
      </c>
      <c r="H45" s="85">
        <v>1.4002036659877799E-3</v>
      </c>
      <c r="I45" s="85">
        <v>0.22479633401221996</v>
      </c>
      <c r="J45" s="87">
        <v>0.22619653767820774</v>
      </c>
      <c r="K45" s="83">
        <v>61</v>
      </c>
      <c r="L45" s="84">
        <v>1.7000000000000001E-2</v>
      </c>
      <c r="M45" s="84">
        <v>17.271999999999998</v>
      </c>
      <c r="N45" s="86">
        <v>0.66200000000000003</v>
      </c>
      <c r="O45" s="84">
        <v>0.66200000000000003</v>
      </c>
      <c r="P45" s="84">
        <v>17.254999999999999</v>
      </c>
      <c r="Q45" s="85">
        <v>9.8522167487684743E-4</v>
      </c>
      <c r="R45" s="85">
        <v>3.8365691104027821E-2</v>
      </c>
      <c r="S45" s="87">
        <v>3.9350912778904672E-2</v>
      </c>
      <c r="T45" s="83">
        <v>61</v>
      </c>
      <c r="U45" s="88">
        <v>1.95E-2</v>
      </c>
      <c r="V45" s="88">
        <v>16.503</v>
      </c>
      <c r="W45" s="88">
        <v>2.097</v>
      </c>
      <c r="X45" s="88">
        <v>2.097</v>
      </c>
      <c r="Y45" s="88">
        <v>16.483499999999999</v>
      </c>
      <c r="Z45" s="29">
        <v>1.1927126704323137E-3</v>
      </c>
      <c r="AA45" s="29">
        <v>0.13158101255812388</v>
      </c>
      <c r="AB45" s="89">
        <v>0.13277372522855621</v>
      </c>
    </row>
    <row r="46" spans="2:28">
      <c r="B46" s="75">
        <v>62</v>
      </c>
      <c r="C46" s="76">
        <v>5.0000000000000001E-3</v>
      </c>
      <c r="D46" s="76">
        <v>16.257999999999999</v>
      </c>
      <c r="E46" s="76">
        <v>3.5870000000000002</v>
      </c>
      <c r="F46" s="76">
        <v>3.5870000000000002</v>
      </c>
      <c r="G46" s="76">
        <v>16.253</v>
      </c>
      <c r="H46" s="77">
        <v>3.0763551344367192E-4</v>
      </c>
      <c r="I46" s="77">
        <v>0.22069771734449026</v>
      </c>
      <c r="J46" s="78">
        <v>0.22100535285793393</v>
      </c>
      <c r="K46" s="75">
        <v>62</v>
      </c>
      <c r="L46" s="76">
        <v>4.0000000000000001E-3</v>
      </c>
      <c r="M46" s="76">
        <v>17.815999999999999</v>
      </c>
      <c r="N46" s="79">
        <v>0.66100000000000003</v>
      </c>
      <c r="O46" s="76">
        <v>0.66100000000000003</v>
      </c>
      <c r="P46" s="76">
        <v>17.811999999999998</v>
      </c>
      <c r="Q46" s="77">
        <v>2.2456770716370989E-4</v>
      </c>
      <c r="R46" s="77">
        <v>3.7109813608803062E-2</v>
      </c>
      <c r="S46" s="78">
        <v>3.7334381315966773E-2</v>
      </c>
      <c r="T46" s="75">
        <v>62</v>
      </c>
      <c r="U46" s="80">
        <v>4.5000000000000005E-3</v>
      </c>
      <c r="V46" s="80">
        <v>17.036999999999999</v>
      </c>
      <c r="W46" s="80">
        <v>2.1240000000000001</v>
      </c>
      <c r="X46" s="80">
        <v>2.1240000000000001</v>
      </c>
      <c r="Y46" s="80">
        <v>17.032499999999999</v>
      </c>
      <c r="Z46" s="81">
        <v>2.6610161030369092E-4</v>
      </c>
      <c r="AA46" s="81">
        <v>0.12890376547664667</v>
      </c>
      <c r="AB46" s="82">
        <v>0.12916986708695036</v>
      </c>
    </row>
    <row r="47" spans="2:28">
      <c r="B47" s="90">
        <v>63</v>
      </c>
      <c r="C47" s="91">
        <v>0</v>
      </c>
      <c r="D47" s="91">
        <v>16.815000000000001</v>
      </c>
      <c r="E47" s="91">
        <v>3.6419999999999999</v>
      </c>
      <c r="F47" s="91">
        <v>3.6419999999999999</v>
      </c>
      <c r="G47" s="91">
        <v>16.815000000000001</v>
      </c>
      <c r="H47" s="92">
        <v>0</v>
      </c>
      <c r="I47" s="92">
        <v>0.21659232827832289</v>
      </c>
      <c r="J47" s="93">
        <v>0.21659232827832289</v>
      </c>
      <c r="K47" s="90">
        <v>63</v>
      </c>
      <c r="L47" s="91">
        <v>0</v>
      </c>
      <c r="M47" s="91">
        <v>18.393000000000001</v>
      </c>
      <c r="N47" s="94">
        <v>0.65900000000000003</v>
      </c>
      <c r="O47" s="91">
        <v>0.65900000000000003</v>
      </c>
      <c r="P47" s="91">
        <v>18.393000000000001</v>
      </c>
      <c r="Q47" s="92">
        <v>0</v>
      </c>
      <c r="R47" s="92">
        <v>3.5828847931278204E-2</v>
      </c>
      <c r="S47" s="93">
        <v>3.5828847931278204E-2</v>
      </c>
      <c r="T47" s="90">
        <v>63</v>
      </c>
      <c r="U47" s="95">
        <v>0</v>
      </c>
      <c r="V47" s="95">
        <v>17.603999999999999</v>
      </c>
      <c r="W47" s="95">
        <v>2.1505000000000001</v>
      </c>
      <c r="X47" s="95">
        <v>2.1505000000000001</v>
      </c>
      <c r="Y47" s="95">
        <v>17.603999999999999</v>
      </c>
      <c r="Z47" s="96">
        <v>0</v>
      </c>
      <c r="AA47" s="96">
        <v>0.12621058810480054</v>
      </c>
      <c r="AB47" s="97">
        <v>0.12621058810480054</v>
      </c>
    </row>
    <row r="48" spans="2:28">
      <c r="B48" s="75">
        <v>64</v>
      </c>
      <c r="C48" s="76">
        <v>0</v>
      </c>
      <c r="D48" s="76">
        <v>16.154</v>
      </c>
      <c r="E48" s="76">
        <v>3.7669999999999999</v>
      </c>
      <c r="F48" s="76">
        <v>3.7669999999999999</v>
      </c>
      <c r="G48" s="76">
        <v>16.154</v>
      </c>
      <c r="H48" s="77">
        <v>0</v>
      </c>
      <c r="I48" s="77">
        <v>0.23319301720935989</v>
      </c>
      <c r="J48" s="78">
        <v>0.23319301720935989</v>
      </c>
      <c r="K48" s="75">
        <v>64</v>
      </c>
      <c r="L48" s="76">
        <v>0</v>
      </c>
      <c r="M48" s="76">
        <v>18.010999999999999</v>
      </c>
      <c r="N48" s="79">
        <v>0.64100000000000001</v>
      </c>
      <c r="O48" s="76">
        <v>0.64100000000000001</v>
      </c>
      <c r="P48" s="76">
        <v>18.010999999999999</v>
      </c>
      <c r="Q48" s="77">
        <v>0</v>
      </c>
      <c r="R48" s="77">
        <v>3.5589362056521016E-2</v>
      </c>
      <c r="S48" s="78">
        <v>3.5589362056521016E-2</v>
      </c>
      <c r="T48" s="75">
        <v>64</v>
      </c>
      <c r="U48" s="80">
        <v>0</v>
      </c>
      <c r="V48" s="80">
        <v>17.0825</v>
      </c>
      <c r="W48" s="80">
        <v>2.2039999999999997</v>
      </c>
      <c r="X48" s="80">
        <v>2.2039999999999997</v>
      </c>
      <c r="Y48" s="80">
        <v>17.0825</v>
      </c>
      <c r="Z48" s="81">
        <v>0</v>
      </c>
      <c r="AA48" s="81">
        <v>0.13439118963294044</v>
      </c>
      <c r="AB48" s="82">
        <v>0.13439118963294044</v>
      </c>
    </row>
    <row r="49" spans="2:28">
      <c r="B49" s="83">
        <v>65</v>
      </c>
      <c r="C49" s="84">
        <v>0</v>
      </c>
      <c r="D49" s="84">
        <v>15.77</v>
      </c>
      <c r="E49" s="84">
        <v>3.7749999999999999</v>
      </c>
      <c r="F49" s="84">
        <v>3.7749999999999999</v>
      </c>
      <c r="G49" s="84">
        <v>15.77</v>
      </c>
      <c r="H49" s="85">
        <v>0</v>
      </c>
      <c r="I49" s="85">
        <v>0.23937856689917564</v>
      </c>
      <c r="J49" s="87">
        <v>0.23937856689917564</v>
      </c>
      <c r="K49" s="83">
        <v>65</v>
      </c>
      <c r="L49" s="84">
        <v>0</v>
      </c>
      <c r="M49" s="84">
        <v>17.619</v>
      </c>
      <c r="N49" s="86">
        <v>0.623</v>
      </c>
      <c r="O49" s="84">
        <v>0.623</v>
      </c>
      <c r="P49" s="84">
        <v>17.619</v>
      </c>
      <c r="Q49" s="85">
        <v>0</v>
      </c>
      <c r="R49" s="85">
        <v>3.5359555025824392E-2</v>
      </c>
      <c r="S49" s="87">
        <v>3.5359555025824392E-2</v>
      </c>
      <c r="T49" s="83">
        <v>65</v>
      </c>
      <c r="U49" s="88">
        <v>0</v>
      </c>
      <c r="V49" s="88">
        <v>16.694499999999998</v>
      </c>
      <c r="W49" s="88">
        <v>2.1989999999999998</v>
      </c>
      <c r="X49" s="88">
        <v>2.1989999999999998</v>
      </c>
      <c r="Y49" s="88">
        <v>16.694499999999998</v>
      </c>
      <c r="Z49" s="98">
        <v>0</v>
      </c>
      <c r="AA49" s="98">
        <v>0.13736906096250001</v>
      </c>
      <c r="AB49" s="99">
        <v>0.13736906096250001</v>
      </c>
    </row>
    <row r="50" spans="2:28">
      <c r="B50" s="75">
        <v>66</v>
      </c>
      <c r="C50" s="76"/>
      <c r="D50" s="76">
        <v>15.379</v>
      </c>
      <c r="E50" s="76">
        <v>3.778</v>
      </c>
      <c r="F50" s="76">
        <v>3.778</v>
      </c>
      <c r="G50" s="76">
        <v>15.379</v>
      </c>
      <c r="H50" s="77">
        <v>0</v>
      </c>
      <c r="I50" s="77">
        <v>0.24565966577800899</v>
      </c>
      <c r="J50" s="78">
        <v>0.24565966577800899</v>
      </c>
      <c r="K50" s="75">
        <v>66</v>
      </c>
      <c r="L50" s="76">
        <v>0</v>
      </c>
      <c r="M50" s="76">
        <v>17.216999999999999</v>
      </c>
      <c r="N50" s="79">
        <v>0.60399999999999998</v>
      </c>
      <c r="O50" s="76">
        <v>0.60399999999999998</v>
      </c>
      <c r="P50" s="76">
        <v>17.216999999999999</v>
      </c>
      <c r="Q50" s="77">
        <v>0</v>
      </c>
      <c r="R50" s="77">
        <v>3.5081605390021489E-2</v>
      </c>
      <c r="S50" s="78">
        <v>3.5081605390021489E-2</v>
      </c>
      <c r="T50" s="75">
        <v>66</v>
      </c>
      <c r="U50" s="80">
        <v>0</v>
      </c>
      <c r="V50" s="80">
        <v>16.297999999999998</v>
      </c>
      <c r="W50" s="80">
        <v>2.1909999999999998</v>
      </c>
      <c r="X50" s="80">
        <v>2.1909999999999998</v>
      </c>
      <c r="Y50" s="80">
        <v>16.297999999999998</v>
      </c>
      <c r="Z50" s="81">
        <v>0</v>
      </c>
      <c r="AA50" s="81">
        <v>0.14037063558401525</v>
      </c>
      <c r="AB50" s="82">
        <v>0.14037063558401525</v>
      </c>
    </row>
    <row r="51" spans="2:28">
      <c r="B51" s="83">
        <v>67</v>
      </c>
      <c r="C51" s="84"/>
      <c r="D51" s="84">
        <v>14.98</v>
      </c>
      <c r="E51" s="84">
        <v>3.778</v>
      </c>
      <c r="F51" s="84">
        <v>3.778</v>
      </c>
      <c r="G51" s="84">
        <v>14.98</v>
      </c>
      <c r="H51" s="85">
        <v>0</v>
      </c>
      <c r="I51" s="85">
        <v>0.25220293724966619</v>
      </c>
      <c r="J51" s="87">
        <v>0.25220293724966619</v>
      </c>
      <c r="K51" s="83">
        <v>67</v>
      </c>
      <c r="L51" s="84">
        <v>0</v>
      </c>
      <c r="M51" s="84">
        <v>16.803000000000001</v>
      </c>
      <c r="N51" s="86">
        <v>0.58599999999999997</v>
      </c>
      <c r="O51" s="84">
        <v>0.58599999999999997</v>
      </c>
      <c r="P51" s="84">
        <v>16.803000000000001</v>
      </c>
      <c r="Q51" s="85">
        <v>0</v>
      </c>
      <c r="R51" s="85">
        <v>3.4874724751532464E-2</v>
      </c>
      <c r="S51" s="87">
        <v>3.4874724751532464E-2</v>
      </c>
      <c r="T51" s="83">
        <v>67</v>
      </c>
      <c r="U51" s="88">
        <v>0</v>
      </c>
      <c r="V51" s="88">
        <v>15.891500000000001</v>
      </c>
      <c r="W51" s="88">
        <v>2.1819999999999999</v>
      </c>
      <c r="X51" s="88">
        <v>2.1819999999999999</v>
      </c>
      <c r="Y51" s="88">
        <v>15.891500000000001</v>
      </c>
      <c r="Z51" s="29">
        <v>0</v>
      </c>
      <c r="AA51" s="29">
        <v>0.14353883100059933</v>
      </c>
      <c r="AB51" s="89">
        <v>0.14353883100059933</v>
      </c>
    </row>
    <row r="52" spans="2:28">
      <c r="B52" s="75">
        <v>68</v>
      </c>
      <c r="C52" s="76"/>
      <c r="D52" s="76">
        <v>14.573</v>
      </c>
      <c r="E52" s="76">
        <v>3.7770000000000001</v>
      </c>
      <c r="F52" s="76">
        <v>3.7770000000000001</v>
      </c>
      <c r="G52" s="76">
        <v>14.573</v>
      </c>
      <c r="H52" s="77">
        <v>0</v>
      </c>
      <c r="I52" s="77">
        <v>0.25917793179166954</v>
      </c>
      <c r="J52" s="78">
        <v>0.25917793179166954</v>
      </c>
      <c r="K52" s="75">
        <v>68</v>
      </c>
      <c r="L52" s="76">
        <v>0</v>
      </c>
      <c r="M52" s="76">
        <v>16.378</v>
      </c>
      <c r="N52" s="79">
        <v>0.56699999999999995</v>
      </c>
      <c r="O52" s="76">
        <v>0.56699999999999995</v>
      </c>
      <c r="P52" s="76">
        <v>16.378</v>
      </c>
      <c r="Q52" s="77">
        <v>0</v>
      </c>
      <c r="R52" s="77">
        <v>3.4619611674197089E-2</v>
      </c>
      <c r="S52" s="78">
        <v>3.4619611674197089E-2</v>
      </c>
      <c r="T52" s="75">
        <v>68</v>
      </c>
      <c r="U52" s="80">
        <v>0</v>
      </c>
      <c r="V52" s="80">
        <v>15.4755</v>
      </c>
      <c r="W52" s="80">
        <v>2.1720000000000002</v>
      </c>
      <c r="X52" s="80">
        <v>2.1720000000000002</v>
      </c>
      <c r="Y52" s="80">
        <v>15.4755</v>
      </c>
      <c r="Z52" s="81">
        <v>0</v>
      </c>
      <c r="AA52" s="81">
        <v>0.14689877173293331</v>
      </c>
      <c r="AB52" s="82">
        <v>0.14689877173293331</v>
      </c>
    </row>
    <row r="53" spans="2:28">
      <c r="B53" s="83">
        <v>69</v>
      </c>
      <c r="C53" s="84"/>
      <c r="D53" s="84">
        <v>14.156000000000001</v>
      </c>
      <c r="E53" s="84">
        <v>3.7730000000000001</v>
      </c>
      <c r="F53" s="84">
        <v>3.7730000000000001</v>
      </c>
      <c r="G53" s="84">
        <v>14.156000000000001</v>
      </c>
      <c r="H53" s="85">
        <v>0</v>
      </c>
      <c r="I53" s="85">
        <v>0.26653009324667987</v>
      </c>
      <c r="J53" s="87">
        <v>0.26653009324667987</v>
      </c>
      <c r="K53" s="83">
        <v>69</v>
      </c>
      <c r="L53" s="84">
        <v>0</v>
      </c>
      <c r="M53" s="84">
        <v>15.94</v>
      </c>
      <c r="N53" s="86">
        <v>0.54900000000000004</v>
      </c>
      <c r="O53" s="84">
        <v>0.54900000000000004</v>
      </c>
      <c r="P53" s="84">
        <v>15.94</v>
      </c>
      <c r="Q53" s="85">
        <v>0</v>
      </c>
      <c r="R53" s="85">
        <v>3.4441656210790469E-2</v>
      </c>
      <c r="S53" s="87">
        <v>3.4441656210790469E-2</v>
      </c>
      <c r="T53" s="83">
        <v>69</v>
      </c>
      <c r="U53" s="88">
        <v>0</v>
      </c>
      <c r="V53" s="88">
        <v>15.048</v>
      </c>
      <c r="W53" s="88">
        <v>2.161</v>
      </c>
      <c r="X53" s="88">
        <v>2.161</v>
      </c>
      <c r="Y53" s="88">
        <v>15.048</v>
      </c>
      <c r="Z53" s="29">
        <v>0</v>
      </c>
      <c r="AA53" s="29">
        <v>0.15048587472873518</v>
      </c>
      <c r="AB53" s="89">
        <v>0.15048587472873518</v>
      </c>
    </row>
    <row r="54" spans="2:28">
      <c r="B54" s="75">
        <v>70</v>
      </c>
      <c r="C54" s="76"/>
      <c r="D54" s="76">
        <v>13.728999999999999</v>
      </c>
      <c r="E54" s="76">
        <v>3.7669999999999999</v>
      </c>
      <c r="F54" s="76">
        <v>3.7669999999999999</v>
      </c>
      <c r="G54" s="76">
        <v>13.728999999999999</v>
      </c>
      <c r="H54" s="77">
        <v>0</v>
      </c>
      <c r="I54" s="77">
        <v>0.27438269356835898</v>
      </c>
      <c r="J54" s="78">
        <v>0.27438269356835898</v>
      </c>
      <c r="K54" s="75">
        <v>70</v>
      </c>
      <c r="L54" s="76">
        <v>0</v>
      </c>
      <c r="M54" s="76">
        <v>15.49</v>
      </c>
      <c r="N54" s="79">
        <v>0.53</v>
      </c>
      <c r="O54" s="76">
        <v>0.53</v>
      </c>
      <c r="P54" s="76">
        <v>15.49</v>
      </c>
      <c r="Q54" s="77">
        <v>0</v>
      </c>
      <c r="R54" s="77">
        <v>3.4215622982569402E-2</v>
      </c>
      <c r="S54" s="78">
        <v>3.4215622982569402E-2</v>
      </c>
      <c r="T54" s="75">
        <v>70</v>
      </c>
      <c r="U54" s="80">
        <v>0</v>
      </c>
      <c r="V54" s="80">
        <v>14.609500000000001</v>
      </c>
      <c r="W54" s="80">
        <v>2.1484999999999999</v>
      </c>
      <c r="X54" s="80">
        <v>2.1484999999999999</v>
      </c>
      <c r="Y54" s="80">
        <v>14.609500000000001</v>
      </c>
      <c r="Z54" s="81">
        <v>0</v>
      </c>
      <c r="AA54" s="81">
        <v>0.1542991582754642</v>
      </c>
      <c r="AB54" s="82">
        <v>0.1542991582754642</v>
      </c>
    </row>
    <row r="55" spans="2:28">
      <c r="B55" s="83">
        <v>71</v>
      </c>
      <c r="C55" s="84"/>
      <c r="D55" s="84">
        <v>13.292999999999999</v>
      </c>
      <c r="E55" s="84">
        <v>3.758</v>
      </c>
      <c r="F55" s="84">
        <v>3.758</v>
      </c>
      <c r="G55" s="84">
        <v>13.292999999999999</v>
      </c>
      <c r="H55" s="85">
        <v>0</v>
      </c>
      <c r="I55" s="85">
        <v>0.28270518317911686</v>
      </c>
      <c r="J55" s="87">
        <v>0.28270518317911686</v>
      </c>
      <c r="K55" s="83">
        <v>71</v>
      </c>
      <c r="L55" s="84">
        <v>0</v>
      </c>
      <c r="M55" s="84">
        <v>15.026</v>
      </c>
      <c r="N55" s="86">
        <v>0.51</v>
      </c>
      <c r="O55" s="84">
        <v>0.51</v>
      </c>
      <c r="P55" s="84">
        <v>15.026</v>
      </c>
      <c r="Q55" s="85">
        <v>0</v>
      </c>
      <c r="R55" s="85">
        <v>3.3941168641022229E-2</v>
      </c>
      <c r="S55" s="87">
        <v>3.3941168641022229E-2</v>
      </c>
      <c r="T55" s="83">
        <v>71</v>
      </c>
      <c r="U55" s="88">
        <v>0</v>
      </c>
      <c r="V55" s="88">
        <v>14.1595</v>
      </c>
      <c r="W55" s="88">
        <v>2.1339999999999999</v>
      </c>
      <c r="X55" s="88">
        <v>2.1339999999999999</v>
      </c>
      <c r="Y55" s="88">
        <v>14.1595</v>
      </c>
      <c r="Z55" s="29">
        <v>0</v>
      </c>
      <c r="AA55" s="29">
        <v>0.15832317591006956</v>
      </c>
      <c r="AB55" s="89">
        <v>0.15832317591006956</v>
      </c>
    </row>
    <row r="56" spans="2:28">
      <c r="B56" s="75">
        <v>72</v>
      </c>
      <c r="C56" s="76"/>
      <c r="D56" s="76">
        <v>12.846</v>
      </c>
      <c r="E56" s="76">
        <v>3.7469999999999999</v>
      </c>
      <c r="F56" s="76">
        <v>3.7469999999999999</v>
      </c>
      <c r="G56" s="76">
        <v>12.846</v>
      </c>
      <c r="H56" s="77">
        <v>0</v>
      </c>
      <c r="I56" s="77">
        <v>0.29168612797758053</v>
      </c>
      <c r="J56" s="78">
        <v>0.29168612797758053</v>
      </c>
      <c r="K56" s="75">
        <v>72</v>
      </c>
      <c r="L56" s="76">
        <v>0</v>
      </c>
      <c r="M56" s="76">
        <v>14.55</v>
      </c>
      <c r="N56" s="79">
        <v>0.49099999999999999</v>
      </c>
      <c r="O56" s="76">
        <v>0.49099999999999999</v>
      </c>
      <c r="P56" s="76">
        <v>14.55</v>
      </c>
      <c r="Q56" s="77">
        <v>0</v>
      </c>
      <c r="R56" s="77">
        <v>3.3745704467353949E-2</v>
      </c>
      <c r="S56" s="78">
        <v>3.3745704467353949E-2</v>
      </c>
      <c r="T56" s="75">
        <v>72</v>
      </c>
      <c r="U56" s="80">
        <v>0</v>
      </c>
      <c r="V56" s="80">
        <v>13.698</v>
      </c>
      <c r="W56" s="80">
        <v>2.1189999999999998</v>
      </c>
      <c r="X56" s="80">
        <v>2.1189999999999998</v>
      </c>
      <c r="Y56" s="80">
        <v>13.698</v>
      </c>
      <c r="Z56" s="81">
        <v>0</v>
      </c>
      <c r="AA56" s="81">
        <v>0.16271591622246723</v>
      </c>
      <c r="AB56" s="82">
        <v>0.16271591622246723</v>
      </c>
    </row>
    <row r="57" spans="2:28">
      <c r="B57" s="83">
        <v>73</v>
      </c>
      <c r="C57" s="84"/>
      <c r="D57" s="84">
        <v>12.388999999999999</v>
      </c>
      <c r="E57" s="84">
        <v>3.7389999999999999</v>
      </c>
      <c r="F57" s="84">
        <v>3.7389999999999999</v>
      </c>
      <c r="G57" s="84">
        <v>12.388999999999999</v>
      </c>
      <c r="H57" s="85">
        <v>0</v>
      </c>
      <c r="I57" s="85">
        <v>0.30179998385664702</v>
      </c>
      <c r="J57" s="87">
        <v>0.30179998385664702</v>
      </c>
      <c r="K57" s="83">
        <v>73</v>
      </c>
      <c r="L57" s="84">
        <v>0</v>
      </c>
      <c r="M57" s="84">
        <v>14.061999999999999</v>
      </c>
      <c r="N57" s="86">
        <v>0.47199999999999998</v>
      </c>
      <c r="O57" s="84">
        <v>0.47199999999999998</v>
      </c>
      <c r="P57" s="84">
        <v>14.061999999999999</v>
      </c>
      <c r="Q57" s="85">
        <v>0</v>
      </c>
      <c r="R57" s="85">
        <v>3.3565637889347175E-2</v>
      </c>
      <c r="S57" s="87">
        <v>3.3565637889347175E-2</v>
      </c>
      <c r="T57" s="83">
        <v>73</v>
      </c>
      <c r="U57" s="88">
        <v>0</v>
      </c>
      <c r="V57" s="88">
        <v>13.2255</v>
      </c>
      <c r="W57" s="88">
        <v>2.1055000000000001</v>
      </c>
      <c r="X57" s="88">
        <v>2.1055000000000001</v>
      </c>
      <c r="Y57" s="88">
        <v>13.2255</v>
      </c>
      <c r="Z57" s="29">
        <v>0</v>
      </c>
      <c r="AA57" s="29">
        <v>0.16768281087299711</v>
      </c>
      <c r="AB57" s="89">
        <v>0.16768281087299711</v>
      </c>
    </row>
    <row r="58" spans="2:28">
      <c r="B58" s="75">
        <v>74</v>
      </c>
      <c r="C58" s="76"/>
      <c r="D58" s="76">
        <v>11.923999999999999</v>
      </c>
      <c r="E58" s="76">
        <v>3.7290000000000001</v>
      </c>
      <c r="F58" s="76">
        <v>3.7290000000000001</v>
      </c>
      <c r="G58" s="76">
        <v>11.923999999999999</v>
      </c>
      <c r="H58" s="77">
        <v>0</v>
      </c>
      <c r="I58" s="77">
        <v>0.3127306273062731</v>
      </c>
      <c r="J58" s="78">
        <v>0.3127306273062731</v>
      </c>
      <c r="K58" s="75">
        <v>74</v>
      </c>
      <c r="L58" s="76">
        <v>0</v>
      </c>
      <c r="M58" s="76">
        <v>13.561999999999999</v>
      </c>
      <c r="N58" s="79">
        <v>0.45300000000000001</v>
      </c>
      <c r="O58" s="76">
        <v>0.45300000000000001</v>
      </c>
      <c r="P58" s="76">
        <v>13.561999999999999</v>
      </c>
      <c r="Q58" s="77">
        <v>0</v>
      </c>
      <c r="R58" s="77">
        <v>3.3402153074767738E-2</v>
      </c>
      <c r="S58" s="78">
        <v>3.3402153074767738E-2</v>
      </c>
      <c r="T58" s="75">
        <v>74</v>
      </c>
      <c r="U58" s="80">
        <v>0</v>
      </c>
      <c r="V58" s="80">
        <v>12.742999999999999</v>
      </c>
      <c r="W58" s="80">
        <v>2.0910000000000002</v>
      </c>
      <c r="X58" s="80">
        <v>2.0910000000000002</v>
      </c>
      <c r="Y58" s="80">
        <v>12.742999999999999</v>
      </c>
      <c r="Z58" s="81">
        <v>0</v>
      </c>
      <c r="AA58" s="81">
        <v>0.17306639019052042</v>
      </c>
      <c r="AB58" s="82">
        <v>0.17306639019052042</v>
      </c>
    </row>
    <row r="59" spans="2:28">
      <c r="B59" s="83">
        <v>75</v>
      </c>
      <c r="C59" s="84"/>
      <c r="D59" s="84">
        <v>11.45</v>
      </c>
      <c r="E59" s="84">
        <v>3.7160000000000002</v>
      </c>
      <c r="F59" s="84">
        <v>3.7160000000000002</v>
      </c>
      <c r="G59" s="84">
        <v>11.45</v>
      </c>
      <c r="H59" s="85">
        <v>0</v>
      </c>
      <c r="I59" s="85">
        <v>0.32454148471615724</v>
      </c>
      <c r="J59" s="87">
        <v>0.32454148471615724</v>
      </c>
      <c r="K59" s="83">
        <v>75</v>
      </c>
      <c r="L59" s="84">
        <v>0</v>
      </c>
      <c r="M59" s="84">
        <v>13.051</v>
      </c>
      <c r="N59" s="86">
        <v>0.434</v>
      </c>
      <c r="O59" s="84">
        <v>0.434</v>
      </c>
      <c r="P59" s="84">
        <v>13.051</v>
      </c>
      <c r="Q59" s="85">
        <v>0</v>
      </c>
      <c r="R59" s="85">
        <v>3.3254156769596199E-2</v>
      </c>
      <c r="S59" s="87">
        <v>3.3254156769596199E-2</v>
      </c>
      <c r="T59" s="83">
        <v>75</v>
      </c>
      <c r="U59" s="88">
        <v>0</v>
      </c>
      <c r="V59" s="88">
        <v>12.250499999999999</v>
      </c>
      <c r="W59" s="88">
        <v>2.0750000000000002</v>
      </c>
      <c r="X59" s="88">
        <v>2.0750000000000002</v>
      </c>
      <c r="Y59" s="88">
        <v>12.250499999999999</v>
      </c>
      <c r="Z59" s="29">
        <v>0</v>
      </c>
      <c r="AA59" s="29">
        <v>0.17889782074287672</v>
      </c>
      <c r="AB59" s="89">
        <v>0.17889782074287672</v>
      </c>
    </row>
    <row r="60" spans="2:28">
      <c r="B60" s="75">
        <v>76</v>
      </c>
      <c r="C60" s="76"/>
      <c r="D60" s="76">
        <v>10.97</v>
      </c>
      <c r="E60" s="76">
        <v>3.698</v>
      </c>
      <c r="F60" s="76">
        <v>3.698</v>
      </c>
      <c r="G60" s="76">
        <v>10.97</v>
      </c>
      <c r="H60" s="77">
        <v>0</v>
      </c>
      <c r="I60" s="77">
        <v>0.3371011850501367</v>
      </c>
      <c r="J60" s="78">
        <v>0.3371011850501367</v>
      </c>
      <c r="K60" s="75">
        <v>76</v>
      </c>
      <c r="L60" s="76">
        <v>0</v>
      </c>
      <c r="M60" s="76">
        <v>12.531000000000001</v>
      </c>
      <c r="N60" s="79">
        <v>0.41399999999999998</v>
      </c>
      <c r="O60" s="76">
        <v>0.41399999999999998</v>
      </c>
      <c r="P60" s="76">
        <v>12.531000000000001</v>
      </c>
      <c r="Q60" s="77">
        <v>0</v>
      </c>
      <c r="R60" s="77">
        <v>3.3038065597318644E-2</v>
      </c>
      <c r="S60" s="78">
        <v>3.3038065597318644E-2</v>
      </c>
      <c r="T60" s="75">
        <v>76</v>
      </c>
      <c r="U60" s="80">
        <v>0</v>
      </c>
      <c r="V60" s="80">
        <v>11.750500000000001</v>
      </c>
      <c r="W60" s="80">
        <v>2.056</v>
      </c>
      <c r="X60" s="80">
        <v>2.056</v>
      </c>
      <c r="Y60" s="80">
        <v>11.750500000000001</v>
      </c>
      <c r="Z60" s="81">
        <v>0</v>
      </c>
      <c r="AA60" s="81">
        <v>0.18506962532372767</v>
      </c>
      <c r="AB60" s="82">
        <v>0.18506962532372767</v>
      </c>
    </row>
    <row r="61" spans="2:28">
      <c r="B61" s="83">
        <v>77</v>
      </c>
      <c r="C61" s="84"/>
      <c r="D61" s="84">
        <v>10.484999999999999</v>
      </c>
      <c r="E61" s="84">
        <v>3.6749999999999998</v>
      </c>
      <c r="F61" s="84">
        <v>3.6749999999999998</v>
      </c>
      <c r="G61" s="84">
        <v>10.484999999999999</v>
      </c>
      <c r="H61" s="85">
        <v>0</v>
      </c>
      <c r="I61" s="85">
        <v>0.35050071530758226</v>
      </c>
      <c r="J61" s="87">
        <v>0.35050071530758226</v>
      </c>
      <c r="K61" s="83">
        <v>77</v>
      </c>
      <c r="L61" s="84">
        <v>0</v>
      </c>
      <c r="M61" s="84">
        <v>12.003</v>
      </c>
      <c r="N61" s="86">
        <v>0.39300000000000002</v>
      </c>
      <c r="O61" s="84">
        <v>0.39300000000000002</v>
      </c>
      <c r="P61" s="84">
        <v>12.003</v>
      </c>
      <c r="Q61" s="85">
        <v>0</v>
      </c>
      <c r="R61" s="85">
        <v>3.2741814546363407E-2</v>
      </c>
      <c r="S61" s="87">
        <v>3.2741814546363407E-2</v>
      </c>
      <c r="T61" s="83">
        <v>77</v>
      </c>
      <c r="U61" s="88">
        <v>0</v>
      </c>
      <c r="V61" s="88">
        <v>11.244</v>
      </c>
      <c r="W61" s="88">
        <v>2.0339999999999998</v>
      </c>
      <c r="X61" s="88">
        <v>2.0339999999999998</v>
      </c>
      <c r="Y61" s="88">
        <v>11.244</v>
      </c>
      <c r="Z61" s="29">
        <v>0</v>
      </c>
      <c r="AA61" s="29">
        <v>0.19162126492697285</v>
      </c>
      <c r="AB61" s="89">
        <v>0.19162126492697285</v>
      </c>
    </row>
    <row r="62" spans="2:28">
      <c r="B62" s="75">
        <v>78</v>
      </c>
      <c r="C62" s="76"/>
      <c r="D62" s="76">
        <v>9.9969999999999999</v>
      </c>
      <c r="E62" s="76">
        <v>3.645</v>
      </c>
      <c r="F62" s="76">
        <v>3.645</v>
      </c>
      <c r="G62" s="76">
        <v>9.9969999999999999</v>
      </c>
      <c r="H62" s="77">
        <v>0</v>
      </c>
      <c r="I62" s="77">
        <v>0.36460938281484445</v>
      </c>
      <c r="J62" s="78">
        <v>0.36460938281484445</v>
      </c>
      <c r="K62" s="75">
        <v>78</v>
      </c>
      <c r="L62" s="76">
        <v>0</v>
      </c>
      <c r="M62" s="76">
        <v>11.47</v>
      </c>
      <c r="N62" s="79">
        <v>0.371</v>
      </c>
      <c r="O62" s="76">
        <v>0.371</v>
      </c>
      <c r="P62" s="76">
        <v>11.47</v>
      </c>
      <c r="Q62" s="77">
        <v>0</v>
      </c>
      <c r="R62" s="77">
        <v>3.2345248474280733E-2</v>
      </c>
      <c r="S62" s="78">
        <v>3.2345248474280733E-2</v>
      </c>
      <c r="T62" s="75">
        <v>78</v>
      </c>
      <c r="U62" s="80">
        <v>0</v>
      </c>
      <c r="V62" s="80">
        <v>10.733499999999999</v>
      </c>
      <c r="W62" s="80">
        <v>2.008</v>
      </c>
      <c r="X62" s="80">
        <v>2.008</v>
      </c>
      <c r="Y62" s="80">
        <v>10.733499999999999</v>
      </c>
      <c r="Z62" s="81">
        <v>0</v>
      </c>
      <c r="AA62" s="81">
        <v>0.19847731564456259</v>
      </c>
      <c r="AB62" s="82">
        <v>0.19847731564456259</v>
      </c>
    </row>
    <row r="63" spans="2:28">
      <c r="B63" s="83">
        <v>79</v>
      </c>
      <c r="C63" s="84"/>
      <c r="D63" s="84">
        <v>9.5079999999999991</v>
      </c>
      <c r="E63" s="84">
        <v>3.6070000000000002</v>
      </c>
      <c r="F63" s="84">
        <v>3.6070000000000002</v>
      </c>
      <c r="G63" s="84">
        <v>9.5079999999999991</v>
      </c>
      <c r="H63" s="85">
        <v>0</v>
      </c>
      <c r="I63" s="85">
        <v>0.37936474547749272</v>
      </c>
      <c r="J63" s="87">
        <v>0.37936474547749272</v>
      </c>
      <c r="K63" s="83">
        <v>79</v>
      </c>
      <c r="L63" s="84">
        <v>0</v>
      </c>
      <c r="M63" s="84">
        <v>10.932</v>
      </c>
      <c r="N63" s="86">
        <v>0.34899999999999998</v>
      </c>
      <c r="O63" s="84">
        <v>0.34899999999999998</v>
      </c>
      <c r="P63" s="84">
        <v>10.932</v>
      </c>
      <c r="Q63" s="85">
        <v>0</v>
      </c>
      <c r="R63" s="85">
        <v>3.1924624954262709E-2</v>
      </c>
      <c r="S63" s="87">
        <v>3.1924624954262709E-2</v>
      </c>
      <c r="T63" s="83">
        <v>79</v>
      </c>
      <c r="U63" s="88">
        <v>0</v>
      </c>
      <c r="V63" s="88">
        <v>10.219999999999999</v>
      </c>
      <c r="W63" s="88">
        <v>1.9780000000000002</v>
      </c>
      <c r="X63" s="88">
        <v>1.9780000000000002</v>
      </c>
      <c r="Y63" s="88">
        <v>10.219999999999999</v>
      </c>
      <c r="Z63" s="29">
        <v>0</v>
      </c>
      <c r="AA63" s="29">
        <v>0.2056446852158777</v>
      </c>
      <c r="AB63" s="89">
        <v>0.2056446852158777</v>
      </c>
    </row>
    <row r="64" spans="2:28">
      <c r="B64" s="75">
        <v>80</v>
      </c>
      <c r="C64" s="76"/>
      <c r="D64" s="76">
        <v>9.0210000000000008</v>
      </c>
      <c r="E64" s="76">
        <v>3.5619999999999998</v>
      </c>
      <c r="F64" s="76">
        <v>3.5619999999999998</v>
      </c>
      <c r="G64" s="76">
        <v>9.0210000000000008</v>
      </c>
      <c r="H64" s="77">
        <v>0</v>
      </c>
      <c r="I64" s="77">
        <v>0.39485644607028042</v>
      </c>
      <c r="J64" s="78">
        <v>0.39485644607028042</v>
      </c>
      <c r="K64" s="75">
        <v>80</v>
      </c>
      <c r="L64" s="76">
        <v>0</v>
      </c>
      <c r="M64" s="76">
        <v>10.391999999999999</v>
      </c>
      <c r="N64" s="79">
        <v>0.32700000000000001</v>
      </c>
      <c r="O64" s="76">
        <v>0.32700000000000001</v>
      </c>
      <c r="P64" s="76">
        <v>10.391999999999999</v>
      </c>
      <c r="Q64" s="77">
        <v>0</v>
      </c>
      <c r="R64" s="77">
        <v>3.1466512702078522E-2</v>
      </c>
      <c r="S64" s="78">
        <v>3.1466512702078522E-2</v>
      </c>
      <c r="T64" s="75">
        <v>80</v>
      </c>
      <c r="U64" s="80">
        <v>0</v>
      </c>
      <c r="V64" s="80">
        <v>9.7065000000000001</v>
      </c>
      <c r="W64" s="80">
        <v>1.9444999999999999</v>
      </c>
      <c r="X64" s="80">
        <v>1.9444999999999999</v>
      </c>
      <c r="Y64" s="80">
        <v>9.7065000000000001</v>
      </c>
      <c r="Z64" s="81">
        <v>0</v>
      </c>
      <c r="AA64" s="81">
        <v>0.21316147938617946</v>
      </c>
      <c r="AB64" s="82">
        <v>0.21316147938617946</v>
      </c>
    </row>
    <row r="65" spans="2:28">
      <c r="B65" s="83">
        <v>81</v>
      </c>
      <c r="C65" s="84"/>
      <c r="D65" s="84">
        <v>8.5380000000000003</v>
      </c>
      <c r="E65" s="84">
        <v>3.5070000000000001</v>
      </c>
      <c r="F65" s="84">
        <v>3.5070000000000001</v>
      </c>
      <c r="G65" s="84">
        <v>8.5380000000000003</v>
      </c>
      <c r="H65" s="85">
        <v>0</v>
      </c>
      <c r="I65" s="85">
        <v>0.4107519325368939</v>
      </c>
      <c r="J65" s="87">
        <v>0.4107519325368939</v>
      </c>
      <c r="K65" s="83">
        <v>81</v>
      </c>
      <c r="L65" s="84">
        <v>0</v>
      </c>
      <c r="M65" s="84">
        <v>9.8529999999999998</v>
      </c>
      <c r="N65" s="86">
        <v>0.30399999999999999</v>
      </c>
      <c r="O65" s="84">
        <v>0.30399999999999999</v>
      </c>
      <c r="P65" s="84">
        <v>9.8529999999999998</v>
      </c>
      <c r="Q65" s="85">
        <v>0</v>
      </c>
      <c r="R65" s="85">
        <v>3.0853547143002133E-2</v>
      </c>
      <c r="S65" s="87">
        <v>3.0853547143002133E-2</v>
      </c>
      <c r="T65" s="83">
        <v>81</v>
      </c>
      <c r="U65" s="88">
        <v>0</v>
      </c>
      <c r="V65" s="88">
        <v>9.1954999999999991</v>
      </c>
      <c r="W65" s="88">
        <v>1.9055</v>
      </c>
      <c r="X65" s="88">
        <v>1.9055</v>
      </c>
      <c r="Y65" s="88">
        <v>9.1954999999999991</v>
      </c>
      <c r="Z65" s="29">
        <v>0</v>
      </c>
      <c r="AA65" s="29">
        <v>0.22080273983994803</v>
      </c>
      <c r="AB65" s="89">
        <v>0.22080273983994803</v>
      </c>
    </row>
    <row r="66" spans="2:28">
      <c r="B66" s="75">
        <v>82</v>
      </c>
      <c r="C66" s="76"/>
      <c r="D66" s="76">
        <v>8.0619999999999994</v>
      </c>
      <c r="E66" s="76">
        <v>3.4260000000000002</v>
      </c>
      <c r="F66" s="76">
        <v>3.4260000000000002</v>
      </c>
      <c r="G66" s="76">
        <v>8.0619999999999994</v>
      </c>
      <c r="H66" s="77">
        <v>0</v>
      </c>
      <c r="I66" s="77">
        <v>0.42495658645497403</v>
      </c>
      <c r="J66" s="78">
        <v>0.42495658645497403</v>
      </c>
      <c r="K66" s="75">
        <v>82</v>
      </c>
      <c r="L66" s="76">
        <v>0</v>
      </c>
      <c r="M66" s="76">
        <v>9.3179999999999996</v>
      </c>
      <c r="N66" s="79">
        <v>0.28100000000000003</v>
      </c>
      <c r="O66" s="76">
        <v>0.28100000000000003</v>
      </c>
      <c r="P66" s="76">
        <v>9.3179999999999996</v>
      </c>
      <c r="Q66" s="77">
        <v>0</v>
      </c>
      <c r="R66" s="77">
        <v>3.0156685984116766E-2</v>
      </c>
      <c r="S66" s="78">
        <v>3.0156685984116766E-2</v>
      </c>
      <c r="T66" s="75">
        <v>82</v>
      </c>
      <c r="U66" s="80">
        <v>0</v>
      </c>
      <c r="V66" s="80">
        <v>8.69</v>
      </c>
      <c r="W66" s="80">
        <v>1.8535000000000001</v>
      </c>
      <c r="X66" s="80">
        <v>1.8535000000000001</v>
      </c>
      <c r="Y66" s="80">
        <v>8.69</v>
      </c>
      <c r="Z66" s="81">
        <v>0</v>
      </c>
      <c r="AA66" s="81">
        <v>0.22755663621954539</v>
      </c>
      <c r="AB66" s="82">
        <v>0.22755663621954539</v>
      </c>
    </row>
    <row r="67" spans="2:28">
      <c r="B67" s="83">
        <v>83</v>
      </c>
      <c r="C67" s="84"/>
      <c r="D67" s="84">
        <v>7.5960000000000001</v>
      </c>
      <c r="E67" s="84">
        <v>3.3330000000000002</v>
      </c>
      <c r="F67" s="84">
        <v>3.3330000000000002</v>
      </c>
      <c r="G67" s="84">
        <v>7.5960000000000001</v>
      </c>
      <c r="H67" s="85">
        <v>0</v>
      </c>
      <c r="I67" s="85">
        <v>0.43878357030015802</v>
      </c>
      <c r="J67" s="87">
        <v>0.43878357030015802</v>
      </c>
      <c r="K67" s="83">
        <v>83</v>
      </c>
      <c r="L67" s="84">
        <v>0</v>
      </c>
      <c r="M67" s="84">
        <v>8.7889999999999997</v>
      </c>
      <c r="N67" s="86">
        <v>0.25800000000000001</v>
      </c>
      <c r="O67" s="84">
        <v>0.25800000000000001</v>
      </c>
      <c r="P67" s="84">
        <v>8.7889999999999997</v>
      </c>
      <c r="Q67" s="85">
        <v>0</v>
      </c>
      <c r="R67" s="85">
        <v>2.9354875412447381E-2</v>
      </c>
      <c r="S67" s="87">
        <v>2.9354875412447381E-2</v>
      </c>
      <c r="T67" s="83">
        <v>83</v>
      </c>
      <c r="U67" s="88">
        <v>0</v>
      </c>
      <c r="V67" s="88">
        <v>8.192499999999999</v>
      </c>
      <c r="W67" s="88">
        <v>1.7955000000000001</v>
      </c>
      <c r="X67" s="88">
        <v>1.7955000000000001</v>
      </c>
      <c r="Y67" s="88">
        <v>8.192499999999999</v>
      </c>
      <c r="Z67" s="29">
        <v>0</v>
      </c>
      <c r="AA67" s="29">
        <v>0.23406922285630269</v>
      </c>
      <c r="AB67" s="89">
        <v>0.23406922285630269</v>
      </c>
    </row>
    <row r="68" spans="2:28">
      <c r="B68" s="75">
        <v>84</v>
      </c>
      <c r="C68" s="76"/>
      <c r="D68" s="76">
        <v>7.1429999999999998</v>
      </c>
      <c r="E68" s="76">
        <v>3.2280000000000002</v>
      </c>
      <c r="F68" s="76">
        <v>3.2280000000000002</v>
      </c>
      <c r="G68" s="76">
        <v>7.1429999999999998</v>
      </c>
      <c r="H68" s="77">
        <v>0</v>
      </c>
      <c r="I68" s="77">
        <v>0.45191096178076445</v>
      </c>
      <c r="J68" s="78">
        <v>0.45191096178076445</v>
      </c>
      <c r="K68" s="75">
        <v>84</v>
      </c>
      <c r="L68" s="76">
        <v>0</v>
      </c>
      <c r="M68" s="76">
        <v>8.2710000000000008</v>
      </c>
      <c r="N68" s="79">
        <v>0.23499999999999999</v>
      </c>
      <c r="O68" s="76">
        <v>0.23499999999999999</v>
      </c>
      <c r="P68" s="76">
        <v>8.2710000000000008</v>
      </c>
      <c r="Q68" s="77">
        <v>0</v>
      </c>
      <c r="R68" s="77">
        <v>2.8412525692177483E-2</v>
      </c>
      <c r="S68" s="78">
        <v>2.8412525692177483E-2</v>
      </c>
      <c r="T68" s="75">
        <v>84</v>
      </c>
      <c r="U68" s="80">
        <v>0</v>
      </c>
      <c r="V68" s="80">
        <v>7.7070000000000007</v>
      </c>
      <c r="W68" s="80">
        <v>1.7315</v>
      </c>
      <c r="X68" s="80">
        <v>1.7315</v>
      </c>
      <c r="Y68" s="80">
        <v>7.7070000000000007</v>
      </c>
      <c r="Z68" s="81">
        <v>0</v>
      </c>
      <c r="AA68" s="81">
        <v>0.24016174373647098</v>
      </c>
      <c r="AB68" s="82">
        <v>0.24016174373647098</v>
      </c>
    </row>
    <row r="69" spans="2:28">
      <c r="B69" s="83">
        <v>85</v>
      </c>
      <c r="C69" s="84"/>
      <c r="D69" s="84">
        <v>6.7080000000000002</v>
      </c>
      <c r="E69" s="84">
        <v>3.1139999999999999</v>
      </c>
      <c r="F69" s="84">
        <v>3.1139999999999999</v>
      </c>
      <c r="G69" s="84">
        <v>6.7080000000000002</v>
      </c>
      <c r="H69" s="85">
        <v>0</v>
      </c>
      <c r="I69" s="85">
        <v>0.46422182468694095</v>
      </c>
      <c r="J69" s="87">
        <v>0.46422182468694095</v>
      </c>
      <c r="K69" s="83">
        <v>85</v>
      </c>
      <c r="L69" s="84">
        <v>0</v>
      </c>
      <c r="M69" s="84">
        <v>7.7679999999999998</v>
      </c>
      <c r="N69" s="86">
        <v>0.21</v>
      </c>
      <c r="O69" s="84">
        <v>0.21</v>
      </c>
      <c r="P69" s="84">
        <v>7.7679999999999998</v>
      </c>
      <c r="Q69" s="85">
        <v>0</v>
      </c>
      <c r="R69" s="85">
        <v>2.7033985581874358E-2</v>
      </c>
      <c r="S69" s="87">
        <v>2.7033985581874358E-2</v>
      </c>
      <c r="T69" s="83">
        <v>85</v>
      </c>
      <c r="U69" s="88">
        <v>0</v>
      </c>
      <c r="V69" s="88">
        <v>7.2379999999999995</v>
      </c>
      <c r="W69" s="88">
        <v>1.6619999999999999</v>
      </c>
      <c r="X69" s="88">
        <v>1.6619999999999999</v>
      </c>
      <c r="Y69" s="88">
        <v>7.2379999999999995</v>
      </c>
      <c r="Z69" s="29">
        <v>0</v>
      </c>
      <c r="AA69" s="29">
        <v>0.24562790513440766</v>
      </c>
      <c r="AB69" s="89">
        <v>0.24562790513440766</v>
      </c>
    </row>
    <row r="70" spans="2:28">
      <c r="B70" s="75">
        <v>86</v>
      </c>
      <c r="C70" s="76"/>
      <c r="D70" s="76">
        <v>6.2949999999999999</v>
      </c>
      <c r="E70" s="76">
        <v>2.992</v>
      </c>
      <c r="F70" s="76">
        <v>2.992</v>
      </c>
      <c r="G70" s="76">
        <v>6.2949999999999999</v>
      </c>
      <c r="H70" s="77">
        <v>0</v>
      </c>
      <c r="I70" s="77">
        <v>0.47529785544082603</v>
      </c>
      <c r="J70" s="78">
        <v>0.47529785544082603</v>
      </c>
      <c r="K70" s="75">
        <v>86</v>
      </c>
      <c r="L70" s="76">
        <v>0</v>
      </c>
      <c r="M70" s="76">
        <v>7.2850000000000001</v>
      </c>
      <c r="N70" s="79">
        <v>0.186</v>
      </c>
      <c r="O70" s="76">
        <v>0.186</v>
      </c>
      <c r="P70" s="76">
        <v>7.2850000000000001</v>
      </c>
      <c r="Q70" s="77">
        <v>0</v>
      </c>
      <c r="R70" s="77">
        <v>2.553191489361702E-2</v>
      </c>
      <c r="S70" s="78">
        <v>2.553191489361702E-2</v>
      </c>
      <c r="T70" s="75">
        <v>86</v>
      </c>
      <c r="U70" s="80">
        <v>0</v>
      </c>
      <c r="V70" s="80">
        <v>6.79</v>
      </c>
      <c r="W70" s="80">
        <v>1.589</v>
      </c>
      <c r="X70" s="80">
        <v>1.589</v>
      </c>
      <c r="Y70" s="80">
        <v>6.79</v>
      </c>
      <c r="Z70" s="81">
        <v>0</v>
      </c>
      <c r="AA70" s="81">
        <v>0.25041488516722155</v>
      </c>
      <c r="AB70" s="82">
        <v>0.25041488516722155</v>
      </c>
    </row>
    <row r="71" spans="2:28">
      <c r="B71" s="83">
        <v>87</v>
      </c>
      <c r="C71" s="84"/>
      <c r="D71" s="84">
        <v>5.9089999999999998</v>
      </c>
      <c r="E71" s="84">
        <v>2.8650000000000002</v>
      </c>
      <c r="F71" s="84">
        <v>2.8650000000000002</v>
      </c>
      <c r="G71" s="84">
        <v>5.9089999999999998</v>
      </c>
      <c r="H71" s="85">
        <v>0</v>
      </c>
      <c r="I71" s="85">
        <v>0.4848536131325098</v>
      </c>
      <c r="J71" s="87">
        <v>0.4848536131325098</v>
      </c>
      <c r="K71" s="83">
        <v>87</v>
      </c>
      <c r="L71" s="84">
        <v>0</v>
      </c>
      <c r="M71" s="84">
        <v>6.8259999999999996</v>
      </c>
      <c r="N71" s="86">
        <v>0.16200000000000001</v>
      </c>
      <c r="O71" s="84">
        <v>0.16200000000000001</v>
      </c>
      <c r="P71" s="84">
        <v>6.8259999999999996</v>
      </c>
      <c r="Q71" s="85">
        <v>0</v>
      </c>
      <c r="R71" s="85">
        <v>2.3732786404922358E-2</v>
      </c>
      <c r="S71" s="87">
        <v>2.3732786404922358E-2</v>
      </c>
      <c r="T71" s="83">
        <v>87</v>
      </c>
      <c r="U71" s="88">
        <v>0</v>
      </c>
      <c r="V71" s="88">
        <v>6.3674999999999997</v>
      </c>
      <c r="W71" s="88">
        <v>1.5135000000000001</v>
      </c>
      <c r="X71" s="88">
        <v>1.5135000000000001</v>
      </c>
      <c r="Y71" s="88">
        <v>6.3674999999999997</v>
      </c>
      <c r="Z71" s="29">
        <v>0</v>
      </c>
      <c r="AA71" s="29">
        <v>0.25429319976871606</v>
      </c>
      <c r="AB71" s="89">
        <v>0.25429319976871606</v>
      </c>
    </row>
    <row r="72" spans="2:28">
      <c r="B72" s="75">
        <v>88</v>
      </c>
      <c r="C72" s="76"/>
      <c r="D72" s="76">
        <v>5.5570000000000004</v>
      </c>
      <c r="E72" s="76">
        <v>2.7050000000000001</v>
      </c>
      <c r="F72" s="76">
        <v>2.7050000000000001</v>
      </c>
      <c r="G72" s="76">
        <v>5.5570000000000004</v>
      </c>
      <c r="H72" s="77">
        <v>0</v>
      </c>
      <c r="I72" s="77">
        <v>0.48677343890588443</v>
      </c>
      <c r="J72" s="78">
        <v>0.48677343890588443</v>
      </c>
      <c r="K72" s="75">
        <v>88</v>
      </c>
      <c r="L72" s="76">
        <v>0</v>
      </c>
      <c r="M72" s="76">
        <v>6.3979999999999997</v>
      </c>
      <c r="N72" s="79">
        <v>0.14000000000000001</v>
      </c>
      <c r="O72" s="76">
        <v>0.14000000000000001</v>
      </c>
      <c r="P72" s="76">
        <v>6.3979999999999997</v>
      </c>
      <c r="Q72" s="77">
        <v>0</v>
      </c>
      <c r="R72" s="77">
        <v>2.1881838074398252E-2</v>
      </c>
      <c r="S72" s="78">
        <v>2.1881838074398252E-2</v>
      </c>
      <c r="T72" s="75">
        <v>88</v>
      </c>
      <c r="U72" s="80">
        <v>0</v>
      </c>
      <c r="V72" s="80">
        <v>5.9775</v>
      </c>
      <c r="W72" s="80">
        <v>1.4225000000000001</v>
      </c>
      <c r="X72" s="80">
        <v>1.4225000000000001</v>
      </c>
      <c r="Y72" s="80">
        <v>5.9775</v>
      </c>
      <c r="Z72" s="81">
        <v>0</v>
      </c>
      <c r="AA72" s="81">
        <v>0.25432763849014134</v>
      </c>
      <c r="AB72" s="82">
        <v>0.25432763849014134</v>
      </c>
    </row>
    <row r="73" spans="2:28">
      <c r="B73" s="83">
        <v>89</v>
      </c>
      <c r="C73" s="84"/>
      <c r="D73" s="84">
        <v>5.2469999999999999</v>
      </c>
      <c r="E73" s="84">
        <v>2.5379999999999998</v>
      </c>
      <c r="F73" s="84">
        <v>2.5379999999999998</v>
      </c>
      <c r="G73" s="84">
        <v>5.2469999999999999</v>
      </c>
      <c r="H73" s="85">
        <v>0</v>
      </c>
      <c r="I73" s="85">
        <v>0.483704974271012</v>
      </c>
      <c r="J73" s="87">
        <v>0.483704974271012</v>
      </c>
      <c r="K73" s="83">
        <v>89</v>
      </c>
      <c r="L73" s="84">
        <v>0</v>
      </c>
      <c r="M73" s="84">
        <v>6.0069999999999997</v>
      </c>
      <c r="N73" s="86">
        <v>0.11700000000000001</v>
      </c>
      <c r="O73" s="84">
        <v>0.11700000000000001</v>
      </c>
      <c r="P73" s="84">
        <v>6.0069999999999997</v>
      </c>
      <c r="Q73" s="85">
        <v>0</v>
      </c>
      <c r="R73" s="85">
        <v>1.9477276510737475E-2</v>
      </c>
      <c r="S73" s="87">
        <v>1.9477276510737475E-2</v>
      </c>
      <c r="T73" s="83">
        <v>89</v>
      </c>
      <c r="U73" s="88">
        <v>0</v>
      </c>
      <c r="V73" s="88">
        <v>5.6269999999999998</v>
      </c>
      <c r="W73" s="88">
        <v>1.3274999999999999</v>
      </c>
      <c r="X73" s="88">
        <v>1.3274999999999999</v>
      </c>
      <c r="Y73" s="88">
        <v>5.6269999999999998</v>
      </c>
      <c r="Z73" s="29">
        <v>0</v>
      </c>
      <c r="AA73" s="29">
        <v>0.25159112539087475</v>
      </c>
      <c r="AB73" s="89">
        <v>0.25159112539087475</v>
      </c>
    </row>
    <row r="74" spans="2:28">
      <c r="B74" s="75">
        <v>90</v>
      </c>
      <c r="C74" s="76"/>
      <c r="D74" s="76">
        <v>4.9669999999999996</v>
      </c>
      <c r="E74" s="76">
        <v>2.3759999999999999</v>
      </c>
      <c r="F74" s="76">
        <v>2.3759999999999999</v>
      </c>
      <c r="G74" s="76">
        <v>4.9669999999999996</v>
      </c>
      <c r="H74" s="77">
        <v>0</v>
      </c>
      <c r="I74" s="77">
        <v>0.47835715723776928</v>
      </c>
      <c r="J74" s="78">
        <v>0.47835715723776928</v>
      </c>
      <c r="K74" s="75">
        <v>90</v>
      </c>
      <c r="L74" s="76">
        <v>0</v>
      </c>
      <c r="M74" s="76">
        <v>5.6550000000000002</v>
      </c>
      <c r="N74" s="79">
        <v>9.7000000000000003E-2</v>
      </c>
      <c r="O74" s="76">
        <v>9.7000000000000003E-2</v>
      </c>
      <c r="P74" s="76">
        <v>5.6550000000000002</v>
      </c>
      <c r="Q74" s="77">
        <v>0</v>
      </c>
      <c r="R74" s="77">
        <v>1.7152961980548186E-2</v>
      </c>
      <c r="S74" s="78">
        <v>1.7152961980548186E-2</v>
      </c>
      <c r="T74" s="75">
        <v>90</v>
      </c>
      <c r="U74" s="80">
        <v>0</v>
      </c>
      <c r="V74" s="80">
        <v>5.3109999999999999</v>
      </c>
      <c r="W74" s="80">
        <v>1.2364999999999999</v>
      </c>
      <c r="X74" s="80">
        <v>1.2364999999999999</v>
      </c>
      <c r="Y74" s="80">
        <v>5.3109999999999999</v>
      </c>
      <c r="Z74" s="81">
        <v>0</v>
      </c>
      <c r="AA74" s="81">
        <v>0.24775505960915872</v>
      </c>
      <c r="AB74" s="82">
        <v>0.24775505960915872</v>
      </c>
    </row>
    <row r="75" spans="2:28">
      <c r="B75" s="83">
        <v>91</v>
      </c>
      <c r="C75" s="84"/>
      <c r="D75" s="84">
        <v>4.7060000000000004</v>
      </c>
      <c r="E75" s="84">
        <v>2.1920000000000002</v>
      </c>
      <c r="F75" s="84">
        <v>2.1920000000000002</v>
      </c>
      <c r="G75" s="84">
        <v>4.7060000000000004</v>
      </c>
      <c r="H75" s="85">
        <v>0</v>
      </c>
      <c r="I75" s="85">
        <v>0.46578835529111773</v>
      </c>
      <c r="J75" s="87">
        <v>0.46578835529111773</v>
      </c>
      <c r="K75" s="83">
        <v>91</v>
      </c>
      <c r="L75" s="84">
        <v>0</v>
      </c>
      <c r="M75" s="84">
        <v>5.3319999999999999</v>
      </c>
      <c r="N75" s="86">
        <v>0.08</v>
      </c>
      <c r="O75" s="84">
        <v>0.08</v>
      </c>
      <c r="P75" s="84">
        <v>5.3319999999999999</v>
      </c>
      <c r="Q75" s="85">
        <v>0</v>
      </c>
      <c r="R75" s="85">
        <v>1.5003750937734435E-2</v>
      </c>
      <c r="S75" s="87">
        <v>1.5003750937734435E-2</v>
      </c>
      <c r="T75" s="83">
        <v>91</v>
      </c>
      <c r="U75" s="88">
        <v>0</v>
      </c>
      <c r="V75" s="88">
        <v>5.0190000000000001</v>
      </c>
      <c r="W75" s="88">
        <v>1.1360000000000001</v>
      </c>
      <c r="X75" s="88">
        <v>1.1360000000000001</v>
      </c>
      <c r="Y75" s="88">
        <v>5.0190000000000001</v>
      </c>
      <c r="Z75" s="29">
        <v>0</v>
      </c>
      <c r="AA75" s="29">
        <v>0.24039605311442608</v>
      </c>
      <c r="AB75" s="89">
        <v>0.24039605311442608</v>
      </c>
    </row>
    <row r="76" spans="2:28">
      <c r="B76" s="75">
        <v>92</v>
      </c>
      <c r="C76" s="76"/>
      <c r="D76" s="76">
        <v>4.4630000000000001</v>
      </c>
      <c r="E76" s="76">
        <v>2.024</v>
      </c>
      <c r="F76" s="76">
        <v>2.024</v>
      </c>
      <c r="G76" s="76">
        <v>4.4630000000000001</v>
      </c>
      <c r="H76" s="77">
        <v>0</v>
      </c>
      <c r="I76" s="77">
        <v>0.45350660990365227</v>
      </c>
      <c r="J76" s="78">
        <v>0.45350660990365227</v>
      </c>
      <c r="K76" s="75">
        <v>92</v>
      </c>
      <c r="L76" s="76">
        <v>0</v>
      </c>
      <c r="M76" s="76">
        <v>5.0289999999999999</v>
      </c>
      <c r="N76" s="79">
        <v>6.5000000000000002E-2</v>
      </c>
      <c r="O76" s="76">
        <v>6.5000000000000002E-2</v>
      </c>
      <c r="P76" s="76">
        <v>5.0289999999999999</v>
      </c>
      <c r="Q76" s="77">
        <v>0</v>
      </c>
      <c r="R76" s="77">
        <v>1.2925034798170611E-2</v>
      </c>
      <c r="S76" s="78">
        <v>1.2925034798170611E-2</v>
      </c>
      <c r="T76" s="75">
        <v>92</v>
      </c>
      <c r="U76" s="80">
        <v>0</v>
      </c>
      <c r="V76" s="80">
        <v>4.7460000000000004</v>
      </c>
      <c r="W76" s="80">
        <v>1.0445</v>
      </c>
      <c r="X76" s="80">
        <v>1.0445</v>
      </c>
      <c r="Y76" s="80">
        <v>4.7460000000000004</v>
      </c>
      <c r="Z76" s="81">
        <v>0</v>
      </c>
      <c r="AA76" s="81">
        <v>0.23321582235091143</v>
      </c>
      <c r="AB76" s="82">
        <v>0.23321582235091143</v>
      </c>
    </row>
    <row r="77" spans="2:28">
      <c r="B77" s="83">
        <v>93</v>
      </c>
      <c r="C77" s="84"/>
      <c r="D77" s="84">
        <v>4.2380000000000004</v>
      </c>
      <c r="E77" s="84">
        <v>1.839</v>
      </c>
      <c r="F77" s="84">
        <v>1.839</v>
      </c>
      <c r="G77" s="84">
        <v>4.2380000000000004</v>
      </c>
      <c r="H77" s="85">
        <v>0</v>
      </c>
      <c r="I77" s="85">
        <v>0.43393109957527132</v>
      </c>
      <c r="J77" s="87">
        <v>0.43393109957527132</v>
      </c>
      <c r="K77" s="83">
        <v>93</v>
      </c>
      <c r="L77" s="84">
        <v>0</v>
      </c>
      <c r="M77" s="84">
        <v>4.7469999999999999</v>
      </c>
      <c r="N77" s="86">
        <v>5.2999999999999999E-2</v>
      </c>
      <c r="O77" s="84">
        <v>5.2999999999999999E-2</v>
      </c>
      <c r="P77" s="84">
        <v>4.7469999999999999</v>
      </c>
      <c r="Q77" s="85">
        <v>0</v>
      </c>
      <c r="R77" s="85">
        <v>1.1164946281862228E-2</v>
      </c>
      <c r="S77" s="87">
        <v>1.1164946281862228E-2</v>
      </c>
      <c r="T77" s="83">
        <v>93</v>
      </c>
      <c r="U77" s="88">
        <v>0</v>
      </c>
      <c r="V77" s="88">
        <v>4.4924999999999997</v>
      </c>
      <c r="W77" s="88">
        <v>0.94599999999999995</v>
      </c>
      <c r="X77" s="88">
        <v>0.94599999999999995</v>
      </c>
      <c r="Y77" s="88">
        <v>4.4924999999999997</v>
      </c>
      <c r="Z77" s="29">
        <v>0</v>
      </c>
      <c r="AA77" s="29">
        <v>0.22254802292856676</v>
      </c>
      <c r="AB77" s="89">
        <v>0.22254802292856676</v>
      </c>
    </row>
    <row r="78" spans="2:28">
      <c r="B78" s="75">
        <v>94</v>
      </c>
      <c r="C78" s="76"/>
      <c r="D78" s="76">
        <v>4.0309999999999997</v>
      </c>
      <c r="E78" s="76">
        <v>1.6739999999999999</v>
      </c>
      <c r="F78" s="76">
        <v>1.6739999999999999</v>
      </c>
      <c r="G78" s="76">
        <v>4.0309999999999997</v>
      </c>
      <c r="H78" s="77">
        <v>0</v>
      </c>
      <c r="I78" s="77">
        <v>0.41528156784916898</v>
      </c>
      <c r="J78" s="78">
        <v>0.41528156784916898</v>
      </c>
      <c r="K78" s="75">
        <v>94</v>
      </c>
      <c r="L78" s="76">
        <v>0</v>
      </c>
      <c r="M78" s="76">
        <v>4.4850000000000003</v>
      </c>
      <c r="N78" s="79">
        <v>4.2000000000000003E-2</v>
      </c>
      <c r="O78" s="76">
        <v>4.2000000000000003E-2</v>
      </c>
      <c r="P78" s="76">
        <v>4.4850000000000003</v>
      </c>
      <c r="Q78" s="77">
        <v>0</v>
      </c>
      <c r="R78" s="77">
        <v>9.3645484949832769E-3</v>
      </c>
      <c r="S78" s="78">
        <v>9.3645484949832769E-3</v>
      </c>
      <c r="T78" s="75">
        <v>94</v>
      </c>
      <c r="U78" s="80">
        <v>0</v>
      </c>
      <c r="V78" s="80">
        <v>4.258</v>
      </c>
      <c r="W78" s="80">
        <v>0.85799999999999998</v>
      </c>
      <c r="X78" s="80">
        <v>0.85799999999999998</v>
      </c>
      <c r="Y78" s="80">
        <v>4.258</v>
      </c>
      <c r="Z78" s="81">
        <v>0</v>
      </c>
      <c r="AA78" s="81">
        <v>0.21232305817207614</v>
      </c>
      <c r="AB78" s="82">
        <v>0.21232305817207614</v>
      </c>
    </row>
    <row r="79" spans="2:28">
      <c r="B79" s="83">
        <v>95</v>
      </c>
      <c r="C79" s="84"/>
      <c r="D79" s="84">
        <v>3.8420000000000001</v>
      </c>
      <c r="E79" s="84">
        <v>1.528</v>
      </c>
      <c r="F79" s="84">
        <v>1.528</v>
      </c>
      <c r="G79" s="84">
        <v>3.8420000000000001</v>
      </c>
      <c r="H79" s="85">
        <v>0</v>
      </c>
      <c r="I79" s="85">
        <v>0.39770952628839146</v>
      </c>
      <c r="J79" s="87">
        <v>0.39770952628839146</v>
      </c>
      <c r="K79" s="83">
        <v>95</v>
      </c>
      <c r="L79" s="84">
        <v>0</v>
      </c>
      <c r="M79" s="84">
        <v>4.2450000000000001</v>
      </c>
      <c r="N79" s="86">
        <v>3.4000000000000002E-2</v>
      </c>
      <c r="O79" s="84">
        <v>3.4000000000000002E-2</v>
      </c>
      <c r="P79" s="84">
        <v>4.2450000000000001</v>
      </c>
      <c r="Q79" s="85">
        <v>0</v>
      </c>
      <c r="R79" s="85">
        <v>8.0094228504122497E-3</v>
      </c>
      <c r="S79" s="87">
        <v>8.0094228504122497E-3</v>
      </c>
      <c r="T79" s="83">
        <v>95</v>
      </c>
      <c r="U79" s="88">
        <v>0</v>
      </c>
      <c r="V79" s="88">
        <v>4.0434999999999999</v>
      </c>
      <c r="W79" s="88">
        <v>0.78100000000000003</v>
      </c>
      <c r="X79" s="88">
        <v>0.78100000000000003</v>
      </c>
      <c r="Y79" s="88">
        <v>4.0434999999999999</v>
      </c>
      <c r="Z79" s="29">
        <v>0</v>
      </c>
      <c r="AA79" s="29">
        <v>0.20285947456940184</v>
      </c>
      <c r="AB79" s="89">
        <v>0.20285947456940184</v>
      </c>
    </row>
    <row r="80" spans="2:28">
      <c r="B80" s="75">
        <v>96</v>
      </c>
      <c r="C80" s="76"/>
      <c r="D80" s="76">
        <v>3.67</v>
      </c>
      <c r="E80" s="76">
        <v>1.3640000000000001</v>
      </c>
      <c r="F80" s="76">
        <v>1.3640000000000001</v>
      </c>
      <c r="G80" s="76">
        <v>3.67</v>
      </c>
      <c r="H80" s="77">
        <v>0</v>
      </c>
      <c r="I80" s="77">
        <v>0.3716621253405995</v>
      </c>
      <c r="J80" s="78">
        <v>0.3716621253405995</v>
      </c>
      <c r="K80" s="75">
        <v>96</v>
      </c>
      <c r="L80" s="76">
        <v>0</v>
      </c>
      <c r="M80" s="76">
        <v>4.024</v>
      </c>
      <c r="N80" s="79">
        <v>2.7E-2</v>
      </c>
      <c r="O80" s="76">
        <v>2.7E-2</v>
      </c>
      <c r="P80" s="76">
        <v>4.024</v>
      </c>
      <c r="Q80" s="77">
        <v>0</v>
      </c>
      <c r="R80" s="77">
        <v>6.7097415506958248E-3</v>
      </c>
      <c r="S80" s="78">
        <v>6.7097415506958248E-3</v>
      </c>
      <c r="T80" s="75">
        <v>96</v>
      </c>
      <c r="U80" s="80">
        <v>0</v>
      </c>
      <c r="V80" s="80">
        <v>3.847</v>
      </c>
      <c r="W80" s="80">
        <v>0.69550000000000001</v>
      </c>
      <c r="X80" s="80">
        <v>0.69550000000000001</v>
      </c>
      <c r="Y80" s="80">
        <v>3.847</v>
      </c>
      <c r="Z80" s="81">
        <v>0</v>
      </c>
      <c r="AA80" s="81">
        <v>0.18918593344564766</v>
      </c>
      <c r="AB80" s="82">
        <v>0.18918593344564766</v>
      </c>
    </row>
    <row r="81" spans="2:28">
      <c r="B81" s="83">
        <v>97</v>
      </c>
      <c r="C81" s="84"/>
      <c r="D81" s="84">
        <v>3.5129999999999999</v>
      </c>
      <c r="E81" s="84">
        <v>1.2110000000000001</v>
      </c>
      <c r="F81" s="84">
        <v>1.2110000000000001</v>
      </c>
      <c r="G81" s="84">
        <v>3.5129999999999999</v>
      </c>
      <c r="H81" s="85">
        <v>0</v>
      </c>
      <c r="I81" s="85">
        <v>0.34471961286649588</v>
      </c>
      <c r="J81" s="87">
        <v>0.34471961286649588</v>
      </c>
      <c r="K81" s="83">
        <v>97</v>
      </c>
      <c r="L81" s="84">
        <v>0</v>
      </c>
      <c r="M81" s="84">
        <v>3.8239999999999998</v>
      </c>
      <c r="N81" s="86">
        <v>2.1000000000000001E-2</v>
      </c>
      <c r="O81" s="84">
        <v>2.1000000000000001E-2</v>
      </c>
      <c r="P81" s="84">
        <v>3.8239999999999998</v>
      </c>
      <c r="Q81" s="85">
        <v>0</v>
      </c>
      <c r="R81" s="85">
        <v>5.4916317991631804E-3</v>
      </c>
      <c r="S81" s="87">
        <v>5.4916317991631804E-3</v>
      </c>
      <c r="T81" s="83">
        <v>97</v>
      </c>
      <c r="U81" s="88">
        <v>0</v>
      </c>
      <c r="V81" s="88">
        <v>3.6684999999999999</v>
      </c>
      <c r="W81" s="88">
        <v>0.61599999999999999</v>
      </c>
      <c r="X81" s="88">
        <v>0.61599999999999999</v>
      </c>
      <c r="Y81" s="88">
        <v>3.6684999999999999</v>
      </c>
      <c r="Z81" s="29">
        <v>0</v>
      </c>
      <c r="AA81" s="29">
        <v>0.17510562233282953</v>
      </c>
      <c r="AB81" s="89">
        <v>0.17510562233282953</v>
      </c>
    </row>
    <row r="82" spans="2:28">
      <c r="B82" s="75">
        <v>98</v>
      </c>
      <c r="C82" s="76"/>
      <c r="D82" s="76">
        <v>3.371</v>
      </c>
      <c r="E82" s="76">
        <v>1.038</v>
      </c>
      <c r="F82" s="76">
        <v>1.038</v>
      </c>
      <c r="G82" s="76">
        <v>3.371</v>
      </c>
      <c r="H82" s="77">
        <v>0</v>
      </c>
      <c r="I82" s="77">
        <v>0.30792049836843666</v>
      </c>
      <c r="J82" s="78">
        <v>0.30792049836843666</v>
      </c>
      <c r="K82" s="75">
        <v>98</v>
      </c>
      <c r="L82" s="76">
        <v>0</v>
      </c>
      <c r="M82" s="76">
        <v>3.6429999999999998</v>
      </c>
      <c r="N82" s="79">
        <v>1.7000000000000001E-2</v>
      </c>
      <c r="O82" s="76">
        <v>1.7000000000000001E-2</v>
      </c>
      <c r="P82" s="76">
        <v>3.6429999999999998</v>
      </c>
      <c r="Q82" s="77">
        <v>0</v>
      </c>
      <c r="R82" s="77">
        <v>4.6664836673071652E-3</v>
      </c>
      <c r="S82" s="78">
        <v>4.6664836673071652E-3</v>
      </c>
      <c r="T82" s="75">
        <v>98</v>
      </c>
      <c r="U82" s="80">
        <v>0</v>
      </c>
      <c r="V82" s="80">
        <v>3.5069999999999997</v>
      </c>
      <c r="W82" s="80">
        <v>0.52749999999999997</v>
      </c>
      <c r="X82" s="80">
        <v>0.52749999999999997</v>
      </c>
      <c r="Y82" s="80">
        <v>3.5069999999999997</v>
      </c>
      <c r="Z82" s="81">
        <v>0</v>
      </c>
      <c r="AA82" s="81">
        <v>0.15629349101787191</v>
      </c>
      <c r="AB82" s="82">
        <v>0.15629349101787191</v>
      </c>
    </row>
    <row r="83" spans="2:28">
      <c r="B83" s="83">
        <v>99</v>
      </c>
      <c r="C83" s="84"/>
      <c r="D83" s="84">
        <v>3.2429999999999999</v>
      </c>
      <c r="E83" s="84">
        <v>0.84499999999999997</v>
      </c>
      <c r="F83" s="84">
        <v>0.84499999999999997</v>
      </c>
      <c r="G83" s="84">
        <v>3.2429999999999999</v>
      </c>
      <c r="H83" s="85">
        <v>0</v>
      </c>
      <c r="I83" s="85">
        <v>0.26056120875732347</v>
      </c>
      <c r="J83" s="87">
        <v>0.26056120875732347</v>
      </c>
      <c r="K83" s="83">
        <v>99</v>
      </c>
      <c r="L83" s="84">
        <v>0</v>
      </c>
      <c r="M83" s="84">
        <v>3.48</v>
      </c>
      <c r="N83" s="86">
        <v>1.2999999999999999E-2</v>
      </c>
      <c r="O83" s="84">
        <v>1.2999999999999999E-2</v>
      </c>
      <c r="P83" s="84">
        <v>3.48</v>
      </c>
      <c r="Q83" s="85">
        <v>0</v>
      </c>
      <c r="R83" s="85">
        <v>3.7356321839080459E-3</v>
      </c>
      <c r="S83" s="87">
        <v>3.7356321839080459E-3</v>
      </c>
      <c r="T83" s="83">
        <v>99</v>
      </c>
      <c r="U83" s="88">
        <v>0</v>
      </c>
      <c r="V83" s="88">
        <v>3.3614999999999999</v>
      </c>
      <c r="W83" s="88">
        <v>0.42899999999999999</v>
      </c>
      <c r="X83" s="88">
        <v>0.42899999999999999</v>
      </c>
      <c r="Y83" s="88">
        <v>3.3614999999999999</v>
      </c>
      <c r="Z83" s="29">
        <v>0</v>
      </c>
      <c r="AA83" s="29">
        <v>0.13214842047061576</v>
      </c>
      <c r="AB83" s="89">
        <v>0.13214842047061576</v>
      </c>
    </row>
    <row r="84" spans="2:28" ht="15.75" thickBot="1">
      <c r="B84" s="100">
        <v>100</v>
      </c>
      <c r="C84" s="101"/>
      <c r="D84" s="101">
        <v>3.1269999999999998</v>
      </c>
      <c r="E84" s="101">
        <v>0.67</v>
      </c>
      <c r="F84" s="101">
        <v>0.67</v>
      </c>
      <c r="G84" s="101">
        <v>3.1269999999999998</v>
      </c>
      <c r="H84" s="102">
        <v>0</v>
      </c>
      <c r="I84" s="102">
        <v>0.21426287176207229</v>
      </c>
      <c r="J84" s="104">
        <v>0.21426287176207229</v>
      </c>
      <c r="K84" s="100">
        <v>100</v>
      </c>
      <c r="L84" s="101">
        <v>0</v>
      </c>
      <c r="M84" s="101">
        <v>3.335</v>
      </c>
      <c r="N84" s="103">
        <v>0.01</v>
      </c>
      <c r="O84" s="101">
        <v>0.01</v>
      </c>
      <c r="P84" s="101">
        <v>3.335</v>
      </c>
      <c r="Q84" s="102">
        <v>0</v>
      </c>
      <c r="R84" s="102">
        <v>2.9985007496251873E-3</v>
      </c>
      <c r="S84" s="104">
        <v>2.9985007496251873E-3</v>
      </c>
      <c r="T84" s="100">
        <v>100</v>
      </c>
      <c r="U84" s="105">
        <v>0</v>
      </c>
      <c r="V84" s="105">
        <v>3.2309999999999999</v>
      </c>
      <c r="W84" s="105">
        <v>0.34</v>
      </c>
      <c r="X84" s="105">
        <v>0.34</v>
      </c>
      <c r="Y84" s="105">
        <v>3.2309999999999999</v>
      </c>
      <c r="Z84" s="106">
        <v>0</v>
      </c>
      <c r="AA84" s="106">
        <v>0.10863068625584874</v>
      </c>
      <c r="AB84" s="107">
        <v>0.10863068625584874</v>
      </c>
    </row>
  </sheetData>
  <mergeCells count="3">
    <mergeCell ref="H2:J2"/>
    <mergeCell ref="Q2:S2"/>
    <mergeCell ref="Z2:AB2"/>
  </mergeCell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9534B-85D2-45E3-9166-2F808192CF18}">
  <sheetPr codeName="Tabelle44"/>
  <dimension ref="A2:AB84"/>
  <sheetViews>
    <sheetView topLeftCell="B1" workbookViewId="0">
      <selection activeCell="B4" sqref="B4:AB84"/>
    </sheetView>
  </sheetViews>
  <sheetFormatPr baseColWidth="10" defaultColWidth="12.7109375" defaultRowHeight="15"/>
  <cols>
    <col min="1" max="1" width="24" hidden="1" customWidth="1"/>
    <col min="2" max="2" width="7" customWidth="1"/>
    <col min="3" max="3" width="11.5703125" customWidth="1"/>
    <col min="4" max="4" width="12.5703125" customWidth="1"/>
    <col min="5" max="6" width="10.42578125" customWidth="1"/>
    <col min="7" max="7" width="12.5703125" customWidth="1"/>
    <col min="8" max="9" width="11" customWidth="1"/>
    <col min="10" max="10" width="11" style="26" customWidth="1"/>
    <col min="11" max="11" width="7" customWidth="1"/>
    <col min="12" max="16" width="12.5703125" customWidth="1"/>
    <col min="17" max="18" width="11" customWidth="1"/>
    <col min="19" max="19" width="11" style="26" customWidth="1"/>
    <col min="20" max="20" width="7" customWidth="1"/>
    <col min="25" max="25" width="12.5703125" customWidth="1"/>
    <col min="26" max="27" width="11" customWidth="1"/>
    <col min="28" max="28" width="11" style="26" customWidth="1"/>
    <col min="29" max="29" width="13.28515625" bestFit="1" customWidth="1"/>
  </cols>
  <sheetData>
    <row r="2" spans="1:28" s="56" customFormat="1" ht="78.75" customHeight="1">
      <c r="A2" s="56" t="s">
        <v>3417</v>
      </c>
      <c r="B2" s="57" t="s">
        <v>2780</v>
      </c>
      <c r="C2" s="58" t="s">
        <v>3390</v>
      </c>
      <c r="D2" s="58" t="s">
        <v>3391</v>
      </c>
      <c r="E2" s="58" t="s">
        <v>3392</v>
      </c>
      <c r="F2" s="58" t="s">
        <v>3393</v>
      </c>
      <c r="G2" s="58" t="s">
        <v>3394</v>
      </c>
      <c r="H2" s="818" t="s">
        <v>3418</v>
      </c>
      <c r="I2" s="819"/>
      <c r="J2" s="820"/>
      <c r="K2" s="59"/>
      <c r="L2" s="60" t="s">
        <v>3390</v>
      </c>
      <c r="M2" s="60" t="s">
        <v>3391</v>
      </c>
      <c r="N2" s="60" t="s">
        <v>3392</v>
      </c>
      <c r="O2" s="60" t="s">
        <v>3393</v>
      </c>
      <c r="P2" s="60" t="str">
        <f>+G2</f>
        <v>Anwartschafts-barwert
Altersrente</v>
      </c>
      <c r="Q2" s="821" t="s">
        <v>3419</v>
      </c>
      <c r="R2" s="822"/>
      <c r="S2" s="823"/>
      <c r="T2" s="61"/>
      <c r="U2" s="62" t="s">
        <v>3390</v>
      </c>
      <c r="V2" s="62" t="s">
        <v>3391</v>
      </c>
      <c r="W2" s="62" t="s">
        <v>3392</v>
      </c>
      <c r="X2" s="62" t="s">
        <v>3393</v>
      </c>
      <c r="Y2" s="62" t="str">
        <f>+P2</f>
        <v>Anwartschafts-barwert
Altersrente</v>
      </c>
      <c r="Z2" s="824" t="s">
        <v>3420</v>
      </c>
      <c r="AA2" s="825"/>
      <c r="AB2" s="826"/>
    </row>
    <row r="3" spans="1:28" s="74" customFormat="1" ht="13.5">
      <c r="A3" s="63">
        <v>43111</v>
      </c>
      <c r="B3" s="64"/>
      <c r="C3" s="65" t="s">
        <v>3407</v>
      </c>
      <c r="D3" s="65" t="s">
        <v>3408</v>
      </c>
      <c r="E3" s="65" t="s">
        <v>3409</v>
      </c>
      <c r="F3" s="65" t="s">
        <v>3409</v>
      </c>
      <c r="G3" s="65"/>
      <c r="H3" s="66" t="s">
        <v>3400</v>
      </c>
      <c r="I3" s="66" t="s">
        <v>3401</v>
      </c>
      <c r="J3" s="67" t="s">
        <v>3402</v>
      </c>
      <c r="K3" s="68" t="s">
        <v>2780</v>
      </c>
      <c r="L3" s="69" t="s">
        <v>3411</v>
      </c>
      <c r="M3" s="69" t="s">
        <v>3412</v>
      </c>
      <c r="N3" s="69" t="s">
        <v>3405</v>
      </c>
      <c r="O3" s="69"/>
      <c r="P3" s="69"/>
      <c r="Q3" s="69" t="s">
        <v>3400</v>
      </c>
      <c r="R3" s="69" t="s">
        <v>3401</v>
      </c>
      <c r="S3" s="70" t="s">
        <v>3402</v>
      </c>
      <c r="T3" s="71" t="s">
        <v>2780</v>
      </c>
      <c r="U3" s="72" t="s">
        <v>3403</v>
      </c>
      <c r="V3" s="72" t="s">
        <v>3404</v>
      </c>
      <c r="W3" s="72" t="s">
        <v>3405</v>
      </c>
      <c r="X3" s="72"/>
      <c r="Y3" s="72"/>
      <c r="Z3" s="72" t="s">
        <v>3400</v>
      </c>
      <c r="AA3" s="72" t="s">
        <v>3401</v>
      </c>
      <c r="AB3" s="73" t="s">
        <v>3402</v>
      </c>
    </row>
    <row r="4" spans="1:28">
      <c r="B4" s="75">
        <v>20</v>
      </c>
      <c r="C4" s="76">
        <v>0.28299999999999997</v>
      </c>
      <c r="D4" s="76">
        <v>4.6829999999999998</v>
      </c>
      <c r="E4" s="76">
        <v>0.53400000000000003</v>
      </c>
      <c r="F4" s="76">
        <v>0.53400000000000003</v>
      </c>
      <c r="G4" s="76">
        <v>4.3999999999999995</v>
      </c>
      <c r="H4" s="77">
        <v>6.4318181818181816E-2</v>
      </c>
      <c r="I4" s="77">
        <v>0.12136363636363638</v>
      </c>
      <c r="J4" s="78">
        <v>0.1856818181818182</v>
      </c>
      <c r="K4" s="75">
        <v>20</v>
      </c>
      <c r="L4" s="76">
        <v>0.29499999999999998</v>
      </c>
      <c r="M4" s="76">
        <v>5.4459999999999997</v>
      </c>
      <c r="N4" s="79">
        <v>0.13300000000000001</v>
      </c>
      <c r="O4" s="76">
        <v>0.13300000000000001</v>
      </c>
      <c r="P4" s="76">
        <v>5.1509999999999998</v>
      </c>
      <c r="Q4" s="77">
        <v>5.7270432925645508E-2</v>
      </c>
      <c r="R4" s="77">
        <v>2.5820229081731705E-2</v>
      </c>
      <c r="S4" s="78">
        <v>8.309066200737722E-2</v>
      </c>
      <c r="T4" s="75">
        <v>20</v>
      </c>
      <c r="U4" s="80">
        <v>0.28899999999999998</v>
      </c>
      <c r="V4" s="80">
        <v>5.0644999999999998</v>
      </c>
      <c r="W4" s="80">
        <v>0.33350000000000002</v>
      </c>
      <c r="X4" s="80">
        <v>0.33350000000000002</v>
      </c>
      <c r="Y4" s="80">
        <v>4.7754999999999992</v>
      </c>
      <c r="Z4" s="81">
        <v>6.0794307371913658E-2</v>
      </c>
      <c r="AA4" s="81">
        <v>7.359193272268405E-2</v>
      </c>
      <c r="AB4" s="82">
        <v>0.13438624009459771</v>
      </c>
    </row>
    <row r="5" spans="1:28">
      <c r="B5" s="83">
        <v>21</v>
      </c>
      <c r="C5" s="84">
        <v>0.32600000000000001</v>
      </c>
      <c r="D5" s="84">
        <v>4.8250000000000002</v>
      </c>
      <c r="E5" s="84">
        <v>0.621</v>
      </c>
      <c r="F5" s="84">
        <v>0.621</v>
      </c>
      <c r="G5" s="84">
        <v>4.4990000000000006</v>
      </c>
      <c r="H5" s="85">
        <v>7.2460546788175137E-2</v>
      </c>
      <c r="I5" s="85">
        <v>0.13803067348299619</v>
      </c>
      <c r="J5" s="87">
        <v>0.21049122027117134</v>
      </c>
      <c r="K5" s="83">
        <v>21</v>
      </c>
      <c r="L5" s="84">
        <v>0.35399999999999998</v>
      </c>
      <c r="M5" s="84">
        <v>5.609</v>
      </c>
      <c r="N5" s="86">
        <v>0.16</v>
      </c>
      <c r="O5" s="84">
        <v>0.16</v>
      </c>
      <c r="P5" s="84">
        <v>5.2549999999999999</v>
      </c>
      <c r="Q5" s="85">
        <v>6.7364414843006662E-2</v>
      </c>
      <c r="R5" s="85">
        <v>3.0447193149381543E-2</v>
      </c>
      <c r="S5" s="87">
        <v>9.7811607992388208E-2</v>
      </c>
      <c r="T5" s="83">
        <v>21</v>
      </c>
      <c r="U5" s="88">
        <v>0.33999999999999997</v>
      </c>
      <c r="V5" s="88">
        <v>5.2170000000000005</v>
      </c>
      <c r="W5" s="88">
        <v>0.39050000000000001</v>
      </c>
      <c r="X5" s="88">
        <v>0.39050000000000001</v>
      </c>
      <c r="Y5" s="88">
        <v>4.8770000000000007</v>
      </c>
      <c r="Z5" s="29">
        <v>6.9912480815590899E-2</v>
      </c>
      <c r="AA5" s="29">
        <v>8.4238933316188869E-2</v>
      </c>
      <c r="AB5" s="89">
        <v>0.15415141413177977</v>
      </c>
    </row>
    <row r="6" spans="1:28">
      <c r="B6" s="75">
        <v>22</v>
      </c>
      <c r="C6" s="76">
        <v>0.371</v>
      </c>
      <c r="D6" s="76">
        <v>4.97</v>
      </c>
      <c r="E6" s="76">
        <v>0.71299999999999997</v>
      </c>
      <c r="F6" s="76">
        <v>0.71299999999999997</v>
      </c>
      <c r="G6" s="76">
        <v>4.5990000000000002</v>
      </c>
      <c r="H6" s="77">
        <v>8.0669710806697104E-2</v>
      </c>
      <c r="I6" s="77">
        <v>0.15503370297890845</v>
      </c>
      <c r="J6" s="78">
        <v>0.23570341378560555</v>
      </c>
      <c r="K6" s="75">
        <v>22</v>
      </c>
      <c r="L6" s="76">
        <v>0.40899999999999997</v>
      </c>
      <c r="M6" s="76">
        <v>5.7750000000000004</v>
      </c>
      <c r="N6" s="79">
        <v>0.186</v>
      </c>
      <c r="O6" s="76">
        <v>0.186</v>
      </c>
      <c r="P6" s="76">
        <v>5.3660000000000005</v>
      </c>
      <c r="Q6" s="77">
        <v>7.6220648527767415E-2</v>
      </c>
      <c r="R6" s="77">
        <v>3.4662691017517698E-2</v>
      </c>
      <c r="S6" s="78">
        <v>0.11088333954528512</v>
      </c>
      <c r="T6" s="75">
        <v>22</v>
      </c>
      <c r="U6" s="80">
        <v>0.39</v>
      </c>
      <c r="V6" s="80">
        <v>5.3725000000000005</v>
      </c>
      <c r="W6" s="80">
        <v>0.44950000000000001</v>
      </c>
      <c r="X6" s="80">
        <v>0.44950000000000001</v>
      </c>
      <c r="Y6" s="80">
        <v>4.9824999999999999</v>
      </c>
      <c r="Z6" s="81">
        <v>7.8445179667232259E-2</v>
      </c>
      <c r="AA6" s="81">
        <v>9.4848196998213077E-2</v>
      </c>
      <c r="AB6" s="82">
        <v>0.17329337666544534</v>
      </c>
    </row>
    <row r="7" spans="1:28">
      <c r="B7" s="83">
        <v>23</v>
      </c>
      <c r="C7" s="84">
        <v>0.41699999999999998</v>
      </c>
      <c r="D7" s="84">
        <v>5.1189999999999998</v>
      </c>
      <c r="E7" s="84">
        <v>0.81</v>
      </c>
      <c r="F7" s="84">
        <v>0.81</v>
      </c>
      <c r="G7" s="84">
        <v>4.702</v>
      </c>
      <c r="H7" s="85">
        <v>8.8685665674181194E-2</v>
      </c>
      <c r="I7" s="85">
        <v>0.17226712037430883</v>
      </c>
      <c r="J7" s="87">
        <v>0.26095278604849004</v>
      </c>
      <c r="K7" s="83">
        <v>23</v>
      </c>
      <c r="L7" s="84">
        <v>0.45500000000000002</v>
      </c>
      <c r="M7" s="84">
        <v>5.9470000000000001</v>
      </c>
      <c r="N7" s="86">
        <v>0.20799999999999999</v>
      </c>
      <c r="O7" s="84">
        <v>0.20799999999999999</v>
      </c>
      <c r="P7" s="84">
        <v>5.492</v>
      </c>
      <c r="Q7" s="85">
        <v>8.2847778587035695E-2</v>
      </c>
      <c r="R7" s="85">
        <v>3.7873270211216316E-2</v>
      </c>
      <c r="S7" s="87">
        <v>0.12072104879825202</v>
      </c>
      <c r="T7" s="83">
        <v>23</v>
      </c>
      <c r="U7" s="88">
        <v>0.436</v>
      </c>
      <c r="V7" s="88">
        <v>5.5329999999999995</v>
      </c>
      <c r="W7" s="88">
        <v>0.50900000000000001</v>
      </c>
      <c r="X7" s="88">
        <v>0.50900000000000001</v>
      </c>
      <c r="Y7" s="88">
        <v>5.0969999999999995</v>
      </c>
      <c r="Z7" s="29">
        <v>8.5766722130608444E-2</v>
      </c>
      <c r="AA7" s="29">
        <v>0.10507019529276257</v>
      </c>
      <c r="AB7" s="89">
        <v>0.19083691742337103</v>
      </c>
    </row>
    <row r="8" spans="1:28">
      <c r="B8" s="75">
        <v>24</v>
      </c>
      <c r="C8" s="76">
        <v>0.45700000000000002</v>
      </c>
      <c r="D8" s="76">
        <v>5.2720000000000002</v>
      </c>
      <c r="E8" s="76">
        <v>0.89900000000000002</v>
      </c>
      <c r="F8" s="76">
        <v>0.89900000000000002</v>
      </c>
      <c r="G8" s="76">
        <v>4.8150000000000004</v>
      </c>
      <c r="H8" s="77">
        <v>9.4911734164070602E-2</v>
      </c>
      <c r="I8" s="77">
        <v>0.18670820353063342</v>
      </c>
      <c r="J8" s="78">
        <v>0.281619937694704</v>
      </c>
      <c r="K8" s="75">
        <v>24</v>
      </c>
      <c r="L8" s="76">
        <v>0.496</v>
      </c>
      <c r="M8" s="76">
        <v>6.1219999999999999</v>
      </c>
      <c r="N8" s="79">
        <v>0.22800000000000001</v>
      </c>
      <c r="O8" s="76">
        <v>0.22800000000000001</v>
      </c>
      <c r="P8" s="76">
        <v>5.6259999999999994</v>
      </c>
      <c r="Q8" s="77">
        <v>8.816210451475294E-2</v>
      </c>
      <c r="R8" s="77">
        <v>4.0526128688233208E-2</v>
      </c>
      <c r="S8" s="78">
        <v>0.12868823320298614</v>
      </c>
      <c r="T8" s="75">
        <v>24</v>
      </c>
      <c r="U8" s="80">
        <v>0.47650000000000003</v>
      </c>
      <c r="V8" s="80">
        <v>5.6970000000000001</v>
      </c>
      <c r="W8" s="80">
        <v>0.5635</v>
      </c>
      <c r="X8" s="80">
        <v>0.5635</v>
      </c>
      <c r="Y8" s="80">
        <v>5.2204999999999995</v>
      </c>
      <c r="Z8" s="81">
        <v>9.1536919339411771E-2</v>
      </c>
      <c r="AA8" s="81">
        <v>0.11361716610943332</v>
      </c>
      <c r="AB8" s="82">
        <v>0.20515408544884506</v>
      </c>
    </row>
    <row r="9" spans="1:28">
      <c r="B9" s="83">
        <v>25</v>
      </c>
      <c r="C9" s="84">
        <v>0.49399999999999999</v>
      </c>
      <c r="D9" s="84">
        <v>5.4279999999999999</v>
      </c>
      <c r="E9" s="84">
        <v>0.98099999999999998</v>
      </c>
      <c r="F9" s="84">
        <v>0.98099999999999998</v>
      </c>
      <c r="G9" s="84">
        <v>4.9340000000000002</v>
      </c>
      <c r="H9" s="85">
        <v>0.10012160518848803</v>
      </c>
      <c r="I9" s="85">
        <v>0.19882448317794893</v>
      </c>
      <c r="J9" s="87">
        <v>0.29894608836643699</v>
      </c>
      <c r="K9" s="83">
        <v>25</v>
      </c>
      <c r="L9" s="84">
        <v>0.53700000000000003</v>
      </c>
      <c r="M9" s="84">
        <v>6.3010000000000002</v>
      </c>
      <c r="N9" s="86">
        <v>0.248</v>
      </c>
      <c r="O9" s="84">
        <v>0.248</v>
      </c>
      <c r="P9" s="84">
        <v>5.7640000000000002</v>
      </c>
      <c r="Q9" s="85">
        <v>9.3164469118667589E-2</v>
      </c>
      <c r="R9" s="85">
        <v>4.302567661346287E-2</v>
      </c>
      <c r="S9" s="87">
        <v>0.13619014573213045</v>
      </c>
      <c r="T9" s="83">
        <v>25</v>
      </c>
      <c r="U9" s="88">
        <v>0.51550000000000007</v>
      </c>
      <c r="V9" s="88">
        <v>5.8644999999999996</v>
      </c>
      <c r="W9" s="88">
        <v>0.61450000000000005</v>
      </c>
      <c r="X9" s="88">
        <v>0.61450000000000005</v>
      </c>
      <c r="Y9" s="88">
        <v>5.3490000000000002</v>
      </c>
      <c r="Z9" s="29">
        <v>9.6643037153577804E-2</v>
      </c>
      <c r="AA9" s="29">
        <v>0.1209250798957059</v>
      </c>
      <c r="AB9" s="89">
        <v>0.21756811704928372</v>
      </c>
    </row>
    <row r="10" spans="1:28">
      <c r="B10" s="75">
        <v>26</v>
      </c>
      <c r="C10" s="76">
        <v>0.52600000000000002</v>
      </c>
      <c r="D10" s="76">
        <v>5.5869999999999997</v>
      </c>
      <c r="E10" s="76">
        <v>1.06</v>
      </c>
      <c r="F10" s="76">
        <v>1.06</v>
      </c>
      <c r="G10" s="76">
        <v>5.0609999999999999</v>
      </c>
      <c r="H10" s="77">
        <v>0.10393202924323257</v>
      </c>
      <c r="I10" s="77">
        <v>0.20944477376012646</v>
      </c>
      <c r="J10" s="78">
        <v>0.31337680300335902</v>
      </c>
      <c r="K10" s="75">
        <v>26</v>
      </c>
      <c r="L10" s="76">
        <v>0.57799999999999996</v>
      </c>
      <c r="M10" s="76">
        <v>6.4829999999999997</v>
      </c>
      <c r="N10" s="79">
        <v>0.26900000000000002</v>
      </c>
      <c r="O10" s="76">
        <v>0.26900000000000002</v>
      </c>
      <c r="P10" s="76">
        <v>5.9049999999999994</v>
      </c>
      <c r="Q10" s="77">
        <v>9.7883149872988989E-2</v>
      </c>
      <c r="R10" s="77">
        <v>4.5554614733276891E-2</v>
      </c>
      <c r="S10" s="78">
        <v>0.14343776460626589</v>
      </c>
      <c r="T10" s="75">
        <v>26</v>
      </c>
      <c r="U10" s="80">
        <v>0.55200000000000005</v>
      </c>
      <c r="V10" s="80">
        <v>6.0350000000000001</v>
      </c>
      <c r="W10" s="80">
        <v>0.66450000000000009</v>
      </c>
      <c r="X10" s="80">
        <v>0.66450000000000009</v>
      </c>
      <c r="Y10" s="80">
        <v>5.4829999999999997</v>
      </c>
      <c r="Z10" s="81">
        <v>0.10090758955811077</v>
      </c>
      <c r="AA10" s="81">
        <v>0.12749969424670168</v>
      </c>
      <c r="AB10" s="82">
        <v>0.22840728380481246</v>
      </c>
    </row>
    <row r="11" spans="1:28">
      <c r="B11" s="83">
        <v>27</v>
      </c>
      <c r="C11" s="84">
        <v>0.55600000000000005</v>
      </c>
      <c r="D11" s="84">
        <v>5.75</v>
      </c>
      <c r="E11" s="84">
        <v>1.1359999999999999</v>
      </c>
      <c r="F11" s="84">
        <v>1.1359999999999999</v>
      </c>
      <c r="G11" s="84">
        <v>5.194</v>
      </c>
      <c r="H11" s="85">
        <v>0.10704659222179438</v>
      </c>
      <c r="I11" s="85">
        <v>0.21871390065460145</v>
      </c>
      <c r="J11" s="87">
        <v>0.32576049287639586</v>
      </c>
      <c r="K11" s="83">
        <v>27</v>
      </c>
      <c r="L11" s="84">
        <v>0.61699999999999999</v>
      </c>
      <c r="M11" s="84">
        <v>6.67</v>
      </c>
      <c r="N11" s="86">
        <v>0.28899999999999998</v>
      </c>
      <c r="O11" s="84">
        <v>0.28899999999999998</v>
      </c>
      <c r="P11" s="84">
        <v>6.0529999999999999</v>
      </c>
      <c r="Q11" s="85">
        <v>0.10193292582190649</v>
      </c>
      <c r="R11" s="85">
        <v>4.7744919874442425E-2</v>
      </c>
      <c r="S11" s="87">
        <v>0.14967784569634893</v>
      </c>
      <c r="T11" s="83">
        <v>27</v>
      </c>
      <c r="U11" s="88">
        <v>0.58650000000000002</v>
      </c>
      <c r="V11" s="88">
        <v>6.21</v>
      </c>
      <c r="W11" s="88">
        <v>0.71249999999999991</v>
      </c>
      <c r="X11" s="88">
        <v>0.71249999999999991</v>
      </c>
      <c r="Y11" s="88">
        <v>5.6234999999999999</v>
      </c>
      <c r="Z11" s="29">
        <v>0.10448975902185044</v>
      </c>
      <c r="AA11" s="29">
        <v>0.13322941026452192</v>
      </c>
      <c r="AB11" s="89">
        <v>0.23771916928637238</v>
      </c>
    </row>
    <row r="12" spans="1:28">
      <c r="B12" s="75">
        <v>28</v>
      </c>
      <c r="C12" s="76">
        <v>0.58399999999999996</v>
      </c>
      <c r="D12" s="76">
        <v>5.9169999999999998</v>
      </c>
      <c r="E12" s="76">
        <v>1.21</v>
      </c>
      <c r="F12" s="76">
        <v>1.21</v>
      </c>
      <c r="G12" s="76">
        <v>5.3330000000000002</v>
      </c>
      <c r="H12" s="77">
        <v>0.1095068441777611</v>
      </c>
      <c r="I12" s="77">
        <v>0.22688918057378585</v>
      </c>
      <c r="J12" s="78">
        <v>0.33639602475154695</v>
      </c>
      <c r="K12" s="75">
        <v>28</v>
      </c>
      <c r="L12" s="76">
        <v>0.65400000000000003</v>
      </c>
      <c r="M12" s="76">
        <v>6.86</v>
      </c>
      <c r="N12" s="79">
        <v>0.309</v>
      </c>
      <c r="O12" s="76">
        <v>0.309</v>
      </c>
      <c r="P12" s="76">
        <v>6.2060000000000004</v>
      </c>
      <c r="Q12" s="77">
        <v>0.10538188849500484</v>
      </c>
      <c r="R12" s="77">
        <v>4.979052529809861E-2</v>
      </c>
      <c r="S12" s="78">
        <v>0.15517241379310345</v>
      </c>
      <c r="T12" s="75">
        <v>28</v>
      </c>
      <c r="U12" s="80">
        <v>0.61899999999999999</v>
      </c>
      <c r="V12" s="80">
        <v>6.3885000000000005</v>
      </c>
      <c r="W12" s="80">
        <v>0.75949999999999995</v>
      </c>
      <c r="X12" s="80">
        <v>0.75949999999999995</v>
      </c>
      <c r="Y12" s="80">
        <v>5.7695000000000007</v>
      </c>
      <c r="Z12" s="81">
        <v>0.10744436633638296</v>
      </c>
      <c r="AA12" s="81">
        <v>0.13833985293594223</v>
      </c>
      <c r="AB12" s="82">
        <v>0.24578421927232519</v>
      </c>
    </row>
    <row r="13" spans="1:28">
      <c r="B13" s="83">
        <v>29</v>
      </c>
      <c r="C13" s="84">
        <v>0.60899999999999999</v>
      </c>
      <c r="D13" s="84">
        <v>6.0869999999999997</v>
      </c>
      <c r="E13" s="84">
        <v>1.2829999999999999</v>
      </c>
      <c r="F13" s="84">
        <v>1.2829999999999999</v>
      </c>
      <c r="G13" s="84">
        <v>5.4779999999999998</v>
      </c>
      <c r="H13" s="85">
        <v>0.11117196056955093</v>
      </c>
      <c r="I13" s="85">
        <v>0.23420956553486674</v>
      </c>
      <c r="J13" s="87">
        <v>0.34538152610441769</v>
      </c>
      <c r="K13" s="83">
        <v>29</v>
      </c>
      <c r="L13" s="84">
        <v>0.68899999999999995</v>
      </c>
      <c r="M13" s="84">
        <v>7.0540000000000003</v>
      </c>
      <c r="N13" s="86">
        <v>0.32900000000000001</v>
      </c>
      <c r="O13" s="84">
        <v>0.32900000000000001</v>
      </c>
      <c r="P13" s="84">
        <v>6.3650000000000002</v>
      </c>
      <c r="Q13" s="85">
        <v>0.1082482325216025</v>
      </c>
      <c r="R13" s="85">
        <v>5.1688923802042423E-2</v>
      </c>
      <c r="S13" s="87">
        <v>0.15993715632364491</v>
      </c>
      <c r="T13" s="83">
        <v>29</v>
      </c>
      <c r="U13" s="88">
        <v>0.64900000000000002</v>
      </c>
      <c r="V13" s="88">
        <v>6.5705</v>
      </c>
      <c r="W13" s="88">
        <v>0.80599999999999994</v>
      </c>
      <c r="X13" s="88">
        <v>0.80599999999999994</v>
      </c>
      <c r="Y13" s="88">
        <v>5.9215</v>
      </c>
      <c r="Z13" s="29">
        <v>0.10971009654557672</v>
      </c>
      <c r="AA13" s="29">
        <v>0.14294924466845457</v>
      </c>
      <c r="AB13" s="89">
        <v>0.25265934121403133</v>
      </c>
    </row>
    <row r="14" spans="1:28">
      <c r="B14" s="75">
        <v>30</v>
      </c>
      <c r="C14" s="76">
        <v>0.63300000000000001</v>
      </c>
      <c r="D14" s="76">
        <v>6.2619999999999996</v>
      </c>
      <c r="E14" s="76">
        <v>1.355</v>
      </c>
      <c r="F14" s="76">
        <v>1.355</v>
      </c>
      <c r="G14" s="76">
        <v>5.6289999999999996</v>
      </c>
      <c r="H14" s="77">
        <v>0.11245336649493694</v>
      </c>
      <c r="I14" s="77">
        <v>0.24071771184935159</v>
      </c>
      <c r="J14" s="78">
        <v>0.35317107834428851</v>
      </c>
      <c r="K14" s="75">
        <v>30</v>
      </c>
      <c r="L14" s="76">
        <v>0.72299999999999998</v>
      </c>
      <c r="M14" s="76">
        <v>7.2510000000000003</v>
      </c>
      <c r="N14" s="79">
        <v>0.34799999999999998</v>
      </c>
      <c r="O14" s="76">
        <v>0.34799999999999998</v>
      </c>
      <c r="P14" s="76">
        <v>6.5280000000000005</v>
      </c>
      <c r="Q14" s="77">
        <v>0.11075367647058823</v>
      </c>
      <c r="R14" s="77">
        <v>5.3308823529411756E-2</v>
      </c>
      <c r="S14" s="78">
        <v>0.1640625</v>
      </c>
      <c r="T14" s="75">
        <v>30</v>
      </c>
      <c r="U14" s="80">
        <v>0.67799999999999994</v>
      </c>
      <c r="V14" s="80">
        <v>6.7565</v>
      </c>
      <c r="W14" s="80">
        <v>0.85149999999999992</v>
      </c>
      <c r="X14" s="80">
        <v>0.85149999999999992</v>
      </c>
      <c r="Y14" s="80">
        <v>6.0785</v>
      </c>
      <c r="Z14" s="81">
        <v>0.11160352148276259</v>
      </c>
      <c r="AA14" s="81">
        <v>0.14701326768938167</v>
      </c>
      <c r="AB14" s="82">
        <v>0.25861678917214426</v>
      </c>
    </row>
    <row r="15" spans="1:28">
      <c r="B15" s="83">
        <v>31</v>
      </c>
      <c r="C15" s="84">
        <v>0.65500000000000003</v>
      </c>
      <c r="D15" s="84">
        <v>6.4420000000000002</v>
      </c>
      <c r="E15" s="84">
        <v>1.427</v>
      </c>
      <c r="F15" s="84">
        <v>1.427</v>
      </c>
      <c r="G15" s="84">
        <v>5.7869999999999999</v>
      </c>
      <c r="H15" s="85">
        <v>0.11318472438223605</v>
      </c>
      <c r="I15" s="85">
        <v>0.24658717815794023</v>
      </c>
      <c r="J15" s="87">
        <v>0.35977190254017627</v>
      </c>
      <c r="K15" s="83">
        <v>31</v>
      </c>
      <c r="L15" s="84">
        <v>0.753</v>
      </c>
      <c r="M15" s="84">
        <v>7.4530000000000003</v>
      </c>
      <c r="N15" s="86">
        <v>0.36699999999999999</v>
      </c>
      <c r="O15" s="84">
        <v>0.36699999999999999</v>
      </c>
      <c r="P15" s="84">
        <v>6.7</v>
      </c>
      <c r="Q15" s="85">
        <v>0.11238805970149253</v>
      </c>
      <c r="R15" s="85">
        <v>5.4776119402985074E-2</v>
      </c>
      <c r="S15" s="87">
        <v>0.16716417910447762</v>
      </c>
      <c r="T15" s="83">
        <v>31</v>
      </c>
      <c r="U15" s="88">
        <v>0.70399999999999996</v>
      </c>
      <c r="V15" s="88">
        <v>6.9474999999999998</v>
      </c>
      <c r="W15" s="88">
        <v>0.89700000000000002</v>
      </c>
      <c r="X15" s="88">
        <v>0.89700000000000002</v>
      </c>
      <c r="Y15" s="88">
        <v>6.2435</v>
      </c>
      <c r="Z15" s="29">
        <v>0.11278639204186429</v>
      </c>
      <c r="AA15" s="29">
        <v>0.15068164878046264</v>
      </c>
      <c r="AB15" s="89">
        <v>0.26346804082232694</v>
      </c>
    </row>
    <row r="16" spans="1:28">
      <c r="B16" s="75">
        <v>32</v>
      </c>
      <c r="C16" s="76">
        <v>0.67600000000000005</v>
      </c>
      <c r="D16" s="76">
        <v>6.625</v>
      </c>
      <c r="E16" s="76">
        <v>1.498</v>
      </c>
      <c r="F16" s="76">
        <v>1.498</v>
      </c>
      <c r="G16" s="76">
        <v>5.9489999999999998</v>
      </c>
      <c r="H16" s="77">
        <v>0.11363254328458565</v>
      </c>
      <c r="I16" s="77">
        <v>0.25180702639099006</v>
      </c>
      <c r="J16" s="78">
        <v>0.36543956967557573</v>
      </c>
      <c r="K16" s="75">
        <v>32</v>
      </c>
      <c r="L16" s="76">
        <v>0.78200000000000003</v>
      </c>
      <c r="M16" s="76">
        <v>7.6589999999999998</v>
      </c>
      <c r="N16" s="79">
        <v>0.38600000000000001</v>
      </c>
      <c r="O16" s="76">
        <v>0.38600000000000001</v>
      </c>
      <c r="P16" s="76">
        <v>6.8769999999999998</v>
      </c>
      <c r="Q16" s="77">
        <v>0.11371237458193981</v>
      </c>
      <c r="R16" s="77">
        <v>5.6129126072415297E-2</v>
      </c>
      <c r="S16" s="78">
        <v>0.1698415006543551</v>
      </c>
      <c r="T16" s="75">
        <v>32</v>
      </c>
      <c r="U16" s="80">
        <v>0.72900000000000009</v>
      </c>
      <c r="V16" s="80">
        <v>7.1419999999999995</v>
      </c>
      <c r="W16" s="80">
        <v>0.94199999999999995</v>
      </c>
      <c r="X16" s="80">
        <v>0.94199999999999995</v>
      </c>
      <c r="Y16" s="80">
        <v>6.4130000000000003</v>
      </c>
      <c r="Z16" s="81">
        <v>0.11367245893326272</v>
      </c>
      <c r="AA16" s="81">
        <v>0.15396807623170267</v>
      </c>
      <c r="AB16" s="82">
        <v>0.26764053516496544</v>
      </c>
    </row>
    <row r="17" spans="2:28">
      <c r="B17" s="83">
        <v>33</v>
      </c>
      <c r="C17" s="84">
        <v>0.69599999999999995</v>
      </c>
      <c r="D17" s="84">
        <v>6.8140000000000001</v>
      </c>
      <c r="E17" s="84">
        <v>1.57</v>
      </c>
      <c r="F17" s="84">
        <v>1.57</v>
      </c>
      <c r="G17" s="84">
        <v>6.1180000000000003</v>
      </c>
      <c r="H17" s="85">
        <v>0.11376266753841123</v>
      </c>
      <c r="I17" s="85">
        <v>0.25661981039555409</v>
      </c>
      <c r="J17" s="87">
        <v>0.37038247793396534</v>
      </c>
      <c r="K17" s="83">
        <v>33</v>
      </c>
      <c r="L17" s="84">
        <v>0.80700000000000005</v>
      </c>
      <c r="M17" s="84">
        <v>7.8689999999999998</v>
      </c>
      <c r="N17" s="86">
        <v>0.40300000000000002</v>
      </c>
      <c r="O17" s="84">
        <v>0.40300000000000002</v>
      </c>
      <c r="P17" s="84">
        <v>7.0619999999999994</v>
      </c>
      <c r="Q17" s="85">
        <v>0.11427357689039934</v>
      </c>
      <c r="R17" s="85">
        <v>5.7065986972529036E-2</v>
      </c>
      <c r="S17" s="87">
        <v>0.17133956386292837</v>
      </c>
      <c r="T17" s="83">
        <v>33</v>
      </c>
      <c r="U17" s="88">
        <v>0.75150000000000006</v>
      </c>
      <c r="V17" s="88">
        <v>7.3414999999999999</v>
      </c>
      <c r="W17" s="88">
        <v>0.98650000000000004</v>
      </c>
      <c r="X17" s="88">
        <v>0.98650000000000004</v>
      </c>
      <c r="Y17" s="88">
        <v>6.59</v>
      </c>
      <c r="Z17" s="29">
        <v>0.11401812221440528</v>
      </c>
      <c r="AA17" s="29">
        <v>0.15684289868404155</v>
      </c>
      <c r="AB17" s="89">
        <v>0.27086102089844688</v>
      </c>
    </row>
    <row r="18" spans="2:28">
      <c r="B18" s="75">
        <v>34</v>
      </c>
      <c r="C18" s="76">
        <v>0.71399999999999997</v>
      </c>
      <c r="D18" s="76">
        <v>7.0069999999999997</v>
      </c>
      <c r="E18" s="76">
        <v>1.641</v>
      </c>
      <c r="F18" s="76">
        <v>1.641</v>
      </c>
      <c r="G18" s="76">
        <v>6.2929999999999993</v>
      </c>
      <c r="H18" s="77">
        <v>0.11345939933259178</v>
      </c>
      <c r="I18" s="77">
        <v>0.26076593039885593</v>
      </c>
      <c r="J18" s="78">
        <v>0.37422532973144773</v>
      </c>
      <c r="K18" s="75">
        <v>34</v>
      </c>
      <c r="L18" s="76">
        <v>0.83</v>
      </c>
      <c r="M18" s="76">
        <v>8.0830000000000002</v>
      </c>
      <c r="N18" s="79">
        <v>0.42099999999999999</v>
      </c>
      <c r="O18" s="76">
        <v>0.42099999999999999</v>
      </c>
      <c r="P18" s="76">
        <v>7.2530000000000001</v>
      </c>
      <c r="Q18" s="77">
        <v>0.11443540603888046</v>
      </c>
      <c r="R18" s="77">
        <v>5.8044946918516471E-2</v>
      </c>
      <c r="S18" s="78">
        <v>0.17248035295739694</v>
      </c>
      <c r="T18" s="75">
        <v>34</v>
      </c>
      <c r="U18" s="80">
        <v>0.77200000000000002</v>
      </c>
      <c r="V18" s="80">
        <v>7.5449999999999999</v>
      </c>
      <c r="W18" s="80">
        <v>1.0309999999999999</v>
      </c>
      <c r="X18" s="80">
        <v>1.0309999999999999</v>
      </c>
      <c r="Y18" s="80">
        <v>6.7729999999999997</v>
      </c>
      <c r="Z18" s="81">
        <v>0.11394740268573611</v>
      </c>
      <c r="AA18" s="81">
        <v>0.1594054386586862</v>
      </c>
      <c r="AB18" s="82">
        <v>0.27335284134442234</v>
      </c>
    </row>
    <row r="19" spans="2:28">
      <c r="B19" s="83">
        <v>35</v>
      </c>
      <c r="C19" s="84">
        <v>0.73</v>
      </c>
      <c r="D19" s="84">
        <v>7.2050000000000001</v>
      </c>
      <c r="E19" s="84">
        <v>1.7130000000000001</v>
      </c>
      <c r="F19" s="84">
        <v>1.7130000000000001</v>
      </c>
      <c r="G19" s="84">
        <v>6.4749999999999996</v>
      </c>
      <c r="H19" s="85">
        <v>0.11274131274131274</v>
      </c>
      <c r="I19" s="85">
        <v>0.26455598455598456</v>
      </c>
      <c r="J19" s="87">
        <v>0.37729729729729733</v>
      </c>
      <c r="K19" s="83">
        <v>35</v>
      </c>
      <c r="L19" s="84">
        <v>0.84899999999999998</v>
      </c>
      <c r="M19" s="84">
        <v>8.3010000000000002</v>
      </c>
      <c r="N19" s="86">
        <v>0.438</v>
      </c>
      <c r="O19" s="84">
        <v>0.438</v>
      </c>
      <c r="P19" s="84">
        <v>7.452</v>
      </c>
      <c r="Q19" s="85">
        <v>0.11392914653784218</v>
      </c>
      <c r="R19" s="85">
        <v>5.8776167471819643E-2</v>
      </c>
      <c r="S19" s="87">
        <v>0.17270531400966183</v>
      </c>
      <c r="T19" s="83">
        <v>35</v>
      </c>
      <c r="U19" s="88">
        <v>0.78949999999999998</v>
      </c>
      <c r="V19" s="88">
        <v>7.7530000000000001</v>
      </c>
      <c r="W19" s="88">
        <v>1.0755000000000001</v>
      </c>
      <c r="X19" s="88">
        <v>1.0755000000000001</v>
      </c>
      <c r="Y19" s="88">
        <v>6.9634999999999998</v>
      </c>
      <c r="Z19" s="29">
        <v>0.11333522963957746</v>
      </c>
      <c r="AA19" s="29">
        <v>0.16166607601390209</v>
      </c>
      <c r="AB19" s="89">
        <v>0.27500130565347958</v>
      </c>
    </row>
    <row r="20" spans="2:28">
      <c r="B20" s="75">
        <v>36</v>
      </c>
      <c r="C20" s="76">
        <v>0.74299999999999999</v>
      </c>
      <c r="D20" s="76">
        <v>7.4059999999999997</v>
      </c>
      <c r="E20" s="76">
        <v>1.7849999999999999</v>
      </c>
      <c r="F20" s="76">
        <v>1.7849999999999999</v>
      </c>
      <c r="G20" s="76">
        <v>6.6629999999999994</v>
      </c>
      <c r="H20" s="77">
        <v>0.11151133123217771</v>
      </c>
      <c r="I20" s="77">
        <v>0.26789734353894645</v>
      </c>
      <c r="J20" s="78">
        <v>0.37940867477112417</v>
      </c>
      <c r="K20" s="75">
        <v>36</v>
      </c>
      <c r="L20" s="76">
        <v>0.86299999999999999</v>
      </c>
      <c r="M20" s="76">
        <v>8.5220000000000002</v>
      </c>
      <c r="N20" s="79">
        <v>0.45400000000000001</v>
      </c>
      <c r="O20" s="76">
        <v>0.45400000000000001</v>
      </c>
      <c r="P20" s="76">
        <v>7.6590000000000007</v>
      </c>
      <c r="Q20" s="77">
        <v>0.11267789528659093</v>
      </c>
      <c r="R20" s="77">
        <v>5.9276667972320146E-2</v>
      </c>
      <c r="S20" s="78">
        <v>0.17195456325891106</v>
      </c>
      <c r="T20" s="75">
        <v>36</v>
      </c>
      <c r="U20" s="80">
        <v>0.80299999999999994</v>
      </c>
      <c r="V20" s="80">
        <v>7.9640000000000004</v>
      </c>
      <c r="W20" s="80">
        <v>1.1194999999999999</v>
      </c>
      <c r="X20" s="80">
        <v>1.1194999999999999</v>
      </c>
      <c r="Y20" s="80">
        <v>7.1609999999999996</v>
      </c>
      <c r="Z20" s="81">
        <v>0.11209461325938433</v>
      </c>
      <c r="AA20" s="81">
        <v>0.16358700575563329</v>
      </c>
      <c r="AB20" s="82">
        <v>0.27568161901501764</v>
      </c>
    </row>
    <row r="21" spans="2:28">
      <c r="B21" s="83">
        <v>37</v>
      </c>
      <c r="C21" s="84">
        <v>0.751</v>
      </c>
      <c r="D21" s="84">
        <v>7.61</v>
      </c>
      <c r="E21" s="84">
        <v>1.8580000000000001</v>
      </c>
      <c r="F21" s="84">
        <v>1.8580000000000001</v>
      </c>
      <c r="G21" s="84">
        <v>6.859</v>
      </c>
      <c r="H21" s="85">
        <v>0.10949117947222627</v>
      </c>
      <c r="I21" s="85">
        <v>0.27088496865432282</v>
      </c>
      <c r="J21" s="87">
        <v>0.38037614812654907</v>
      </c>
      <c r="K21" s="83">
        <v>37</v>
      </c>
      <c r="L21" s="84">
        <v>0.871</v>
      </c>
      <c r="M21" s="84">
        <v>8.7460000000000004</v>
      </c>
      <c r="N21" s="86">
        <v>0.47</v>
      </c>
      <c r="O21" s="84">
        <v>0.47</v>
      </c>
      <c r="P21" s="84">
        <v>7.875</v>
      </c>
      <c r="Q21" s="85">
        <v>0.11060317460317461</v>
      </c>
      <c r="R21" s="85">
        <v>5.9682539682539677E-2</v>
      </c>
      <c r="S21" s="87">
        <v>0.17028571428571429</v>
      </c>
      <c r="T21" s="83">
        <v>37</v>
      </c>
      <c r="U21" s="88">
        <v>0.81099999999999994</v>
      </c>
      <c r="V21" s="88">
        <v>8.1780000000000008</v>
      </c>
      <c r="W21" s="88">
        <v>1.1640000000000001</v>
      </c>
      <c r="X21" s="88">
        <v>1.1640000000000001</v>
      </c>
      <c r="Y21" s="88">
        <v>7.367</v>
      </c>
      <c r="Z21" s="29">
        <v>0.11004717703770044</v>
      </c>
      <c r="AA21" s="29">
        <v>0.16528375416843125</v>
      </c>
      <c r="AB21" s="89">
        <v>0.27533093120613167</v>
      </c>
    </row>
    <row r="22" spans="2:28">
      <c r="B22" s="75">
        <v>38</v>
      </c>
      <c r="C22" s="76">
        <v>0.753</v>
      </c>
      <c r="D22" s="76">
        <v>7.8159999999999998</v>
      </c>
      <c r="E22" s="76">
        <v>1.929</v>
      </c>
      <c r="F22" s="76">
        <v>1.929</v>
      </c>
      <c r="G22" s="76">
        <v>7.0629999999999997</v>
      </c>
      <c r="H22" s="77">
        <v>0.10661192127990939</v>
      </c>
      <c r="I22" s="77">
        <v>0.27311340790032568</v>
      </c>
      <c r="J22" s="78">
        <v>0.37972532918023505</v>
      </c>
      <c r="K22" s="75">
        <v>38</v>
      </c>
      <c r="L22" s="76">
        <v>0.873</v>
      </c>
      <c r="M22" s="76">
        <v>8.9730000000000008</v>
      </c>
      <c r="N22" s="79">
        <v>0.48399999999999999</v>
      </c>
      <c r="O22" s="76">
        <v>0.48399999999999999</v>
      </c>
      <c r="P22" s="76">
        <v>8.1000000000000014</v>
      </c>
      <c r="Q22" s="77">
        <v>0.10777777777777776</v>
      </c>
      <c r="R22" s="77">
        <v>5.9753086419753076E-2</v>
      </c>
      <c r="S22" s="78">
        <v>0.16753086419753083</v>
      </c>
      <c r="T22" s="75">
        <v>38</v>
      </c>
      <c r="U22" s="80">
        <v>0.81299999999999994</v>
      </c>
      <c r="V22" s="80">
        <v>8.3945000000000007</v>
      </c>
      <c r="W22" s="80">
        <v>1.2065000000000001</v>
      </c>
      <c r="X22" s="80">
        <v>1.2065000000000001</v>
      </c>
      <c r="Y22" s="80">
        <v>7.5815000000000001</v>
      </c>
      <c r="Z22" s="81">
        <v>0.10719484952884357</v>
      </c>
      <c r="AA22" s="81">
        <v>0.16643324716003938</v>
      </c>
      <c r="AB22" s="82">
        <v>0.27362809668888294</v>
      </c>
    </row>
    <row r="23" spans="2:28">
      <c r="B23" s="83">
        <v>39</v>
      </c>
      <c r="C23" s="84">
        <v>0.751</v>
      </c>
      <c r="D23" s="84">
        <v>8.0250000000000004</v>
      </c>
      <c r="E23" s="84">
        <v>2.0019999999999998</v>
      </c>
      <c r="F23" s="84">
        <v>2.0019999999999998</v>
      </c>
      <c r="G23" s="84">
        <v>7.274</v>
      </c>
      <c r="H23" s="85">
        <v>0.10324443222436074</v>
      </c>
      <c r="I23" s="85">
        <v>0.2752268353038218</v>
      </c>
      <c r="J23" s="87">
        <v>0.37847126752818255</v>
      </c>
      <c r="K23" s="83">
        <v>39</v>
      </c>
      <c r="L23" s="84">
        <v>0.86899999999999999</v>
      </c>
      <c r="M23" s="84">
        <v>9.202</v>
      </c>
      <c r="N23" s="86">
        <v>0.498</v>
      </c>
      <c r="O23" s="84">
        <v>0.498</v>
      </c>
      <c r="P23" s="84">
        <v>8.3330000000000002</v>
      </c>
      <c r="Q23" s="85">
        <v>0.10428417136685467</v>
      </c>
      <c r="R23" s="85">
        <v>5.9762390495619822E-2</v>
      </c>
      <c r="S23" s="87">
        <v>0.16404656186247449</v>
      </c>
      <c r="T23" s="83">
        <v>39</v>
      </c>
      <c r="U23" s="88">
        <v>0.81</v>
      </c>
      <c r="V23" s="88">
        <v>8.6135000000000002</v>
      </c>
      <c r="W23" s="88">
        <v>1.25</v>
      </c>
      <c r="X23" s="88">
        <v>1.25</v>
      </c>
      <c r="Y23" s="88">
        <v>7.8034999999999997</v>
      </c>
      <c r="Z23" s="29">
        <v>0.10376430179560769</v>
      </c>
      <c r="AA23" s="29">
        <v>0.16749461289972081</v>
      </c>
      <c r="AB23" s="89">
        <v>0.27125891469532853</v>
      </c>
    </row>
    <row r="24" spans="2:28">
      <c r="B24" s="75">
        <v>40</v>
      </c>
      <c r="C24" s="76">
        <v>0.74399999999999999</v>
      </c>
      <c r="D24" s="76">
        <v>8.2390000000000008</v>
      </c>
      <c r="E24" s="76">
        <v>2.0739999999999998</v>
      </c>
      <c r="F24" s="76">
        <v>2.0739999999999998</v>
      </c>
      <c r="G24" s="76">
        <v>7.495000000000001</v>
      </c>
      <c r="H24" s="77">
        <v>9.9266177451634408E-2</v>
      </c>
      <c r="I24" s="77">
        <v>0.276717811874583</v>
      </c>
      <c r="J24" s="78">
        <v>0.3759839893262174</v>
      </c>
      <c r="K24" s="75">
        <v>40</v>
      </c>
      <c r="L24" s="76">
        <v>0.86</v>
      </c>
      <c r="M24" s="76">
        <v>9.4350000000000005</v>
      </c>
      <c r="N24" s="79">
        <v>0.51200000000000001</v>
      </c>
      <c r="O24" s="76">
        <v>0.51200000000000001</v>
      </c>
      <c r="P24" s="76">
        <v>8.5750000000000011</v>
      </c>
      <c r="Q24" s="77">
        <v>0.10029154518950435</v>
      </c>
      <c r="R24" s="77">
        <v>5.9708454810495623E-2</v>
      </c>
      <c r="S24" s="78">
        <v>0.15999999999999998</v>
      </c>
      <c r="T24" s="75">
        <v>40</v>
      </c>
      <c r="U24" s="80">
        <v>0.80200000000000005</v>
      </c>
      <c r="V24" s="80">
        <v>8.8369999999999997</v>
      </c>
      <c r="W24" s="80">
        <v>1.2929999999999999</v>
      </c>
      <c r="X24" s="80">
        <v>1.2929999999999999</v>
      </c>
      <c r="Y24" s="80">
        <v>8.0350000000000001</v>
      </c>
      <c r="Z24" s="81">
        <v>9.9778861320569373E-2</v>
      </c>
      <c r="AA24" s="81">
        <v>0.16821313334253932</v>
      </c>
      <c r="AB24" s="82">
        <v>0.26799199466310869</v>
      </c>
    </row>
    <row r="25" spans="2:28">
      <c r="B25" s="83">
        <v>41</v>
      </c>
      <c r="C25" s="84">
        <v>0.73499999999999999</v>
      </c>
      <c r="D25" s="84">
        <v>8.4589999999999996</v>
      </c>
      <c r="E25" s="84">
        <v>2.1480000000000001</v>
      </c>
      <c r="F25" s="84">
        <v>2.1480000000000001</v>
      </c>
      <c r="G25" s="84">
        <v>7.7239999999999993</v>
      </c>
      <c r="H25" s="85">
        <v>9.5157949249093737E-2</v>
      </c>
      <c r="I25" s="85">
        <v>0.27809425168306579</v>
      </c>
      <c r="J25" s="87">
        <v>0.37325220093215949</v>
      </c>
      <c r="K25" s="83">
        <v>41</v>
      </c>
      <c r="L25" s="84">
        <v>0.84599999999999997</v>
      </c>
      <c r="M25" s="84">
        <v>9.6739999999999995</v>
      </c>
      <c r="N25" s="86">
        <v>0.52500000000000002</v>
      </c>
      <c r="O25" s="84">
        <v>0.52500000000000002</v>
      </c>
      <c r="P25" s="84">
        <v>8.8279999999999994</v>
      </c>
      <c r="Q25" s="85">
        <v>9.5831445400996834E-2</v>
      </c>
      <c r="R25" s="85">
        <v>5.9469868599909388E-2</v>
      </c>
      <c r="S25" s="87">
        <v>0.15530131400090622</v>
      </c>
      <c r="T25" s="83">
        <v>41</v>
      </c>
      <c r="U25" s="88">
        <v>0.79049999999999998</v>
      </c>
      <c r="V25" s="88">
        <v>9.0664999999999996</v>
      </c>
      <c r="W25" s="88">
        <v>1.3365</v>
      </c>
      <c r="X25" s="88">
        <v>1.3365</v>
      </c>
      <c r="Y25" s="88">
        <v>8.2759999999999998</v>
      </c>
      <c r="Z25" s="29">
        <v>9.5494697325045286E-2</v>
      </c>
      <c r="AA25" s="29">
        <v>0.16878206014148758</v>
      </c>
      <c r="AB25" s="89">
        <v>0.26427675746653284</v>
      </c>
    </row>
    <row r="26" spans="2:28">
      <c r="B26" s="75">
        <v>42</v>
      </c>
      <c r="C26" s="76">
        <v>0.72499999999999998</v>
      </c>
      <c r="D26" s="76">
        <v>8.6859999999999999</v>
      </c>
      <c r="E26" s="76">
        <v>2.222</v>
      </c>
      <c r="F26" s="76">
        <v>2.222</v>
      </c>
      <c r="G26" s="76">
        <v>7.9610000000000003</v>
      </c>
      <c r="H26" s="77">
        <v>9.1068961185780672E-2</v>
      </c>
      <c r="I26" s="77">
        <v>0.27911066448938576</v>
      </c>
      <c r="J26" s="78">
        <v>0.37017962567516643</v>
      </c>
      <c r="K26" s="75">
        <v>42</v>
      </c>
      <c r="L26" s="76">
        <v>0.83</v>
      </c>
      <c r="M26" s="76">
        <v>9.9190000000000005</v>
      </c>
      <c r="N26" s="79">
        <v>0.53700000000000003</v>
      </c>
      <c r="O26" s="76">
        <v>0.53700000000000003</v>
      </c>
      <c r="P26" s="76">
        <v>9.0890000000000004</v>
      </c>
      <c r="Q26" s="77">
        <v>9.1319177027175694E-2</v>
      </c>
      <c r="R26" s="77">
        <v>5.9082407305534164E-2</v>
      </c>
      <c r="S26" s="78">
        <v>0.15040158433270986</v>
      </c>
      <c r="T26" s="75">
        <v>42</v>
      </c>
      <c r="U26" s="80">
        <v>0.77749999999999997</v>
      </c>
      <c r="V26" s="80">
        <v>9.3025000000000002</v>
      </c>
      <c r="W26" s="80">
        <v>1.3794999999999999</v>
      </c>
      <c r="X26" s="80">
        <v>1.3794999999999999</v>
      </c>
      <c r="Y26" s="80">
        <v>8.5250000000000004</v>
      </c>
      <c r="Z26" s="81">
        <v>9.1194069106478176E-2</v>
      </c>
      <c r="AA26" s="81">
        <v>0.16909653589745996</v>
      </c>
      <c r="AB26" s="82">
        <v>0.26029060500393814</v>
      </c>
    </row>
    <row r="27" spans="2:28">
      <c r="B27" s="83">
        <v>43</v>
      </c>
      <c r="C27" s="84">
        <v>0.71499999999999997</v>
      </c>
      <c r="D27" s="84">
        <v>8.9209999999999994</v>
      </c>
      <c r="E27" s="84">
        <v>2.298</v>
      </c>
      <c r="F27" s="84">
        <v>2.298</v>
      </c>
      <c r="G27" s="84">
        <v>8.2059999999999995</v>
      </c>
      <c r="H27" s="85">
        <v>8.7131367292225204E-2</v>
      </c>
      <c r="I27" s="85">
        <v>0.28003899585669023</v>
      </c>
      <c r="J27" s="87">
        <v>0.36717036314891544</v>
      </c>
      <c r="K27" s="83">
        <v>43</v>
      </c>
      <c r="L27" s="84">
        <v>0.81100000000000005</v>
      </c>
      <c r="M27" s="84">
        <v>10.172000000000001</v>
      </c>
      <c r="N27" s="86">
        <v>0.55000000000000004</v>
      </c>
      <c r="O27" s="84">
        <v>0.55000000000000004</v>
      </c>
      <c r="P27" s="84">
        <v>9.3610000000000007</v>
      </c>
      <c r="Q27" s="85">
        <v>8.6636043157782283E-2</v>
      </c>
      <c r="R27" s="85">
        <v>5.8754406580493537E-2</v>
      </c>
      <c r="S27" s="87">
        <v>0.14539044973827581</v>
      </c>
      <c r="T27" s="83">
        <v>43</v>
      </c>
      <c r="U27" s="88">
        <v>0.76300000000000001</v>
      </c>
      <c r="V27" s="88">
        <v>9.5465</v>
      </c>
      <c r="W27" s="88">
        <v>1.4239999999999999</v>
      </c>
      <c r="X27" s="88">
        <v>1.4239999999999999</v>
      </c>
      <c r="Y27" s="88">
        <v>8.7835000000000001</v>
      </c>
      <c r="Z27" s="29">
        <v>8.6883705225003743E-2</v>
      </c>
      <c r="AA27" s="29">
        <v>0.16939670121859188</v>
      </c>
      <c r="AB27" s="89">
        <v>0.25628040644359562</v>
      </c>
    </row>
    <row r="28" spans="2:28">
      <c r="B28" s="75">
        <v>44</v>
      </c>
      <c r="C28" s="76">
        <v>0.70399999999999996</v>
      </c>
      <c r="D28" s="76">
        <v>9.1649999999999991</v>
      </c>
      <c r="E28" s="76">
        <v>2.375</v>
      </c>
      <c r="F28" s="76">
        <v>2.375</v>
      </c>
      <c r="G28" s="76">
        <v>8.4609999999999985</v>
      </c>
      <c r="H28" s="77">
        <v>8.3205294882401623E-2</v>
      </c>
      <c r="I28" s="77">
        <v>0.28069968088878389</v>
      </c>
      <c r="J28" s="78">
        <v>0.36390497577118552</v>
      </c>
      <c r="K28" s="75">
        <v>44</v>
      </c>
      <c r="L28" s="76">
        <v>0.79100000000000004</v>
      </c>
      <c r="M28" s="76">
        <v>10.433</v>
      </c>
      <c r="N28" s="79">
        <v>0.56200000000000006</v>
      </c>
      <c r="O28" s="76">
        <v>0.56200000000000006</v>
      </c>
      <c r="P28" s="76">
        <v>9.6419999999999995</v>
      </c>
      <c r="Q28" s="77">
        <v>8.2036921800456339E-2</v>
      </c>
      <c r="R28" s="77">
        <v>5.8286662518149769E-2</v>
      </c>
      <c r="S28" s="78">
        <v>0.14032358431860611</v>
      </c>
      <c r="T28" s="75">
        <v>44</v>
      </c>
      <c r="U28" s="80">
        <v>0.74750000000000005</v>
      </c>
      <c r="V28" s="80">
        <v>9.7989999999999995</v>
      </c>
      <c r="W28" s="80">
        <v>1.4685000000000001</v>
      </c>
      <c r="X28" s="80">
        <v>1.4685000000000001</v>
      </c>
      <c r="Y28" s="80">
        <v>9.051499999999999</v>
      </c>
      <c r="Z28" s="81">
        <v>8.2621108341428981E-2</v>
      </c>
      <c r="AA28" s="81">
        <v>0.16949317170346684</v>
      </c>
      <c r="AB28" s="82">
        <v>0.25211428004489583</v>
      </c>
    </row>
    <row r="29" spans="2:28">
      <c r="B29" s="83">
        <v>45</v>
      </c>
      <c r="C29" s="84">
        <v>0.69199999999999995</v>
      </c>
      <c r="D29" s="84">
        <v>9.4179999999999993</v>
      </c>
      <c r="E29" s="84">
        <v>2.452</v>
      </c>
      <c r="F29" s="84">
        <v>2.452</v>
      </c>
      <c r="G29" s="84">
        <v>8.7259999999999991</v>
      </c>
      <c r="H29" s="85">
        <v>7.9303231721292694E-2</v>
      </c>
      <c r="I29" s="85">
        <v>0.28099931239972498</v>
      </c>
      <c r="J29" s="87">
        <v>0.3603025441210177</v>
      </c>
      <c r="K29" s="83">
        <v>45</v>
      </c>
      <c r="L29" s="84">
        <v>0.76900000000000002</v>
      </c>
      <c r="M29" s="84">
        <v>10.702</v>
      </c>
      <c r="N29" s="86">
        <v>0.57399999999999995</v>
      </c>
      <c r="O29" s="84">
        <v>0.57399999999999995</v>
      </c>
      <c r="P29" s="84">
        <v>9.9329999999999998</v>
      </c>
      <c r="Q29" s="85">
        <v>7.7418705325682069E-2</v>
      </c>
      <c r="R29" s="85">
        <v>5.7787174066243834E-2</v>
      </c>
      <c r="S29" s="87">
        <v>0.13520587939192591</v>
      </c>
      <c r="T29" s="83">
        <v>45</v>
      </c>
      <c r="U29" s="88">
        <v>0.73049999999999993</v>
      </c>
      <c r="V29" s="88">
        <v>10.059999999999999</v>
      </c>
      <c r="W29" s="88">
        <v>1.5129999999999999</v>
      </c>
      <c r="X29" s="88">
        <v>1.5129999999999999</v>
      </c>
      <c r="Y29" s="88">
        <v>9.3294999999999995</v>
      </c>
      <c r="Z29" s="29">
        <v>7.8360968523487382E-2</v>
      </c>
      <c r="AA29" s="29">
        <v>0.16939324323298441</v>
      </c>
      <c r="AB29" s="89">
        <v>0.2477542117564718</v>
      </c>
    </row>
    <row r="30" spans="2:28">
      <c r="B30" s="75">
        <v>46</v>
      </c>
      <c r="C30" s="76">
        <v>0.67900000000000005</v>
      </c>
      <c r="D30" s="76">
        <v>9.6790000000000003</v>
      </c>
      <c r="E30" s="76">
        <v>2.528</v>
      </c>
      <c r="F30" s="76">
        <v>2.528</v>
      </c>
      <c r="G30" s="76">
        <v>9</v>
      </c>
      <c r="H30" s="77">
        <v>7.5444444444444453E-2</v>
      </c>
      <c r="I30" s="77">
        <v>0.28088888888888891</v>
      </c>
      <c r="J30" s="78">
        <v>0.35633333333333339</v>
      </c>
      <c r="K30" s="75">
        <v>46</v>
      </c>
      <c r="L30" s="76">
        <v>0.745</v>
      </c>
      <c r="M30" s="76">
        <v>10.98</v>
      </c>
      <c r="N30" s="79">
        <v>0.58499999999999996</v>
      </c>
      <c r="O30" s="76">
        <v>0.58499999999999996</v>
      </c>
      <c r="P30" s="76">
        <v>10.235000000000001</v>
      </c>
      <c r="Q30" s="77">
        <v>7.2789447972642876E-2</v>
      </c>
      <c r="R30" s="77">
        <v>5.7156814851001457E-2</v>
      </c>
      <c r="S30" s="78">
        <v>0.12994626282364433</v>
      </c>
      <c r="T30" s="75">
        <v>46</v>
      </c>
      <c r="U30" s="80">
        <v>0.71199999999999997</v>
      </c>
      <c r="V30" s="80">
        <v>10.329499999999999</v>
      </c>
      <c r="W30" s="80">
        <v>1.5565</v>
      </c>
      <c r="X30" s="80">
        <v>1.5565</v>
      </c>
      <c r="Y30" s="80">
        <v>9.6174999999999997</v>
      </c>
      <c r="Z30" s="81">
        <v>7.4116946208543671E-2</v>
      </c>
      <c r="AA30" s="81">
        <v>0.16902285186994517</v>
      </c>
      <c r="AB30" s="82">
        <v>0.24313979807848884</v>
      </c>
    </row>
    <row r="31" spans="2:28">
      <c r="B31" s="83">
        <v>47</v>
      </c>
      <c r="C31" s="84">
        <v>0.66200000000000003</v>
      </c>
      <c r="D31" s="84">
        <v>9.9489999999999998</v>
      </c>
      <c r="E31" s="84">
        <v>2.6040000000000001</v>
      </c>
      <c r="F31" s="84">
        <v>2.6040000000000001</v>
      </c>
      <c r="G31" s="84">
        <v>9.286999999999999</v>
      </c>
      <c r="H31" s="85">
        <v>7.1282437816302363E-2</v>
      </c>
      <c r="I31" s="85">
        <v>0.28039194573059117</v>
      </c>
      <c r="J31" s="87">
        <v>0.35167438354689351</v>
      </c>
      <c r="K31" s="83">
        <v>47</v>
      </c>
      <c r="L31" s="84">
        <v>0.71799999999999997</v>
      </c>
      <c r="M31" s="84">
        <v>11.266</v>
      </c>
      <c r="N31" s="86">
        <v>0.59599999999999997</v>
      </c>
      <c r="O31" s="84">
        <v>0.59599999999999997</v>
      </c>
      <c r="P31" s="84">
        <v>10.548</v>
      </c>
      <c r="Q31" s="85">
        <v>6.8069776260902534E-2</v>
      </c>
      <c r="R31" s="85">
        <v>5.6503602578687903E-2</v>
      </c>
      <c r="S31" s="87">
        <v>0.12457337883959044</v>
      </c>
      <c r="T31" s="83">
        <v>47</v>
      </c>
      <c r="U31" s="88">
        <v>0.69</v>
      </c>
      <c r="V31" s="88">
        <v>10.6075</v>
      </c>
      <c r="W31" s="88">
        <v>1.6</v>
      </c>
      <c r="X31" s="88">
        <v>1.6</v>
      </c>
      <c r="Y31" s="88">
        <v>9.9175000000000004</v>
      </c>
      <c r="Z31" s="29">
        <v>6.9676107038602442E-2</v>
      </c>
      <c r="AA31" s="29">
        <v>0.16844777415463955</v>
      </c>
      <c r="AB31" s="89">
        <v>0.23812388119324196</v>
      </c>
    </row>
    <row r="32" spans="2:28">
      <c r="B32" s="75">
        <v>48</v>
      </c>
      <c r="C32" s="76">
        <v>0.64300000000000002</v>
      </c>
      <c r="D32" s="76">
        <v>10.227</v>
      </c>
      <c r="E32" s="76">
        <v>2.6789999999999998</v>
      </c>
      <c r="F32" s="76">
        <v>2.6789999999999998</v>
      </c>
      <c r="G32" s="76">
        <v>9.5839999999999996</v>
      </c>
      <c r="H32" s="77">
        <v>6.7090984974958273E-2</v>
      </c>
      <c r="I32" s="77">
        <v>0.27952838063439062</v>
      </c>
      <c r="J32" s="78">
        <v>0.34661936560934892</v>
      </c>
      <c r="K32" s="75">
        <v>48</v>
      </c>
      <c r="L32" s="76">
        <v>0.68799999999999994</v>
      </c>
      <c r="M32" s="76">
        <v>11.561</v>
      </c>
      <c r="N32" s="79">
        <v>0.60699999999999998</v>
      </c>
      <c r="O32" s="76">
        <v>0.60699999999999998</v>
      </c>
      <c r="P32" s="76">
        <v>10.872999999999999</v>
      </c>
      <c r="Q32" s="77">
        <v>6.3276004782488737E-2</v>
      </c>
      <c r="R32" s="77">
        <v>5.5826358870596893E-2</v>
      </c>
      <c r="S32" s="78">
        <v>0.11910236365308563</v>
      </c>
      <c r="T32" s="75">
        <v>48</v>
      </c>
      <c r="U32" s="80">
        <v>0.66549999999999998</v>
      </c>
      <c r="V32" s="80">
        <v>10.894</v>
      </c>
      <c r="W32" s="80">
        <v>1.6429999999999998</v>
      </c>
      <c r="X32" s="80">
        <v>1.6429999999999998</v>
      </c>
      <c r="Y32" s="80">
        <v>10.2285</v>
      </c>
      <c r="Z32" s="81">
        <v>6.5183494878723505E-2</v>
      </c>
      <c r="AA32" s="81">
        <v>0.16767736975249375</v>
      </c>
      <c r="AB32" s="82">
        <v>0.23286086463121727</v>
      </c>
    </row>
    <row r="33" spans="2:28">
      <c r="B33" s="83">
        <v>49</v>
      </c>
      <c r="C33" s="84">
        <v>0.61899999999999999</v>
      </c>
      <c r="D33" s="84">
        <v>10.513999999999999</v>
      </c>
      <c r="E33" s="84">
        <v>2.7519999999999998</v>
      </c>
      <c r="F33" s="84">
        <v>2.7519999999999998</v>
      </c>
      <c r="G33" s="84">
        <v>9.8949999999999996</v>
      </c>
      <c r="H33" s="85">
        <v>6.2556846892369886E-2</v>
      </c>
      <c r="I33" s="85">
        <v>0.27812026275896917</v>
      </c>
      <c r="J33" s="87">
        <v>0.34067710965133907</v>
      </c>
      <c r="K33" s="83">
        <v>49</v>
      </c>
      <c r="L33" s="84">
        <v>0.65500000000000003</v>
      </c>
      <c r="M33" s="84">
        <v>11.865</v>
      </c>
      <c r="N33" s="86">
        <v>0.61599999999999999</v>
      </c>
      <c r="O33" s="84">
        <v>0.61599999999999999</v>
      </c>
      <c r="P33" s="84">
        <v>11.21</v>
      </c>
      <c r="Q33" s="85">
        <v>5.8429973238180194E-2</v>
      </c>
      <c r="R33" s="85">
        <v>5.4950936663693127E-2</v>
      </c>
      <c r="S33" s="87">
        <v>0.11338090990187333</v>
      </c>
      <c r="T33" s="83">
        <v>49</v>
      </c>
      <c r="U33" s="88">
        <v>0.63700000000000001</v>
      </c>
      <c r="V33" s="88">
        <v>11.189499999999999</v>
      </c>
      <c r="W33" s="88">
        <v>1.6839999999999999</v>
      </c>
      <c r="X33" s="88">
        <v>1.6839999999999999</v>
      </c>
      <c r="Y33" s="88">
        <v>10.5525</v>
      </c>
      <c r="Z33" s="29">
        <v>6.049341006527504E-2</v>
      </c>
      <c r="AA33" s="29">
        <v>0.16653559971133114</v>
      </c>
      <c r="AB33" s="89">
        <v>0.2270290097766062</v>
      </c>
    </row>
    <row r="34" spans="2:28">
      <c r="B34" s="75">
        <v>50</v>
      </c>
      <c r="C34" s="76">
        <v>0.59099999999999997</v>
      </c>
      <c r="D34" s="76">
        <v>10.808999999999999</v>
      </c>
      <c r="E34" s="76">
        <v>2.8239999999999998</v>
      </c>
      <c r="F34" s="76">
        <v>2.8239999999999998</v>
      </c>
      <c r="G34" s="76">
        <v>10.218</v>
      </c>
      <c r="H34" s="77">
        <v>5.7839107457428068E-2</v>
      </c>
      <c r="I34" s="77">
        <v>0.27637502446662748</v>
      </c>
      <c r="J34" s="78">
        <v>0.33421413192405558</v>
      </c>
      <c r="K34" s="75">
        <v>50</v>
      </c>
      <c r="L34" s="76">
        <v>0.61899999999999999</v>
      </c>
      <c r="M34" s="76">
        <v>12.178000000000001</v>
      </c>
      <c r="N34" s="79">
        <v>0.625</v>
      </c>
      <c r="O34" s="76">
        <v>0.625</v>
      </c>
      <c r="P34" s="76">
        <v>11.559000000000001</v>
      </c>
      <c r="Q34" s="77">
        <v>5.3551345272082357E-2</v>
      </c>
      <c r="R34" s="77">
        <v>5.4070421316722898E-2</v>
      </c>
      <c r="S34" s="78">
        <v>0.10762176658880526</v>
      </c>
      <c r="T34" s="75">
        <v>50</v>
      </c>
      <c r="U34" s="80">
        <v>0.60499999999999998</v>
      </c>
      <c r="V34" s="80">
        <v>11.493500000000001</v>
      </c>
      <c r="W34" s="80">
        <v>1.7244999999999999</v>
      </c>
      <c r="X34" s="80">
        <v>1.7244999999999999</v>
      </c>
      <c r="Y34" s="80">
        <v>10.888500000000001</v>
      </c>
      <c r="Z34" s="81">
        <v>5.5695226364755213E-2</v>
      </c>
      <c r="AA34" s="81">
        <v>0.16522272289167519</v>
      </c>
      <c r="AB34" s="82">
        <v>0.22091794925643043</v>
      </c>
    </row>
    <row r="35" spans="2:28">
      <c r="B35" s="83">
        <v>51</v>
      </c>
      <c r="C35" s="84">
        <v>0.55700000000000005</v>
      </c>
      <c r="D35" s="84">
        <v>11.115</v>
      </c>
      <c r="E35" s="84">
        <v>2.8929999999999998</v>
      </c>
      <c r="F35" s="84">
        <v>2.8929999999999998</v>
      </c>
      <c r="G35" s="84">
        <v>10.558</v>
      </c>
      <c r="H35" s="85">
        <v>5.2756203826482294E-2</v>
      </c>
      <c r="I35" s="85">
        <v>0.27401022921007767</v>
      </c>
      <c r="J35" s="87">
        <v>0.32676643303655994</v>
      </c>
      <c r="K35" s="83">
        <v>51</v>
      </c>
      <c r="L35" s="84">
        <v>0.57699999999999996</v>
      </c>
      <c r="M35" s="84">
        <v>12.499000000000001</v>
      </c>
      <c r="N35" s="86">
        <v>0.63200000000000001</v>
      </c>
      <c r="O35" s="84">
        <v>0.63200000000000001</v>
      </c>
      <c r="P35" s="84">
        <v>11.922000000000001</v>
      </c>
      <c r="Q35" s="85">
        <v>4.8397919812112056E-2</v>
      </c>
      <c r="R35" s="85">
        <v>5.3011239724878374E-2</v>
      </c>
      <c r="S35" s="87">
        <v>0.10140915953699042</v>
      </c>
      <c r="T35" s="83">
        <v>51</v>
      </c>
      <c r="U35" s="88">
        <v>0.56699999999999995</v>
      </c>
      <c r="V35" s="88">
        <v>11.807</v>
      </c>
      <c r="W35" s="88">
        <v>1.7625</v>
      </c>
      <c r="X35" s="88">
        <v>1.7625</v>
      </c>
      <c r="Y35" s="88">
        <v>11.24</v>
      </c>
      <c r="Z35" s="29">
        <v>5.0577061819297178E-2</v>
      </c>
      <c r="AA35" s="29">
        <v>0.16351073446747802</v>
      </c>
      <c r="AB35" s="89">
        <v>0.21408779628677518</v>
      </c>
    </row>
    <row r="36" spans="2:28">
      <c r="B36" s="75">
        <v>52</v>
      </c>
      <c r="C36" s="76">
        <v>0.51900000000000002</v>
      </c>
      <c r="D36" s="76">
        <v>11.43</v>
      </c>
      <c r="E36" s="76">
        <v>2.96</v>
      </c>
      <c r="F36" s="76">
        <v>2.96</v>
      </c>
      <c r="G36" s="76">
        <v>10.911</v>
      </c>
      <c r="H36" s="77">
        <v>4.7566675831729452E-2</v>
      </c>
      <c r="I36" s="77">
        <v>0.2712858583081294</v>
      </c>
      <c r="J36" s="78">
        <v>0.31885253413985887</v>
      </c>
      <c r="K36" s="75">
        <v>52</v>
      </c>
      <c r="L36" s="76">
        <v>0.53200000000000003</v>
      </c>
      <c r="M36" s="76">
        <v>12.829000000000001</v>
      </c>
      <c r="N36" s="79">
        <v>0.63800000000000001</v>
      </c>
      <c r="O36" s="76">
        <v>0.63800000000000001</v>
      </c>
      <c r="P36" s="76">
        <v>12.297000000000001</v>
      </c>
      <c r="Q36" s="77">
        <v>4.3262584370171588E-2</v>
      </c>
      <c r="R36" s="77">
        <v>5.1882572985280963E-2</v>
      </c>
      <c r="S36" s="78">
        <v>9.514515735545255E-2</v>
      </c>
      <c r="T36" s="75">
        <v>52</v>
      </c>
      <c r="U36" s="80">
        <v>0.52550000000000008</v>
      </c>
      <c r="V36" s="80">
        <v>12.1295</v>
      </c>
      <c r="W36" s="80">
        <v>1.7989999999999999</v>
      </c>
      <c r="X36" s="80">
        <v>1.7989999999999999</v>
      </c>
      <c r="Y36" s="80">
        <v>11.603999999999999</v>
      </c>
      <c r="Z36" s="81">
        <v>4.5414630100950523E-2</v>
      </c>
      <c r="AA36" s="81">
        <v>0.16158421564670519</v>
      </c>
      <c r="AB36" s="82">
        <v>0.2069988457476557</v>
      </c>
    </row>
    <row r="37" spans="2:28">
      <c r="B37" s="83">
        <v>53</v>
      </c>
      <c r="C37" s="84">
        <v>0.47599999999999998</v>
      </c>
      <c r="D37" s="84">
        <v>11.757</v>
      </c>
      <c r="E37" s="84">
        <v>3.024</v>
      </c>
      <c r="F37" s="84">
        <v>3.024</v>
      </c>
      <c r="G37" s="84">
        <v>11.280999999999999</v>
      </c>
      <c r="H37" s="85">
        <v>4.2194840882900451E-2</v>
      </c>
      <c r="I37" s="85">
        <v>0.26806134207960292</v>
      </c>
      <c r="J37" s="87">
        <v>0.31025618296250335</v>
      </c>
      <c r="K37" s="83">
        <v>53</v>
      </c>
      <c r="L37" s="84">
        <v>0.48199999999999998</v>
      </c>
      <c r="M37" s="84">
        <v>13.169</v>
      </c>
      <c r="N37" s="86">
        <v>0.64300000000000002</v>
      </c>
      <c r="O37" s="84">
        <v>0.64300000000000002</v>
      </c>
      <c r="P37" s="84">
        <v>12.687000000000001</v>
      </c>
      <c r="Q37" s="85">
        <v>3.7991644990935595E-2</v>
      </c>
      <c r="R37" s="85">
        <v>5.0681800267990851E-2</v>
      </c>
      <c r="S37" s="87">
        <v>8.8673445258926453E-2</v>
      </c>
      <c r="T37" s="83">
        <v>53</v>
      </c>
      <c r="U37" s="88">
        <v>0.47899999999999998</v>
      </c>
      <c r="V37" s="88">
        <v>12.463000000000001</v>
      </c>
      <c r="W37" s="88">
        <v>1.8334999999999999</v>
      </c>
      <c r="X37" s="88">
        <v>1.8334999999999999</v>
      </c>
      <c r="Y37" s="88">
        <v>11.984</v>
      </c>
      <c r="Z37" s="29">
        <v>4.0093242936918023E-2</v>
      </c>
      <c r="AA37" s="29">
        <v>0.15937157117379688</v>
      </c>
      <c r="AB37" s="89">
        <v>0.1994648141107149</v>
      </c>
    </row>
    <row r="38" spans="2:28">
      <c r="B38" s="75">
        <v>54</v>
      </c>
      <c r="C38" s="76">
        <v>0.42799999999999999</v>
      </c>
      <c r="D38" s="76">
        <v>12.093999999999999</v>
      </c>
      <c r="E38" s="76">
        <v>3.0859999999999999</v>
      </c>
      <c r="F38" s="76">
        <v>3.0859999999999999</v>
      </c>
      <c r="G38" s="76">
        <v>11.665999999999999</v>
      </c>
      <c r="H38" s="77">
        <v>3.6687810732041838E-2</v>
      </c>
      <c r="I38" s="77">
        <v>0.26452940168009603</v>
      </c>
      <c r="J38" s="78">
        <v>0.30121721241213789</v>
      </c>
      <c r="K38" s="75">
        <v>54</v>
      </c>
      <c r="L38" s="76">
        <v>0.42699999999999999</v>
      </c>
      <c r="M38" s="76">
        <v>13.519</v>
      </c>
      <c r="N38" s="79">
        <v>0.64700000000000002</v>
      </c>
      <c r="O38" s="76">
        <v>0.64700000000000002</v>
      </c>
      <c r="P38" s="76">
        <v>13.092000000000001</v>
      </c>
      <c r="Q38" s="77">
        <v>3.2615337610754656E-2</v>
      </c>
      <c r="R38" s="77">
        <v>4.9419492820042772E-2</v>
      </c>
      <c r="S38" s="78">
        <v>8.2034830430797429E-2</v>
      </c>
      <c r="T38" s="75">
        <v>54</v>
      </c>
      <c r="U38" s="80">
        <v>0.42749999999999999</v>
      </c>
      <c r="V38" s="80">
        <v>12.8065</v>
      </c>
      <c r="W38" s="80">
        <v>1.8664999999999998</v>
      </c>
      <c r="X38" s="80">
        <v>1.8664999999999998</v>
      </c>
      <c r="Y38" s="80">
        <v>12.379</v>
      </c>
      <c r="Z38" s="81">
        <v>3.4651574171398247E-2</v>
      </c>
      <c r="AA38" s="81">
        <v>0.1569744472500694</v>
      </c>
      <c r="AB38" s="82">
        <v>0.19162602142146767</v>
      </c>
    </row>
    <row r="39" spans="2:28">
      <c r="B39" s="83">
        <v>55</v>
      </c>
      <c r="C39" s="84">
        <v>0.375</v>
      </c>
      <c r="D39" s="84">
        <v>12.444000000000001</v>
      </c>
      <c r="E39" s="84">
        <v>3.1459999999999999</v>
      </c>
      <c r="F39" s="84">
        <v>3.1459999999999999</v>
      </c>
      <c r="G39" s="84">
        <v>12.069000000000001</v>
      </c>
      <c r="H39" s="85">
        <v>3.107133979617201E-2</v>
      </c>
      <c r="I39" s="85">
        <v>0.26066782666335236</v>
      </c>
      <c r="J39" s="87">
        <v>0.29173916645952436</v>
      </c>
      <c r="K39" s="83">
        <v>55</v>
      </c>
      <c r="L39" s="84">
        <v>0.36799999999999999</v>
      </c>
      <c r="M39" s="84">
        <v>13.88</v>
      </c>
      <c r="N39" s="86">
        <v>0.64900000000000002</v>
      </c>
      <c r="O39" s="84">
        <v>0.64900000000000002</v>
      </c>
      <c r="P39" s="84">
        <v>13.512</v>
      </c>
      <c r="Q39" s="85">
        <v>2.7235050325636469E-2</v>
      </c>
      <c r="R39" s="85">
        <v>4.8031379514505625E-2</v>
      </c>
      <c r="S39" s="87">
        <v>7.5266429840142091E-2</v>
      </c>
      <c r="T39" s="83">
        <v>55</v>
      </c>
      <c r="U39" s="88">
        <v>0.3715</v>
      </c>
      <c r="V39" s="88">
        <v>13.162000000000001</v>
      </c>
      <c r="W39" s="88">
        <v>1.8975</v>
      </c>
      <c r="X39" s="88">
        <v>1.8975</v>
      </c>
      <c r="Y39" s="88">
        <v>12.790500000000002</v>
      </c>
      <c r="Z39" s="29">
        <v>2.915319506090424E-2</v>
      </c>
      <c r="AA39" s="29">
        <v>0.154349603088929</v>
      </c>
      <c r="AB39" s="89">
        <v>0.18350279814983322</v>
      </c>
    </row>
    <row r="40" spans="2:28">
      <c r="B40" s="75">
        <v>56</v>
      </c>
      <c r="C40" s="76">
        <v>0.317</v>
      </c>
      <c r="D40" s="76">
        <v>12.805999999999999</v>
      </c>
      <c r="E40" s="76">
        <v>3.2050000000000001</v>
      </c>
      <c r="F40" s="76">
        <v>3.2050000000000001</v>
      </c>
      <c r="G40" s="76">
        <v>12.488999999999999</v>
      </c>
      <c r="H40" s="77">
        <v>2.5382336456081355E-2</v>
      </c>
      <c r="I40" s="77">
        <v>0.25662583073104334</v>
      </c>
      <c r="J40" s="78">
        <v>0.28200816718712468</v>
      </c>
      <c r="K40" s="75">
        <v>56</v>
      </c>
      <c r="L40" s="76">
        <v>0.30499999999999999</v>
      </c>
      <c r="M40" s="76">
        <v>14.252000000000001</v>
      </c>
      <c r="N40" s="79">
        <v>0.65100000000000002</v>
      </c>
      <c r="O40" s="76">
        <v>0.65100000000000002</v>
      </c>
      <c r="P40" s="76">
        <v>13.947000000000001</v>
      </c>
      <c r="Q40" s="77">
        <v>2.1868502186850217E-2</v>
      </c>
      <c r="R40" s="77">
        <v>4.6676704667670467E-2</v>
      </c>
      <c r="S40" s="78">
        <v>6.8545206854520688E-2</v>
      </c>
      <c r="T40" s="75">
        <v>56</v>
      </c>
      <c r="U40" s="80">
        <v>0.311</v>
      </c>
      <c r="V40" s="80">
        <v>13.529</v>
      </c>
      <c r="W40" s="80">
        <v>1.9279999999999999</v>
      </c>
      <c r="X40" s="80">
        <v>1.9279999999999999</v>
      </c>
      <c r="Y40" s="80">
        <v>13.218</v>
      </c>
      <c r="Z40" s="81">
        <v>2.3625419321465786E-2</v>
      </c>
      <c r="AA40" s="81">
        <v>0.15165126769935691</v>
      </c>
      <c r="AB40" s="82">
        <v>0.17527668702082269</v>
      </c>
    </row>
    <row r="41" spans="2:28">
      <c r="B41" s="83">
        <v>57</v>
      </c>
      <c r="C41" s="84">
        <v>0.25600000000000001</v>
      </c>
      <c r="D41" s="84">
        <v>13.180999999999999</v>
      </c>
      <c r="E41" s="84">
        <v>3.262</v>
      </c>
      <c r="F41" s="84">
        <v>3.262</v>
      </c>
      <c r="G41" s="84">
        <v>12.924999999999999</v>
      </c>
      <c r="H41" s="85">
        <v>1.9806576402321086E-2</v>
      </c>
      <c r="I41" s="85">
        <v>0.25237911025145071</v>
      </c>
      <c r="J41" s="87">
        <v>0.2721856866537718</v>
      </c>
      <c r="K41" s="83">
        <v>57</v>
      </c>
      <c r="L41" s="84">
        <v>0.24</v>
      </c>
      <c r="M41" s="84">
        <v>14.638</v>
      </c>
      <c r="N41" s="86">
        <v>0.65100000000000002</v>
      </c>
      <c r="O41" s="84">
        <v>0.65100000000000002</v>
      </c>
      <c r="P41" s="84">
        <v>14.398</v>
      </c>
      <c r="Q41" s="85">
        <v>1.6668981803028199E-2</v>
      </c>
      <c r="R41" s="85">
        <v>4.521461314071399E-2</v>
      </c>
      <c r="S41" s="87">
        <v>6.1883594943742189E-2</v>
      </c>
      <c r="T41" s="83">
        <v>57</v>
      </c>
      <c r="U41" s="88">
        <v>0.248</v>
      </c>
      <c r="V41" s="88">
        <v>13.9095</v>
      </c>
      <c r="W41" s="88">
        <v>1.9565000000000001</v>
      </c>
      <c r="X41" s="88">
        <v>1.9565000000000001</v>
      </c>
      <c r="Y41" s="88">
        <v>13.6615</v>
      </c>
      <c r="Z41" s="29">
        <v>1.8237779102674642E-2</v>
      </c>
      <c r="AA41" s="29">
        <v>0.14879686169608236</v>
      </c>
      <c r="AB41" s="89">
        <v>0.16703464079875699</v>
      </c>
    </row>
    <row r="42" spans="2:28">
      <c r="B42" s="75">
        <v>58</v>
      </c>
      <c r="C42" s="76">
        <v>0.19500000000000001</v>
      </c>
      <c r="D42" s="76">
        <v>13.573</v>
      </c>
      <c r="E42" s="76">
        <v>3.3210000000000002</v>
      </c>
      <c r="F42" s="76">
        <v>3.3210000000000002</v>
      </c>
      <c r="G42" s="76">
        <v>13.378</v>
      </c>
      <c r="H42" s="77">
        <v>1.457616983106593E-2</v>
      </c>
      <c r="I42" s="77">
        <v>0.24824338466138438</v>
      </c>
      <c r="J42" s="78">
        <v>0.26281955449245031</v>
      </c>
      <c r="K42" s="75">
        <v>58</v>
      </c>
      <c r="L42" s="76">
        <v>0.17699999999999999</v>
      </c>
      <c r="M42" s="76">
        <v>15.04</v>
      </c>
      <c r="N42" s="79">
        <v>0.65200000000000002</v>
      </c>
      <c r="O42" s="76">
        <v>0.65200000000000002</v>
      </c>
      <c r="P42" s="76">
        <v>14.863</v>
      </c>
      <c r="Q42" s="77">
        <v>1.190876673619054E-2</v>
      </c>
      <c r="R42" s="77">
        <v>4.3867321536701878E-2</v>
      </c>
      <c r="S42" s="78">
        <v>5.5776088272892418E-2</v>
      </c>
      <c r="T42" s="75">
        <v>58</v>
      </c>
      <c r="U42" s="80">
        <v>0.186</v>
      </c>
      <c r="V42" s="80">
        <v>14.3065</v>
      </c>
      <c r="W42" s="80">
        <v>1.9865000000000002</v>
      </c>
      <c r="X42" s="80">
        <v>1.9865000000000002</v>
      </c>
      <c r="Y42" s="80">
        <v>14.1205</v>
      </c>
      <c r="Z42" s="81">
        <v>1.3242468283628236E-2</v>
      </c>
      <c r="AA42" s="81">
        <v>0.14605535309904313</v>
      </c>
      <c r="AB42" s="82">
        <v>0.15929782138267137</v>
      </c>
    </row>
    <row r="43" spans="2:28">
      <c r="B43" s="83">
        <v>59</v>
      </c>
      <c r="C43" s="84">
        <v>0.13600000000000001</v>
      </c>
      <c r="D43" s="84">
        <v>13.983000000000001</v>
      </c>
      <c r="E43" s="84">
        <v>3.38</v>
      </c>
      <c r="F43" s="84">
        <v>3.38</v>
      </c>
      <c r="G43" s="84">
        <v>13.847000000000001</v>
      </c>
      <c r="H43" s="85">
        <v>9.8216220119881556E-3</v>
      </c>
      <c r="I43" s="85">
        <v>0.24409619412147032</v>
      </c>
      <c r="J43" s="87">
        <v>0.25391781613345848</v>
      </c>
      <c r="K43" s="83">
        <v>59</v>
      </c>
      <c r="L43" s="84">
        <v>0.12</v>
      </c>
      <c r="M43" s="84">
        <v>15.464</v>
      </c>
      <c r="N43" s="86">
        <v>0.65200000000000002</v>
      </c>
      <c r="O43" s="84">
        <v>0.65200000000000002</v>
      </c>
      <c r="P43" s="84">
        <v>15.344000000000001</v>
      </c>
      <c r="Q43" s="85">
        <v>7.8206465067778928E-3</v>
      </c>
      <c r="R43" s="85">
        <v>4.2492179353493219E-2</v>
      </c>
      <c r="S43" s="87">
        <v>5.031282586027111E-2</v>
      </c>
      <c r="T43" s="83">
        <v>59</v>
      </c>
      <c r="U43" s="88">
        <v>0.128</v>
      </c>
      <c r="V43" s="88">
        <v>14.723500000000001</v>
      </c>
      <c r="W43" s="88">
        <v>2.016</v>
      </c>
      <c r="X43" s="88">
        <v>2.016</v>
      </c>
      <c r="Y43" s="88">
        <v>14.595500000000001</v>
      </c>
      <c r="Z43" s="29">
        <v>8.8211342593830233E-3</v>
      </c>
      <c r="AA43" s="29">
        <v>0.14329418673748176</v>
      </c>
      <c r="AB43" s="89">
        <v>0.15211532099686481</v>
      </c>
    </row>
    <row r="44" spans="2:28">
      <c r="B44" s="75">
        <v>60</v>
      </c>
      <c r="C44" s="76">
        <v>8.5000000000000006E-2</v>
      </c>
      <c r="D44" s="76">
        <v>14.414999999999999</v>
      </c>
      <c r="E44" s="76">
        <v>3.4420000000000002</v>
      </c>
      <c r="F44" s="76">
        <v>3.4420000000000002</v>
      </c>
      <c r="G44" s="76">
        <v>14.329999999999998</v>
      </c>
      <c r="H44" s="77">
        <v>5.9316120027913481E-3</v>
      </c>
      <c r="I44" s="77">
        <v>0.24019539427773906</v>
      </c>
      <c r="J44" s="78">
        <v>0.24612700628053041</v>
      </c>
      <c r="K44" s="75">
        <v>60</v>
      </c>
      <c r="L44" s="76">
        <v>7.1999999999999995E-2</v>
      </c>
      <c r="M44" s="76">
        <v>15.912000000000001</v>
      </c>
      <c r="N44" s="79">
        <v>0.65200000000000002</v>
      </c>
      <c r="O44" s="76">
        <v>0.65200000000000002</v>
      </c>
      <c r="P44" s="76">
        <v>15.840000000000002</v>
      </c>
      <c r="Q44" s="77">
        <v>4.5454545454545444E-3</v>
      </c>
      <c r="R44" s="77">
        <v>4.1161616161616156E-2</v>
      </c>
      <c r="S44" s="78">
        <v>4.5707070707070703E-2</v>
      </c>
      <c r="T44" s="75">
        <v>60</v>
      </c>
      <c r="U44" s="80">
        <v>7.85E-2</v>
      </c>
      <c r="V44" s="80">
        <v>15.163499999999999</v>
      </c>
      <c r="W44" s="80">
        <v>2.0470000000000002</v>
      </c>
      <c r="X44" s="80">
        <v>2.0470000000000002</v>
      </c>
      <c r="Y44" s="80">
        <v>15.085000000000001</v>
      </c>
      <c r="Z44" s="81">
        <v>5.2385332741229466E-3</v>
      </c>
      <c r="AA44" s="81">
        <v>0.14067850521967762</v>
      </c>
      <c r="AB44" s="82">
        <v>0.14591703849380055</v>
      </c>
    </row>
    <row r="45" spans="2:28">
      <c r="B45" s="83">
        <v>61</v>
      </c>
      <c r="C45" s="84">
        <v>4.4999999999999998E-2</v>
      </c>
      <c r="D45" s="84">
        <v>14.874000000000001</v>
      </c>
      <c r="E45" s="84">
        <v>3.5070000000000001</v>
      </c>
      <c r="F45" s="84">
        <v>3.5070000000000001</v>
      </c>
      <c r="G45" s="84">
        <v>14.829000000000001</v>
      </c>
      <c r="H45" s="85">
        <v>3.0345943758850898E-3</v>
      </c>
      <c r="I45" s="85">
        <v>0.23649605502731136</v>
      </c>
      <c r="J45" s="87">
        <v>0.23953064940319646</v>
      </c>
      <c r="K45" s="83">
        <v>61</v>
      </c>
      <c r="L45" s="84">
        <v>3.5999999999999997E-2</v>
      </c>
      <c r="M45" s="84">
        <v>16.39</v>
      </c>
      <c r="N45" s="86">
        <v>0.65200000000000002</v>
      </c>
      <c r="O45" s="84">
        <v>0.65200000000000002</v>
      </c>
      <c r="P45" s="84">
        <v>16.353999999999999</v>
      </c>
      <c r="Q45" s="85">
        <v>2.2012963189433775E-3</v>
      </c>
      <c r="R45" s="85">
        <v>3.9867922220863404E-2</v>
      </c>
      <c r="S45" s="87">
        <v>4.2069218539806781E-2</v>
      </c>
      <c r="T45" s="83">
        <v>61</v>
      </c>
      <c r="U45" s="88">
        <v>4.0499999999999994E-2</v>
      </c>
      <c r="V45" s="88">
        <v>15.632000000000001</v>
      </c>
      <c r="W45" s="88">
        <v>2.0794999999999999</v>
      </c>
      <c r="X45" s="88">
        <v>2.0794999999999999</v>
      </c>
      <c r="Y45" s="88">
        <v>15.5915</v>
      </c>
      <c r="Z45" s="29">
        <v>2.6179453474142337E-3</v>
      </c>
      <c r="AA45" s="29">
        <v>0.13818198862408737</v>
      </c>
      <c r="AB45" s="89">
        <v>0.14079993397150162</v>
      </c>
    </row>
    <row r="46" spans="2:28">
      <c r="B46" s="75">
        <v>62</v>
      </c>
      <c r="C46" s="76">
        <v>1.7999999999999999E-2</v>
      </c>
      <c r="D46" s="76">
        <v>15.363</v>
      </c>
      <c r="E46" s="76">
        <v>3.5579999999999998</v>
      </c>
      <c r="F46" s="76">
        <v>3.5579999999999998</v>
      </c>
      <c r="G46" s="76">
        <v>15.344999999999999</v>
      </c>
      <c r="H46" s="77">
        <v>1.1730205278592375E-3</v>
      </c>
      <c r="I46" s="77">
        <v>0.23186705767350929</v>
      </c>
      <c r="J46" s="78">
        <v>0.23304007820136852</v>
      </c>
      <c r="K46" s="75">
        <v>62</v>
      </c>
      <c r="L46" s="76">
        <v>1.4E-2</v>
      </c>
      <c r="M46" s="76">
        <v>16.899000000000001</v>
      </c>
      <c r="N46" s="79">
        <v>0.64900000000000002</v>
      </c>
      <c r="O46" s="76">
        <v>0.64900000000000002</v>
      </c>
      <c r="P46" s="76">
        <v>16.885000000000002</v>
      </c>
      <c r="Q46" s="77">
        <v>8.2913828842167596E-4</v>
      </c>
      <c r="R46" s="77">
        <v>3.8436482084690554E-2</v>
      </c>
      <c r="S46" s="78">
        <v>3.926562037311223E-2</v>
      </c>
      <c r="T46" s="75">
        <v>62</v>
      </c>
      <c r="U46" s="80">
        <v>1.6E-2</v>
      </c>
      <c r="V46" s="80">
        <v>16.131</v>
      </c>
      <c r="W46" s="80">
        <v>2.1034999999999999</v>
      </c>
      <c r="X46" s="80">
        <v>2.1034999999999999</v>
      </c>
      <c r="Y46" s="80">
        <v>16.115000000000002</v>
      </c>
      <c r="Z46" s="81">
        <v>1.0010794081404567E-3</v>
      </c>
      <c r="AA46" s="81">
        <v>0.13515176987909994</v>
      </c>
      <c r="AB46" s="82">
        <v>0.13615284928724036</v>
      </c>
    </row>
    <row r="47" spans="2:28">
      <c r="B47" s="83">
        <v>63</v>
      </c>
      <c r="C47" s="84">
        <v>4.0000000000000001E-3</v>
      </c>
      <c r="D47" s="84">
        <v>15.882999999999999</v>
      </c>
      <c r="E47" s="84">
        <v>3.609</v>
      </c>
      <c r="F47" s="84">
        <v>3.609</v>
      </c>
      <c r="G47" s="84">
        <v>15.879</v>
      </c>
      <c r="H47" s="85">
        <v>2.5190503180301028E-4</v>
      </c>
      <c r="I47" s="85">
        <v>0.22728131494426601</v>
      </c>
      <c r="J47" s="87">
        <v>0.22753321997606901</v>
      </c>
      <c r="K47" s="83">
        <v>63</v>
      </c>
      <c r="L47" s="84">
        <v>3.0000000000000001E-3</v>
      </c>
      <c r="M47" s="84">
        <v>17.439</v>
      </c>
      <c r="N47" s="86">
        <v>0.64600000000000002</v>
      </c>
      <c r="O47" s="84">
        <v>0.64600000000000002</v>
      </c>
      <c r="P47" s="84">
        <v>17.436</v>
      </c>
      <c r="Q47" s="85">
        <v>1.7205781142463867E-4</v>
      </c>
      <c r="R47" s="85">
        <v>3.7049782060105528E-2</v>
      </c>
      <c r="S47" s="87">
        <v>3.7221839871530167E-2</v>
      </c>
      <c r="T47" s="83">
        <v>63</v>
      </c>
      <c r="U47" s="88">
        <v>3.5000000000000001E-3</v>
      </c>
      <c r="V47" s="88">
        <v>16.661000000000001</v>
      </c>
      <c r="W47" s="88">
        <v>2.1274999999999999</v>
      </c>
      <c r="X47" s="88">
        <v>2.1274999999999999</v>
      </c>
      <c r="Y47" s="88">
        <v>16.657499999999999</v>
      </c>
      <c r="Z47" s="29">
        <v>2.1198142161382448E-4</v>
      </c>
      <c r="AA47" s="29">
        <v>0.13216554850218576</v>
      </c>
      <c r="AB47" s="89">
        <v>0.13237752992379959</v>
      </c>
    </row>
    <row r="48" spans="2:28" s="43" customFormat="1">
      <c r="B48" s="90">
        <v>64</v>
      </c>
      <c r="C48" s="91">
        <v>0</v>
      </c>
      <c r="D48" s="91">
        <v>16.437999999999999</v>
      </c>
      <c r="E48" s="91">
        <v>3.6579999999999999</v>
      </c>
      <c r="F48" s="91">
        <v>3.6579999999999999</v>
      </c>
      <c r="G48" s="91">
        <v>16.437999999999999</v>
      </c>
      <c r="H48" s="92">
        <v>0</v>
      </c>
      <c r="I48" s="92">
        <v>0.22253315488502251</v>
      </c>
      <c r="J48" s="93">
        <v>0.22253315488502251</v>
      </c>
      <c r="K48" s="90">
        <v>64</v>
      </c>
      <c r="L48" s="91">
        <v>0</v>
      </c>
      <c r="M48" s="91">
        <v>18.010999999999999</v>
      </c>
      <c r="N48" s="94">
        <v>0.64100000000000001</v>
      </c>
      <c r="O48" s="91">
        <v>0.64100000000000001</v>
      </c>
      <c r="P48" s="91">
        <v>18.010999999999999</v>
      </c>
      <c r="Q48" s="92">
        <v>0</v>
      </c>
      <c r="R48" s="92">
        <v>3.5589362056521016E-2</v>
      </c>
      <c r="S48" s="93">
        <v>3.5589362056521016E-2</v>
      </c>
      <c r="T48" s="90">
        <v>64</v>
      </c>
      <c r="U48" s="95">
        <v>0</v>
      </c>
      <c r="V48" s="95">
        <v>17.224499999999999</v>
      </c>
      <c r="W48" s="95">
        <v>2.1494999999999997</v>
      </c>
      <c r="X48" s="95">
        <v>2.1494999999999997</v>
      </c>
      <c r="Y48" s="95">
        <v>17.224499999999999</v>
      </c>
      <c r="Z48" s="96">
        <v>0</v>
      </c>
      <c r="AA48" s="96">
        <v>0.12906125847077177</v>
      </c>
      <c r="AB48" s="97">
        <v>0.12906125847077177</v>
      </c>
    </row>
    <row r="49" spans="2:28">
      <c r="B49" s="83">
        <v>65</v>
      </c>
      <c r="C49" s="84">
        <v>0</v>
      </c>
      <c r="D49" s="84">
        <v>16.053000000000001</v>
      </c>
      <c r="E49" s="84">
        <v>3.6680000000000001</v>
      </c>
      <c r="F49" s="84">
        <v>3.6680000000000001</v>
      </c>
      <c r="G49" s="84">
        <v>16.053000000000001</v>
      </c>
      <c r="H49" s="85">
        <v>0</v>
      </c>
      <c r="I49" s="85">
        <v>0.2284931165514234</v>
      </c>
      <c r="J49" s="87">
        <v>0.2284931165514234</v>
      </c>
      <c r="K49" s="83">
        <v>65</v>
      </c>
      <c r="L49" s="84">
        <v>0</v>
      </c>
      <c r="M49" s="84">
        <v>17.669</v>
      </c>
      <c r="N49" s="86">
        <v>0.64900000000000002</v>
      </c>
      <c r="O49" s="84">
        <v>0.64900000000000002</v>
      </c>
      <c r="P49" s="84">
        <v>17.669</v>
      </c>
      <c r="Q49" s="85">
        <v>0</v>
      </c>
      <c r="R49" s="85">
        <v>3.6730997792744358E-2</v>
      </c>
      <c r="S49" s="87">
        <v>3.6730997792744358E-2</v>
      </c>
      <c r="T49" s="83">
        <v>65</v>
      </c>
      <c r="U49" s="88">
        <v>0</v>
      </c>
      <c r="V49" s="88">
        <v>16.861000000000001</v>
      </c>
      <c r="W49" s="88">
        <v>2.1585000000000001</v>
      </c>
      <c r="X49" s="88">
        <v>2.1585000000000001</v>
      </c>
      <c r="Y49" s="88">
        <v>16.861000000000001</v>
      </c>
      <c r="Z49" s="98">
        <v>0</v>
      </c>
      <c r="AA49" s="98">
        <v>0.13261205717208388</v>
      </c>
      <c r="AB49" s="99">
        <v>0.13261205717208388</v>
      </c>
    </row>
    <row r="50" spans="2:28">
      <c r="B50" s="75">
        <v>66</v>
      </c>
      <c r="C50" s="76"/>
      <c r="D50" s="76">
        <v>15.661</v>
      </c>
      <c r="E50" s="76">
        <v>3.6739999999999999</v>
      </c>
      <c r="F50" s="76">
        <v>3.6739999999999999</v>
      </c>
      <c r="G50" s="76">
        <v>15.661</v>
      </c>
      <c r="H50" s="77">
        <v>0</v>
      </c>
      <c r="I50" s="77">
        <v>0.23459549198646318</v>
      </c>
      <c r="J50" s="78">
        <v>0.23459549198646318</v>
      </c>
      <c r="K50" s="75">
        <v>66</v>
      </c>
      <c r="L50" s="76">
        <v>0</v>
      </c>
      <c r="M50" s="76">
        <v>17.274000000000001</v>
      </c>
      <c r="N50" s="79">
        <v>0.63</v>
      </c>
      <c r="O50" s="76">
        <v>0.63</v>
      </c>
      <c r="P50" s="76">
        <v>17.274000000000001</v>
      </c>
      <c r="Q50" s="77">
        <v>0</v>
      </c>
      <c r="R50" s="77">
        <v>3.647099687391455E-2</v>
      </c>
      <c r="S50" s="78">
        <v>3.647099687391455E-2</v>
      </c>
      <c r="T50" s="75">
        <v>66</v>
      </c>
      <c r="U50" s="80">
        <v>0</v>
      </c>
      <c r="V50" s="80">
        <v>16.467500000000001</v>
      </c>
      <c r="W50" s="80">
        <v>2.1520000000000001</v>
      </c>
      <c r="X50" s="80">
        <v>2.1520000000000001</v>
      </c>
      <c r="Y50" s="80">
        <v>16.467500000000001</v>
      </c>
      <c r="Z50" s="81">
        <v>0</v>
      </c>
      <c r="AA50" s="81">
        <v>0.13553324443018885</v>
      </c>
      <c r="AB50" s="82">
        <v>0.13553324443018885</v>
      </c>
    </row>
    <row r="51" spans="2:28">
      <c r="B51" s="83">
        <v>67</v>
      </c>
      <c r="C51" s="84"/>
      <c r="D51" s="84">
        <v>15.260999999999999</v>
      </c>
      <c r="E51" s="84">
        <v>3.6779999999999999</v>
      </c>
      <c r="F51" s="84">
        <v>3.6779999999999999</v>
      </c>
      <c r="G51" s="84">
        <v>15.260999999999999</v>
      </c>
      <c r="H51" s="85">
        <v>0</v>
      </c>
      <c r="I51" s="85">
        <v>0.24100648712404169</v>
      </c>
      <c r="J51" s="87">
        <v>0.24100648712404169</v>
      </c>
      <c r="K51" s="83">
        <v>67</v>
      </c>
      <c r="L51" s="84">
        <v>0</v>
      </c>
      <c r="M51" s="84">
        <v>16.867000000000001</v>
      </c>
      <c r="N51" s="86">
        <v>0.61</v>
      </c>
      <c r="O51" s="84">
        <v>0.61</v>
      </c>
      <c r="P51" s="84">
        <v>16.867000000000001</v>
      </c>
      <c r="Q51" s="85">
        <v>0</v>
      </c>
      <c r="R51" s="85">
        <v>3.6165293176024189E-2</v>
      </c>
      <c r="S51" s="87">
        <v>3.6165293176024189E-2</v>
      </c>
      <c r="T51" s="83">
        <v>67</v>
      </c>
      <c r="U51" s="88">
        <v>0</v>
      </c>
      <c r="V51" s="88">
        <v>16.064</v>
      </c>
      <c r="W51" s="88">
        <v>2.1440000000000001</v>
      </c>
      <c r="X51" s="88">
        <v>2.1440000000000001</v>
      </c>
      <c r="Y51" s="88">
        <v>16.064</v>
      </c>
      <c r="Z51" s="29">
        <v>0</v>
      </c>
      <c r="AA51" s="29">
        <v>0.13858589015003295</v>
      </c>
      <c r="AB51" s="89">
        <v>0.13858589015003295</v>
      </c>
    </row>
    <row r="52" spans="2:28">
      <c r="B52" s="75">
        <v>68</v>
      </c>
      <c r="C52" s="76"/>
      <c r="D52" s="76">
        <v>14.851000000000001</v>
      </c>
      <c r="E52" s="76">
        <v>3.68</v>
      </c>
      <c r="F52" s="76">
        <v>3.68</v>
      </c>
      <c r="G52" s="76">
        <v>14.851000000000001</v>
      </c>
      <c r="H52" s="77">
        <v>0</v>
      </c>
      <c r="I52" s="77">
        <v>0.24779476129553565</v>
      </c>
      <c r="J52" s="78">
        <v>0.24779476129553565</v>
      </c>
      <c r="K52" s="75">
        <v>68</v>
      </c>
      <c r="L52" s="76">
        <v>0</v>
      </c>
      <c r="M52" s="76">
        <v>16.448</v>
      </c>
      <c r="N52" s="79">
        <v>0.59099999999999997</v>
      </c>
      <c r="O52" s="76">
        <v>0.59099999999999997</v>
      </c>
      <c r="P52" s="76">
        <v>16.448</v>
      </c>
      <c r="Q52" s="77">
        <v>0</v>
      </c>
      <c r="R52" s="77">
        <v>3.5931420233463032E-2</v>
      </c>
      <c r="S52" s="78">
        <v>3.5931420233463032E-2</v>
      </c>
      <c r="T52" s="75">
        <v>68</v>
      </c>
      <c r="U52" s="80">
        <v>0</v>
      </c>
      <c r="V52" s="80">
        <v>15.6495</v>
      </c>
      <c r="W52" s="80">
        <v>2.1355</v>
      </c>
      <c r="X52" s="80">
        <v>2.1355</v>
      </c>
      <c r="Y52" s="80">
        <v>15.6495</v>
      </c>
      <c r="Z52" s="81">
        <v>0</v>
      </c>
      <c r="AA52" s="81">
        <v>0.14186309076449935</v>
      </c>
      <c r="AB52" s="82">
        <v>0.14186309076449935</v>
      </c>
    </row>
    <row r="53" spans="2:28">
      <c r="B53" s="83">
        <v>69</v>
      </c>
      <c r="C53" s="84"/>
      <c r="D53" s="84">
        <v>14.432</v>
      </c>
      <c r="E53" s="84">
        <v>3.681</v>
      </c>
      <c r="F53" s="84">
        <v>3.681</v>
      </c>
      <c r="G53" s="84">
        <v>14.432</v>
      </c>
      <c r="H53" s="85">
        <v>0</v>
      </c>
      <c r="I53" s="85">
        <v>0.25505820399113083</v>
      </c>
      <c r="J53" s="87">
        <v>0.25505820399113083</v>
      </c>
      <c r="K53" s="83">
        <v>69</v>
      </c>
      <c r="L53" s="84">
        <v>0</v>
      </c>
      <c r="M53" s="84">
        <v>16.016999999999999</v>
      </c>
      <c r="N53" s="86">
        <v>0.57199999999999995</v>
      </c>
      <c r="O53" s="84">
        <v>0.57199999999999995</v>
      </c>
      <c r="P53" s="84">
        <v>16.016999999999999</v>
      </c>
      <c r="Q53" s="85">
        <v>0</v>
      </c>
      <c r="R53" s="85">
        <v>3.5712055940563148E-2</v>
      </c>
      <c r="S53" s="87">
        <v>3.5712055940563148E-2</v>
      </c>
      <c r="T53" s="83">
        <v>69</v>
      </c>
      <c r="U53" s="88">
        <v>0</v>
      </c>
      <c r="V53" s="88">
        <v>15.224499999999999</v>
      </c>
      <c r="W53" s="88">
        <v>2.1265000000000001</v>
      </c>
      <c r="X53" s="88">
        <v>2.1265000000000001</v>
      </c>
      <c r="Y53" s="88">
        <v>15.224499999999999</v>
      </c>
      <c r="Z53" s="29">
        <v>0</v>
      </c>
      <c r="AA53" s="29">
        <v>0.14538512996584699</v>
      </c>
      <c r="AB53" s="89">
        <v>0.14538512996584699</v>
      </c>
    </row>
    <row r="54" spans="2:28">
      <c r="B54" s="75">
        <v>70</v>
      </c>
      <c r="C54" s="76"/>
      <c r="D54" s="76">
        <v>14.002000000000001</v>
      </c>
      <c r="E54" s="76">
        <v>3.6789999999999998</v>
      </c>
      <c r="F54" s="76">
        <v>3.6789999999999998</v>
      </c>
      <c r="G54" s="76">
        <v>14.002000000000001</v>
      </c>
      <c r="H54" s="77">
        <v>0</v>
      </c>
      <c r="I54" s="77">
        <v>0.26274817883159546</v>
      </c>
      <c r="J54" s="78">
        <v>0.26274817883159546</v>
      </c>
      <c r="K54" s="75">
        <v>70</v>
      </c>
      <c r="L54" s="76">
        <v>0</v>
      </c>
      <c r="M54" s="76">
        <v>15.574</v>
      </c>
      <c r="N54" s="79">
        <v>0.55100000000000005</v>
      </c>
      <c r="O54" s="76">
        <v>0.55100000000000005</v>
      </c>
      <c r="P54" s="76">
        <v>15.574</v>
      </c>
      <c r="Q54" s="77">
        <v>0</v>
      </c>
      <c r="R54" s="77">
        <v>3.5379478618209843E-2</v>
      </c>
      <c r="S54" s="78">
        <v>3.5379478618209843E-2</v>
      </c>
      <c r="T54" s="75">
        <v>70</v>
      </c>
      <c r="U54" s="80">
        <v>0</v>
      </c>
      <c r="V54" s="80">
        <v>14.788</v>
      </c>
      <c r="W54" s="80">
        <v>2.1149999999999998</v>
      </c>
      <c r="X54" s="80">
        <v>2.1149999999999998</v>
      </c>
      <c r="Y54" s="80">
        <v>14.788</v>
      </c>
      <c r="Z54" s="81">
        <v>0</v>
      </c>
      <c r="AA54" s="81">
        <v>0.14906382872490265</v>
      </c>
      <c r="AB54" s="82">
        <v>0.14906382872490265</v>
      </c>
    </row>
    <row r="55" spans="2:28">
      <c r="B55" s="83">
        <v>71</v>
      </c>
      <c r="C55" s="84"/>
      <c r="D55" s="84">
        <v>13.561999999999999</v>
      </c>
      <c r="E55" s="84">
        <v>3.6749999999999998</v>
      </c>
      <c r="F55" s="84">
        <v>3.6749999999999998</v>
      </c>
      <c r="G55" s="84">
        <v>13.561999999999999</v>
      </c>
      <c r="H55" s="85">
        <v>0</v>
      </c>
      <c r="I55" s="85">
        <v>0.27097773189795016</v>
      </c>
      <c r="J55" s="87">
        <v>0.27097773189795016</v>
      </c>
      <c r="K55" s="83">
        <v>71</v>
      </c>
      <c r="L55" s="84">
        <v>0</v>
      </c>
      <c r="M55" s="84">
        <v>15.118</v>
      </c>
      <c r="N55" s="86">
        <v>0.53100000000000003</v>
      </c>
      <c r="O55" s="84">
        <v>0.53100000000000003</v>
      </c>
      <c r="P55" s="84">
        <v>15.118</v>
      </c>
      <c r="Q55" s="85">
        <v>0</v>
      </c>
      <c r="R55" s="85">
        <v>3.5123693610265912E-2</v>
      </c>
      <c r="S55" s="87">
        <v>3.5123693610265912E-2</v>
      </c>
      <c r="T55" s="83">
        <v>71</v>
      </c>
      <c r="U55" s="88">
        <v>0</v>
      </c>
      <c r="V55" s="88">
        <v>14.34</v>
      </c>
      <c r="W55" s="88">
        <v>2.1029999999999998</v>
      </c>
      <c r="X55" s="88">
        <v>2.1029999999999998</v>
      </c>
      <c r="Y55" s="88">
        <v>14.34</v>
      </c>
      <c r="Z55" s="29">
        <v>0</v>
      </c>
      <c r="AA55" s="29">
        <v>0.15305071275410803</v>
      </c>
      <c r="AB55" s="89">
        <v>0.15305071275410803</v>
      </c>
    </row>
    <row r="56" spans="2:28">
      <c r="B56" s="75">
        <v>72</v>
      </c>
      <c r="C56" s="76"/>
      <c r="D56" s="76">
        <v>13.111000000000001</v>
      </c>
      <c r="E56" s="76">
        <v>3.669</v>
      </c>
      <c r="F56" s="76">
        <v>3.669</v>
      </c>
      <c r="G56" s="76">
        <v>13.111000000000001</v>
      </c>
      <c r="H56" s="77">
        <v>0</v>
      </c>
      <c r="I56" s="77">
        <v>0.27984135458775072</v>
      </c>
      <c r="J56" s="78">
        <v>0.27984135458775072</v>
      </c>
      <c r="K56" s="75">
        <v>72</v>
      </c>
      <c r="L56" s="76">
        <v>0</v>
      </c>
      <c r="M56" s="76">
        <v>14.648999999999999</v>
      </c>
      <c r="N56" s="79">
        <v>0.51</v>
      </c>
      <c r="O56" s="76">
        <v>0.51</v>
      </c>
      <c r="P56" s="76">
        <v>14.648999999999999</v>
      </c>
      <c r="Q56" s="77">
        <v>0</v>
      </c>
      <c r="R56" s="77">
        <v>3.481466311693631E-2</v>
      </c>
      <c r="S56" s="78">
        <v>3.481466311693631E-2</v>
      </c>
      <c r="T56" s="75">
        <v>72</v>
      </c>
      <c r="U56" s="80">
        <v>0</v>
      </c>
      <c r="V56" s="80">
        <v>13.879999999999999</v>
      </c>
      <c r="W56" s="80">
        <v>2.0895000000000001</v>
      </c>
      <c r="X56" s="80">
        <v>2.0895000000000001</v>
      </c>
      <c r="Y56" s="80">
        <v>13.879999999999999</v>
      </c>
      <c r="Z56" s="81">
        <v>0</v>
      </c>
      <c r="AA56" s="81">
        <v>0.15732800885234352</v>
      </c>
      <c r="AB56" s="82">
        <v>0.15732800885234352</v>
      </c>
    </row>
    <row r="57" spans="2:28">
      <c r="B57" s="83">
        <v>73</v>
      </c>
      <c r="C57" s="84"/>
      <c r="D57" s="84">
        <v>12.65</v>
      </c>
      <c r="E57" s="84">
        <v>3.6669999999999998</v>
      </c>
      <c r="F57" s="84">
        <v>3.6669999999999998</v>
      </c>
      <c r="G57" s="84">
        <v>12.65</v>
      </c>
      <c r="H57" s="85">
        <v>0</v>
      </c>
      <c r="I57" s="85">
        <v>0.28988142292490116</v>
      </c>
      <c r="J57" s="87">
        <v>0.28988142292490116</v>
      </c>
      <c r="K57" s="83">
        <v>73</v>
      </c>
      <c r="L57" s="84">
        <v>0</v>
      </c>
      <c r="M57" s="84">
        <v>14.167999999999999</v>
      </c>
      <c r="N57" s="86">
        <v>0.48899999999999999</v>
      </c>
      <c r="O57" s="84">
        <v>0.48899999999999999</v>
      </c>
      <c r="P57" s="84">
        <v>14.167999999999999</v>
      </c>
      <c r="Q57" s="85">
        <v>0</v>
      </c>
      <c r="R57" s="85">
        <v>3.4514398644833431E-2</v>
      </c>
      <c r="S57" s="87">
        <v>3.4514398644833431E-2</v>
      </c>
      <c r="T57" s="83">
        <v>73</v>
      </c>
      <c r="U57" s="88">
        <v>0</v>
      </c>
      <c r="V57" s="88">
        <v>13.408999999999999</v>
      </c>
      <c r="W57" s="88">
        <v>2.0779999999999998</v>
      </c>
      <c r="X57" s="88">
        <v>2.0779999999999998</v>
      </c>
      <c r="Y57" s="88">
        <v>13.408999999999999</v>
      </c>
      <c r="Z57" s="29">
        <v>0</v>
      </c>
      <c r="AA57" s="29">
        <v>0.16219791078486728</v>
      </c>
      <c r="AB57" s="89">
        <v>0.16219791078486728</v>
      </c>
    </row>
    <row r="58" spans="2:28">
      <c r="B58" s="75">
        <v>74</v>
      </c>
      <c r="C58" s="76"/>
      <c r="D58" s="76">
        <v>12.18</v>
      </c>
      <c r="E58" s="76">
        <v>3.6619999999999999</v>
      </c>
      <c r="F58" s="76">
        <v>3.6619999999999999</v>
      </c>
      <c r="G58" s="76">
        <v>12.18</v>
      </c>
      <c r="H58" s="77">
        <v>0</v>
      </c>
      <c r="I58" s="77">
        <v>0.30065681444991788</v>
      </c>
      <c r="J58" s="78">
        <v>0.30065681444991788</v>
      </c>
      <c r="K58" s="75">
        <v>74</v>
      </c>
      <c r="L58" s="76">
        <v>0</v>
      </c>
      <c r="M58" s="76">
        <v>13.676</v>
      </c>
      <c r="N58" s="79">
        <v>0.46899999999999997</v>
      </c>
      <c r="O58" s="76">
        <v>0.46899999999999997</v>
      </c>
      <c r="P58" s="76">
        <v>13.676</v>
      </c>
      <c r="Q58" s="77">
        <v>0</v>
      </c>
      <c r="R58" s="77">
        <v>3.4293653114945886E-2</v>
      </c>
      <c r="S58" s="78">
        <v>3.4293653114945886E-2</v>
      </c>
      <c r="T58" s="75">
        <v>74</v>
      </c>
      <c r="U58" s="80">
        <v>0</v>
      </c>
      <c r="V58" s="80">
        <v>12.928000000000001</v>
      </c>
      <c r="W58" s="80">
        <v>2.0655000000000001</v>
      </c>
      <c r="X58" s="80">
        <v>2.0655000000000001</v>
      </c>
      <c r="Y58" s="80">
        <v>12.928000000000001</v>
      </c>
      <c r="Z58" s="81">
        <v>0</v>
      </c>
      <c r="AA58" s="81">
        <v>0.16747523378243187</v>
      </c>
      <c r="AB58" s="82">
        <v>0.16747523378243187</v>
      </c>
    </row>
    <row r="59" spans="2:28">
      <c r="B59" s="83">
        <v>75</v>
      </c>
      <c r="C59" s="84"/>
      <c r="D59" s="84">
        <v>11.701000000000001</v>
      </c>
      <c r="E59" s="84">
        <v>3.6549999999999998</v>
      </c>
      <c r="F59" s="84">
        <v>3.6549999999999998</v>
      </c>
      <c r="G59" s="84">
        <v>11.701000000000001</v>
      </c>
      <c r="H59" s="85">
        <v>0</v>
      </c>
      <c r="I59" s="85">
        <v>0.31236646440475169</v>
      </c>
      <c r="J59" s="87">
        <v>0.31236646440475169</v>
      </c>
      <c r="K59" s="83">
        <v>75</v>
      </c>
      <c r="L59" s="84">
        <v>0</v>
      </c>
      <c r="M59" s="84">
        <v>13.173999999999999</v>
      </c>
      <c r="N59" s="86">
        <v>0.44800000000000001</v>
      </c>
      <c r="O59" s="84">
        <v>0.44800000000000001</v>
      </c>
      <c r="P59" s="84">
        <v>13.173999999999999</v>
      </c>
      <c r="Q59" s="85">
        <v>0</v>
      </c>
      <c r="R59" s="85">
        <v>3.4006376195536668E-2</v>
      </c>
      <c r="S59" s="87">
        <v>3.4006376195536668E-2</v>
      </c>
      <c r="T59" s="83">
        <v>75</v>
      </c>
      <c r="U59" s="88">
        <v>0</v>
      </c>
      <c r="V59" s="88">
        <v>12.4375</v>
      </c>
      <c r="W59" s="88">
        <v>2.0514999999999999</v>
      </c>
      <c r="X59" s="88">
        <v>2.0514999999999999</v>
      </c>
      <c r="Y59" s="88">
        <v>12.4375</v>
      </c>
      <c r="Z59" s="29">
        <v>0</v>
      </c>
      <c r="AA59" s="29">
        <v>0.17318642030014417</v>
      </c>
      <c r="AB59" s="89">
        <v>0.17318642030014417</v>
      </c>
    </row>
    <row r="60" spans="2:28">
      <c r="B60" s="75">
        <v>76</v>
      </c>
      <c r="C60" s="76"/>
      <c r="D60" s="76">
        <v>11.215</v>
      </c>
      <c r="E60" s="76">
        <v>3.6429999999999998</v>
      </c>
      <c r="F60" s="76">
        <v>3.6429999999999998</v>
      </c>
      <c r="G60" s="76">
        <v>11.215</v>
      </c>
      <c r="H60" s="77">
        <v>0</v>
      </c>
      <c r="I60" s="77">
        <v>0.32483281319661167</v>
      </c>
      <c r="J60" s="78">
        <v>0.32483281319661167</v>
      </c>
      <c r="K60" s="75">
        <v>76</v>
      </c>
      <c r="L60" s="76">
        <v>0</v>
      </c>
      <c r="M60" s="76">
        <v>12.663</v>
      </c>
      <c r="N60" s="79">
        <v>0.42699999999999999</v>
      </c>
      <c r="O60" s="76">
        <v>0.42699999999999999</v>
      </c>
      <c r="P60" s="76">
        <v>12.663</v>
      </c>
      <c r="Q60" s="77">
        <v>0</v>
      </c>
      <c r="R60" s="77">
        <v>3.3720287451630734E-2</v>
      </c>
      <c r="S60" s="78">
        <v>3.3720287451630734E-2</v>
      </c>
      <c r="T60" s="75">
        <v>76</v>
      </c>
      <c r="U60" s="80">
        <v>0</v>
      </c>
      <c r="V60" s="80">
        <v>11.939</v>
      </c>
      <c r="W60" s="80">
        <v>2.0349999999999997</v>
      </c>
      <c r="X60" s="80">
        <v>2.0349999999999997</v>
      </c>
      <c r="Y60" s="80">
        <v>11.939</v>
      </c>
      <c r="Z60" s="81">
        <v>0</v>
      </c>
      <c r="AA60" s="81">
        <v>0.17927655032412121</v>
      </c>
      <c r="AB60" s="82">
        <v>0.17927655032412121</v>
      </c>
    </row>
    <row r="61" spans="2:28">
      <c r="B61" s="83">
        <v>77</v>
      </c>
      <c r="C61" s="84"/>
      <c r="D61" s="84">
        <v>10.724</v>
      </c>
      <c r="E61" s="84">
        <v>3.625</v>
      </c>
      <c r="F61" s="84">
        <v>3.625</v>
      </c>
      <c r="G61" s="84">
        <v>10.724</v>
      </c>
      <c r="H61" s="85">
        <v>0</v>
      </c>
      <c r="I61" s="85">
        <v>0.33802685565087653</v>
      </c>
      <c r="J61" s="87">
        <v>0.33802685565087653</v>
      </c>
      <c r="K61" s="83">
        <v>77</v>
      </c>
      <c r="L61" s="84">
        <v>0</v>
      </c>
      <c r="M61" s="84">
        <v>12.143000000000001</v>
      </c>
      <c r="N61" s="86">
        <v>0.40400000000000003</v>
      </c>
      <c r="O61" s="84">
        <v>0.40400000000000003</v>
      </c>
      <c r="P61" s="84">
        <v>12.143000000000001</v>
      </c>
      <c r="Q61" s="85">
        <v>0</v>
      </c>
      <c r="R61" s="85">
        <v>3.327019682121387E-2</v>
      </c>
      <c r="S61" s="87">
        <v>3.327019682121387E-2</v>
      </c>
      <c r="T61" s="83">
        <v>77</v>
      </c>
      <c r="U61" s="88">
        <v>0</v>
      </c>
      <c r="V61" s="88">
        <v>11.4335</v>
      </c>
      <c r="W61" s="88">
        <v>2.0145</v>
      </c>
      <c r="X61" s="88">
        <v>2.0145</v>
      </c>
      <c r="Y61" s="88">
        <v>11.4335</v>
      </c>
      <c r="Z61" s="29">
        <v>0</v>
      </c>
      <c r="AA61" s="29">
        <v>0.18564852623604519</v>
      </c>
      <c r="AB61" s="89">
        <v>0.18564852623604519</v>
      </c>
    </row>
    <row r="62" spans="2:28">
      <c r="B62" s="75">
        <v>78</v>
      </c>
      <c r="C62" s="76"/>
      <c r="D62" s="76">
        <v>10.228999999999999</v>
      </c>
      <c r="E62" s="76">
        <v>3.601</v>
      </c>
      <c r="F62" s="76">
        <v>3.601</v>
      </c>
      <c r="G62" s="76">
        <v>10.228999999999999</v>
      </c>
      <c r="H62" s="77">
        <v>0</v>
      </c>
      <c r="I62" s="77">
        <v>0.35203832241665856</v>
      </c>
      <c r="J62" s="78">
        <v>0.35203832241665856</v>
      </c>
      <c r="K62" s="75">
        <v>78</v>
      </c>
      <c r="L62" s="76">
        <v>0</v>
      </c>
      <c r="M62" s="76">
        <v>11.618</v>
      </c>
      <c r="N62" s="79">
        <v>0.38100000000000001</v>
      </c>
      <c r="O62" s="76">
        <v>0.38100000000000001</v>
      </c>
      <c r="P62" s="76">
        <v>11.618</v>
      </c>
      <c r="Q62" s="77">
        <v>0</v>
      </c>
      <c r="R62" s="77">
        <v>3.279394043725254E-2</v>
      </c>
      <c r="S62" s="78">
        <v>3.279394043725254E-2</v>
      </c>
      <c r="T62" s="75">
        <v>78</v>
      </c>
      <c r="U62" s="80">
        <v>0</v>
      </c>
      <c r="V62" s="80">
        <v>10.923500000000001</v>
      </c>
      <c r="W62" s="80">
        <v>1.9910000000000001</v>
      </c>
      <c r="X62" s="80">
        <v>1.9910000000000001</v>
      </c>
      <c r="Y62" s="80">
        <v>10.923500000000001</v>
      </c>
      <c r="Z62" s="81">
        <v>0</v>
      </c>
      <c r="AA62" s="81">
        <v>0.19241613142695554</v>
      </c>
      <c r="AB62" s="82">
        <v>0.19241613142695554</v>
      </c>
    </row>
    <row r="63" spans="2:28">
      <c r="B63" s="83">
        <v>79</v>
      </c>
      <c r="C63" s="84"/>
      <c r="D63" s="84">
        <v>9.7330000000000005</v>
      </c>
      <c r="E63" s="84">
        <v>3.57</v>
      </c>
      <c r="F63" s="84">
        <v>3.57</v>
      </c>
      <c r="G63" s="84">
        <v>9.7330000000000005</v>
      </c>
      <c r="H63" s="85">
        <v>0</v>
      </c>
      <c r="I63" s="85">
        <v>0.36679338333504569</v>
      </c>
      <c r="J63" s="87">
        <v>0.36679338333504569</v>
      </c>
      <c r="K63" s="83">
        <v>79</v>
      </c>
      <c r="L63" s="84">
        <v>0</v>
      </c>
      <c r="M63" s="84">
        <v>11.087999999999999</v>
      </c>
      <c r="N63" s="86">
        <v>0.35699999999999998</v>
      </c>
      <c r="O63" s="84">
        <v>0.35699999999999998</v>
      </c>
      <c r="P63" s="84">
        <v>11.087999999999999</v>
      </c>
      <c r="Q63" s="85">
        <v>0</v>
      </c>
      <c r="R63" s="85">
        <v>3.2196969696969696E-2</v>
      </c>
      <c r="S63" s="87">
        <v>3.2196969696969696E-2</v>
      </c>
      <c r="T63" s="83">
        <v>79</v>
      </c>
      <c r="U63" s="88">
        <v>0</v>
      </c>
      <c r="V63" s="88">
        <v>10.410499999999999</v>
      </c>
      <c r="W63" s="88">
        <v>1.9634999999999998</v>
      </c>
      <c r="X63" s="88">
        <v>1.9634999999999998</v>
      </c>
      <c r="Y63" s="88">
        <v>10.410499999999999</v>
      </c>
      <c r="Z63" s="29">
        <v>0</v>
      </c>
      <c r="AA63" s="29">
        <v>0.19949517651600768</v>
      </c>
      <c r="AB63" s="89">
        <v>0.19949517651600768</v>
      </c>
    </row>
    <row r="64" spans="2:28">
      <c r="B64" s="75">
        <v>80</v>
      </c>
      <c r="C64" s="76"/>
      <c r="D64" s="76">
        <v>9.2379999999999995</v>
      </c>
      <c r="E64" s="76">
        <v>3.5310000000000001</v>
      </c>
      <c r="F64" s="76">
        <v>3.5310000000000001</v>
      </c>
      <c r="G64" s="76">
        <v>9.2379999999999995</v>
      </c>
      <c r="H64" s="77">
        <v>0</v>
      </c>
      <c r="I64" s="77">
        <v>0.38222558995453565</v>
      </c>
      <c r="J64" s="78">
        <v>0.38222558995453565</v>
      </c>
      <c r="K64" s="75">
        <v>80</v>
      </c>
      <c r="L64" s="76">
        <v>0</v>
      </c>
      <c r="M64" s="76">
        <v>10.555</v>
      </c>
      <c r="N64" s="79">
        <v>0.33300000000000002</v>
      </c>
      <c r="O64" s="76">
        <v>0.33300000000000002</v>
      </c>
      <c r="P64" s="76">
        <v>10.555</v>
      </c>
      <c r="Q64" s="77">
        <v>0</v>
      </c>
      <c r="R64" s="77">
        <v>3.15490288962577E-2</v>
      </c>
      <c r="S64" s="78">
        <v>3.15490288962577E-2</v>
      </c>
      <c r="T64" s="75">
        <v>80</v>
      </c>
      <c r="U64" s="80">
        <v>0</v>
      </c>
      <c r="V64" s="80">
        <v>9.8964999999999996</v>
      </c>
      <c r="W64" s="80">
        <v>1.9320000000000002</v>
      </c>
      <c r="X64" s="80">
        <v>1.9320000000000002</v>
      </c>
      <c r="Y64" s="80">
        <v>9.8964999999999996</v>
      </c>
      <c r="Z64" s="81">
        <v>0</v>
      </c>
      <c r="AA64" s="81">
        <v>0.20688730942539668</v>
      </c>
      <c r="AB64" s="82">
        <v>0.20688730942539668</v>
      </c>
    </row>
    <row r="65" spans="2:28">
      <c r="B65" s="83">
        <v>81</v>
      </c>
      <c r="C65" s="84"/>
      <c r="D65" s="84">
        <v>8.7469999999999999</v>
      </c>
      <c r="E65" s="84">
        <v>3.4820000000000002</v>
      </c>
      <c r="F65" s="84">
        <v>3.4820000000000002</v>
      </c>
      <c r="G65" s="84">
        <v>8.7469999999999999</v>
      </c>
      <c r="H65" s="85">
        <v>0</v>
      </c>
      <c r="I65" s="85">
        <v>0.39807934148851037</v>
      </c>
      <c r="J65" s="87">
        <v>0.39807934148851037</v>
      </c>
      <c r="K65" s="83">
        <v>81</v>
      </c>
      <c r="L65" s="84">
        <v>0</v>
      </c>
      <c r="M65" s="84">
        <v>10.023</v>
      </c>
      <c r="N65" s="86">
        <v>0.309</v>
      </c>
      <c r="O65" s="84">
        <v>0.309</v>
      </c>
      <c r="P65" s="84">
        <v>10.023</v>
      </c>
      <c r="Q65" s="85">
        <v>0</v>
      </c>
      <c r="R65" s="85">
        <v>3.0829093085902426E-2</v>
      </c>
      <c r="S65" s="87">
        <v>3.0829093085902426E-2</v>
      </c>
      <c r="T65" s="83">
        <v>81</v>
      </c>
      <c r="U65" s="88">
        <v>0</v>
      </c>
      <c r="V65" s="88">
        <v>9.3849999999999998</v>
      </c>
      <c r="W65" s="88">
        <v>1.8955000000000002</v>
      </c>
      <c r="X65" s="88">
        <v>1.8955000000000002</v>
      </c>
      <c r="Y65" s="88">
        <v>9.3849999999999998</v>
      </c>
      <c r="Z65" s="29">
        <v>0</v>
      </c>
      <c r="AA65" s="29">
        <v>0.2144542172872064</v>
      </c>
      <c r="AB65" s="89">
        <v>0.2144542172872064</v>
      </c>
    </row>
    <row r="66" spans="2:28">
      <c r="B66" s="75">
        <v>82</v>
      </c>
      <c r="C66" s="76"/>
      <c r="D66" s="76">
        <v>8.2629999999999999</v>
      </c>
      <c r="E66" s="76">
        <v>3.4089999999999998</v>
      </c>
      <c r="F66" s="76">
        <v>3.4089999999999998</v>
      </c>
      <c r="G66" s="76">
        <v>8.2629999999999999</v>
      </c>
      <c r="H66" s="77">
        <v>0</v>
      </c>
      <c r="I66" s="77">
        <v>0.41256202347815563</v>
      </c>
      <c r="J66" s="78">
        <v>0.41256202347815563</v>
      </c>
      <c r="K66" s="75">
        <v>82</v>
      </c>
      <c r="L66" s="76">
        <v>0</v>
      </c>
      <c r="M66" s="76">
        <v>9.4920000000000009</v>
      </c>
      <c r="N66" s="79">
        <v>0.28499999999999998</v>
      </c>
      <c r="O66" s="76">
        <v>0.28499999999999998</v>
      </c>
      <c r="P66" s="76">
        <v>9.4920000000000009</v>
      </c>
      <c r="Q66" s="77">
        <v>0</v>
      </c>
      <c r="R66" s="77">
        <v>3.0025284450063205E-2</v>
      </c>
      <c r="S66" s="78">
        <v>3.0025284450063205E-2</v>
      </c>
      <c r="T66" s="75">
        <v>82</v>
      </c>
      <c r="U66" s="80">
        <v>0</v>
      </c>
      <c r="V66" s="80">
        <v>8.8775000000000013</v>
      </c>
      <c r="W66" s="80">
        <v>1.847</v>
      </c>
      <c r="X66" s="80">
        <v>1.847</v>
      </c>
      <c r="Y66" s="80">
        <v>8.8775000000000013</v>
      </c>
      <c r="Z66" s="81">
        <v>0</v>
      </c>
      <c r="AA66" s="81">
        <v>0.22129365396410941</v>
      </c>
      <c r="AB66" s="82">
        <v>0.22129365396410941</v>
      </c>
    </row>
    <row r="67" spans="2:28">
      <c r="B67" s="83">
        <v>83</v>
      </c>
      <c r="C67" s="84"/>
      <c r="D67" s="84">
        <v>7.7880000000000003</v>
      </c>
      <c r="E67" s="84">
        <v>3.3220000000000001</v>
      </c>
      <c r="F67" s="84">
        <v>3.3220000000000001</v>
      </c>
      <c r="G67" s="84">
        <v>7.7880000000000003</v>
      </c>
      <c r="H67" s="85">
        <v>0</v>
      </c>
      <c r="I67" s="85">
        <v>0.42655367231638419</v>
      </c>
      <c r="J67" s="87">
        <v>0.42655367231638419</v>
      </c>
      <c r="K67" s="83">
        <v>83</v>
      </c>
      <c r="L67" s="84">
        <v>0</v>
      </c>
      <c r="M67" s="84">
        <v>8.9670000000000005</v>
      </c>
      <c r="N67" s="86">
        <v>0.26100000000000001</v>
      </c>
      <c r="O67" s="84">
        <v>0.26100000000000001</v>
      </c>
      <c r="P67" s="84">
        <v>8.9670000000000005</v>
      </c>
      <c r="Q67" s="85">
        <v>0</v>
      </c>
      <c r="R67" s="85">
        <v>2.9106724657075946E-2</v>
      </c>
      <c r="S67" s="87">
        <v>2.9106724657075946E-2</v>
      </c>
      <c r="T67" s="83">
        <v>83</v>
      </c>
      <c r="U67" s="88">
        <v>0</v>
      </c>
      <c r="V67" s="88">
        <v>8.3775000000000013</v>
      </c>
      <c r="W67" s="88">
        <v>1.7915000000000001</v>
      </c>
      <c r="X67" s="88">
        <v>1.7915000000000001</v>
      </c>
      <c r="Y67" s="88">
        <v>8.3775000000000013</v>
      </c>
      <c r="Z67" s="29">
        <v>0</v>
      </c>
      <c r="AA67" s="29">
        <v>0.22783019848673006</v>
      </c>
      <c r="AB67" s="89">
        <v>0.22783019848673006</v>
      </c>
    </row>
    <row r="68" spans="2:28">
      <c r="B68" s="75">
        <v>84</v>
      </c>
      <c r="C68" s="76"/>
      <c r="D68" s="76">
        <v>7.327</v>
      </c>
      <c r="E68" s="76">
        <v>3.2229999999999999</v>
      </c>
      <c r="F68" s="76">
        <v>3.2229999999999999</v>
      </c>
      <c r="G68" s="76">
        <v>7.327</v>
      </c>
      <c r="H68" s="77">
        <v>0</v>
      </c>
      <c r="I68" s="77">
        <v>0.43987989627405483</v>
      </c>
      <c r="J68" s="78">
        <v>0.43987989627405483</v>
      </c>
      <c r="K68" s="75">
        <v>84</v>
      </c>
      <c r="L68" s="76">
        <v>0</v>
      </c>
      <c r="M68" s="76">
        <v>8.4499999999999993</v>
      </c>
      <c r="N68" s="79">
        <v>0.23799999999999999</v>
      </c>
      <c r="O68" s="76">
        <v>0.23799999999999999</v>
      </c>
      <c r="P68" s="76">
        <v>8.4499999999999993</v>
      </c>
      <c r="Q68" s="77">
        <v>0</v>
      </c>
      <c r="R68" s="77">
        <v>2.816568047337278E-2</v>
      </c>
      <c r="S68" s="78">
        <v>2.816568047337278E-2</v>
      </c>
      <c r="T68" s="75">
        <v>84</v>
      </c>
      <c r="U68" s="80">
        <v>0</v>
      </c>
      <c r="V68" s="80">
        <v>7.8884999999999996</v>
      </c>
      <c r="W68" s="80">
        <v>1.7304999999999999</v>
      </c>
      <c r="X68" s="80">
        <v>1.7304999999999999</v>
      </c>
      <c r="Y68" s="80">
        <v>7.8884999999999996</v>
      </c>
      <c r="Z68" s="81">
        <v>0</v>
      </c>
      <c r="AA68" s="81">
        <v>0.23402278837371379</v>
      </c>
      <c r="AB68" s="82">
        <v>0.23402278837371379</v>
      </c>
    </row>
    <row r="69" spans="2:28">
      <c r="B69" s="83">
        <v>85</v>
      </c>
      <c r="C69" s="84"/>
      <c r="D69" s="84">
        <v>6.883</v>
      </c>
      <c r="E69" s="84">
        <v>3.1139999999999999</v>
      </c>
      <c r="F69" s="84">
        <v>3.1139999999999999</v>
      </c>
      <c r="G69" s="84">
        <v>6.883</v>
      </c>
      <c r="H69" s="85">
        <v>0</v>
      </c>
      <c r="I69" s="85">
        <v>0.45241900334156615</v>
      </c>
      <c r="J69" s="87">
        <v>0.45241900334156615</v>
      </c>
      <c r="K69" s="83">
        <v>85</v>
      </c>
      <c r="L69" s="84">
        <v>0</v>
      </c>
      <c r="M69" s="84">
        <v>7.944</v>
      </c>
      <c r="N69" s="86">
        <v>0.21199999999999999</v>
      </c>
      <c r="O69" s="84">
        <v>0.21199999999999999</v>
      </c>
      <c r="P69" s="84">
        <v>7.944</v>
      </c>
      <c r="Q69" s="85">
        <v>0</v>
      </c>
      <c r="R69" s="85">
        <v>2.6686807653575024E-2</v>
      </c>
      <c r="S69" s="87">
        <v>2.6686807653575024E-2</v>
      </c>
      <c r="T69" s="83">
        <v>85</v>
      </c>
      <c r="U69" s="88">
        <v>0</v>
      </c>
      <c r="V69" s="88">
        <v>7.4135</v>
      </c>
      <c r="W69" s="88">
        <v>1.663</v>
      </c>
      <c r="X69" s="88">
        <v>1.663</v>
      </c>
      <c r="Y69" s="88">
        <v>7.4135</v>
      </c>
      <c r="Z69" s="29">
        <v>0</v>
      </c>
      <c r="AA69" s="29">
        <v>0.23955290549757058</v>
      </c>
      <c r="AB69" s="89">
        <v>0.23955290549757058</v>
      </c>
    </row>
    <row r="70" spans="2:28">
      <c r="B70" s="75">
        <v>86</v>
      </c>
      <c r="C70" s="76"/>
      <c r="D70" s="76">
        <v>6.4619999999999997</v>
      </c>
      <c r="E70" s="76">
        <v>2.9969999999999999</v>
      </c>
      <c r="F70" s="76">
        <v>2.9969999999999999</v>
      </c>
      <c r="G70" s="76">
        <v>6.4619999999999997</v>
      </c>
      <c r="H70" s="77">
        <v>0</v>
      </c>
      <c r="I70" s="77">
        <v>0.46378830083565459</v>
      </c>
      <c r="J70" s="78">
        <v>0.46378830083565459</v>
      </c>
      <c r="K70" s="75">
        <v>86</v>
      </c>
      <c r="L70" s="76">
        <v>0</v>
      </c>
      <c r="M70" s="76">
        <v>7.452</v>
      </c>
      <c r="N70" s="79">
        <v>0.186</v>
      </c>
      <c r="O70" s="76">
        <v>0.186</v>
      </c>
      <c r="P70" s="76">
        <v>7.452</v>
      </c>
      <c r="Q70" s="77">
        <v>0</v>
      </c>
      <c r="R70" s="77">
        <v>2.4959742351046699E-2</v>
      </c>
      <c r="S70" s="78">
        <v>2.4959742351046699E-2</v>
      </c>
      <c r="T70" s="75">
        <v>86</v>
      </c>
      <c r="U70" s="80">
        <v>0</v>
      </c>
      <c r="V70" s="80">
        <v>6.9569999999999999</v>
      </c>
      <c r="W70" s="80">
        <v>1.5914999999999999</v>
      </c>
      <c r="X70" s="80">
        <v>1.5914999999999999</v>
      </c>
      <c r="Y70" s="80">
        <v>6.9569999999999999</v>
      </c>
      <c r="Z70" s="81">
        <v>0</v>
      </c>
      <c r="AA70" s="81">
        <v>0.24437402159335064</v>
      </c>
      <c r="AB70" s="82">
        <v>0.24437402159335064</v>
      </c>
    </row>
    <row r="71" spans="2:28">
      <c r="B71" s="83">
        <v>87</v>
      </c>
      <c r="C71" s="84"/>
      <c r="D71" s="84">
        <v>6.069</v>
      </c>
      <c r="E71" s="84">
        <v>2.8730000000000002</v>
      </c>
      <c r="F71" s="84">
        <v>2.8730000000000002</v>
      </c>
      <c r="G71" s="84">
        <v>6.069</v>
      </c>
      <c r="H71" s="85">
        <v>0</v>
      </c>
      <c r="I71" s="85">
        <v>0.47338935574229696</v>
      </c>
      <c r="J71" s="87">
        <v>0.47338935574229696</v>
      </c>
      <c r="K71" s="83">
        <v>87</v>
      </c>
      <c r="L71" s="84">
        <v>0</v>
      </c>
      <c r="M71" s="84">
        <v>6.9770000000000003</v>
      </c>
      <c r="N71" s="86">
        <v>0.16200000000000001</v>
      </c>
      <c r="O71" s="84">
        <v>0.16200000000000001</v>
      </c>
      <c r="P71" s="84">
        <v>6.9770000000000003</v>
      </c>
      <c r="Q71" s="85">
        <v>0</v>
      </c>
      <c r="R71" s="85">
        <v>2.3219148631216855E-2</v>
      </c>
      <c r="S71" s="87">
        <v>2.3219148631216855E-2</v>
      </c>
      <c r="T71" s="83">
        <v>87</v>
      </c>
      <c r="U71" s="88">
        <v>0</v>
      </c>
      <c r="V71" s="88">
        <v>6.5229999999999997</v>
      </c>
      <c r="W71" s="88">
        <v>1.5175000000000001</v>
      </c>
      <c r="X71" s="88">
        <v>1.5175000000000001</v>
      </c>
      <c r="Y71" s="88">
        <v>6.5229999999999997</v>
      </c>
      <c r="Z71" s="29">
        <v>0</v>
      </c>
      <c r="AA71" s="29">
        <v>0.24830425218675692</v>
      </c>
      <c r="AB71" s="89">
        <v>0.24830425218675692</v>
      </c>
    </row>
    <row r="72" spans="2:28">
      <c r="B72" s="75">
        <v>88</v>
      </c>
      <c r="C72" s="76"/>
      <c r="D72" s="76">
        <v>5.7119999999999997</v>
      </c>
      <c r="E72" s="76">
        <v>2.7149999999999999</v>
      </c>
      <c r="F72" s="76">
        <v>2.7149999999999999</v>
      </c>
      <c r="G72" s="76">
        <v>5.7119999999999997</v>
      </c>
      <c r="H72" s="77">
        <v>0</v>
      </c>
      <c r="I72" s="77">
        <v>0.47531512605042014</v>
      </c>
      <c r="J72" s="78">
        <v>0.47531512605042014</v>
      </c>
      <c r="K72" s="75">
        <v>88</v>
      </c>
      <c r="L72" s="76">
        <v>0</v>
      </c>
      <c r="M72" s="76">
        <v>6.5209999999999999</v>
      </c>
      <c r="N72" s="79">
        <v>0.14000000000000001</v>
      </c>
      <c r="O72" s="76">
        <v>0.14000000000000001</v>
      </c>
      <c r="P72" s="76">
        <v>6.5209999999999999</v>
      </c>
      <c r="Q72" s="77">
        <v>0</v>
      </c>
      <c r="R72" s="77">
        <v>2.1469099831314217E-2</v>
      </c>
      <c r="S72" s="78">
        <v>2.1469099831314217E-2</v>
      </c>
      <c r="T72" s="75">
        <v>88</v>
      </c>
      <c r="U72" s="80">
        <v>0</v>
      </c>
      <c r="V72" s="80">
        <v>6.1165000000000003</v>
      </c>
      <c r="W72" s="80">
        <v>1.4275</v>
      </c>
      <c r="X72" s="80">
        <v>1.4275</v>
      </c>
      <c r="Y72" s="80">
        <v>6.1165000000000003</v>
      </c>
      <c r="Z72" s="81">
        <v>0</v>
      </c>
      <c r="AA72" s="81">
        <v>0.24839211294086719</v>
      </c>
      <c r="AB72" s="82">
        <v>0.24839211294086719</v>
      </c>
    </row>
    <row r="73" spans="2:28">
      <c r="B73" s="83">
        <v>89</v>
      </c>
      <c r="C73" s="84"/>
      <c r="D73" s="84">
        <v>5.3979999999999997</v>
      </c>
      <c r="E73" s="84">
        <v>2.5489999999999999</v>
      </c>
      <c r="F73" s="84">
        <v>2.5489999999999999</v>
      </c>
      <c r="G73" s="84">
        <v>5.3979999999999997</v>
      </c>
      <c r="H73" s="85">
        <v>0</v>
      </c>
      <c r="I73" s="85">
        <v>0.4722119303445721</v>
      </c>
      <c r="J73" s="87">
        <v>0.4722119303445721</v>
      </c>
      <c r="K73" s="83">
        <v>89</v>
      </c>
      <c r="L73" s="84">
        <v>0</v>
      </c>
      <c r="M73" s="84">
        <v>6.093</v>
      </c>
      <c r="N73" s="86">
        <v>0.11700000000000001</v>
      </c>
      <c r="O73" s="84">
        <v>0.11700000000000001</v>
      </c>
      <c r="P73" s="84">
        <v>6.093</v>
      </c>
      <c r="Q73" s="85">
        <v>0</v>
      </c>
      <c r="R73" s="85">
        <v>1.9202363367799114E-2</v>
      </c>
      <c r="S73" s="87">
        <v>1.9202363367799114E-2</v>
      </c>
      <c r="T73" s="83">
        <v>89</v>
      </c>
      <c r="U73" s="88">
        <v>0</v>
      </c>
      <c r="V73" s="88">
        <v>5.7454999999999998</v>
      </c>
      <c r="W73" s="88">
        <v>1.333</v>
      </c>
      <c r="X73" s="88">
        <v>1.333</v>
      </c>
      <c r="Y73" s="88">
        <v>5.7454999999999998</v>
      </c>
      <c r="Z73" s="29">
        <v>0</v>
      </c>
      <c r="AA73" s="29">
        <v>0.24570714685618561</v>
      </c>
      <c r="AB73" s="89">
        <v>0.24570714685618561</v>
      </c>
    </row>
    <row r="74" spans="2:28">
      <c r="B74" s="75">
        <v>90</v>
      </c>
      <c r="C74" s="76"/>
      <c r="D74" s="76">
        <v>5.1150000000000002</v>
      </c>
      <c r="E74" s="76">
        <v>2.387</v>
      </c>
      <c r="F74" s="76">
        <v>2.387</v>
      </c>
      <c r="G74" s="76">
        <v>5.1150000000000002</v>
      </c>
      <c r="H74" s="77">
        <v>0</v>
      </c>
      <c r="I74" s="77">
        <v>0.46666666666666667</v>
      </c>
      <c r="J74" s="78">
        <v>0.46666666666666667</v>
      </c>
      <c r="K74" s="75">
        <v>90</v>
      </c>
      <c r="L74" s="76">
        <v>0</v>
      </c>
      <c r="M74" s="76">
        <v>5.694</v>
      </c>
      <c r="N74" s="79">
        <v>9.7000000000000003E-2</v>
      </c>
      <c r="O74" s="76">
        <v>9.7000000000000003E-2</v>
      </c>
      <c r="P74" s="76">
        <v>5.694</v>
      </c>
      <c r="Q74" s="77">
        <v>0</v>
      </c>
      <c r="R74" s="77">
        <v>1.7035475939585529E-2</v>
      </c>
      <c r="S74" s="78">
        <v>1.7035475939585529E-2</v>
      </c>
      <c r="T74" s="75">
        <v>90</v>
      </c>
      <c r="U74" s="80">
        <v>0</v>
      </c>
      <c r="V74" s="80">
        <v>5.4045000000000005</v>
      </c>
      <c r="W74" s="80">
        <v>1.242</v>
      </c>
      <c r="X74" s="80">
        <v>1.242</v>
      </c>
      <c r="Y74" s="80">
        <v>5.4045000000000005</v>
      </c>
      <c r="Z74" s="81">
        <v>0</v>
      </c>
      <c r="AA74" s="81">
        <v>0.24185107130312611</v>
      </c>
      <c r="AB74" s="82">
        <v>0.24185107130312611</v>
      </c>
    </row>
    <row r="75" spans="2:28">
      <c r="B75" s="83">
        <v>91</v>
      </c>
      <c r="C75" s="84"/>
      <c r="D75" s="84">
        <v>4.8499999999999996</v>
      </c>
      <c r="E75" s="84">
        <v>2.2040000000000002</v>
      </c>
      <c r="F75" s="84">
        <v>2.2040000000000002</v>
      </c>
      <c r="G75" s="84">
        <v>4.8499999999999996</v>
      </c>
      <c r="H75" s="85">
        <v>0</v>
      </c>
      <c r="I75" s="85">
        <v>0.45443298969072171</v>
      </c>
      <c r="J75" s="87">
        <v>0.45443298969072171</v>
      </c>
      <c r="K75" s="83">
        <v>91</v>
      </c>
      <c r="L75" s="84">
        <v>0</v>
      </c>
      <c r="M75" s="84">
        <v>5.3259999999999996</v>
      </c>
      <c r="N75" s="86">
        <v>0.08</v>
      </c>
      <c r="O75" s="84">
        <v>0.08</v>
      </c>
      <c r="P75" s="84">
        <v>5.3259999999999996</v>
      </c>
      <c r="Q75" s="85">
        <v>0</v>
      </c>
      <c r="R75" s="85">
        <v>1.5020653398422833E-2</v>
      </c>
      <c r="S75" s="87">
        <v>1.5020653398422833E-2</v>
      </c>
      <c r="T75" s="83">
        <v>91</v>
      </c>
      <c r="U75" s="88">
        <v>0</v>
      </c>
      <c r="V75" s="88">
        <v>5.0879999999999992</v>
      </c>
      <c r="W75" s="88">
        <v>1.1420000000000001</v>
      </c>
      <c r="X75" s="88">
        <v>1.1420000000000001</v>
      </c>
      <c r="Y75" s="88">
        <v>5.0879999999999992</v>
      </c>
      <c r="Z75" s="29">
        <v>0</v>
      </c>
      <c r="AA75" s="29">
        <v>0.23472682154457228</v>
      </c>
      <c r="AB75" s="89">
        <v>0.23472682154457228</v>
      </c>
    </row>
    <row r="76" spans="2:28">
      <c r="B76" s="75">
        <v>92</v>
      </c>
      <c r="C76" s="76"/>
      <c r="D76" s="76">
        <v>4.6040000000000001</v>
      </c>
      <c r="E76" s="76">
        <v>2.0350000000000001</v>
      </c>
      <c r="F76" s="76">
        <v>2.0350000000000001</v>
      </c>
      <c r="G76" s="76">
        <v>4.6040000000000001</v>
      </c>
      <c r="H76" s="77">
        <v>0</v>
      </c>
      <c r="I76" s="77">
        <v>0.44200695047784538</v>
      </c>
      <c r="J76" s="78">
        <v>0.44200695047784538</v>
      </c>
      <c r="K76" s="75">
        <v>92</v>
      </c>
      <c r="L76" s="76">
        <v>0</v>
      </c>
      <c r="M76" s="76">
        <v>4.99</v>
      </c>
      <c r="N76" s="79">
        <v>6.4000000000000001E-2</v>
      </c>
      <c r="O76" s="76">
        <v>6.4000000000000001E-2</v>
      </c>
      <c r="P76" s="76">
        <v>4.99</v>
      </c>
      <c r="Q76" s="77">
        <v>0</v>
      </c>
      <c r="R76" s="77">
        <v>1.282565130260521E-2</v>
      </c>
      <c r="S76" s="78">
        <v>1.282565130260521E-2</v>
      </c>
      <c r="T76" s="75">
        <v>92</v>
      </c>
      <c r="U76" s="80">
        <v>0</v>
      </c>
      <c r="V76" s="80">
        <v>4.7970000000000006</v>
      </c>
      <c r="W76" s="80">
        <v>1.0495000000000001</v>
      </c>
      <c r="X76" s="80">
        <v>1.0495000000000001</v>
      </c>
      <c r="Y76" s="80">
        <v>4.7970000000000006</v>
      </c>
      <c r="Z76" s="81">
        <v>0</v>
      </c>
      <c r="AA76" s="81">
        <v>0.2274163008902253</v>
      </c>
      <c r="AB76" s="82">
        <v>0.2274163008902253</v>
      </c>
    </row>
    <row r="77" spans="2:28">
      <c r="B77" s="83">
        <v>93</v>
      </c>
      <c r="C77" s="84"/>
      <c r="D77" s="84">
        <v>4.3760000000000003</v>
      </c>
      <c r="E77" s="84">
        <v>1.85</v>
      </c>
      <c r="F77" s="84">
        <v>1.85</v>
      </c>
      <c r="G77" s="84">
        <v>4.3760000000000003</v>
      </c>
      <c r="H77" s="85">
        <v>0</v>
      </c>
      <c r="I77" s="85">
        <v>0.42276051188299818</v>
      </c>
      <c r="J77" s="87">
        <v>0.42276051188299818</v>
      </c>
      <c r="K77" s="83">
        <v>93</v>
      </c>
      <c r="L77" s="84">
        <v>0</v>
      </c>
      <c r="M77" s="84">
        <v>4.6840000000000002</v>
      </c>
      <c r="N77" s="86">
        <v>5.1999999999999998E-2</v>
      </c>
      <c r="O77" s="84">
        <v>5.1999999999999998E-2</v>
      </c>
      <c r="P77" s="84">
        <v>4.6840000000000002</v>
      </c>
      <c r="Q77" s="85">
        <v>0</v>
      </c>
      <c r="R77" s="85">
        <v>1.1101622544833475E-2</v>
      </c>
      <c r="S77" s="87">
        <v>1.1101622544833475E-2</v>
      </c>
      <c r="T77" s="83">
        <v>93</v>
      </c>
      <c r="U77" s="88">
        <v>0</v>
      </c>
      <c r="V77" s="88">
        <v>4.53</v>
      </c>
      <c r="W77" s="88">
        <v>0.95100000000000007</v>
      </c>
      <c r="X77" s="88">
        <v>0.95100000000000007</v>
      </c>
      <c r="Y77" s="88">
        <v>4.53</v>
      </c>
      <c r="Z77" s="29">
        <v>0</v>
      </c>
      <c r="AA77" s="29">
        <v>0.21693106721391583</v>
      </c>
      <c r="AB77" s="89">
        <v>0.21693106721391583</v>
      </c>
    </row>
    <row r="78" spans="2:28">
      <c r="B78" s="75">
        <v>94</v>
      </c>
      <c r="C78" s="76"/>
      <c r="D78" s="76">
        <v>4.1660000000000004</v>
      </c>
      <c r="E78" s="76">
        <v>1.6830000000000001</v>
      </c>
      <c r="F78" s="76">
        <v>1.6830000000000001</v>
      </c>
      <c r="G78" s="76">
        <v>4.1660000000000004</v>
      </c>
      <c r="H78" s="77">
        <v>0</v>
      </c>
      <c r="I78" s="77">
        <v>0.4039846375420067</v>
      </c>
      <c r="J78" s="78">
        <v>0.4039846375420067</v>
      </c>
      <c r="K78" s="75">
        <v>94</v>
      </c>
      <c r="L78" s="76">
        <v>0</v>
      </c>
      <c r="M78" s="76">
        <v>4.4039999999999999</v>
      </c>
      <c r="N78" s="79">
        <v>4.2000000000000003E-2</v>
      </c>
      <c r="O78" s="76">
        <v>4.2000000000000003E-2</v>
      </c>
      <c r="P78" s="76">
        <v>4.4039999999999999</v>
      </c>
      <c r="Q78" s="77">
        <v>0</v>
      </c>
      <c r="R78" s="77">
        <v>9.5367847411444145E-3</v>
      </c>
      <c r="S78" s="78">
        <v>9.5367847411444145E-3</v>
      </c>
      <c r="T78" s="75">
        <v>94</v>
      </c>
      <c r="U78" s="80">
        <v>0</v>
      </c>
      <c r="V78" s="80">
        <v>4.2850000000000001</v>
      </c>
      <c r="W78" s="80">
        <v>0.86250000000000004</v>
      </c>
      <c r="X78" s="80">
        <v>0.86250000000000004</v>
      </c>
      <c r="Y78" s="80">
        <v>4.2850000000000001</v>
      </c>
      <c r="Z78" s="81">
        <v>0</v>
      </c>
      <c r="AA78" s="81">
        <v>0.20676071114157554</v>
      </c>
      <c r="AB78" s="82">
        <v>0.20676071114157554</v>
      </c>
    </row>
    <row r="79" spans="2:28">
      <c r="B79" s="83">
        <v>95</v>
      </c>
      <c r="C79" s="84"/>
      <c r="D79" s="84">
        <v>3.9740000000000002</v>
      </c>
      <c r="E79" s="84">
        <v>1.5349999999999999</v>
      </c>
      <c r="F79" s="84">
        <v>1.5349999999999999</v>
      </c>
      <c r="G79" s="84">
        <v>3.9740000000000002</v>
      </c>
      <c r="H79" s="85">
        <v>0</v>
      </c>
      <c r="I79" s="85">
        <v>0.38626069451434319</v>
      </c>
      <c r="J79" s="87">
        <v>0.38626069451434319</v>
      </c>
      <c r="K79" s="83">
        <v>95</v>
      </c>
      <c r="L79" s="84">
        <v>0</v>
      </c>
      <c r="M79" s="84">
        <v>4.149</v>
      </c>
      <c r="N79" s="86">
        <v>3.4000000000000002E-2</v>
      </c>
      <c r="O79" s="84">
        <v>3.4000000000000002E-2</v>
      </c>
      <c r="P79" s="84">
        <v>4.149</v>
      </c>
      <c r="Q79" s="85">
        <v>0</v>
      </c>
      <c r="R79" s="85">
        <v>8.1947457218606891E-3</v>
      </c>
      <c r="S79" s="87">
        <v>8.1947457218606891E-3</v>
      </c>
      <c r="T79" s="83">
        <v>95</v>
      </c>
      <c r="U79" s="88">
        <v>0</v>
      </c>
      <c r="V79" s="88">
        <v>4.0615000000000006</v>
      </c>
      <c r="W79" s="88">
        <v>0.78449999999999998</v>
      </c>
      <c r="X79" s="88">
        <v>0.78449999999999998</v>
      </c>
      <c r="Y79" s="88">
        <v>4.0615000000000006</v>
      </c>
      <c r="Z79" s="29">
        <v>0</v>
      </c>
      <c r="AA79" s="29">
        <v>0.19722772011810194</v>
      </c>
      <c r="AB79" s="89">
        <v>0.19722772011810194</v>
      </c>
    </row>
    <row r="80" spans="2:28">
      <c r="B80" s="75">
        <v>96</v>
      </c>
      <c r="C80" s="76"/>
      <c r="D80" s="76">
        <v>3.798</v>
      </c>
      <c r="E80" s="76">
        <v>1.371</v>
      </c>
      <c r="F80" s="76">
        <v>1.371</v>
      </c>
      <c r="G80" s="76">
        <v>3.798</v>
      </c>
      <c r="H80" s="77">
        <v>0</v>
      </c>
      <c r="I80" s="77">
        <v>0.36097946287519744</v>
      </c>
      <c r="J80" s="78">
        <v>0.36097946287519744</v>
      </c>
      <c r="K80" s="75">
        <v>96</v>
      </c>
      <c r="L80" s="76">
        <v>0</v>
      </c>
      <c r="M80" s="76">
        <v>3.919</v>
      </c>
      <c r="N80" s="79">
        <v>2.7E-2</v>
      </c>
      <c r="O80" s="76">
        <v>2.7E-2</v>
      </c>
      <c r="P80" s="76">
        <v>3.919</v>
      </c>
      <c r="Q80" s="77">
        <v>0</v>
      </c>
      <c r="R80" s="77">
        <v>6.8895126307731563E-3</v>
      </c>
      <c r="S80" s="78">
        <v>6.8895126307731563E-3</v>
      </c>
      <c r="T80" s="75">
        <v>96</v>
      </c>
      <c r="U80" s="80">
        <v>0</v>
      </c>
      <c r="V80" s="80">
        <v>3.8585000000000003</v>
      </c>
      <c r="W80" s="80">
        <v>0.69899999999999995</v>
      </c>
      <c r="X80" s="80">
        <v>0.69899999999999995</v>
      </c>
      <c r="Y80" s="80">
        <v>3.8585000000000003</v>
      </c>
      <c r="Z80" s="81">
        <v>0</v>
      </c>
      <c r="AA80" s="81">
        <v>0.18393448775298529</v>
      </c>
      <c r="AB80" s="82">
        <v>0.18393448775298529</v>
      </c>
    </row>
    <row r="81" spans="2:28">
      <c r="B81" s="83">
        <v>97</v>
      </c>
      <c r="C81" s="84"/>
      <c r="D81" s="84">
        <v>3.6389999999999998</v>
      </c>
      <c r="E81" s="84">
        <v>1.216</v>
      </c>
      <c r="F81" s="84">
        <v>1.216</v>
      </c>
      <c r="G81" s="84">
        <v>3.6389999999999998</v>
      </c>
      <c r="H81" s="85">
        <v>0</v>
      </c>
      <c r="I81" s="85">
        <v>0.33415773564165979</v>
      </c>
      <c r="J81" s="87">
        <v>0.33415773564165979</v>
      </c>
      <c r="K81" s="83">
        <v>97</v>
      </c>
      <c r="L81" s="84">
        <v>0</v>
      </c>
      <c r="M81" s="84">
        <v>3.7130000000000001</v>
      </c>
      <c r="N81" s="86">
        <v>2.1000000000000001E-2</v>
      </c>
      <c r="O81" s="84">
        <v>2.1000000000000001E-2</v>
      </c>
      <c r="P81" s="84">
        <v>3.7130000000000001</v>
      </c>
      <c r="Q81" s="85">
        <v>0</v>
      </c>
      <c r="R81" s="85">
        <v>5.655803932130353E-3</v>
      </c>
      <c r="S81" s="87">
        <v>5.655803932130353E-3</v>
      </c>
      <c r="T81" s="83">
        <v>97</v>
      </c>
      <c r="U81" s="88">
        <v>0</v>
      </c>
      <c r="V81" s="88">
        <v>3.6760000000000002</v>
      </c>
      <c r="W81" s="88">
        <v>0.61849999999999994</v>
      </c>
      <c r="X81" s="88">
        <v>0.61849999999999994</v>
      </c>
      <c r="Y81" s="88">
        <v>3.6760000000000002</v>
      </c>
      <c r="Z81" s="29">
        <v>0</v>
      </c>
      <c r="AA81" s="29">
        <v>0.16990676978689506</v>
      </c>
      <c r="AB81" s="89">
        <v>0.16990676978689506</v>
      </c>
    </row>
    <row r="82" spans="2:28">
      <c r="B82" s="75">
        <v>98</v>
      </c>
      <c r="C82" s="76"/>
      <c r="D82" s="76">
        <v>3.4950000000000001</v>
      </c>
      <c r="E82" s="76">
        <v>1.0409999999999999</v>
      </c>
      <c r="F82" s="76">
        <v>1.0409999999999999</v>
      </c>
      <c r="G82" s="76">
        <v>3.4950000000000001</v>
      </c>
      <c r="H82" s="77">
        <v>0</v>
      </c>
      <c r="I82" s="77">
        <v>0.29785407725321883</v>
      </c>
      <c r="J82" s="78">
        <v>0.29785407725321883</v>
      </c>
      <c r="K82" s="75">
        <v>98</v>
      </c>
      <c r="L82" s="76">
        <v>0</v>
      </c>
      <c r="M82" s="76">
        <v>3.53</v>
      </c>
      <c r="N82" s="79">
        <v>1.6E-2</v>
      </c>
      <c r="O82" s="76">
        <v>1.6E-2</v>
      </c>
      <c r="P82" s="76">
        <v>3.53</v>
      </c>
      <c r="Q82" s="77">
        <v>0</v>
      </c>
      <c r="R82" s="77">
        <v>4.5325779036827201E-3</v>
      </c>
      <c r="S82" s="78">
        <v>4.5325779036827201E-3</v>
      </c>
      <c r="T82" s="75">
        <v>98</v>
      </c>
      <c r="U82" s="80">
        <v>0</v>
      </c>
      <c r="V82" s="80">
        <v>3.5125000000000002</v>
      </c>
      <c r="W82" s="80">
        <v>0.52849999999999997</v>
      </c>
      <c r="X82" s="80">
        <v>0.52849999999999997</v>
      </c>
      <c r="Y82" s="80">
        <v>3.5125000000000002</v>
      </c>
      <c r="Z82" s="81">
        <v>0</v>
      </c>
      <c r="AA82" s="81">
        <v>0.15119332757845078</v>
      </c>
      <c r="AB82" s="82">
        <v>0.15119332757845078</v>
      </c>
    </row>
    <row r="83" spans="2:28">
      <c r="B83" s="83">
        <v>99</v>
      </c>
      <c r="C83" s="84"/>
      <c r="D83" s="84">
        <v>3.3639999999999999</v>
      </c>
      <c r="E83" s="84">
        <v>0.84799999999999998</v>
      </c>
      <c r="F83" s="84">
        <v>0.84799999999999998</v>
      </c>
      <c r="G83" s="84">
        <v>3.3639999999999999</v>
      </c>
      <c r="H83" s="85">
        <v>0</v>
      </c>
      <c r="I83" s="85">
        <v>0.25208085612366232</v>
      </c>
      <c r="J83" s="87">
        <v>0.25208085612366232</v>
      </c>
      <c r="K83" s="83">
        <v>99</v>
      </c>
      <c r="L83" s="84">
        <v>0</v>
      </c>
      <c r="M83" s="84">
        <v>3.3690000000000002</v>
      </c>
      <c r="N83" s="86">
        <v>1.2999999999999999E-2</v>
      </c>
      <c r="O83" s="84">
        <v>1.2999999999999999E-2</v>
      </c>
      <c r="P83" s="84">
        <v>3.3690000000000002</v>
      </c>
      <c r="Q83" s="85">
        <v>0</v>
      </c>
      <c r="R83" s="85">
        <v>3.8587117839121395E-3</v>
      </c>
      <c r="S83" s="87">
        <v>3.8587117839121395E-3</v>
      </c>
      <c r="T83" s="83">
        <v>99</v>
      </c>
      <c r="U83" s="88">
        <v>0</v>
      </c>
      <c r="V83" s="88">
        <v>3.3665000000000003</v>
      </c>
      <c r="W83" s="88">
        <v>0.43049999999999999</v>
      </c>
      <c r="X83" s="88">
        <v>0.43049999999999999</v>
      </c>
      <c r="Y83" s="88">
        <v>3.3665000000000003</v>
      </c>
      <c r="Z83" s="29">
        <v>0</v>
      </c>
      <c r="AA83" s="29">
        <v>0.12796978395378722</v>
      </c>
      <c r="AB83" s="89">
        <v>0.12796978395378722</v>
      </c>
    </row>
    <row r="84" spans="2:28" ht="15.75" thickBot="1">
      <c r="B84" s="100">
        <v>100</v>
      </c>
      <c r="C84" s="101"/>
      <c r="D84" s="101">
        <v>3.2450000000000001</v>
      </c>
      <c r="E84" s="101">
        <v>0.67200000000000004</v>
      </c>
      <c r="F84" s="101">
        <v>0.67200000000000004</v>
      </c>
      <c r="G84" s="101">
        <v>3.2450000000000001</v>
      </c>
      <c r="H84" s="102">
        <v>0</v>
      </c>
      <c r="I84" s="102">
        <v>0.20708782742681048</v>
      </c>
      <c r="J84" s="104">
        <v>0.20708782742681048</v>
      </c>
      <c r="K84" s="100">
        <v>100</v>
      </c>
      <c r="L84" s="101">
        <v>0</v>
      </c>
      <c r="M84" s="101">
        <v>3.2309999999999999</v>
      </c>
      <c r="N84" s="103">
        <v>0.01</v>
      </c>
      <c r="O84" s="101">
        <v>0.01</v>
      </c>
      <c r="P84" s="101">
        <v>3.2309999999999999</v>
      </c>
      <c r="Q84" s="102">
        <v>0</v>
      </c>
      <c r="R84" s="102">
        <v>3.0950170225936243E-3</v>
      </c>
      <c r="S84" s="104">
        <v>3.0950170225936243E-3</v>
      </c>
      <c r="T84" s="100">
        <v>100</v>
      </c>
      <c r="U84" s="105">
        <v>0</v>
      </c>
      <c r="V84" s="105">
        <v>3.238</v>
      </c>
      <c r="W84" s="105">
        <v>0.34100000000000003</v>
      </c>
      <c r="X84" s="105">
        <v>0.34100000000000003</v>
      </c>
      <c r="Y84" s="105">
        <v>3.238</v>
      </c>
      <c r="Z84" s="106">
        <v>0</v>
      </c>
      <c r="AA84" s="106">
        <v>0.10509142222470205</v>
      </c>
      <c r="AB84" s="107">
        <v>0.10509142222470205</v>
      </c>
    </row>
  </sheetData>
  <mergeCells count="3">
    <mergeCell ref="H2:J2"/>
    <mergeCell ref="Q2:S2"/>
    <mergeCell ref="Z2:AB2"/>
  </mergeCells>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C3189-6607-40F2-A37B-D2BD55179751}">
  <sheetPr codeName="Tabelle45"/>
  <dimension ref="A1:AB84"/>
  <sheetViews>
    <sheetView topLeftCell="B1" workbookViewId="0">
      <selection activeCell="B4" sqref="B4:AB84"/>
    </sheetView>
  </sheetViews>
  <sheetFormatPr baseColWidth="10" defaultColWidth="12.7109375" defaultRowHeight="15"/>
  <cols>
    <col min="1" max="1" width="24" hidden="1" customWidth="1"/>
    <col min="2" max="2" width="7" customWidth="1"/>
    <col min="3" max="3" width="11.5703125" customWidth="1"/>
    <col min="4" max="4" width="12.5703125" customWidth="1"/>
    <col min="5" max="6" width="10.42578125" customWidth="1"/>
    <col min="7" max="7" width="12.5703125" customWidth="1"/>
    <col min="8" max="9" width="11" customWidth="1"/>
    <col min="10" max="10" width="11" style="26" customWidth="1"/>
    <col min="11" max="11" width="7" customWidth="1"/>
    <col min="12" max="16" width="12.5703125" customWidth="1"/>
    <col min="17" max="18" width="11" customWidth="1"/>
    <col min="19" max="19" width="11" style="26" customWidth="1"/>
    <col min="20" max="20" width="7" customWidth="1"/>
    <col min="25" max="25" width="12.5703125" customWidth="1"/>
    <col min="26" max="27" width="11" customWidth="1"/>
    <col min="28" max="28" width="11" style="26" customWidth="1"/>
    <col min="29" max="29" width="13.28515625" bestFit="1" customWidth="1"/>
  </cols>
  <sheetData>
    <row r="1" spans="1:28" ht="15.75" thickBot="1">
      <c r="B1" s="15">
        <v>1</v>
      </c>
      <c r="C1" s="15">
        <v>2</v>
      </c>
      <c r="D1" s="15">
        <v>3</v>
      </c>
      <c r="E1" s="15">
        <v>4</v>
      </c>
      <c r="F1" s="15">
        <v>5</v>
      </c>
      <c r="G1" s="15">
        <v>6</v>
      </c>
      <c r="H1" s="15">
        <v>7</v>
      </c>
      <c r="I1" s="15">
        <v>8</v>
      </c>
      <c r="J1" s="15">
        <v>9</v>
      </c>
      <c r="K1" s="15">
        <v>10</v>
      </c>
      <c r="L1" s="15">
        <v>11</v>
      </c>
      <c r="M1" s="15">
        <v>12</v>
      </c>
      <c r="N1" s="15">
        <v>13</v>
      </c>
      <c r="O1" s="15">
        <v>14</v>
      </c>
      <c r="P1" s="15">
        <v>15</v>
      </c>
      <c r="Q1" s="15">
        <v>16</v>
      </c>
      <c r="R1" s="15">
        <v>17</v>
      </c>
      <c r="S1" s="15">
        <v>18</v>
      </c>
      <c r="T1" s="15">
        <v>19</v>
      </c>
      <c r="U1" s="15">
        <v>20</v>
      </c>
      <c r="V1" s="15">
        <v>21</v>
      </c>
      <c r="W1" s="15">
        <v>22</v>
      </c>
      <c r="X1" s="15">
        <v>23</v>
      </c>
      <c r="Y1" s="15">
        <v>24</v>
      </c>
      <c r="Z1" s="15">
        <v>25</v>
      </c>
      <c r="AA1" s="15">
        <v>26</v>
      </c>
      <c r="AB1" s="15">
        <v>27</v>
      </c>
    </row>
    <row r="2" spans="1:28" s="56" customFormat="1" ht="72" customHeight="1">
      <c r="A2" s="56" t="s">
        <v>3421</v>
      </c>
      <c r="B2" s="810" t="s">
        <v>2780</v>
      </c>
      <c r="C2" s="58" t="s">
        <v>3390</v>
      </c>
      <c r="D2" s="58" t="s">
        <v>3391</v>
      </c>
      <c r="E2" s="58" t="s">
        <v>3392</v>
      </c>
      <c r="F2" s="58" t="s">
        <v>3393</v>
      </c>
      <c r="G2" s="58" t="s">
        <v>3394</v>
      </c>
      <c r="H2" s="812" t="s">
        <v>3418</v>
      </c>
      <c r="I2" s="812"/>
      <c r="J2" s="813"/>
      <c r="K2" s="59"/>
      <c r="L2" s="60" t="s">
        <v>3390</v>
      </c>
      <c r="M2" s="60" t="s">
        <v>3391</v>
      </c>
      <c r="N2" s="60" t="s">
        <v>3392</v>
      </c>
      <c r="O2" s="60" t="s">
        <v>3393</v>
      </c>
      <c r="P2" s="60" t="str">
        <f>+G2</f>
        <v>Anwartschafts-barwert
Altersrente</v>
      </c>
      <c r="Q2" s="814" t="s">
        <v>3419</v>
      </c>
      <c r="R2" s="814"/>
      <c r="S2" s="815"/>
      <c r="T2" s="61"/>
      <c r="U2" s="62" t="s">
        <v>3390</v>
      </c>
      <c r="V2" s="62" t="s">
        <v>3391</v>
      </c>
      <c r="W2" s="62" t="s">
        <v>3392</v>
      </c>
      <c r="X2" s="62" t="s">
        <v>3393</v>
      </c>
      <c r="Y2" s="62" t="str">
        <f>+P2</f>
        <v>Anwartschafts-barwert
Altersrente</v>
      </c>
      <c r="Z2" s="816" t="s">
        <v>3422</v>
      </c>
      <c r="AA2" s="816"/>
      <c r="AB2" s="817"/>
    </row>
    <row r="3" spans="1:28" s="74" customFormat="1" ht="13.5">
      <c r="A3" s="63">
        <v>43463</v>
      </c>
      <c r="B3" s="811"/>
      <c r="C3" s="65" t="s">
        <v>3423</v>
      </c>
      <c r="D3" s="65" t="s">
        <v>3408</v>
      </c>
      <c r="E3" s="65" t="s">
        <v>3409</v>
      </c>
      <c r="F3" s="65"/>
      <c r="G3" s="65"/>
      <c r="H3" s="66" t="s">
        <v>3400</v>
      </c>
      <c r="I3" s="66" t="s">
        <v>3401</v>
      </c>
      <c r="J3" s="67" t="s">
        <v>3402</v>
      </c>
      <c r="K3" s="68" t="s">
        <v>2780</v>
      </c>
      <c r="L3" s="69" t="s">
        <v>3424</v>
      </c>
      <c r="M3" s="69" t="s">
        <v>3412</v>
      </c>
      <c r="N3" s="69" t="s">
        <v>3405</v>
      </c>
      <c r="O3" s="69" t="s">
        <v>3413</v>
      </c>
      <c r="P3" s="69"/>
      <c r="Q3" s="69" t="s">
        <v>3400</v>
      </c>
      <c r="R3" s="69" t="s">
        <v>3401</v>
      </c>
      <c r="S3" s="70" t="s">
        <v>3402</v>
      </c>
      <c r="T3" s="108" t="s">
        <v>2780</v>
      </c>
      <c r="U3" s="109" t="s">
        <v>3425</v>
      </c>
      <c r="V3" s="109" t="s">
        <v>3426</v>
      </c>
      <c r="W3" s="109" t="s">
        <v>3427</v>
      </c>
      <c r="X3" s="109" t="s">
        <v>3428</v>
      </c>
      <c r="Y3" s="109"/>
      <c r="Z3" s="109" t="s">
        <v>3400</v>
      </c>
      <c r="AA3" s="109" t="s">
        <v>3401</v>
      </c>
      <c r="AB3" s="110" t="s">
        <v>3402</v>
      </c>
    </row>
    <row r="4" spans="1:28">
      <c r="B4" s="75">
        <v>20</v>
      </c>
      <c r="C4" s="76">
        <v>0.29599999999999999</v>
      </c>
      <c r="D4" s="76">
        <v>4.476</v>
      </c>
      <c r="E4" s="76">
        <v>0.53500000000000003</v>
      </c>
      <c r="F4" s="76">
        <v>0.53500000000000003</v>
      </c>
      <c r="G4" s="76">
        <v>4.18</v>
      </c>
      <c r="H4" s="77">
        <v>7.0813397129186606E-2</v>
      </c>
      <c r="I4" s="77">
        <v>0.1279904306220096</v>
      </c>
      <c r="J4" s="78">
        <v>0.1988038277511962</v>
      </c>
      <c r="K4" s="75">
        <v>20</v>
      </c>
      <c r="L4" s="76">
        <v>0.308</v>
      </c>
      <c r="M4" s="76">
        <v>5.2350000000000003</v>
      </c>
      <c r="N4" s="79">
        <v>0.14000000000000001</v>
      </c>
      <c r="O4" s="76">
        <v>0.14000000000000001</v>
      </c>
      <c r="P4" s="76">
        <v>4.9270000000000005</v>
      </c>
      <c r="Q4" s="77">
        <v>6.2512685203978069E-2</v>
      </c>
      <c r="R4" s="77">
        <v>2.8414856910899126E-2</v>
      </c>
      <c r="S4" s="78">
        <v>9.0927542114877191E-2</v>
      </c>
      <c r="T4" s="75">
        <v>20</v>
      </c>
      <c r="U4" s="80">
        <v>0.30199999999999999</v>
      </c>
      <c r="V4" s="80">
        <v>4.8555000000000001</v>
      </c>
      <c r="W4" s="80">
        <v>0.33750000000000002</v>
      </c>
      <c r="X4" s="80">
        <v>0.33750000000000002</v>
      </c>
      <c r="Y4" s="80">
        <v>4.5534999999999997</v>
      </c>
      <c r="Z4" s="81">
        <v>6.6663041166582337E-2</v>
      </c>
      <c r="AA4" s="81">
        <v>7.8202643766454361E-2</v>
      </c>
      <c r="AB4" s="82">
        <v>0.1448656849330367</v>
      </c>
    </row>
    <row r="5" spans="1:28">
      <c r="B5" s="83">
        <v>21</v>
      </c>
      <c r="C5" s="84">
        <v>0.34200000000000003</v>
      </c>
      <c r="D5" s="84">
        <v>4.6120000000000001</v>
      </c>
      <c r="E5" s="84">
        <v>0.623</v>
      </c>
      <c r="F5" s="84">
        <v>0.623</v>
      </c>
      <c r="G5" s="84">
        <v>4.2700000000000005</v>
      </c>
      <c r="H5" s="85">
        <v>8.0093676814988288E-2</v>
      </c>
      <c r="I5" s="85">
        <v>0.14590163934426228</v>
      </c>
      <c r="J5" s="87">
        <v>0.22599531615925056</v>
      </c>
      <c r="K5" s="83">
        <v>21</v>
      </c>
      <c r="L5" s="84">
        <v>0.37</v>
      </c>
      <c r="M5" s="84">
        <v>5.391</v>
      </c>
      <c r="N5" s="86">
        <v>0.16900000000000001</v>
      </c>
      <c r="O5" s="84">
        <v>0.16900000000000001</v>
      </c>
      <c r="P5" s="84">
        <v>5.0209999999999999</v>
      </c>
      <c r="Q5" s="85">
        <v>7.3690499900418246E-2</v>
      </c>
      <c r="R5" s="85">
        <v>3.3658633738299144E-2</v>
      </c>
      <c r="S5" s="87">
        <v>0.1073491336387174</v>
      </c>
      <c r="T5" s="83">
        <v>21</v>
      </c>
      <c r="U5" s="88">
        <v>0.35599999999999998</v>
      </c>
      <c r="V5" s="88">
        <v>5.0015000000000001</v>
      </c>
      <c r="W5" s="88">
        <v>0.39600000000000002</v>
      </c>
      <c r="X5" s="88">
        <v>0.39600000000000002</v>
      </c>
      <c r="Y5" s="88">
        <v>4.6455000000000002</v>
      </c>
      <c r="Z5" s="29">
        <v>7.6892088357703267E-2</v>
      </c>
      <c r="AA5" s="29">
        <v>8.9780136541280711E-2</v>
      </c>
      <c r="AB5" s="89">
        <v>0.16667222489898398</v>
      </c>
    </row>
    <row r="6" spans="1:28">
      <c r="B6" s="75">
        <v>22</v>
      </c>
      <c r="C6" s="76">
        <v>0.38900000000000001</v>
      </c>
      <c r="D6" s="76">
        <v>4.7510000000000003</v>
      </c>
      <c r="E6" s="76">
        <v>0.71499999999999997</v>
      </c>
      <c r="F6" s="76">
        <v>0.71499999999999997</v>
      </c>
      <c r="G6" s="76">
        <v>4.3620000000000001</v>
      </c>
      <c r="H6" s="77">
        <v>8.9179275561668964E-2</v>
      </c>
      <c r="I6" s="77">
        <v>0.16391563502980283</v>
      </c>
      <c r="J6" s="78">
        <v>0.25309491059147182</v>
      </c>
      <c r="K6" s="75">
        <v>22</v>
      </c>
      <c r="L6" s="76">
        <v>0.42799999999999999</v>
      </c>
      <c r="M6" s="76">
        <v>5.5519999999999996</v>
      </c>
      <c r="N6" s="79">
        <v>0.19600000000000001</v>
      </c>
      <c r="O6" s="76">
        <v>0.19600000000000001</v>
      </c>
      <c r="P6" s="76">
        <v>5.1239999999999997</v>
      </c>
      <c r="Q6" s="77">
        <v>8.3528493364558948E-2</v>
      </c>
      <c r="R6" s="77">
        <v>3.825136612021858E-2</v>
      </c>
      <c r="S6" s="78">
        <v>0.12177985948477753</v>
      </c>
      <c r="T6" s="75">
        <v>22</v>
      </c>
      <c r="U6" s="80">
        <v>0.40849999999999997</v>
      </c>
      <c r="V6" s="80">
        <v>5.1515000000000004</v>
      </c>
      <c r="W6" s="80">
        <v>0.45550000000000002</v>
      </c>
      <c r="X6" s="80">
        <v>0.45550000000000002</v>
      </c>
      <c r="Y6" s="80">
        <v>4.7430000000000003</v>
      </c>
      <c r="Z6" s="81">
        <v>8.6353884463113956E-2</v>
      </c>
      <c r="AA6" s="81">
        <v>0.1010835005750107</v>
      </c>
      <c r="AB6" s="82">
        <v>0.18743738503812468</v>
      </c>
    </row>
    <row r="7" spans="1:28">
      <c r="B7" s="83">
        <v>23</v>
      </c>
      <c r="C7" s="84">
        <v>0.437</v>
      </c>
      <c r="D7" s="84">
        <v>4.8929999999999998</v>
      </c>
      <c r="E7" s="84">
        <v>0.81200000000000006</v>
      </c>
      <c r="F7" s="84">
        <v>0.81200000000000006</v>
      </c>
      <c r="G7" s="84">
        <v>4.4559999999999995</v>
      </c>
      <c r="H7" s="85">
        <v>9.8070017953321376E-2</v>
      </c>
      <c r="I7" s="85">
        <v>0.18222621184919213</v>
      </c>
      <c r="J7" s="87">
        <v>0.28029622980251351</v>
      </c>
      <c r="K7" s="83">
        <v>23</v>
      </c>
      <c r="L7" s="84">
        <v>0.47599999999999998</v>
      </c>
      <c r="M7" s="84">
        <v>5.7160000000000002</v>
      </c>
      <c r="N7" s="86">
        <v>0.219</v>
      </c>
      <c r="O7" s="84">
        <v>0.219</v>
      </c>
      <c r="P7" s="84">
        <v>5.24</v>
      </c>
      <c r="Q7" s="85">
        <v>9.0839694656488543E-2</v>
      </c>
      <c r="R7" s="85">
        <v>4.1793893129770991E-2</v>
      </c>
      <c r="S7" s="87">
        <v>0.13263358778625953</v>
      </c>
      <c r="T7" s="83">
        <v>23</v>
      </c>
      <c r="U7" s="88">
        <v>0.45650000000000002</v>
      </c>
      <c r="V7" s="88">
        <v>5.3045</v>
      </c>
      <c r="W7" s="88">
        <v>0.51550000000000007</v>
      </c>
      <c r="X7" s="88">
        <v>0.51550000000000007</v>
      </c>
      <c r="Y7" s="88">
        <v>4.8479999999999999</v>
      </c>
      <c r="Z7" s="29">
        <v>9.4454856304904966E-2</v>
      </c>
      <c r="AA7" s="29">
        <v>0.11201005248948157</v>
      </c>
      <c r="AB7" s="89">
        <v>0.2064649087943865</v>
      </c>
    </row>
    <row r="8" spans="1:28">
      <c r="B8" s="75">
        <v>24</v>
      </c>
      <c r="C8" s="76">
        <v>0.48</v>
      </c>
      <c r="D8" s="76">
        <v>5.0380000000000003</v>
      </c>
      <c r="E8" s="76">
        <v>0.90100000000000002</v>
      </c>
      <c r="F8" s="76">
        <v>0.90100000000000002</v>
      </c>
      <c r="G8" s="76">
        <v>4.5579999999999998</v>
      </c>
      <c r="H8" s="77">
        <v>0.10530934620447564</v>
      </c>
      <c r="I8" s="77">
        <v>0.19767441860465118</v>
      </c>
      <c r="J8" s="78">
        <v>0.30298376480912681</v>
      </c>
      <c r="K8" s="75">
        <v>24</v>
      </c>
      <c r="L8" s="76">
        <v>0.52</v>
      </c>
      <c r="M8" s="76">
        <v>5.8840000000000003</v>
      </c>
      <c r="N8" s="79">
        <v>0.24099999999999999</v>
      </c>
      <c r="O8" s="76">
        <v>0.24099999999999999</v>
      </c>
      <c r="P8" s="76">
        <v>5.3640000000000008</v>
      </c>
      <c r="Q8" s="77">
        <v>9.6942580164056658E-2</v>
      </c>
      <c r="R8" s="77">
        <v>4.4929157345264717E-2</v>
      </c>
      <c r="S8" s="78">
        <v>0.14187173750932136</v>
      </c>
      <c r="T8" s="75">
        <v>24</v>
      </c>
      <c r="U8" s="80">
        <v>0.5</v>
      </c>
      <c r="V8" s="80">
        <v>5.4610000000000003</v>
      </c>
      <c r="W8" s="80">
        <v>0.57099999999999995</v>
      </c>
      <c r="X8" s="80">
        <v>0.57099999999999995</v>
      </c>
      <c r="Y8" s="80">
        <v>4.9610000000000003</v>
      </c>
      <c r="Z8" s="81">
        <v>0.10112596318426614</v>
      </c>
      <c r="AA8" s="81">
        <v>0.12130178797495794</v>
      </c>
      <c r="AB8" s="82">
        <v>0.22242775115922409</v>
      </c>
    </row>
    <row r="9" spans="1:28">
      <c r="B9" s="83">
        <v>25</v>
      </c>
      <c r="C9" s="84">
        <v>0.51900000000000002</v>
      </c>
      <c r="D9" s="84">
        <v>5.1870000000000003</v>
      </c>
      <c r="E9" s="84">
        <v>0.98399999999999999</v>
      </c>
      <c r="F9" s="84">
        <v>0.98399999999999999</v>
      </c>
      <c r="G9" s="84">
        <v>4.6680000000000001</v>
      </c>
      <c r="H9" s="85">
        <v>0.11118251928020566</v>
      </c>
      <c r="I9" s="85">
        <v>0.21079691516709512</v>
      </c>
      <c r="J9" s="87">
        <v>0.32197943444730076</v>
      </c>
      <c r="K9" s="83">
        <v>25</v>
      </c>
      <c r="L9" s="84">
        <v>0.56299999999999994</v>
      </c>
      <c r="M9" s="84">
        <v>6.056</v>
      </c>
      <c r="N9" s="86">
        <v>0.26200000000000001</v>
      </c>
      <c r="O9" s="84">
        <v>0.26200000000000001</v>
      </c>
      <c r="P9" s="84">
        <v>5.4930000000000003</v>
      </c>
      <c r="Q9" s="85">
        <v>0.10249408337884579</v>
      </c>
      <c r="R9" s="85">
        <v>4.7697068996905151E-2</v>
      </c>
      <c r="S9" s="87">
        <v>0.15019115237575092</v>
      </c>
      <c r="T9" s="83">
        <v>25</v>
      </c>
      <c r="U9" s="88">
        <v>0.54099999999999993</v>
      </c>
      <c r="V9" s="88">
        <v>5.6215000000000002</v>
      </c>
      <c r="W9" s="88">
        <v>0.623</v>
      </c>
      <c r="X9" s="88">
        <v>0.623</v>
      </c>
      <c r="Y9" s="88">
        <v>5.0805000000000007</v>
      </c>
      <c r="Z9" s="29">
        <v>0.10683830132952572</v>
      </c>
      <c r="AA9" s="29">
        <v>0.12924699208200013</v>
      </c>
      <c r="AB9" s="89">
        <v>0.23608529341152584</v>
      </c>
    </row>
    <row r="10" spans="1:28">
      <c r="B10" s="75">
        <v>26</v>
      </c>
      <c r="C10" s="76">
        <v>0.55400000000000005</v>
      </c>
      <c r="D10" s="76">
        <v>5.3390000000000004</v>
      </c>
      <c r="E10" s="76">
        <v>1.0629999999999999</v>
      </c>
      <c r="F10" s="76">
        <v>1.0629999999999999</v>
      </c>
      <c r="G10" s="76">
        <v>4.7850000000000001</v>
      </c>
      <c r="H10" s="77">
        <v>0.11577847439916406</v>
      </c>
      <c r="I10" s="77">
        <v>0.22215256008359455</v>
      </c>
      <c r="J10" s="78">
        <v>0.33793103448275863</v>
      </c>
      <c r="K10" s="75">
        <v>26</v>
      </c>
      <c r="L10" s="76">
        <v>0.60499999999999998</v>
      </c>
      <c r="M10" s="76">
        <v>6.2309999999999999</v>
      </c>
      <c r="N10" s="79">
        <v>0.28299999999999997</v>
      </c>
      <c r="O10" s="76">
        <v>0.28299999999999997</v>
      </c>
      <c r="P10" s="76">
        <v>5.6259999999999994</v>
      </c>
      <c r="Q10" s="77">
        <v>0.10753643796658373</v>
      </c>
      <c r="R10" s="77">
        <v>5.0302168503377175E-2</v>
      </c>
      <c r="S10" s="78">
        <v>0.1578386064699609</v>
      </c>
      <c r="T10" s="75">
        <v>26</v>
      </c>
      <c r="U10" s="80">
        <v>0.57950000000000002</v>
      </c>
      <c r="V10" s="80">
        <v>5.7850000000000001</v>
      </c>
      <c r="W10" s="80">
        <v>0.67299999999999993</v>
      </c>
      <c r="X10" s="80">
        <v>0.67299999999999993</v>
      </c>
      <c r="Y10" s="80">
        <v>5.2054999999999998</v>
      </c>
      <c r="Z10" s="81">
        <v>0.1116574561828739</v>
      </c>
      <c r="AA10" s="81">
        <v>0.13622736429348586</v>
      </c>
      <c r="AB10" s="82">
        <v>0.24788482047635976</v>
      </c>
    </row>
    <row r="11" spans="1:28">
      <c r="B11" s="83">
        <v>27</v>
      </c>
      <c r="C11" s="84">
        <v>0.58499999999999996</v>
      </c>
      <c r="D11" s="84">
        <v>5.4939999999999998</v>
      </c>
      <c r="E11" s="84">
        <v>1.139</v>
      </c>
      <c r="F11" s="84">
        <v>1.139</v>
      </c>
      <c r="G11" s="84">
        <v>4.9089999999999998</v>
      </c>
      <c r="H11" s="85">
        <v>0.11916887349765737</v>
      </c>
      <c r="I11" s="85">
        <v>0.23202281523731921</v>
      </c>
      <c r="J11" s="87">
        <v>0.35119168873497658</v>
      </c>
      <c r="K11" s="83">
        <v>27</v>
      </c>
      <c r="L11" s="84">
        <v>0.64700000000000002</v>
      </c>
      <c r="M11" s="84">
        <v>6.4089999999999998</v>
      </c>
      <c r="N11" s="86">
        <v>0.30499999999999999</v>
      </c>
      <c r="O11" s="84">
        <v>0.30499999999999999</v>
      </c>
      <c r="P11" s="84">
        <v>5.7619999999999996</v>
      </c>
      <c r="Q11" s="85">
        <v>0.11228740020826103</v>
      </c>
      <c r="R11" s="85">
        <v>5.2933009371745922E-2</v>
      </c>
      <c r="S11" s="87">
        <v>0.16522040958000694</v>
      </c>
      <c r="T11" s="83">
        <v>27</v>
      </c>
      <c r="U11" s="88">
        <v>0.61599999999999999</v>
      </c>
      <c r="V11" s="88">
        <v>5.9514999999999993</v>
      </c>
      <c r="W11" s="88">
        <v>0.72199999999999998</v>
      </c>
      <c r="X11" s="88">
        <v>0.72199999999999998</v>
      </c>
      <c r="Y11" s="88">
        <v>5.3354999999999997</v>
      </c>
      <c r="Z11" s="29">
        <v>0.1157281368529592</v>
      </c>
      <c r="AA11" s="29">
        <v>0.14247791230453258</v>
      </c>
      <c r="AB11" s="89">
        <v>0.25820604915749179</v>
      </c>
    </row>
    <row r="12" spans="1:28">
      <c r="B12" s="75">
        <v>28</v>
      </c>
      <c r="C12" s="76">
        <v>0.61499999999999999</v>
      </c>
      <c r="D12" s="76">
        <v>5.6529999999999996</v>
      </c>
      <c r="E12" s="76">
        <v>1.214</v>
      </c>
      <c r="F12" s="76">
        <v>1.214</v>
      </c>
      <c r="G12" s="76">
        <v>5.0379999999999994</v>
      </c>
      <c r="H12" s="77">
        <v>0.12207225089321161</v>
      </c>
      <c r="I12" s="77">
        <v>0.24096863834855103</v>
      </c>
      <c r="J12" s="78">
        <v>0.36304088924176264</v>
      </c>
      <c r="K12" s="75">
        <v>28</v>
      </c>
      <c r="L12" s="76">
        <v>0.68600000000000005</v>
      </c>
      <c r="M12" s="76">
        <v>6.5910000000000002</v>
      </c>
      <c r="N12" s="79">
        <v>0.32600000000000001</v>
      </c>
      <c r="O12" s="76">
        <v>0.32600000000000001</v>
      </c>
      <c r="P12" s="76">
        <v>5.9050000000000002</v>
      </c>
      <c r="Q12" s="77">
        <v>0.11617273497036411</v>
      </c>
      <c r="R12" s="77">
        <v>5.520745131244708E-2</v>
      </c>
      <c r="S12" s="78">
        <v>0.17138018628281118</v>
      </c>
      <c r="T12" s="75">
        <v>28</v>
      </c>
      <c r="U12" s="80">
        <v>0.65050000000000008</v>
      </c>
      <c r="V12" s="80">
        <v>6.1219999999999999</v>
      </c>
      <c r="W12" s="80">
        <v>0.77</v>
      </c>
      <c r="X12" s="80">
        <v>0.77</v>
      </c>
      <c r="Y12" s="80">
        <v>5.4714999999999998</v>
      </c>
      <c r="Z12" s="81">
        <v>0.11912249293178787</v>
      </c>
      <c r="AA12" s="81">
        <v>0.14808804483049906</v>
      </c>
      <c r="AB12" s="82">
        <v>0.26721053776228693</v>
      </c>
    </row>
    <row r="13" spans="1:28">
      <c r="B13" s="83">
        <v>29</v>
      </c>
      <c r="C13" s="84">
        <v>0.64200000000000002</v>
      </c>
      <c r="D13" s="84">
        <v>5.8150000000000004</v>
      </c>
      <c r="E13" s="84">
        <v>1.2869999999999999</v>
      </c>
      <c r="F13" s="84">
        <v>1.2869999999999999</v>
      </c>
      <c r="G13" s="84">
        <v>5.173</v>
      </c>
      <c r="H13" s="85">
        <v>0.12410593466073845</v>
      </c>
      <c r="I13" s="85">
        <v>0.24879180359559247</v>
      </c>
      <c r="J13" s="87">
        <v>0.37289773825633094</v>
      </c>
      <c r="K13" s="83">
        <v>29</v>
      </c>
      <c r="L13" s="84">
        <v>0.72399999999999998</v>
      </c>
      <c r="M13" s="84">
        <v>6.7770000000000001</v>
      </c>
      <c r="N13" s="86">
        <v>0.34599999999999997</v>
      </c>
      <c r="O13" s="84">
        <v>0.34599999999999997</v>
      </c>
      <c r="P13" s="84">
        <v>6.0529999999999999</v>
      </c>
      <c r="Q13" s="85">
        <v>0.11961011068891458</v>
      </c>
      <c r="R13" s="85">
        <v>5.7161737981166361E-2</v>
      </c>
      <c r="S13" s="87">
        <v>0.17677184867008094</v>
      </c>
      <c r="T13" s="83">
        <v>29</v>
      </c>
      <c r="U13" s="88">
        <v>0.68300000000000005</v>
      </c>
      <c r="V13" s="88">
        <v>6.2960000000000003</v>
      </c>
      <c r="W13" s="88">
        <v>0.8165</v>
      </c>
      <c r="X13" s="88">
        <v>0.8165</v>
      </c>
      <c r="Y13" s="88">
        <v>5.6129999999999995</v>
      </c>
      <c r="Z13" s="29">
        <v>0.12185802267482651</v>
      </c>
      <c r="AA13" s="29">
        <v>0.1529767707883794</v>
      </c>
      <c r="AB13" s="89">
        <v>0.27483479346320594</v>
      </c>
    </row>
    <row r="14" spans="1:28">
      <c r="B14" s="75">
        <v>30</v>
      </c>
      <c r="C14" s="76">
        <v>0.66800000000000004</v>
      </c>
      <c r="D14" s="76">
        <v>5.9820000000000002</v>
      </c>
      <c r="E14" s="76">
        <v>1.359</v>
      </c>
      <c r="F14" s="76">
        <v>1.359</v>
      </c>
      <c r="G14" s="76">
        <v>5.3140000000000001</v>
      </c>
      <c r="H14" s="77">
        <v>0.125705683101242</v>
      </c>
      <c r="I14" s="77">
        <v>0.25573955589010161</v>
      </c>
      <c r="J14" s="78">
        <v>0.38144523899134364</v>
      </c>
      <c r="K14" s="75">
        <v>30</v>
      </c>
      <c r="L14" s="76">
        <v>0.76</v>
      </c>
      <c r="M14" s="76">
        <v>6.9660000000000002</v>
      </c>
      <c r="N14" s="79">
        <v>0.36599999999999999</v>
      </c>
      <c r="O14" s="76">
        <v>0.36599999999999999</v>
      </c>
      <c r="P14" s="76">
        <v>6.2060000000000004</v>
      </c>
      <c r="Q14" s="77">
        <v>0.12246213341927166</v>
      </c>
      <c r="R14" s="77">
        <v>5.8975185304543987E-2</v>
      </c>
      <c r="S14" s="78">
        <v>0.18143731872381563</v>
      </c>
      <c r="T14" s="75">
        <v>30</v>
      </c>
      <c r="U14" s="80">
        <v>0.71399999999999997</v>
      </c>
      <c r="V14" s="80">
        <v>6.4740000000000002</v>
      </c>
      <c r="W14" s="80">
        <v>0.86250000000000004</v>
      </c>
      <c r="X14" s="80">
        <v>0.86250000000000004</v>
      </c>
      <c r="Y14" s="80">
        <v>5.76</v>
      </c>
      <c r="Z14" s="81">
        <v>0.12408390826025684</v>
      </c>
      <c r="AA14" s="81">
        <v>0.1573573705973228</v>
      </c>
      <c r="AB14" s="82">
        <v>0.28144127885757964</v>
      </c>
    </row>
    <row r="15" spans="1:28">
      <c r="B15" s="83">
        <v>31</v>
      </c>
      <c r="C15" s="84">
        <v>0.69199999999999995</v>
      </c>
      <c r="D15" s="84">
        <v>6.1520000000000001</v>
      </c>
      <c r="E15" s="84">
        <v>1.431</v>
      </c>
      <c r="F15" s="84">
        <v>1.431</v>
      </c>
      <c r="G15" s="84">
        <v>5.46</v>
      </c>
      <c r="H15" s="85">
        <v>0.12673992673992673</v>
      </c>
      <c r="I15" s="85">
        <v>0.2620879120879121</v>
      </c>
      <c r="J15" s="87">
        <v>0.38882783882783883</v>
      </c>
      <c r="K15" s="83">
        <v>31</v>
      </c>
      <c r="L15" s="84">
        <v>0.79300000000000004</v>
      </c>
      <c r="M15" s="84">
        <v>7.1589999999999998</v>
      </c>
      <c r="N15" s="86">
        <v>0.38600000000000001</v>
      </c>
      <c r="O15" s="84">
        <v>0.38600000000000001</v>
      </c>
      <c r="P15" s="84">
        <v>6.3659999999999997</v>
      </c>
      <c r="Q15" s="85">
        <v>0.12456801759346529</v>
      </c>
      <c r="R15" s="85">
        <v>6.0634621426327369E-2</v>
      </c>
      <c r="S15" s="87">
        <v>0.18520263901979267</v>
      </c>
      <c r="T15" s="83">
        <v>31</v>
      </c>
      <c r="U15" s="88">
        <v>0.74249999999999994</v>
      </c>
      <c r="V15" s="88">
        <v>6.6555</v>
      </c>
      <c r="W15" s="88">
        <v>0.90850000000000009</v>
      </c>
      <c r="X15" s="88">
        <v>0.90850000000000009</v>
      </c>
      <c r="Y15" s="88">
        <v>5.9130000000000003</v>
      </c>
      <c r="Z15" s="29">
        <v>0.12565397216669602</v>
      </c>
      <c r="AA15" s="29">
        <v>0.16136126675711973</v>
      </c>
      <c r="AB15" s="89">
        <v>0.28701523892381575</v>
      </c>
    </row>
    <row r="16" spans="1:28">
      <c r="B16" s="75">
        <v>32</v>
      </c>
      <c r="C16" s="76">
        <v>0.71499999999999997</v>
      </c>
      <c r="D16" s="76">
        <v>6.327</v>
      </c>
      <c r="E16" s="76">
        <v>1.502</v>
      </c>
      <c r="F16" s="76">
        <v>1.502</v>
      </c>
      <c r="G16" s="76">
        <v>5.6120000000000001</v>
      </c>
      <c r="H16" s="77">
        <v>0.12740555951532428</v>
      </c>
      <c r="I16" s="77">
        <v>0.26764076977904488</v>
      </c>
      <c r="J16" s="78">
        <v>0.39504632929436917</v>
      </c>
      <c r="K16" s="75">
        <v>32</v>
      </c>
      <c r="L16" s="76">
        <v>0.82399999999999995</v>
      </c>
      <c r="M16" s="76">
        <v>7.3550000000000004</v>
      </c>
      <c r="N16" s="79">
        <v>0.40500000000000003</v>
      </c>
      <c r="O16" s="76">
        <v>0.40500000000000003</v>
      </c>
      <c r="P16" s="76">
        <v>6.5310000000000006</v>
      </c>
      <c r="Q16" s="77">
        <v>0.12616750880416475</v>
      </c>
      <c r="R16" s="77">
        <v>6.2011943040881944E-2</v>
      </c>
      <c r="S16" s="78">
        <v>0.1881794518450467</v>
      </c>
      <c r="T16" s="75">
        <v>32</v>
      </c>
      <c r="U16" s="80">
        <v>0.76949999999999996</v>
      </c>
      <c r="V16" s="80">
        <v>6.8410000000000002</v>
      </c>
      <c r="W16" s="80">
        <v>0.95350000000000001</v>
      </c>
      <c r="X16" s="80">
        <v>0.95350000000000001</v>
      </c>
      <c r="Y16" s="80">
        <v>6.0715000000000003</v>
      </c>
      <c r="Z16" s="81">
        <v>0.1267865341597445</v>
      </c>
      <c r="AA16" s="81">
        <v>0.1648263564099634</v>
      </c>
      <c r="AB16" s="82">
        <v>0.29161289056970796</v>
      </c>
    </row>
    <row r="17" spans="2:28">
      <c r="B17" s="83">
        <v>33</v>
      </c>
      <c r="C17" s="84">
        <v>0.73699999999999999</v>
      </c>
      <c r="D17" s="84">
        <v>6.5060000000000002</v>
      </c>
      <c r="E17" s="84">
        <v>1.5740000000000001</v>
      </c>
      <c r="F17" s="84">
        <v>1.5740000000000001</v>
      </c>
      <c r="G17" s="84">
        <v>5.7690000000000001</v>
      </c>
      <c r="H17" s="85">
        <v>0.12775177673773616</v>
      </c>
      <c r="I17" s="85">
        <v>0.27283758016987347</v>
      </c>
      <c r="J17" s="87">
        <v>0.40058935690760966</v>
      </c>
      <c r="K17" s="83">
        <v>33</v>
      </c>
      <c r="L17" s="84">
        <v>0.85199999999999998</v>
      </c>
      <c r="M17" s="84">
        <v>7.556</v>
      </c>
      <c r="N17" s="86">
        <v>0.42299999999999999</v>
      </c>
      <c r="O17" s="84">
        <v>0.42299999999999999</v>
      </c>
      <c r="P17" s="84">
        <v>6.7039999999999997</v>
      </c>
      <c r="Q17" s="85">
        <v>0.12708830548926014</v>
      </c>
      <c r="R17" s="85">
        <v>6.3096658711217182E-2</v>
      </c>
      <c r="S17" s="87">
        <v>0.19018496420047731</v>
      </c>
      <c r="T17" s="83">
        <v>33</v>
      </c>
      <c r="U17" s="88">
        <v>0.79449999999999998</v>
      </c>
      <c r="V17" s="88">
        <v>7.0310000000000006</v>
      </c>
      <c r="W17" s="88">
        <v>0.99850000000000005</v>
      </c>
      <c r="X17" s="88">
        <v>0.99850000000000005</v>
      </c>
      <c r="Y17" s="88">
        <v>6.2364999999999995</v>
      </c>
      <c r="Z17" s="29">
        <v>0.12742004111349814</v>
      </c>
      <c r="AA17" s="29">
        <v>0.16796711944054532</v>
      </c>
      <c r="AB17" s="89">
        <v>0.29538716055404346</v>
      </c>
    </row>
    <row r="18" spans="2:28">
      <c r="B18" s="75">
        <v>34</v>
      </c>
      <c r="C18" s="76">
        <v>0.75700000000000001</v>
      </c>
      <c r="D18" s="76">
        <v>6.6890000000000001</v>
      </c>
      <c r="E18" s="76">
        <v>1.6459999999999999</v>
      </c>
      <c r="F18" s="76">
        <v>1.6459999999999999</v>
      </c>
      <c r="G18" s="76">
        <v>5.9320000000000004</v>
      </c>
      <c r="H18" s="77">
        <v>0.12761294672960216</v>
      </c>
      <c r="I18" s="77">
        <v>0.27747808496291299</v>
      </c>
      <c r="J18" s="78">
        <v>0.40509103169251515</v>
      </c>
      <c r="K18" s="75">
        <v>34</v>
      </c>
      <c r="L18" s="76">
        <v>0.877</v>
      </c>
      <c r="M18" s="76">
        <v>7.76</v>
      </c>
      <c r="N18" s="79">
        <v>0.441</v>
      </c>
      <c r="O18" s="76">
        <v>0.441</v>
      </c>
      <c r="P18" s="76">
        <v>6.883</v>
      </c>
      <c r="Q18" s="77">
        <v>0.12741537120441668</v>
      </c>
      <c r="R18" s="77">
        <v>6.4070899317158217E-2</v>
      </c>
      <c r="S18" s="78">
        <v>0.19148627052157491</v>
      </c>
      <c r="T18" s="75">
        <v>34</v>
      </c>
      <c r="U18" s="80">
        <v>0.81699999999999995</v>
      </c>
      <c r="V18" s="80">
        <v>7.2244999999999999</v>
      </c>
      <c r="W18" s="80">
        <v>1.0434999999999999</v>
      </c>
      <c r="X18" s="80">
        <v>1.0434999999999999</v>
      </c>
      <c r="Y18" s="80">
        <v>6.4075000000000006</v>
      </c>
      <c r="Z18" s="81">
        <v>0.12751415896700941</v>
      </c>
      <c r="AA18" s="81">
        <v>0.17077449214003559</v>
      </c>
      <c r="AB18" s="82">
        <v>0.29828865110704506</v>
      </c>
    </row>
    <row r="19" spans="2:28">
      <c r="B19" s="83">
        <v>35</v>
      </c>
      <c r="C19" s="84">
        <v>0.77500000000000002</v>
      </c>
      <c r="D19" s="84">
        <v>6.8769999999999998</v>
      </c>
      <c r="E19" s="84">
        <v>1.718</v>
      </c>
      <c r="F19" s="84">
        <v>1.718</v>
      </c>
      <c r="G19" s="84">
        <v>6.1019999999999994</v>
      </c>
      <c r="H19" s="85">
        <v>0.12700753851196331</v>
      </c>
      <c r="I19" s="85">
        <v>0.28154703375942314</v>
      </c>
      <c r="J19" s="87">
        <v>0.40855457227138647</v>
      </c>
      <c r="K19" s="83">
        <v>35</v>
      </c>
      <c r="L19" s="84">
        <v>0.89800000000000002</v>
      </c>
      <c r="M19" s="84">
        <v>7.968</v>
      </c>
      <c r="N19" s="86">
        <v>0.45800000000000002</v>
      </c>
      <c r="O19" s="84">
        <v>0.45800000000000002</v>
      </c>
      <c r="P19" s="84">
        <v>7.07</v>
      </c>
      <c r="Q19" s="85">
        <v>0.12701555869872702</v>
      </c>
      <c r="R19" s="85">
        <v>6.4780763790664775E-2</v>
      </c>
      <c r="S19" s="87">
        <v>0.1917963224893918</v>
      </c>
      <c r="T19" s="83">
        <v>35</v>
      </c>
      <c r="U19" s="88">
        <v>0.83650000000000002</v>
      </c>
      <c r="V19" s="88">
        <v>7.4224999999999994</v>
      </c>
      <c r="W19" s="88">
        <v>1.0880000000000001</v>
      </c>
      <c r="X19" s="88">
        <v>1.0880000000000001</v>
      </c>
      <c r="Y19" s="88">
        <v>6.5860000000000003</v>
      </c>
      <c r="Z19" s="29">
        <v>0.12701154860534516</v>
      </c>
      <c r="AA19" s="29">
        <v>0.17316389877504396</v>
      </c>
      <c r="AB19" s="89">
        <v>0.30017544738038915</v>
      </c>
    </row>
    <row r="20" spans="2:28">
      <c r="B20" s="75">
        <v>36</v>
      </c>
      <c r="C20" s="76">
        <v>0.79</v>
      </c>
      <c r="D20" s="76">
        <v>7.0670000000000002</v>
      </c>
      <c r="E20" s="76">
        <v>1.79</v>
      </c>
      <c r="F20" s="76">
        <v>1.79</v>
      </c>
      <c r="G20" s="76">
        <v>6.2770000000000001</v>
      </c>
      <c r="H20" s="77">
        <v>0.12585630078062768</v>
      </c>
      <c r="I20" s="77">
        <v>0.28516807392066273</v>
      </c>
      <c r="J20" s="78">
        <v>0.41102437470129038</v>
      </c>
      <c r="K20" s="75">
        <v>36</v>
      </c>
      <c r="L20" s="76">
        <v>0.91400000000000003</v>
      </c>
      <c r="M20" s="76">
        <v>8.1780000000000008</v>
      </c>
      <c r="N20" s="79">
        <v>0.47499999999999998</v>
      </c>
      <c r="O20" s="76">
        <v>0.47499999999999998</v>
      </c>
      <c r="P20" s="76">
        <v>7.2640000000000011</v>
      </c>
      <c r="Q20" s="77">
        <v>0.12582599118942731</v>
      </c>
      <c r="R20" s="77">
        <v>6.5390969162995582E-2</v>
      </c>
      <c r="S20" s="78">
        <v>0.19121696035242289</v>
      </c>
      <c r="T20" s="75">
        <v>36</v>
      </c>
      <c r="U20" s="80">
        <v>0.85200000000000009</v>
      </c>
      <c r="V20" s="80">
        <v>7.6225000000000005</v>
      </c>
      <c r="W20" s="80">
        <v>1.1325000000000001</v>
      </c>
      <c r="X20" s="80">
        <v>1.1325000000000001</v>
      </c>
      <c r="Y20" s="80">
        <v>6.7705000000000002</v>
      </c>
      <c r="Z20" s="81">
        <v>0.12584114598502749</v>
      </c>
      <c r="AA20" s="81">
        <v>0.17527952154182916</v>
      </c>
      <c r="AB20" s="82">
        <v>0.30112066752685662</v>
      </c>
    </row>
    <row r="21" spans="2:28">
      <c r="B21" s="83">
        <v>37</v>
      </c>
      <c r="C21" s="84">
        <v>0.8</v>
      </c>
      <c r="D21" s="84">
        <v>7.26</v>
      </c>
      <c r="E21" s="84">
        <v>1.8620000000000001</v>
      </c>
      <c r="F21" s="84">
        <v>1.8620000000000001</v>
      </c>
      <c r="G21" s="84">
        <v>6.46</v>
      </c>
      <c r="H21" s="85">
        <v>0.12383900928792571</v>
      </c>
      <c r="I21" s="85">
        <v>0.28823529411764709</v>
      </c>
      <c r="J21" s="87">
        <v>0.41207430340557283</v>
      </c>
      <c r="K21" s="83">
        <v>37</v>
      </c>
      <c r="L21" s="84">
        <v>0.92500000000000004</v>
      </c>
      <c r="M21" s="84">
        <v>8.391</v>
      </c>
      <c r="N21" s="86">
        <v>0.49</v>
      </c>
      <c r="O21" s="84">
        <v>0.49</v>
      </c>
      <c r="P21" s="84">
        <v>7.4660000000000002</v>
      </c>
      <c r="Q21" s="85">
        <v>0.12389499062416287</v>
      </c>
      <c r="R21" s="85">
        <v>6.5630859898205191E-2</v>
      </c>
      <c r="S21" s="87">
        <v>0.18952585052236806</v>
      </c>
      <c r="T21" s="83">
        <v>37</v>
      </c>
      <c r="U21" s="88">
        <v>0.86250000000000004</v>
      </c>
      <c r="V21" s="88">
        <v>7.8254999999999999</v>
      </c>
      <c r="W21" s="88">
        <v>1.1760000000000002</v>
      </c>
      <c r="X21" s="88">
        <v>1.1760000000000002</v>
      </c>
      <c r="Y21" s="88">
        <v>6.9630000000000001</v>
      </c>
      <c r="Z21" s="29">
        <v>0.12386699995604429</v>
      </c>
      <c r="AA21" s="29">
        <v>0.17693307700792615</v>
      </c>
      <c r="AB21" s="89">
        <v>0.30080007696397043</v>
      </c>
    </row>
    <row r="22" spans="2:28">
      <c r="B22" s="75">
        <v>38</v>
      </c>
      <c r="C22" s="76">
        <v>0.80400000000000005</v>
      </c>
      <c r="D22" s="76">
        <v>7.4550000000000001</v>
      </c>
      <c r="E22" s="76">
        <v>1.9339999999999999</v>
      </c>
      <c r="F22" s="76">
        <v>1.9339999999999999</v>
      </c>
      <c r="G22" s="76">
        <v>6.6509999999999998</v>
      </c>
      <c r="H22" s="77">
        <v>0.12088407758231846</v>
      </c>
      <c r="I22" s="77">
        <v>0.29078334085099983</v>
      </c>
      <c r="J22" s="78">
        <v>0.41166741843331828</v>
      </c>
      <c r="K22" s="75">
        <v>38</v>
      </c>
      <c r="L22" s="76">
        <v>0.92900000000000005</v>
      </c>
      <c r="M22" s="76">
        <v>8.6050000000000004</v>
      </c>
      <c r="N22" s="79">
        <v>0.505</v>
      </c>
      <c r="O22" s="76">
        <v>0.505</v>
      </c>
      <c r="P22" s="76">
        <v>7.6760000000000002</v>
      </c>
      <c r="Q22" s="77">
        <v>0.12102657634184472</v>
      </c>
      <c r="R22" s="77">
        <v>6.5789473684210523E-2</v>
      </c>
      <c r="S22" s="78">
        <v>0.18681605002605522</v>
      </c>
      <c r="T22" s="75">
        <v>38</v>
      </c>
      <c r="U22" s="80">
        <v>0.86650000000000005</v>
      </c>
      <c r="V22" s="80">
        <v>8.0300000000000011</v>
      </c>
      <c r="W22" s="80">
        <v>1.2195</v>
      </c>
      <c r="X22" s="80">
        <v>1.2195</v>
      </c>
      <c r="Y22" s="80">
        <v>7.1635</v>
      </c>
      <c r="Z22" s="81">
        <v>0.12095532696208158</v>
      </c>
      <c r="AA22" s="81">
        <v>0.17828640726760517</v>
      </c>
      <c r="AB22" s="82">
        <v>0.29924173422968675</v>
      </c>
    </row>
    <row r="23" spans="2:28">
      <c r="B23" s="83">
        <v>39</v>
      </c>
      <c r="C23" s="84">
        <v>0.80400000000000005</v>
      </c>
      <c r="D23" s="84">
        <v>7.6529999999999996</v>
      </c>
      <c r="E23" s="84">
        <v>2.0059999999999998</v>
      </c>
      <c r="F23" s="84">
        <v>2.0059999999999998</v>
      </c>
      <c r="G23" s="84">
        <v>6.8489999999999993</v>
      </c>
      <c r="H23" s="85">
        <v>0.11738939991239598</v>
      </c>
      <c r="I23" s="85">
        <v>0.29288947291575412</v>
      </c>
      <c r="J23" s="87">
        <v>0.41027887282815012</v>
      </c>
      <c r="K23" s="83">
        <v>39</v>
      </c>
      <c r="L23" s="84">
        <v>0.92700000000000005</v>
      </c>
      <c r="M23" s="84">
        <v>8.8230000000000004</v>
      </c>
      <c r="N23" s="86">
        <v>0.51900000000000002</v>
      </c>
      <c r="O23" s="84">
        <v>0.51900000000000002</v>
      </c>
      <c r="P23" s="84">
        <v>7.8960000000000008</v>
      </c>
      <c r="Q23" s="85">
        <v>0.11740121580547112</v>
      </c>
      <c r="R23" s="85">
        <v>6.5729483282674764E-2</v>
      </c>
      <c r="S23" s="87">
        <v>0.18313069908814589</v>
      </c>
      <c r="T23" s="83">
        <v>39</v>
      </c>
      <c r="U23" s="88">
        <v>0.86550000000000005</v>
      </c>
      <c r="V23" s="88">
        <v>8.2379999999999995</v>
      </c>
      <c r="W23" s="88">
        <v>1.2625</v>
      </c>
      <c r="X23" s="88">
        <v>1.2625</v>
      </c>
      <c r="Y23" s="88">
        <v>7.3725000000000005</v>
      </c>
      <c r="Z23" s="29">
        <v>0.11739530785893355</v>
      </c>
      <c r="AA23" s="29">
        <v>0.17930947809921444</v>
      </c>
      <c r="AB23" s="89">
        <v>0.29670478595814798</v>
      </c>
    </row>
    <row r="24" spans="2:28">
      <c r="B24" s="75">
        <v>40</v>
      </c>
      <c r="C24" s="76">
        <v>0.79900000000000004</v>
      </c>
      <c r="D24" s="76">
        <v>7.8540000000000001</v>
      </c>
      <c r="E24" s="76">
        <v>2.0790000000000002</v>
      </c>
      <c r="F24" s="76">
        <v>2.0790000000000002</v>
      </c>
      <c r="G24" s="76">
        <v>7.0549999999999997</v>
      </c>
      <c r="H24" s="77">
        <v>0.11325301204819278</v>
      </c>
      <c r="I24" s="77">
        <v>0.29468462083628638</v>
      </c>
      <c r="J24" s="78">
        <v>0.40793763288447915</v>
      </c>
      <c r="K24" s="75">
        <v>40</v>
      </c>
      <c r="L24" s="76">
        <v>0.92</v>
      </c>
      <c r="M24" s="76">
        <v>9.0429999999999993</v>
      </c>
      <c r="N24" s="79">
        <v>0.53300000000000003</v>
      </c>
      <c r="O24" s="76">
        <v>0.53300000000000003</v>
      </c>
      <c r="P24" s="76">
        <v>8.1229999999999993</v>
      </c>
      <c r="Q24" s="77">
        <v>0.11325864828265421</v>
      </c>
      <c r="R24" s="77">
        <v>6.5616151668102932E-2</v>
      </c>
      <c r="S24" s="78">
        <v>0.17887479995075714</v>
      </c>
      <c r="T24" s="75">
        <v>40</v>
      </c>
      <c r="U24" s="80">
        <v>0.85950000000000004</v>
      </c>
      <c r="V24" s="80">
        <v>8.4484999999999992</v>
      </c>
      <c r="W24" s="80">
        <v>1.306</v>
      </c>
      <c r="X24" s="80">
        <v>1.306</v>
      </c>
      <c r="Y24" s="80">
        <v>7.5889999999999995</v>
      </c>
      <c r="Z24" s="81">
        <v>0.1132558301654235</v>
      </c>
      <c r="AA24" s="81">
        <v>0.18015038625219465</v>
      </c>
      <c r="AB24" s="82">
        <v>0.29340621641761816</v>
      </c>
    </row>
    <row r="25" spans="2:28">
      <c r="B25" s="83">
        <v>41</v>
      </c>
      <c r="C25" s="84">
        <v>0.79200000000000004</v>
      </c>
      <c r="D25" s="84">
        <v>8.0609999999999999</v>
      </c>
      <c r="E25" s="84">
        <v>2.153</v>
      </c>
      <c r="F25" s="84">
        <v>2.153</v>
      </c>
      <c r="G25" s="84">
        <v>7.2690000000000001</v>
      </c>
      <c r="H25" s="85">
        <v>0.10895583986793232</v>
      </c>
      <c r="I25" s="85">
        <v>0.29618929701472002</v>
      </c>
      <c r="J25" s="87">
        <v>0.40514513688265236</v>
      </c>
      <c r="K25" s="83">
        <v>41</v>
      </c>
      <c r="L25" s="84">
        <v>0.90900000000000003</v>
      </c>
      <c r="M25" s="84">
        <v>9.2690000000000001</v>
      </c>
      <c r="N25" s="86">
        <v>0.54500000000000004</v>
      </c>
      <c r="O25" s="84">
        <v>0.54500000000000004</v>
      </c>
      <c r="P25" s="84">
        <v>8.36</v>
      </c>
      <c r="Q25" s="85">
        <v>0.10873205741626796</v>
      </c>
      <c r="R25" s="85">
        <v>6.519138755980862E-2</v>
      </c>
      <c r="S25" s="87">
        <v>0.17392344497607659</v>
      </c>
      <c r="T25" s="83">
        <v>41</v>
      </c>
      <c r="U25" s="88">
        <v>0.85050000000000003</v>
      </c>
      <c r="V25" s="88">
        <v>8.6649999999999991</v>
      </c>
      <c r="W25" s="88">
        <v>1.349</v>
      </c>
      <c r="X25" s="88">
        <v>1.349</v>
      </c>
      <c r="Y25" s="88">
        <v>7.8144999999999998</v>
      </c>
      <c r="Z25" s="29">
        <v>0.10884394864210015</v>
      </c>
      <c r="AA25" s="29">
        <v>0.18069034228726433</v>
      </c>
      <c r="AB25" s="89">
        <v>0.28953429092936445</v>
      </c>
    </row>
    <row r="26" spans="2:28">
      <c r="B26" s="75">
        <v>42</v>
      </c>
      <c r="C26" s="76">
        <v>0.78400000000000003</v>
      </c>
      <c r="D26" s="76">
        <v>8.2739999999999991</v>
      </c>
      <c r="E26" s="76">
        <v>2.2269999999999999</v>
      </c>
      <c r="F26" s="76">
        <v>2.2269999999999999</v>
      </c>
      <c r="G26" s="76">
        <v>7.4899999999999993</v>
      </c>
      <c r="H26" s="77">
        <v>0.1046728971962617</v>
      </c>
      <c r="I26" s="77">
        <v>0.29732977303070762</v>
      </c>
      <c r="J26" s="78">
        <v>0.40200267022696934</v>
      </c>
      <c r="K26" s="75">
        <v>42</v>
      </c>
      <c r="L26" s="76">
        <v>0.89400000000000002</v>
      </c>
      <c r="M26" s="76">
        <v>9.5</v>
      </c>
      <c r="N26" s="79">
        <v>0.55800000000000005</v>
      </c>
      <c r="O26" s="76">
        <v>0.55800000000000005</v>
      </c>
      <c r="P26" s="76">
        <v>8.6059999999999999</v>
      </c>
      <c r="Q26" s="77">
        <v>0.10388101324657216</v>
      </c>
      <c r="R26" s="77">
        <v>6.4838484778061825E-2</v>
      </c>
      <c r="S26" s="78">
        <v>0.16871949802463398</v>
      </c>
      <c r="T26" s="75">
        <v>42</v>
      </c>
      <c r="U26" s="80">
        <v>0.83899999999999997</v>
      </c>
      <c r="V26" s="80">
        <v>8.8870000000000005</v>
      </c>
      <c r="W26" s="80">
        <v>1.3925000000000001</v>
      </c>
      <c r="X26" s="80">
        <v>1.3925000000000001</v>
      </c>
      <c r="Y26" s="80">
        <v>8.048</v>
      </c>
      <c r="Z26" s="81">
        <v>0.10427695522141693</v>
      </c>
      <c r="AA26" s="81">
        <v>0.18108412890438472</v>
      </c>
      <c r="AB26" s="82">
        <v>0.28536108412580163</v>
      </c>
    </row>
    <row r="27" spans="2:28">
      <c r="B27" s="83">
        <v>43</v>
      </c>
      <c r="C27" s="84">
        <v>0.77500000000000002</v>
      </c>
      <c r="D27" s="84">
        <v>8.4960000000000004</v>
      </c>
      <c r="E27" s="84">
        <v>2.3029999999999999</v>
      </c>
      <c r="F27" s="84">
        <v>2.3029999999999999</v>
      </c>
      <c r="G27" s="84">
        <v>7.7210000000000001</v>
      </c>
      <c r="H27" s="85">
        <v>0.10037559901567154</v>
      </c>
      <c r="I27" s="85">
        <v>0.29827742520398909</v>
      </c>
      <c r="J27" s="87">
        <v>0.39865302421966065</v>
      </c>
      <c r="K27" s="83">
        <v>43</v>
      </c>
      <c r="L27" s="84">
        <v>0.877</v>
      </c>
      <c r="M27" s="84">
        <v>9.7379999999999995</v>
      </c>
      <c r="N27" s="86">
        <v>0.56999999999999995</v>
      </c>
      <c r="O27" s="84">
        <v>0.56999999999999995</v>
      </c>
      <c r="P27" s="84">
        <v>8.8609999999999989</v>
      </c>
      <c r="Q27" s="85">
        <v>9.8973027874957695E-2</v>
      </c>
      <c r="R27" s="85">
        <v>6.4326825414738747E-2</v>
      </c>
      <c r="S27" s="87">
        <v>0.16329985328969643</v>
      </c>
      <c r="T27" s="83">
        <v>43</v>
      </c>
      <c r="U27" s="88">
        <v>0.82600000000000007</v>
      </c>
      <c r="V27" s="88">
        <v>9.1170000000000009</v>
      </c>
      <c r="W27" s="88">
        <v>1.4364999999999999</v>
      </c>
      <c r="X27" s="88">
        <v>1.4364999999999999</v>
      </c>
      <c r="Y27" s="88">
        <v>8.2910000000000004</v>
      </c>
      <c r="Z27" s="29">
        <v>9.9674313445314619E-2</v>
      </c>
      <c r="AA27" s="29">
        <v>0.1813021253093639</v>
      </c>
      <c r="AB27" s="89">
        <v>0.28097643875467854</v>
      </c>
    </row>
    <row r="28" spans="2:28">
      <c r="B28" s="75">
        <v>44</v>
      </c>
      <c r="C28" s="76">
        <v>0.76600000000000001</v>
      </c>
      <c r="D28" s="76">
        <v>8.7260000000000009</v>
      </c>
      <c r="E28" s="76">
        <v>2.38</v>
      </c>
      <c r="F28" s="76">
        <v>2.38</v>
      </c>
      <c r="G28" s="76">
        <v>7.9600000000000009</v>
      </c>
      <c r="H28" s="77">
        <v>9.6231155778894462E-2</v>
      </c>
      <c r="I28" s="77">
        <v>0.29899497487437182</v>
      </c>
      <c r="J28" s="78">
        <v>0.39522613065326628</v>
      </c>
      <c r="K28" s="75">
        <v>44</v>
      </c>
      <c r="L28" s="76">
        <v>0.85799999999999998</v>
      </c>
      <c r="M28" s="76">
        <v>9.984</v>
      </c>
      <c r="N28" s="79">
        <v>0.58199999999999996</v>
      </c>
      <c r="O28" s="76">
        <v>0.58199999999999996</v>
      </c>
      <c r="P28" s="76">
        <v>9.1259999999999994</v>
      </c>
      <c r="Q28" s="77">
        <v>9.4017094017094016E-2</v>
      </c>
      <c r="R28" s="77">
        <v>6.3773833004602237E-2</v>
      </c>
      <c r="S28" s="78">
        <v>0.15779092702169625</v>
      </c>
      <c r="T28" s="75">
        <v>44</v>
      </c>
      <c r="U28" s="80">
        <v>0.81200000000000006</v>
      </c>
      <c r="V28" s="80">
        <v>9.3550000000000004</v>
      </c>
      <c r="W28" s="80">
        <v>1.4809999999999999</v>
      </c>
      <c r="X28" s="80">
        <v>1.4809999999999999</v>
      </c>
      <c r="Y28" s="80">
        <v>8.5429999999999993</v>
      </c>
      <c r="Z28" s="81">
        <v>9.5124124897994239E-2</v>
      </c>
      <c r="AA28" s="81">
        <v>0.18138440393948702</v>
      </c>
      <c r="AB28" s="82">
        <v>0.27650852883748128</v>
      </c>
    </row>
    <row r="29" spans="2:28">
      <c r="B29" s="83">
        <v>45</v>
      </c>
      <c r="C29" s="84">
        <v>0.75600000000000001</v>
      </c>
      <c r="D29" s="84">
        <v>8.9640000000000004</v>
      </c>
      <c r="E29" s="84">
        <v>2.456</v>
      </c>
      <c r="F29" s="84">
        <v>2.456</v>
      </c>
      <c r="G29" s="84">
        <v>8.2080000000000002</v>
      </c>
      <c r="H29" s="85">
        <v>9.2105263157894732E-2</v>
      </c>
      <c r="I29" s="85">
        <v>0.29922027290448344</v>
      </c>
      <c r="J29" s="87">
        <v>0.39132553606237819</v>
      </c>
      <c r="K29" s="83">
        <v>45</v>
      </c>
      <c r="L29" s="84">
        <v>0.83799999999999997</v>
      </c>
      <c r="M29" s="84">
        <v>10.238</v>
      </c>
      <c r="N29" s="86">
        <v>0.59399999999999997</v>
      </c>
      <c r="O29" s="84">
        <v>0.59399999999999997</v>
      </c>
      <c r="P29" s="84">
        <v>9.4</v>
      </c>
      <c r="Q29" s="85">
        <v>8.9148936170212759E-2</v>
      </c>
      <c r="R29" s="85">
        <v>6.3191489361702116E-2</v>
      </c>
      <c r="S29" s="87">
        <v>0.15234042553191487</v>
      </c>
      <c r="T29" s="83">
        <v>45</v>
      </c>
      <c r="U29" s="88">
        <v>0.79699999999999993</v>
      </c>
      <c r="V29" s="88">
        <v>9.6009999999999991</v>
      </c>
      <c r="W29" s="88">
        <v>1.5249999999999999</v>
      </c>
      <c r="X29" s="88">
        <v>1.5249999999999999</v>
      </c>
      <c r="Y29" s="88">
        <v>8.8040000000000003</v>
      </c>
      <c r="Z29" s="29">
        <v>9.0627099664053745E-2</v>
      </c>
      <c r="AA29" s="29">
        <v>0.18120588113309277</v>
      </c>
      <c r="AB29" s="89">
        <v>0.27183298079714652</v>
      </c>
    </row>
    <row r="30" spans="2:28">
      <c r="B30" s="75">
        <v>46</v>
      </c>
      <c r="C30" s="76">
        <v>0.74399999999999999</v>
      </c>
      <c r="D30" s="76">
        <v>9.2089999999999996</v>
      </c>
      <c r="E30" s="76">
        <v>2.5329999999999999</v>
      </c>
      <c r="F30" s="76">
        <v>2.5329999999999999</v>
      </c>
      <c r="G30" s="76">
        <v>8.4649999999999999</v>
      </c>
      <c r="H30" s="77">
        <v>8.7891317188422913E-2</v>
      </c>
      <c r="I30" s="77">
        <v>0.29923213230950974</v>
      </c>
      <c r="J30" s="78">
        <v>0.38712344949793265</v>
      </c>
      <c r="K30" s="75">
        <v>46</v>
      </c>
      <c r="L30" s="76">
        <v>0.81499999999999995</v>
      </c>
      <c r="M30" s="76">
        <v>10.5</v>
      </c>
      <c r="N30" s="79">
        <v>0.60599999999999998</v>
      </c>
      <c r="O30" s="76">
        <v>0.60599999999999998</v>
      </c>
      <c r="P30" s="76">
        <v>9.6850000000000005</v>
      </c>
      <c r="Q30" s="77">
        <v>8.4150748580278767E-2</v>
      </c>
      <c r="R30" s="77">
        <v>6.2570986060918946E-2</v>
      </c>
      <c r="S30" s="78">
        <v>0.1467217346411977</v>
      </c>
      <c r="T30" s="75">
        <v>46</v>
      </c>
      <c r="U30" s="80">
        <v>0.77949999999999997</v>
      </c>
      <c r="V30" s="80">
        <v>9.8544999999999998</v>
      </c>
      <c r="W30" s="80">
        <v>1.5694999999999999</v>
      </c>
      <c r="X30" s="80">
        <v>1.5694999999999999</v>
      </c>
      <c r="Y30" s="80">
        <v>9.0749999999999993</v>
      </c>
      <c r="Z30" s="81">
        <v>8.602103288435084E-2</v>
      </c>
      <c r="AA30" s="81">
        <v>0.18090155918521433</v>
      </c>
      <c r="AB30" s="82">
        <v>0.26692259206956515</v>
      </c>
    </row>
    <row r="31" spans="2:28">
      <c r="B31" s="83">
        <v>47</v>
      </c>
      <c r="C31" s="84">
        <v>0.73</v>
      </c>
      <c r="D31" s="84">
        <v>9.4629999999999992</v>
      </c>
      <c r="E31" s="84">
        <v>2.6080000000000001</v>
      </c>
      <c r="F31" s="84">
        <v>2.6080000000000001</v>
      </c>
      <c r="G31" s="84">
        <v>8.7329999999999988</v>
      </c>
      <c r="H31" s="85">
        <v>8.3590976754837981E-2</v>
      </c>
      <c r="I31" s="85">
        <v>0.29863735257070884</v>
      </c>
      <c r="J31" s="87">
        <v>0.38222832932554685</v>
      </c>
      <c r="K31" s="83">
        <v>47</v>
      </c>
      <c r="L31" s="84">
        <v>0.78900000000000003</v>
      </c>
      <c r="M31" s="84">
        <v>10.769</v>
      </c>
      <c r="N31" s="86">
        <v>0.61699999999999999</v>
      </c>
      <c r="O31" s="84">
        <v>0.61699999999999999</v>
      </c>
      <c r="P31" s="84">
        <v>9.98</v>
      </c>
      <c r="Q31" s="85">
        <v>7.9058116232464934E-2</v>
      </c>
      <c r="R31" s="85">
        <v>6.1823647294589175E-2</v>
      </c>
      <c r="S31" s="87">
        <v>0.14088176352705412</v>
      </c>
      <c r="T31" s="83">
        <v>47</v>
      </c>
      <c r="U31" s="88">
        <v>0.75950000000000006</v>
      </c>
      <c r="V31" s="88">
        <v>10.116</v>
      </c>
      <c r="W31" s="88">
        <v>1.6125</v>
      </c>
      <c r="X31" s="88">
        <v>1.6125</v>
      </c>
      <c r="Y31" s="88">
        <v>9.3565000000000005</v>
      </c>
      <c r="Z31" s="29">
        <v>8.1324546493651451E-2</v>
      </c>
      <c r="AA31" s="29">
        <v>0.180230499932649</v>
      </c>
      <c r="AB31" s="89">
        <v>0.26155504642630045</v>
      </c>
    </row>
    <row r="32" spans="2:28">
      <c r="B32" s="75">
        <v>48</v>
      </c>
      <c r="C32" s="76">
        <v>0.71199999999999997</v>
      </c>
      <c r="D32" s="76">
        <v>9.7240000000000002</v>
      </c>
      <c r="E32" s="76">
        <v>2.6829999999999998</v>
      </c>
      <c r="F32" s="76">
        <v>2.6829999999999998</v>
      </c>
      <c r="G32" s="76">
        <v>9.0120000000000005</v>
      </c>
      <c r="H32" s="77">
        <v>7.9005770084331989E-2</v>
      </c>
      <c r="I32" s="77">
        <v>0.29771415889924541</v>
      </c>
      <c r="J32" s="78">
        <v>0.37671992898357742</v>
      </c>
      <c r="K32" s="75">
        <v>48</v>
      </c>
      <c r="L32" s="76">
        <v>0.76100000000000001</v>
      </c>
      <c r="M32" s="76">
        <v>11.047000000000001</v>
      </c>
      <c r="N32" s="79">
        <v>0.627</v>
      </c>
      <c r="O32" s="76">
        <v>0.627</v>
      </c>
      <c r="P32" s="76">
        <v>10.286000000000001</v>
      </c>
      <c r="Q32" s="77">
        <v>7.3984055998444473E-2</v>
      </c>
      <c r="R32" s="77">
        <v>6.0956640093330731E-2</v>
      </c>
      <c r="S32" s="78">
        <v>0.1349406960917752</v>
      </c>
      <c r="T32" s="75">
        <v>48</v>
      </c>
      <c r="U32" s="80">
        <v>0.73649999999999993</v>
      </c>
      <c r="V32" s="80">
        <v>10.3855</v>
      </c>
      <c r="W32" s="80">
        <v>1.6549999999999998</v>
      </c>
      <c r="X32" s="80">
        <v>1.6549999999999998</v>
      </c>
      <c r="Y32" s="80">
        <v>9.6490000000000009</v>
      </c>
      <c r="Z32" s="81">
        <v>7.6494913041388224E-2</v>
      </c>
      <c r="AA32" s="81">
        <v>0.17933539949628807</v>
      </c>
      <c r="AB32" s="82">
        <v>0.2558303125376763</v>
      </c>
    </row>
    <row r="33" spans="2:28">
      <c r="B33" s="83">
        <v>49</v>
      </c>
      <c r="C33" s="84">
        <v>0.68899999999999995</v>
      </c>
      <c r="D33" s="84">
        <v>9.9939999999999998</v>
      </c>
      <c r="E33" s="84">
        <v>2.7559999999999998</v>
      </c>
      <c r="F33" s="84">
        <v>2.7559999999999998</v>
      </c>
      <c r="G33" s="84">
        <v>9.3049999999999997</v>
      </c>
      <c r="H33" s="85">
        <v>7.4046211714132185E-2</v>
      </c>
      <c r="I33" s="85">
        <v>0.29618484685652874</v>
      </c>
      <c r="J33" s="87">
        <v>0.37023105857066091</v>
      </c>
      <c r="K33" s="83">
        <v>49</v>
      </c>
      <c r="L33" s="84">
        <v>0.72799999999999998</v>
      </c>
      <c r="M33" s="84">
        <v>11.332000000000001</v>
      </c>
      <c r="N33" s="86">
        <v>0.63600000000000001</v>
      </c>
      <c r="O33" s="84">
        <v>0.63600000000000001</v>
      </c>
      <c r="P33" s="84">
        <v>10.604000000000001</v>
      </c>
      <c r="Q33" s="85">
        <v>6.8653338362881927E-2</v>
      </c>
      <c r="R33" s="85">
        <v>5.9977367031308938E-2</v>
      </c>
      <c r="S33" s="87">
        <v>0.12863070539419086</v>
      </c>
      <c r="T33" s="83">
        <v>49</v>
      </c>
      <c r="U33" s="88">
        <v>0.70849999999999991</v>
      </c>
      <c r="V33" s="88">
        <v>10.663</v>
      </c>
      <c r="W33" s="88">
        <v>1.696</v>
      </c>
      <c r="X33" s="88">
        <v>1.696</v>
      </c>
      <c r="Y33" s="88">
        <v>9.9544999999999995</v>
      </c>
      <c r="Z33" s="29">
        <v>7.1349775038507063E-2</v>
      </c>
      <c r="AA33" s="29">
        <v>0.17808110694391885</v>
      </c>
      <c r="AB33" s="89">
        <v>0.24943088198242588</v>
      </c>
    </row>
    <row r="34" spans="2:28">
      <c r="B34" s="75">
        <v>50</v>
      </c>
      <c r="C34" s="76">
        <v>0.66200000000000003</v>
      </c>
      <c r="D34" s="76">
        <v>10.271000000000001</v>
      </c>
      <c r="E34" s="76">
        <v>2.827</v>
      </c>
      <c r="F34" s="76">
        <v>2.827</v>
      </c>
      <c r="G34" s="76">
        <v>9.609</v>
      </c>
      <c r="H34" s="77">
        <v>6.8893745446976795E-2</v>
      </c>
      <c r="I34" s="77">
        <v>0.29420335102508066</v>
      </c>
      <c r="J34" s="78">
        <v>0.36309709647205746</v>
      </c>
      <c r="K34" s="75">
        <v>50</v>
      </c>
      <c r="L34" s="76">
        <v>0.69199999999999995</v>
      </c>
      <c r="M34" s="76">
        <v>11.625</v>
      </c>
      <c r="N34" s="79">
        <v>0.64500000000000002</v>
      </c>
      <c r="O34" s="76">
        <v>0.64500000000000002</v>
      </c>
      <c r="P34" s="76">
        <v>10.933</v>
      </c>
      <c r="Q34" s="77">
        <v>6.3294612640629286E-2</v>
      </c>
      <c r="R34" s="77">
        <v>5.8995701088447823E-2</v>
      </c>
      <c r="S34" s="78">
        <v>0.12229031372907712</v>
      </c>
      <c r="T34" s="75">
        <v>50</v>
      </c>
      <c r="U34" s="80">
        <v>0.67700000000000005</v>
      </c>
      <c r="V34" s="80">
        <v>10.948</v>
      </c>
      <c r="W34" s="80">
        <v>1.736</v>
      </c>
      <c r="X34" s="80">
        <v>1.736</v>
      </c>
      <c r="Y34" s="80">
        <v>10.271000000000001</v>
      </c>
      <c r="Z34" s="81">
        <v>6.6094179043803047E-2</v>
      </c>
      <c r="AA34" s="81">
        <v>0.17659952605676424</v>
      </c>
      <c r="AB34" s="82">
        <v>0.24269370510056729</v>
      </c>
    </row>
    <row r="35" spans="2:28">
      <c r="B35" s="83">
        <v>51</v>
      </c>
      <c r="C35" s="84">
        <v>0.629</v>
      </c>
      <c r="D35" s="84">
        <v>10.555999999999999</v>
      </c>
      <c r="E35" s="84">
        <v>2.895</v>
      </c>
      <c r="F35" s="84">
        <v>2.895</v>
      </c>
      <c r="G35" s="84">
        <v>9.9269999999999996</v>
      </c>
      <c r="H35" s="85">
        <v>6.3362546590107788E-2</v>
      </c>
      <c r="I35" s="85">
        <v>0.29162889090359628</v>
      </c>
      <c r="J35" s="87">
        <v>0.3549914374937041</v>
      </c>
      <c r="K35" s="83">
        <v>51</v>
      </c>
      <c r="L35" s="84">
        <v>0.65</v>
      </c>
      <c r="M35" s="84">
        <v>11.927</v>
      </c>
      <c r="N35" s="86">
        <v>0.65200000000000002</v>
      </c>
      <c r="O35" s="84">
        <v>0.65200000000000002</v>
      </c>
      <c r="P35" s="84">
        <v>11.276999999999999</v>
      </c>
      <c r="Q35" s="85">
        <v>5.7639443114303454E-2</v>
      </c>
      <c r="R35" s="85">
        <v>5.781679524696285E-2</v>
      </c>
      <c r="S35" s="87">
        <v>0.11545623836126631</v>
      </c>
      <c r="T35" s="83">
        <v>51</v>
      </c>
      <c r="U35" s="88">
        <v>0.63949999999999996</v>
      </c>
      <c r="V35" s="88">
        <v>11.241499999999998</v>
      </c>
      <c r="W35" s="88">
        <v>1.7735000000000001</v>
      </c>
      <c r="X35" s="88">
        <v>1.7735000000000001</v>
      </c>
      <c r="Y35" s="88">
        <v>10.602</v>
      </c>
      <c r="Z35" s="29">
        <v>6.0500994852205621E-2</v>
      </c>
      <c r="AA35" s="29">
        <v>0.17472284307527958</v>
      </c>
      <c r="AB35" s="89">
        <v>0.23522383792748519</v>
      </c>
    </row>
    <row r="36" spans="2:28">
      <c r="B36" s="75">
        <v>52</v>
      </c>
      <c r="C36" s="76">
        <v>0.59099999999999997</v>
      </c>
      <c r="D36" s="76">
        <v>10.851000000000001</v>
      </c>
      <c r="E36" s="76">
        <v>2.9609999999999999</v>
      </c>
      <c r="F36" s="76">
        <v>2.9609999999999999</v>
      </c>
      <c r="G36" s="76">
        <v>10.260000000000002</v>
      </c>
      <c r="H36" s="77">
        <v>5.7602339181286537E-2</v>
      </c>
      <c r="I36" s="77">
        <v>0.28859649122807013</v>
      </c>
      <c r="J36" s="78">
        <v>0.34619883040935667</v>
      </c>
      <c r="K36" s="75">
        <v>52</v>
      </c>
      <c r="L36" s="76">
        <v>0.60399999999999998</v>
      </c>
      <c r="M36" s="76">
        <v>12.236000000000001</v>
      </c>
      <c r="N36" s="79">
        <v>0.65800000000000003</v>
      </c>
      <c r="O36" s="76">
        <v>0.65800000000000003</v>
      </c>
      <c r="P36" s="76">
        <v>11.632000000000001</v>
      </c>
      <c r="Q36" s="77">
        <v>5.1925722145804667E-2</v>
      </c>
      <c r="R36" s="77">
        <v>5.6568088033012373E-2</v>
      </c>
      <c r="S36" s="78">
        <v>0.10849381017881704</v>
      </c>
      <c r="T36" s="75">
        <v>52</v>
      </c>
      <c r="U36" s="80">
        <v>0.59749999999999992</v>
      </c>
      <c r="V36" s="80">
        <v>11.543500000000002</v>
      </c>
      <c r="W36" s="80">
        <v>1.8094999999999999</v>
      </c>
      <c r="X36" s="80">
        <v>1.8094999999999999</v>
      </c>
      <c r="Y36" s="80">
        <v>10.946000000000002</v>
      </c>
      <c r="Z36" s="81">
        <v>5.4764030663545599E-2</v>
      </c>
      <c r="AA36" s="81">
        <v>0.17258228963054126</v>
      </c>
      <c r="AB36" s="82">
        <v>0.22734632029408686</v>
      </c>
    </row>
    <row r="37" spans="2:28">
      <c r="B37" s="83">
        <v>53</v>
      </c>
      <c r="C37" s="84">
        <v>0.54700000000000004</v>
      </c>
      <c r="D37" s="84">
        <v>11.156000000000001</v>
      </c>
      <c r="E37" s="84">
        <v>3.0249999999999999</v>
      </c>
      <c r="F37" s="84">
        <v>3.0249999999999999</v>
      </c>
      <c r="G37" s="84">
        <v>10.609</v>
      </c>
      <c r="H37" s="85">
        <v>5.1559996229616364E-2</v>
      </c>
      <c r="I37" s="85">
        <v>0.28513526251296067</v>
      </c>
      <c r="J37" s="87">
        <v>0.33669525874257705</v>
      </c>
      <c r="K37" s="83">
        <v>53</v>
      </c>
      <c r="L37" s="84">
        <v>0.55200000000000005</v>
      </c>
      <c r="M37" s="84">
        <v>12.553000000000001</v>
      </c>
      <c r="N37" s="86">
        <v>0.66300000000000003</v>
      </c>
      <c r="O37" s="84">
        <v>0.66300000000000003</v>
      </c>
      <c r="P37" s="84">
        <v>12.001000000000001</v>
      </c>
      <c r="Q37" s="85">
        <v>4.599616698608449E-2</v>
      </c>
      <c r="R37" s="85">
        <v>5.5245396216981914E-2</v>
      </c>
      <c r="S37" s="87">
        <v>0.1012415632030664</v>
      </c>
      <c r="T37" s="83">
        <v>53</v>
      </c>
      <c r="U37" s="88">
        <v>0.5495000000000001</v>
      </c>
      <c r="V37" s="88">
        <v>11.854500000000002</v>
      </c>
      <c r="W37" s="88">
        <v>1.8439999999999999</v>
      </c>
      <c r="X37" s="88">
        <v>1.8439999999999999</v>
      </c>
      <c r="Y37" s="88">
        <v>11.305</v>
      </c>
      <c r="Z37" s="29">
        <v>4.8778081607850424E-2</v>
      </c>
      <c r="AA37" s="29">
        <v>0.1701903293649713</v>
      </c>
      <c r="AB37" s="89">
        <v>0.21896841097282171</v>
      </c>
    </row>
    <row r="38" spans="2:28">
      <c r="B38" s="75">
        <v>54</v>
      </c>
      <c r="C38" s="76">
        <v>0.498</v>
      </c>
      <c r="D38" s="76">
        <v>11.47</v>
      </c>
      <c r="E38" s="76">
        <v>3.0859999999999999</v>
      </c>
      <c r="F38" s="76">
        <v>3.0859999999999999</v>
      </c>
      <c r="G38" s="76">
        <v>10.972000000000001</v>
      </c>
      <c r="H38" s="77">
        <v>4.5388261028071447E-2</v>
      </c>
      <c r="I38" s="77">
        <v>0.28126139263580019</v>
      </c>
      <c r="J38" s="78">
        <v>0.32664965366387166</v>
      </c>
      <c r="K38" s="75">
        <v>54</v>
      </c>
      <c r="L38" s="76">
        <v>0.495</v>
      </c>
      <c r="M38" s="76">
        <v>12.879</v>
      </c>
      <c r="N38" s="79">
        <v>0.66600000000000004</v>
      </c>
      <c r="O38" s="76">
        <v>0.66600000000000004</v>
      </c>
      <c r="P38" s="76">
        <v>12.384</v>
      </c>
      <c r="Q38" s="77">
        <v>3.9970930232558141E-2</v>
      </c>
      <c r="R38" s="77">
        <v>5.3779069767441859E-2</v>
      </c>
      <c r="S38" s="78">
        <v>9.375E-2</v>
      </c>
      <c r="T38" s="75">
        <v>54</v>
      </c>
      <c r="U38" s="80">
        <v>0.4965</v>
      </c>
      <c r="V38" s="80">
        <v>12.1745</v>
      </c>
      <c r="W38" s="80">
        <v>1.8759999999999999</v>
      </c>
      <c r="X38" s="80">
        <v>1.8759999999999999</v>
      </c>
      <c r="Y38" s="80">
        <v>11.678000000000001</v>
      </c>
      <c r="Z38" s="81">
        <v>4.2679595630314794E-2</v>
      </c>
      <c r="AA38" s="81">
        <v>0.16752023120162102</v>
      </c>
      <c r="AB38" s="82">
        <v>0.21019982683193583</v>
      </c>
    </row>
    <row r="39" spans="2:28">
      <c r="B39" s="83">
        <v>55</v>
      </c>
      <c r="C39" s="84">
        <v>0.443</v>
      </c>
      <c r="D39" s="84">
        <v>11.795</v>
      </c>
      <c r="E39" s="84">
        <v>3.1440000000000001</v>
      </c>
      <c r="F39" s="84">
        <v>3.1440000000000001</v>
      </c>
      <c r="G39" s="84">
        <v>11.352</v>
      </c>
      <c r="H39" s="85">
        <v>3.9023960535588445E-2</v>
      </c>
      <c r="I39" s="85">
        <v>0.27695560253699791</v>
      </c>
      <c r="J39" s="87">
        <v>0.31597956307258634</v>
      </c>
      <c r="K39" s="83">
        <v>55</v>
      </c>
      <c r="L39" s="84">
        <v>0.433</v>
      </c>
      <c r="M39" s="84">
        <v>13.214</v>
      </c>
      <c r="N39" s="86">
        <v>0.66900000000000004</v>
      </c>
      <c r="O39" s="84">
        <v>0.66900000000000004</v>
      </c>
      <c r="P39" s="84">
        <v>12.781000000000001</v>
      </c>
      <c r="Q39" s="85">
        <v>3.3878413269697205E-2</v>
      </c>
      <c r="R39" s="85">
        <v>5.2343322118770047E-2</v>
      </c>
      <c r="S39" s="87">
        <v>8.6221735388467252E-2</v>
      </c>
      <c r="T39" s="83">
        <v>55</v>
      </c>
      <c r="U39" s="88">
        <v>0.438</v>
      </c>
      <c r="V39" s="88">
        <v>12.5045</v>
      </c>
      <c r="W39" s="88">
        <v>1.9065000000000001</v>
      </c>
      <c r="X39" s="88">
        <v>1.9065000000000001</v>
      </c>
      <c r="Y39" s="88">
        <v>12.066500000000001</v>
      </c>
      <c r="Z39" s="29">
        <v>3.6451186902642825E-2</v>
      </c>
      <c r="AA39" s="29">
        <v>0.16464946232788397</v>
      </c>
      <c r="AB39" s="89">
        <v>0.20110064923052678</v>
      </c>
    </row>
    <row r="40" spans="2:28">
      <c r="B40" s="75">
        <v>56</v>
      </c>
      <c r="C40" s="76">
        <v>0.38200000000000001</v>
      </c>
      <c r="D40" s="76">
        <v>12.131</v>
      </c>
      <c r="E40" s="76">
        <v>3.2</v>
      </c>
      <c r="F40" s="76">
        <v>3.2</v>
      </c>
      <c r="G40" s="76">
        <v>11.749000000000001</v>
      </c>
      <c r="H40" s="77">
        <v>3.2513405396203933E-2</v>
      </c>
      <c r="I40" s="77">
        <v>0.27236360541322668</v>
      </c>
      <c r="J40" s="78">
        <v>0.30487701080943064</v>
      </c>
      <c r="K40" s="75">
        <v>56</v>
      </c>
      <c r="L40" s="76">
        <v>0.36599999999999999</v>
      </c>
      <c r="M40" s="76">
        <v>13.558999999999999</v>
      </c>
      <c r="N40" s="79">
        <v>0.67</v>
      </c>
      <c r="O40" s="76">
        <v>0.67</v>
      </c>
      <c r="P40" s="76">
        <v>13.193</v>
      </c>
      <c r="Q40" s="77">
        <v>2.7741984385659061E-2</v>
      </c>
      <c r="R40" s="77">
        <v>5.0784506935496104E-2</v>
      </c>
      <c r="S40" s="78">
        <v>7.8526491321155162E-2</v>
      </c>
      <c r="T40" s="75">
        <v>56</v>
      </c>
      <c r="U40" s="80">
        <v>0.374</v>
      </c>
      <c r="V40" s="80">
        <v>12.844999999999999</v>
      </c>
      <c r="W40" s="80">
        <v>1.9350000000000001</v>
      </c>
      <c r="X40" s="80">
        <v>1.9350000000000001</v>
      </c>
      <c r="Y40" s="80">
        <v>12.471</v>
      </c>
      <c r="Z40" s="81">
        <v>3.0127694890931499E-2</v>
      </c>
      <c r="AA40" s="81">
        <v>0.16157405617436138</v>
      </c>
      <c r="AB40" s="82">
        <v>0.19170175106529291</v>
      </c>
    </row>
    <row r="41" spans="2:28">
      <c r="B41" s="83">
        <v>57</v>
      </c>
      <c r="C41" s="84">
        <v>0.316</v>
      </c>
      <c r="D41" s="84">
        <v>12.478999999999999</v>
      </c>
      <c r="E41" s="84">
        <v>3.2559999999999998</v>
      </c>
      <c r="F41" s="84">
        <v>3.2559999999999998</v>
      </c>
      <c r="G41" s="84">
        <v>12.162999999999998</v>
      </c>
      <c r="H41" s="85">
        <v>2.5980432459097265E-2</v>
      </c>
      <c r="I41" s="85">
        <v>0.26769711419879966</v>
      </c>
      <c r="J41" s="87">
        <v>0.29367754665789692</v>
      </c>
      <c r="K41" s="83">
        <v>57</v>
      </c>
      <c r="L41" s="84">
        <v>0.29499999999999998</v>
      </c>
      <c r="M41" s="84">
        <v>13.916</v>
      </c>
      <c r="N41" s="86">
        <v>0.67</v>
      </c>
      <c r="O41" s="84">
        <v>0.67</v>
      </c>
      <c r="P41" s="84">
        <v>13.621</v>
      </c>
      <c r="Q41" s="85">
        <v>2.1657734380735628E-2</v>
      </c>
      <c r="R41" s="85">
        <v>4.9188752661331769E-2</v>
      </c>
      <c r="S41" s="87">
        <v>7.0846487042067391E-2</v>
      </c>
      <c r="T41" s="83">
        <v>57</v>
      </c>
      <c r="U41" s="88">
        <v>0.30549999999999999</v>
      </c>
      <c r="V41" s="88">
        <v>13.1975</v>
      </c>
      <c r="W41" s="88">
        <v>1.9629999999999999</v>
      </c>
      <c r="X41" s="88">
        <v>1.9629999999999999</v>
      </c>
      <c r="Y41" s="88">
        <v>12.891999999999999</v>
      </c>
      <c r="Z41" s="29">
        <v>2.3819083419916447E-2</v>
      </c>
      <c r="AA41" s="29">
        <v>0.15844293343006571</v>
      </c>
      <c r="AB41" s="89">
        <v>0.18226201684998217</v>
      </c>
    </row>
    <row r="42" spans="2:28">
      <c r="B42" s="75">
        <v>58</v>
      </c>
      <c r="C42" s="76">
        <v>0.249</v>
      </c>
      <c r="D42" s="76">
        <v>12.840999999999999</v>
      </c>
      <c r="E42" s="76">
        <v>3.3109999999999999</v>
      </c>
      <c r="F42" s="76">
        <v>3.3109999999999999</v>
      </c>
      <c r="G42" s="76">
        <v>12.591999999999999</v>
      </c>
      <c r="H42" s="77">
        <v>1.9774459974587041E-2</v>
      </c>
      <c r="I42" s="77">
        <v>0.26294472681067349</v>
      </c>
      <c r="J42" s="78">
        <v>0.28271918678526053</v>
      </c>
      <c r="K42" s="75">
        <v>58</v>
      </c>
      <c r="L42" s="76">
        <v>0.22500000000000001</v>
      </c>
      <c r="M42" s="76">
        <v>14.288</v>
      </c>
      <c r="N42" s="79">
        <v>0.67</v>
      </c>
      <c r="O42" s="76">
        <v>0.67</v>
      </c>
      <c r="P42" s="76">
        <v>14.063000000000001</v>
      </c>
      <c r="Q42" s="77">
        <v>1.5999431131337553E-2</v>
      </c>
      <c r="R42" s="77">
        <v>4.7642750479982933E-2</v>
      </c>
      <c r="S42" s="78">
        <v>6.3642181611320486E-2</v>
      </c>
      <c r="T42" s="75">
        <v>58</v>
      </c>
      <c r="U42" s="80">
        <v>0.23699999999999999</v>
      </c>
      <c r="V42" s="80">
        <v>13.564499999999999</v>
      </c>
      <c r="W42" s="80">
        <v>1.9904999999999999</v>
      </c>
      <c r="X42" s="80">
        <v>1.9904999999999999</v>
      </c>
      <c r="Y42" s="80">
        <v>13.327500000000001</v>
      </c>
      <c r="Z42" s="81">
        <v>1.7886945552962295E-2</v>
      </c>
      <c r="AA42" s="81">
        <v>0.15529373864532822</v>
      </c>
      <c r="AB42" s="82">
        <v>0.17318068419829052</v>
      </c>
    </row>
    <row r="43" spans="2:28">
      <c r="B43" s="83">
        <v>59</v>
      </c>
      <c r="C43" s="84">
        <v>0.183</v>
      </c>
      <c r="D43" s="84">
        <v>13.22</v>
      </c>
      <c r="E43" s="84">
        <v>3.367</v>
      </c>
      <c r="F43" s="84">
        <v>3.367</v>
      </c>
      <c r="G43" s="84">
        <v>13.037000000000001</v>
      </c>
      <c r="H43" s="85">
        <v>1.4036971695942316E-2</v>
      </c>
      <c r="I43" s="85">
        <v>0.2582649382526655</v>
      </c>
      <c r="J43" s="87">
        <v>0.27230190994860781</v>
      </c>
      <c r="K43" s="83">
        <v>59</v>
      </c>
      <c r="L43" s="84">
        <v>0.16</v>
      </c>
      <c r="M43" s="84">
        <v>14.679</v>
      </c>
      <c r="N43" s="86">
        <v>0.67</v>
      </c>
      <c r="O43" s="84">
        <v>0.67</v>
      </c>
      <c r="P43" s="84">
        <v>14.519</v>
      </c>
      <c r="Q43" s="85">
        <v>1.1020042702665473E-2</v>
      </c>
      <c r="R43" s="85">
        <v>4.6146428817411669E-2</v>
      </c>
      <c r="S43" s="87">
        <v>5.7166471520077144E-2</v>
      </c>
      <c r="T43" s="83">
        <v>59</v>
      </c>
      <c r="U43" s="88">
        <v>0.17149999999999999</v>
      </c>
      <c r="V43" s="88">
        <v>13.9495</v>
      </c>
      <c r="W43" s="88">
        <v>2.0185</v>
      </c>
      <c r="X43" s="88">
        <v>2.0185</v>
      </c>
      <c r="Y43" s="88">
        <v>13.778</v>
      </c>
      <c r="Z43" s="29">
        <v>1.2528507199303894E-2</v>
      </c>
      <c r="AA43" s="29">
        <v>0.15220568353503858</v>
      </c>
      <c r="AB43" s="89">
        <v>0.16473419073434248</v>
      </c>
    </row>
    <row r="44" spans="2:28">
      <c r="B44" s="75">
        <v>60</v>
      </c>
      <c r="C44" s="76">
        <v>0.123</v>
      </c>
      <c r="D44" s="76">
        <v>13.619</v>
      </c>
      <c r="E44" s="76">
        <v>3.4249999999999998</v>
      </c>
      <c r="F44" s="76">
        <v>3.4249999999999998</v>
      </c>
      <c r="G44" s="76">
        <v>13.496</v>
      </c>
      <c r="H44" s="77">
        <v>9.1138114997036147E-3</v>
      </c>
      <c r="I44" s="77">
        <v>0.25377889745109661</v>
      </c>
      <c r="J44" s="78">
        <v>0.26289270895080025</v>
      </c>
      <c r="K44" s="75">
        <v>60</v>
      </c>
      <c r="L44" s="76">
        <v>0.10299999999999999</v>
      </c>
      <c r="M44" s="76">
        <v>15.093999999999999</v>
      </c>
      <c r="N44" s="79">
        <v>0.66900000000000004</v>
      </c>
      <c r="O44" s="76">
        <v>0.66900000000000004</v>
      </c>
      <c r="P44" s="76">
        <v>14.991</v>
      </c>
      <c r="Q44" s="77">
        <v>6.8707891401507569E-3</v>
      </c>
      <c r="R44" s="77">
        <v>4.462677606563939E-2</v>
      </c>
      <c r="S44" s="78">
        <v>5.1497565205790144E-2</v>
      </c>
      <c r="T44" s="75">
        <v>60</v>
      </c>
      <c r="U44" s="80">
        <v>0.11299999999999999</v>
      </c>
      <c r="V44" s="80">
        <v>14.3565</v>
      </c>
      <c r="W44" s="80">
        <v>2.0469999999999997</v>
      </c>
      <c r="X44" s="80">
        <v>2.0469999999999997</v>
      </c>
      <c r="Y44" s="80">
        <v>14.243500000000001</v>
      </c>
      <c r="Z44" s="81">
        <v>7.9923003199271862E-3</v>
      </c>
      <c r="AA44" s="81">
        <v>0.14920283675836798</v>
      </c>
      <c r="AB44" s="82">
        <v>0.15719513707829519</v>
      </c>
    </row>
    <row r="45" spans="2:28">
      <c r="B45" s="83">
        <v>61</v>
      </c>
      <c r="C45" s="84">
        <v>7.3999999999999996E-2</v>
      </c>
      <c r="D45" s="84">
        <v>14.044</v>
      </c>
      <c r="E45" s="84">
        <v>3.4860000000000002</v>
      </c>
      <c r="F45" s="84">
        <v>3.4860000000000002</v>
      </c>
      <c r="G45" s="84">
        <v>13.97</v>
      </c>
      <c r="H45" s="85">
        <v>5.2970651395848238E-3</v>
      </c>
      <c r="I45" s="85">
        <v>0.24953471725125267</v>
      </c>
      <c r="J45" s="87">
        <v>0.25483178239083748</v>
      </c>
      <c r="K45" s="83">
        <v>61</v>
      </c>
      <c r="L45" s="84">
        <v>5.8999999999999997E-2</v>
      </c>
      <c r="M45" s="84">
        <v>15.537000000000001</v>
      </c>
      <c r="N45" s="86">
        <v>0.66800000000000004</v>
      </c>
      <c r="O45" s="84">
        <v>0.66800000000000004</v>
      </c>
      <c r="P45" s="84">
        <v>15.478000000000002</v>
      </c>
      <c r="Q45" s="85">
        <v>3.8118619976741175E-3</v>
      </c>
      <c r="R45" s="85">
        <v>4.3158030753327303E-2</v>
      </c>
      <c r="S45" s="87">
        <v>4.696989275100142E-2</v>
      </c>
      <c r="T45" s="83">
        <v>61</v>
      </c>
      <c r="U45" s="88">
        <v>6.6500000000000004E-2</v>
      </c>
      <c r="V45" s="88">
        <v>14.790500000000002</v>
      </c>
      <c r="W45" s="88">
        <v>2.077</v>
      </c>
      <c r="X45" s="88">
        <v>2.077</v>
      </c>
      <c r="Y45" s="88">
        <v>14.724</v>
      </c>
      <c r="Z45" s="29">
        <v>4.5544635686294707E-3</v>
      </c>
      <c r="AA45" s="29">
        <v>0.14634637400229</v>
      </c>
      <c r="AB45" s="89">
        <v>0.15090083757091946</v>
      </c>
    </row>
    <row r="46" spans="2:28">
      <c r="B46" s="75">
        <v>62</v>
      </c>
      <c r="C46" s="76">
        <v>3.6999999999999998E-2</v>
      </c>
      <c r="D46" s="76">
        <v>14.497999999999999</v>
      </c>
      <c r="E46" s="76">
        <v>3.5329999999999999</v>
      </c>
      <c r="F46" s="76">
        <v>3.5329999999999999</v>
      </c>
      <c r="G46" s="76">
        <v>14.460999999999999</v>
      </c>
      <c r="H46" s="77">
        <v>2.5586059055390364E-3</v>
      </c>
      <c r="I46" s="77">
        <v>0.24431228822349771</v>
      </c>
      <c r="J46" s="78">
        <v>0.24687089412903673</v>
      </c>
      <c r="K46" s="75">
        <v>62</v>
      </c>
      <c r="L46" s="76">
        <v>2.8000000000000001E-2</v>
      </c>
      <c r="M46" s="76">
        <v>16.010999999999999</v>
      </c>
      <c r="N46" s="79">
        <v>0.66500000000000004</v>
      </c>
      <c r="O46" s="76">
        <v>0.66500000000000004</v>
      </c>
      <c r="P46" s="76">
        <v>15.982999999999999</v>
      </c>
      <c r="Q46" s="77">
        <v>1.7518613526872303E-3</v>
      </c>
      <c r="R46" s="77">
        <v>4.1606707126321724E-2</v>
      </c>
      <c r="S46" s="78">
        <v>4.3358568479008951E-2</v>
      </c>
      <c r="T46" s="75">
        <v>62</v>
      </c>
      <c r="U46" s="80">
        <v>3.2500000000000001E-2</v>
      </c>
      <c r="V46" s="80">
        <v>15.2545</v>
      </c>
      <c r="W46" s="80">
        <v>2.0990000000000002</v>
      </c>
      <c r="X46" s="80">
        <v>2.0990000000000002</v>
      </c>
      <c r="Y46" s="80">
        <v>15.221999999999998</v>
      </c>
      <c r="Z46" s="81">
        <v>2.1552336291131334E-3</v>
      </c>
      <c r="AA46" s="81">
        <v>0.14295949767490973</v>
      </c>
      <c r="AB46" s="82">
        <v>0.14511473130402283</v>
      </c>
    </row>
    <row r="47" spans="2:28">
      <c r="B47" s="83">
        <v>63</v>
      </c>
      <c r="C47" s="84">
        <v>1.4E-2</v>
      </c>
      <c r="D47" s="84">
        <v>14.983000000000001</v>
      </c>
      <c r="E47" s="84">
        <v>3.58</v>
      </c>
      <c r="F47" s="84">
        <v>3.58</v>
      </c>
      <c r="G47" s="84">
        <v>14.969000000000001</v>
      </c>
      <c r="H47" s="85">
        <v>9.3526621684815274E-4</v>
      </c>
      <c r="I47" s="85">
        <v>0.23916093259402765</v>
      </c>
      <c r="J47" s="87">
        <v>0.24009619881087579</v>
      </c>
      <c r="K47" s="83">
        <v>63</v>
      </c>
      <c r="L47" s="84">
        <v>0.01</v>
      </c>
      <c r="M47" s="84">
        <v>16.516999999999999</v>
      </c>
      <c r="N47" s="86">
        <v>0.66100000000000003</v>
      </c>
      <c r="O47" s="84">
        <v>0.66100000000000003</v>
      </c>
      <c r="P47" s="84">
        <v>16.506999999999998</v>
      </c>
      <c r="Q47" s="85">
        <v>6.0580359847337505E-4</v>
      </c>
      <c r="R47" s="85">
        <v>4.0043617859090087E-2</v>
      </c>
      <c r="S47" s="87">
        <v>4.0649421457563464E-2</v>
      </c>
      <c r="T47" s="83">
        <v>63</v>
      </c>
      <c r="U47" s="88">
        <v>1.2E-2</v>
      </c>
      <c r="V47" s="88">
        <v>15.75</v>
      </c>
      <c r="W47" s="88">
        <v>2.1204999999999998</v>
      </c>
      <c r="X47" s="88">
        <v>2.1204999999999998</v>
      </c>
      <c r="Y47" s="88">
        <v>15.738</v>
      </c>
      <c r="Z47" s="29">
        <v>7.7053490766076384E-4</v>
      </c>
      <c r="AA47" s="29">
        <v>0.13960227522655888</v>
      </c>
      <c r="AB47" s="89">
        <v>0.14037281013421962</v>
      </c>
    </row>
    <row r="48" spans="2:28">
      <c r="B48" s="75">
        <v>64</v>
      </c>
      <c r="C48" s="76">
        <v>3.0000000000000001E-3</v>
      </c>
      <c r="D48" s="76">
        <v>15.500999999999999</v>
      </c>
      <c r="E48" s="76">
        <v>3.6259999999999999</v>
      </c>
      <c r="F48" s="76">
        <v>3.6259999999999999</v>
      </c>
      <c r="G48" s="76">
        <v>15.497999999999999</v>
      </c>
      <c r="H48" s="77">
        <v>1.9357336430507162E-4</v>
      </c>
      <c r="I48" s="77">
        <v>0.23396567299006324</v>
      </c>
      <c r="J48" s="78">
        <v>0.2341592463543683</v>
      </c>
      <c r="K48" s="75">
        <v>64</v>
      </c>
      <c r="L48" s="76">
        <v>2E-3</v>
      </c>
      <c r="M48" s="76">
        <v>17.053000000000001</v>
      </c>
      <c r="N48" s="79">
        <v>0.65600000000000003</v>
      </c>
      <c r="O48" s="76">
        <v>0.65600000000000003</v>
      </c>
      <c r="P48" s="76">
        <v>17.051000000000002</v>
      </c>
      <c r="Q48" s="77">
        <v>1.1729517330361855E-4</v>
      </c>
      <c r="R48" s="77">
        <v>3.8472816843586881E-2</v>
      </c>
      <c r="S48" s="78">
        <v>3.8590112016890499E-2</v>
      </c>
      <c r="T48" s="75">
        <v>64</v>
      </c>
      <c r="U48" s="80">
        <v>2.5000000000000001E-3</v>
      </c>
      <c r="V48" s="80">
        <v>16.277000000000001</v>
      </c>
      <c r="W48" s="80">
        <v>2.141</v>
      </c>
      <c r="X48" s="80">
        <v>2.141</v>
      </c>
      <c r="Y48" s="80">
        <v>16.2745</v>
      </c>
      <c r="Z48" s="81">
        <v>1.5543426880434508E-4</v>
      </c>
      <c r="AA48" s="81">
        <v>0.13621924491682505</v>
      </c>
      <c r="AB48" s="82">
        <v>0.1363746791856294</v>
      </c>
    </row>
    <row r="49" spans="2:28">
      <c r="B49" s="90">
        <v>65</v>
      </c>
      <c r="C49" s="91">
        <v>0</v>
      </c>
      <c r="D49" s="91">
        <v>16.053000000000001</v>
      </c>
      <c r="E49" s="91">
        <v>3.6680000000000001</v>
      </c>
      <c r="F49" s="91">
        <v>3.6680000000000001</v>
      </c>
      <c r="G49" s="91">
        <v>16.053000000000001</v>
      </c>
      <c r="H49" s="92">
        <v>0</v>
      </c>
      <c r="I49" s="92">
        <v>0.2284931165514234</v>
      </c>
      <c r="J49" s="93">
        <v>0.2284931165514234</v>
      </c>
      <c r="K49" s="90">
        <v>65</v>
      </c>
      <c r="L49" s="91">
        <v>0</v>
      </c>
      <c r="M49" s="91">
        <v>17.619</v>
      </c>
      <c r="N49" s="94">
        <v>0.623</v>
      </c>
      <c r="O49" s="91">
        <v>0.623</v>
      </c>
      <c r="P49" s="91">
        <v>17.619</v>
      </c>
      <c r="Q49" s="92">
        <v>0</v>
      </c>
      <c r="R49" s="92">
        <v>3.5359555025824392E-2</v>
      </c>
      <c r="S49" s="93">
        <v>3.5359555025824392E-2</v>
      </c>
      <c r="T49" s="90">
        <v>65</v>
      </c>
      <c r="U49" s="95">
        <v>0</v>
      </c>
      <c r="V49" s="95">
        <v>16.835999999999999</v>
      </c>
      <c r="W49" s="95">
        <v>2.1455000000000002</v>
      </c>
      <c r="X49" s="95">
        <v>2.1455000000000002</v>
      </c>
      <c r="Y49" s="95">
        <v>16.835999999999999</v>
      </c>
      <c r="Z49" s="96">
        <v>0</v>
      </c>
      <c r="AA49" s="96">
        <v>0.13192633578862389</v>
      </c>
      <c r="AB49" s="97">
        <v>0.13192633578862389</v>
      </c>
    </row>
    <row r="50" spans="2:28">
      <c r="B50" s="75">
        <v>66</v>
      </c>
      <c r="C50" s="76"/>
      <c r="D50" s="76">
        <v>15.661</v>
      </c>
      <c r="E50" s="76">
        <v>3.6739999999999999</v>
      </c>
      <c r="F50" s="76">
        <v>3.6739999999999999</v>
      </c>
      <c r="G50" s="76">
        <v>15.661</v>
      </c>
      <c r="H50" s="77">
        <v>0</v>
      </c>
      <c r="I50" s="77">
        <v>0.23459549198646318</v>
      </c>
      <c r="J50" s="78">
        <v>0.23459549198646318</v>
      </c>
      <c r="K50" s="75">
        <v>66</v>
      </c>
      <c r="L50" s="76">
        <v>0</v>
      </c>
      <c r="M50" s="76">
        <v>17.216999999999999</v>
      </c>
      <c r="N50" s="79">
        <v>0.60399999999999998</v>
      </c>
      <c r="O50" s="76">
        <v>0.60399999999999998</v>
      </c>
      <c r="P50" s="76">
        <v>17.216999999999999</v>
      </c>
      <c r="Q50" s="77">
        <v>0</v>
      </c>
      <c r="R50" s="77">
        <v>3.5081605390021489E-2</v>
      </c>
      <c r="S50" s="78">
        <v>3.5081605390021489E-2</v>
      </c>
      <c r="T50" s="75">
        <v>66</v>
      </c>
      <c r="U50" s="80">
        <v>0</v>
      </c>
      <c r="V50" s="80">
        <v>16.439</v>
      </c>
      <c r="W50" s="80">
        <v>2.1389999999999998</v>
      </c>
      <c r="X50" s="80">
        <v>2.1389999999999998</v>
      </c>
      <c r="Y50" s="80">
        <v>16.439</v>
      </c>
      <c r="Z50" s="81">
        <v>0</v>
      </c>
      <c r="AA50" s="81">
        <v>0.13483854868824233</v>
      </c>
      <c r="AB50" s="82">
        <v>0.13483854868824233</v>
      </c>
    </row>
    <row r="51" spans="2:28">
      <c r="B51" s="83">
        <v>67</v>
      </c>
      <c r="C51" s="84"/>
      <c r="D51" s="84">
        <v>15.260999999999999</v>
      </c>
      <c r="E51" s="84">
        <v>3.6779999999999999</v>
      </c>
      <c r="F51" s="84">
        <v>3.6779999999999999</v>
      </c>
      <c r="G51" s="84">
        <v>15.260999999999999</v>
      </c>
      <c r="H51" s="85">
        <v>0</v>
      </c>
      <c r="I51" s="85">
        <v>0.24100648712404169</v>
      </c>
      <c r="J51" s="87">
        <v>0.24100648712404169</v>
      </c>
      <c r="K51" s="83">
        <v>67</v>
      </c>
      <c r="L51" s="84">
        <v>0</v>
      </c>
      <c r="M51" s="84">
        <v>16.803000000000001</v>
      </c>
      <c r="N51" s="86">
        <v>0.58599999999999997</v>
      </c>
      <c r="O51" s="84">
        <v>0.58599999999999997</v>
      </c>
      <c r="P51" s="84">
        <v>16.803000000000001</v>
      </c>
      <c r="Q51" s="85">
        <v>0</v>
      </c>
      <c r="R51" s="85">
        <v>3.4874724751532464E-2</v>
      </c>
      <c r="S51" s="87">
        <v>3.4874724751532464E-2</v>
      </c>
      <c r="T51" s="83">
        <v>67</v>
      </c>
      <c r="U51" s="88">
        <v>0</v>
      </c>
      <c r="V51" s="88">
        <v>16.032</v>
      </c>
      <c r="W51" s="88">
        <v>2.1320000000000001</v>
      </c>
      <c r="X51" s="88">
        <v>2.1320000000000001</v>
      </c>
      <c r="Y51" s="88">
        <v>16.032</v>
      </c>
      <c r="Z51" s="29">
        <v>0</v>
      </c>
      <c r="AA51" s="29">
        <v>0.13794060593778706</v>
      </c>
      <c r="AB51" s="89">
        <v>0.13794060593778706</v>
      </c>
    </row>
    <row r="52" spans="2:28">
      <c r="B52" s="75">
        <v>68</v>
      </c>
      <c r="C52" s="76"/>
      <c r="D52" s="76">
        <v>14.851000000000001</v>
      </c>
      <c r="E52" s="76">
        <v>3.68</v>
      </c>
      <c r="F52" s="76">
        <v>3.68</v>
      </c>
      <c r="G52" s="76">
        <v>14.851000000000001</v>
      </c>
      <c r="H52" s="77">
        <v>0</v>
      </c>
      <c r="I52" s="77">
        <v>0.24779476129553565</v>
      </c>
      <c r="J52" s="78">
        <v>0.24779476129553565</v>
      </c>
      <c r="K52" s="75">
        <v>68</v>
      </c>
      <c r="L52" s="76">
        <v>0</v>
      </c>
      <c r="M52" s="76">
        <v>16.378</v>
      </c>
      <c r="N52" s="79">
        <v>0.56699999999999995</v>
      </c>
      <c r="O52" s="76">
        <v>0.56699999999999995</v>
      </c>
      <c r="P52" s="76">
        <v>16.378</v>
      </c>
      <c r="Q52" s="77">
        <v>0</v>
      </c>
      <c r="R52" s="77">
        <v>3.4619611674197089E-2</v>
      </c>
      <c r="S52" s="78">
        <v>3.4619611674197089E-2</v>
      </c>
      <c r="T52" s="75">
        <v>68</v>
      </c>
      <c r="U52" s="80">
        <v>0</v>
      </c>
      <c r="V52" s="80">
        <v>15.6145</v>
      </c>
      <c r="W52" s="80">
        <v>2.1234999999999999</v>
      </c>
      <c r="X52" s="80">
        <v>2.1234999999999999</v>
      </c>
      <c r="Y52" s="80">
        <v>15.6145</v>
      </c>
      <c r="Z52" s="81">
        <v>0</v>
      </c>
      <c r="AA52" s="81">
        <v>0.14120718648486638</v>
      </c>
      <c r="AB52" s="82">
        <v>0.14120718648486638</v>
      </c>
    </row>
    <row r="53" spans="2:28">
      <c r="B53" s="83">
        <v>69</v>
      </c>
      <c r="C53" s="84"/>
      <c r="D53" s="84">
        <v>14.432</v>
      </c>
      <c r="E53" s="84">
        <v>3.681</v>
      </c>
      <c r="F53" s="84">
        <v>3.681</v>
      </c>
      <c r="G53" s="84">
        <v>14.432</v>
      </c>
      <c r="H53" s="85">
        <v>0</v>
      </c>
      <c r="I53" s="85">
        <v>0.25505820399113083</v>
      </c>
      <c r="J53" s="87">
        <v>0.25505820399113083</v>
      </c>
      <c r="K53" s="83">
        <v>69</v>
      </c>
      <c r="L53" s="84">
        <v>0</v>
      </c>
      <c r="M53" s="84">
        <v>15.94</v>
      </c>
      <c r="N53" s="86">
        <v>0.54900000000000004</v>
      </c>
      <c r="O53" s="84">
        <v>0.54900000000000004</v>
      </c>
      <c r="P53" s="84">
        <v>15.94</v>
      </c>
      <c r="Q53" s="85">
        <v>0</v>
      </c>
      <c r="R53" s="85">
        <v>3.4441656210790469E-2</v>
      </c>
      <c r="S53" s="87">
        <v>3.4441656210790469E-2</v>
      </c>
      <c r="T53" s="83">
        <v>69</v>
      </c>
      <c r="U53" s="88">
        <v>0</v>
      </c>
      <c r="V53" s="88">
        <v>15.186</v>
      </c>
      <c r="W53" s="88">
        <v>2.1150000000000002</v>
      </c>
      <c r="X53" s="88">
        <v>2.1150000000000002</v>
      </c>
      <c r="Y53" s="88">
        <v>15.186</v>
      </c>
      <c r="Z53" s="29">
        <v>0</v>
      </c>
      <c r="AA53" s="29">
        <v>0.14474993010096066</v>
      </c>
      <c r="AB53" s="89">
        <v>0.14474993010096066</v>
      </c>
    </row>
    <row r="54" spans="2:28">
      <c r="B54" s="75">
        <v>70</v>
      </c>
      <c r="C54" s="76"/>
      <c r="D54" s="76">
        <v>14.002000000000001</v>
      </c>
      <c r="E54" s="76">
        <v>3.6789999999999998</v>
      </c>
      <c r="F54" s="76">
        <v>3.6789999999999998</v>
      </c>
      <c r="G54" s="76">
        <v>14.002000000000001</v>
      </c>
      <c r="H54" s="77">
        <v>0</v>
      </c>
      <c r="I54" s="77">
        <v>0.26274817883159546</v>
      </c>
      <c r="J54" s="78">
        <v>0.26274817883159546</v>
      </c>
      <c r="K54" s="75">
        <v>70</v>
      </c>
      <c r="L54" s="76">
        <v>0</v>
      </c>
      <c r="M54" s="76">
        <v>15.49</v>
      </c>
      <c r="N54" s="79">
        <v>0.53</v>
      </c>
      <c r="O54" s="76">
        <v>0.53</v>
      </c>
      <c r="P54" s="76">
        <v>15.49</v>
      </c>
      <c r="Q54" s="77">
        <v>0</v>
      </c>
      <c r="R54" s="77">
        <v>3.4215622982569402E-2</v>
      </c>
      <c r="S54" s="78">
        <v>3.4215622982569402E-2</v>
      </c>
      <c r="T54" s="75">
        <v>70</v>
      </c>
      <c r="U54" s="80">
        <v>0</v>
      </c>
      <c r="V54" s="80">
        <v>14.746</v>
      </c>
      <c r="W54" s="80">
        <v>2.1044999999999998</v>
      </c>
      <c r="X54" s="80">
        <v>2.1044999999999998</v>
      </c>
      <c r="Y54" s="80">
        <v>14.746</v>
      </c>
      <c r="Z54" s="81">
        <v>0</v>
      </c>
      <c r="AA54" s="81">
        <v>0.14848190090708244</v>
      </c>
      <c r="AB54" s="82">
        <v>0.14848190090708244</v>
      </c>
    </row>
    <row r="55" spans="2:28">
      <c r="B55" s="83">
        <v>71</v>
      </c>
      <c r="C55" s="84"/>
      <c r="D55" s="84">
        <v>13.561999999999999</v>
      </c>
      <c r="E55" s="84">
        <v>3.6749999999999998</v>
      </c>
      <c r="F55" s="84">
        <v>3.6749999999999998</v>
      </c>
      <c r="G55" s="84">
        <v>13.561999999999999</v>
      </c>
      <c r="H55" s="85">
        <v>0</v>
      </c>
      <c r="I55" s="85">
        <v>0.27097773189795016</v>
      </c>
      <c r="J55" s="87">
        <v>0.27097773189795016</v>
      </c>
      <c r="K55" s="83">
        <v>71</v>
      </c>
      <c r="L55" s="84">
        <v>0</v>
      </c>
      <c r="M55" s="84">
        <v>15.026</v>
      </c>
      <c r="N55" s="86">
        <v>0.51</v>
      </c>
      <c r="O55" s="84">
        <v>0.51</v>
      </c>
      <c r="P55" s="84">
        <v>15.026</v>
      </c>
      <c r="Q55" s="85">
        <v>0</v>
      </c>
      <c r="R55" s="85">
        <v>3.3941168641022229E-2</v>
      </c>
      <c r="S55" s="87">
        <v>3.3941168641022229E-2</v>
      </c>
      <c r="T55" s="83">
        <v>71</v>
      </c>
      <c r="U55" s="88">
        <v>0</v>
      </c>
      <c r="V55" s="88">
        <v>14.294</v>
      </c>
      <c r="W55" s="88">
        <v>2.0924999999999998</v>
      </c>
      <c r="X55" s="88">
        <v>2.0924999999999998</v>
      </c>
      <c r="Y55" s="88">
        <v>14.294</v>
      </c>
      <c r="Z55" s="29">
        <v>0</v>
      </c>
      <c r="AA55" s="29">
        <v>0.15245945026948621</v>
      </c>
      <c r="AB55" s="89">
        <v>0.15245945026948621</v>
      </c>
    </row>
    <row r="56" spans="2:28">
      <c r="B56" s="75">
        <v>72</v>
      </c>
      <c r="C56" s="76"/>
      <c r="D56" s="76">
        <v>13.111000000000001</v>
      </c>
      <c r="E56" s="76">
        <v>3.669</v>
      </c>
      <c r="F56" s="76">
        <v>3.669</v>
      </c>
      <c r="G56" s="76">
        <v>13.111000000000001</v>
      </c>
      <c r="H56" s="77">
        <v>0</v>
      </c>
      <c r="I56" s="77">
        <v>0.27984135458775072</v>
      </c>
      <c r="J56" s="78">
        <v>0.27984135458775072</v>
      </c>
      <c r="K56" s="75">
        <v>72</v>
      </c>
      <c r="L56" s="76">
        <v>0</v>
      </c>
      <c r="M56" s="76">
        <v>14.55</v>
      </c>
      <c r="N56" s="79">
        <v>0.49099999999999999</v>
      </c>
      <c r="O56" s="76">
        <v>0.49099999999999999</v>
      </c>
      <c r="P56" s="76">
        <v>14.55</v>
      </c>
      <c r="Q56" s="77">
        <v>0</v>
      </c>
      <c r="R56" s="77">
        <v>3.3745704467353949E-2</v>
      </c>
      <c r="S56" s="78">
        <v>3.3745704467353949E-2</v>
      </c>
      <c r="T56" s="75">
        <v>72</v>
      </c>
      <c r="U56" s="80">
        <v>0</v>
      </c>
      <c r="V56" s="80">
        <v>13.830500000000001</v>
      </c>
      <c r="W56" s="80">
        <v>2.08</v>
      </c>
      <c r="X56" s="80">
        <v>2.08</v>
      </c>
      <c r="Y56" s="80">
        <v>13.830500000000001</v>
      </c>
      <c r="Z56" s="81">
        <v>0</v>
      </c>
      <c r="AA56" s="81">
        <v>0.15679352952755232</v>
      </c>
      <c r="AB56" s="82">
        <v>0.15679352952755232</v>
      </c>
    </row>
    <row r="57" spans="2:28">
      <c r="B57" s="83">
        <v>73</v>
      </c>
      <c r="C57" s="84"/>
      <c r="D57" s="84">
        <v>12.65</v>
      </c>
      <c r="E57" s="84">
        <v>3.6669999999999998</v>
      </c>
      <c r="F57" s="84">
        <v>3.6669999999999998</v>
      </c>
      <c r="G57" s="84">
        <v>12.65</v>
      </c>
      <c r="H57" s="85">
        <v>0</v>
      </c>
      <c r="I57" s="85">
        <v>0.28988142292490116</v>
      </c>
      <c r="J57" s="87">
        <v>0.28988142292490116</v>
      </c>
      <c r="K57" s="83">
        <v>73</v>
      </c>
      <c r="L57" s="84">
        <v>0</v>
      </c>
      <c r="M57" s="84">
        <v>14.061999999999999</v>
      </c>
      <c r="N57" s="86">
        <v>0.47199999999999998</v>
      </c>
      <c r="O57" s="84">
        <v>0.47199999999999998</v>
      </c>
      <c r="P57" s="84">
        <v>14.061999999999999</v>
      </c>
      <c r="Q57" s="85">
        <v>0</v>
      </c>
      <c r="R57" s="85">
        <v>3.3565637889347175E-2</v>
      </c>
      <c r="S57" s="87">
        <v>3.3565637889347175E-2</v>
      </c>
      <c r="T57" s="83">
        <v>73</v>
      </c>
      <c r="U57" s="88">
        <v>0</v>
      </c>
      <c r="V57" s="88">
        <v>13.356</v>
      </c>
      <c r="W57" s="88">
        <v>2.0694999999999997</v>
      </c>
      <c r="X57" s="88">
        <v>2.0694999999999997</v>
      </c>
      <c r="Y57" s="88">
        <v>13.356</v>
      </c>
      <c r="Z57" s="29">
        <v>0</v>
      </c>
      <c r="AA57" s="29">
        <v>0.16172353040712417</v>
      </c>
      <c r="AB57" s="89">
        <v>0.16172353040712417</v>
      </c>
    </row>
    <row r="58" spans="2:28">
      <c r="B58" s="75">
        <v>74</v>
      </c>
      <c r="C58" s="76"/>
      <c r="D58" s="76">
        <v>12.18</v>
      </c>
      <c r="E58" s="76">
        <v>3.6619999999999999</v>
      </c>
      <c r="F58" s="76">
        <v>3.6619999999999999</v>
      </c>
      <c r="G58" s="76">
        <v>12.18</v>
      </c>
      <c r="H58" s="77">
        <v>0</v>
      </c>
      <c r="I58" s="77">
        <v>0.30065681444991788</v>
      </c>
      <c r="J58" s="78">
        <v>0.30065681444991788</v>
      </c>
      <c r="K58" s="75">
        <v>74</v>
      </c>
      <c r="L58" s="76">
        <v>0</v>
      </c>
      <c r="M58" s="76">
        <v>13.561999999999999</v>
      </c>
      <c r="N58" s="79">
        <v>0.45300000000000001</v>
      </c>
      <c r="O58" s="76">
        <v>0.45300000000000001</v>
      </c>
      <c r="P58" s="76">
        <v>13.561999999999999</v>
      </c>
      <c r="Q58" s="77">
        <v>0</v>
      </c>
      <c r="R58" s="77">
        <v>3.3402153074767738E-2</v>
      </c>
      <c r="S58" s="78">
        <v>3.3402153074767738E-2</v>
      </c>
      <c r="T58" s="75">
        <v>74</v>
      </c>
      <c r="U58" s="80">
        <v>0</v>
      </c>
      <c r="V58" s="80">
        <v>12.870999999999999</v>
      </c>
      <c r="W58" s="80">
        <v>2.0575000000000001</v>
      </c>
      <c r="X58" s="80">
        <v>2.0575000000000001</v>
      </c>
      <c r="Y58" s="80">
        <v>12.870999999999999</v>
      </c>
      <c r="Z58" s="81">
        <v>0</v>
      </c>
      <c r="AA58" s="81">
        <v>0.16702948376234281</v>
      </c>
      <c r="AB58" s="82">
        <v>0.16702948376234281</v>
      </c>
    </row>
    <row r="59" spans="2:28">
      <c r="B59" s="83">
        <v>75</v>
      </c>
      <c r="C59" s="84"/>
      <c r="D59" s="84">
        <v>11.701000000000001</v>
      </c>
      <c r="E59" s="84">
        <v>3.6549999999999998</v>
      </c>
      <c r="F59" s="84">
        <v>3.6549999999999998</v>
      </c>
      <c r="G59" s="84">
        <v>11.701000000000001</v>
      </c>
      <c r="H59" s="85">
        <v>0</v>
      </c>
      <c r="I59" s="85">
        <v>0.31236646440475169</v>
      </c>
      <c r="J59" s="87">
        <v>0.31236646440475169</v>
      </c>
      <c r="K59" s="83">
        <v>75</v>
      </c>
      <c r="L59" s="84">
        <v>0</v>
      </c>
      <c r="M59" s="84">
        <v>13.051</v>
      </c>
      <c r="N59" s="86">
        <v>0.434</v>
      </c>
      <c r="O59" s="84">
        <v>0.434</v>
      </c>
      <c r="P59" s="84">
        <v>13.051</v>
      </c>
      <c r="Q59" s="85">
        <v>0</v>
      </c>
      <c r="R59" s="85">
        <v>3.3254156769596199E-2</v>
      </c>
      <c r="S59" s="87">
        <v>3.3254156769596199E-2</v>
      </c>
      <c r="T59" s="83">
        <v>75</v>
      </c>
      <c r="U59" s="88">
        <v>0</v>
      </c>
      <c r="V59" s="88">
        <v>12.376000000000001</v>
      </c>
      <c r="W59" s="88">
        <v>2.0444999999999998</v>
      </c>
      <c r="X59" s="88">
        <v>2.0444999999999998</v>
      </c>
      <c r="Y59" s="88">
        <v>12.376000000000001</v>
      </c>
      <c r="Z59" s="29">
        <v>0</v>
      </c>
      <c r="AA59" s="29">
        <v>0.17281031058717394</v>
      </c>
      <c r="AB59" s="89">
        <v>0.17281031058717394</v>
      </c>
    </row>
    <row r="60" spans="2:28">
      <c r="B60" s="75">
        <v>76</v>
      </c>
      <c r="C60" s="76"/>
      <c r="D60" s="76">
        <v>11.215</v>
      </c>
      <c r="E60" s="76">
        <v>3.6429999999999998</v>
      </c>
      <c r="F60" s="76">
        <v>3.6429999999999998</v>
      </c>
      <c r="G60" s="76">
        <v>11.215</v>
      </c>
      <c r="H60" s="77">
        <v>0</v>
      </c>
      <c r="I60" s="77">
        <v>0.32483281319661167</v>
      </c>
      <c r="J60" s="78">
        <v>0.32483281319661167</v>
      </c>
      <c r="K60" s="75">
        <v>76</v>
      </c>
      <c r="L60" s="76">
        <v>0</v>
      </c>
      <c r="M60" s="76">
        <v>12.531000000000001</v>
      </c>
      <c r="N60" s="79">
        <v>0.41399999999999998</v>
      </c>
      <c r="O60" s="76">
        <v>0.41399999999999998</v>
      </c>
      <c r="P60" s="76">
        <v>12.531000000000001</v>
      </c>
      <c r="Q60" s="77">
        <v>0</v>
      </c>
      <c r="R60" s="77">
        <v>3.3038065597318644E-2</v>
      </c>
      <c r="S60" s="78">
        <v>3.3038065597318644E-2</v>
      </c>
      <c r="T60" s="75">
        <v>76</v>
      </c>
      <c r="U60" s="80">
        <v>0</v>
      </c>
      <c r="V60" s="80">
        <v>11.873000000000001</v>
      </c>
      <c r="W60" s="80">
        <v>2.0284999999999997</v>
      </c>
      <c r="X60" s="80">
        <v>2.0284999999999997</v>
      </c>
      <c r="Y60" s="80">
        <v>11.873000000000001</v>
      </c>
      <c r="Z60" s="81">
        <v>0</v>
      </c>
      <c r="AA60" s="81">
        <v>0.17893543939696516</v>
      </c>
      <c r="AB60" s="82">
        <v>0.17893543939696516</v>
      </c>
    </row>
    <row r="61" spans="2:28">
      <c r="B61" s="83">
        <v>77</v>
      </c>
      <c r="C61" s="84"/>
      <c r="D61" s="84">
        <v>10.724</v>
      </c>
      <c r="E61" s="84">
        <v>3.625</v>
      </c>
      <c r="F61" s="84">
        <v>3.625</v>
      </c>
      <c r="G61" s="84">
        <v>10.724</v>
      </c>
      <c r="H61" s="85">
        <v>0</v>
      </c>
      <c r="I61" s="85">
        <v>0.33802685565087653</v>
      </c>
      <c r="J61" s="87">
        <v>0.33802685565087653</v>
      </c>
      <c r="K61" s="83">
        <v>77</v>
      </c>
      <c r="L61" s="84">
        <v>0</v>
      </c>
      <c r="M61" s="84">
        <v>12.003</v>
      </c>
      <c r="N61" s="86">
        <v>0.39300000000000002</v>
      </c>
      <c r="O61" s="84">
        <v>0.39300000000000002</v>
      </c>
      <c r="P61" s="84">
        <v>12.003</v>
      </c>
      <c r="Q61" s="85">
        <v>0</v>
      </c>
      <c r="R61" s="85">
        <v>3.2741814546363407E-2</v>
      </c>
      <c r="S61" s="87">
        <v>3.2741814546363407E-2</v>
      </c>
      <c r="T61" s="83">
        <v>77</v>
      </c>
      <c r="U61" s="88">
        <v>0</v>
      </c>
      <c r="V61" s="88">
        <v>11.3635</v>
      </c>
      <c r="W61" s="88">
        <v>2.0089999999999999</v>
      </c>
      <c r="X61" s="88">
        <v>2.0089999999999999</v>
      </c>
      <c r="Y61" s="88">
        <v>11.3635</v>
      </c>
      <c r="Z61" s="29">
        <v>0</v>
      </c>
      <c r="AA61" s="29">
        <v>0.18538433509861996</v>
      </c>
      <c r="AB61" s="89">
        <v>0.18538433509861996</v>
      </c>
    </row>
    <row r="62" spans="2:28">
      <c r="B62" s="75">
        <v>78</v>
      </c>
      <c r="C62" s="76"/>
      <c r="D62" s="76">
        <v>10.228999999999999</v>
      </c>
      <c r="E62" s="76">
        <v>3.601</v>
      </c>
      <c r="F62" s="76">
        <v>3.601</v>
      </c>
      <c r="G62" s="76">
        <v>10.228999999999999</v>
      </c>
      <c r="H62" s="77">
        <v>0</v>
      </c>
      <c r="I62" s="77">
        <v>0.35203832241665856</v>
      </c>
      <c r="J62" s="78">
        <v>0.35203832241665856</v>
      </c>
      <c r="K62" s="75">
        <v>78</v>
      </c>
      <c r="L62" s="76">
        <v>0</v>
      </c>
      <c r="M62" s="76">
        <v>11.47</v>
      </c>
      <c r="N62" s="79">
        <v>0.371</v>
      </c>
      <c r="O62" s="76">
        <v>0.371</v>
      </c>
      <c r="P62" s="76">
        <v>11.47</v>
      </c>
      <c r="Q62" s="77">
        <v>0</v>
      </c>
      <c r="R62" s="77">
        <v>3.2345248474280733E-2</v>
      </c>
      <c r="S62" s="78">
        <v>3.2345248474280733E-2</v>
      </c>
      <c r="T62" s="75">
        <v>78</v>
      </c>
      <c r="U62" s="80">
        <v>0</v>
      </c>
      <c r="V62" s="80">
        <v>10.849499999999999</v>
      </c>
      <c r="W62" s="80">
        <v>1.986</v>
      </c>
      <c r="X62" s="80">
        <v>1.986</v>
      </c>
      <c r="Y62" s="80">
        <v>10.849499999999999</v>
      </c>
      <c r="Z62" s="81">
        <v>0</v>
      </c>
      <c r="AA62" s="81">
        <v>0.19219178544546964</v>
      </c>
      <c r="AB62" s="82">
        <v>0.19219178544546964</v>
      </c>
    </row>
    <row r="63" spans="2:28">
      <c r="B63" s="83">
        <v>79</v>
      </c>
      <c r="C63" s="84"/>
      <c r="D63" s="84">
        <v>9.7330000000000005</v>
      </c>
      <c r="E63" s="84">
        <v>3.57</v>
      </c>
      <c r="F63" s="84">
        <v>3.57</v>
      </c>
      <c r="G63" s="84">
        <v>9.7330000000000005</v>
      </c>
      <c r="H63" s="85">
        <v>0</v>
      </c>
      <c r="I63" s="85">
        <v>0.36679338333504569</v>
      </c>
      <c r="J63" s="87">
        <v>0.36679338333504569</v>
      </c>
      <c r="K63" s="83">
        <v>79</v>
      </c>
      <c r="L63" s="84">
        <v>0</v>
      </c>
      <c r="M63" s="84">
        <v>10.932</v>
      </c>
      <c r="N63" s="86">
        <v>0.34899999999999998</v>
      </c>
      <c r="O63" s="84">
        <v>0.34899999999999998</v>
      </c>
      <c r="P63" s="84">
        <v>10.932</v>
      </c>
      <c r="Q63" s="85">
        <v>0</v>
      </c>
      <c r="R63" s="85">
        <v>3.1924624954262709E-2</v>
      </c>
      <c r="S63" s="87">
        <v>3.1924624954262709E-2</v>
      </c>
      <c r="T63" s="83">
        <v>79</v>
      </c>
      <c r="U63" s="88">
        <v>0</v>
      </c>
      <c r="V63" s="88">
        <v>10.3325</v>
      </c>
      <c r="W63" s="88">
        <v>1.9594999999999998</v>
      </c>
      <c r="X63" s="88">
        <v>1.9594999999999998</v>
      </c>
      <c r="Y63" s="88">
        <v>10.3325</v>
      </c>
      <c r="Z63" s="29">
        <v>0</v>
      </c>
      <c r="AA63" s="29">
        <v>0.19935900414465418</v>
      </c>
      <c r="AB63" s="89">
        <v>0.19935900414465418</v>
      </c>
    </row>
    <row r="64" spans="2:28">
      <c r="B64" s="75">
        <v>80</v>
      </c>
      <c r="C64" s="76"/>
      <c r="D64" s="76">
        <v>9.2379999999999995</v>
      </c>
      <c r="E64" s="76">
        <v>3.5310000000000001</v>
      </c>
      <c r="F64" s="76">
        <v>3.5310000000000001</v>
      </c>
      <c r="G64" s="76">
        <v>9.2379999999999995</v>
      </c>
      <c r="H64" s="77">
        <v>0</v>
      </c>
      <c r="I64" s="77">
        <v>0.38222558995453565</v>
      </c>
      <c r="J64" s="78">
        <v>0.38222558995453565</v>
      </c>
      <c r="K64" s="75">
        <v>80</v>
      </c>
      <c r="L64" s="76">
        <v>0</v>
      </c>
      <c r="M64" s="76">
        <v>10.391999999999999</v>
      </c>
      <c r="N64" s="79">
        <v>0.32700000000000001</v>
      </c>
      <c r="O64" s="76">
        <v>0.32700000000000001</v>
      </c>
      <c r="P64" s="76">
        <v>10.391999999999999</v>
      </c>
      <c r="Q64" s="77">
        <v>0</v>
      </c>
      <c r="R64" s="77">
        <v>3.1466512702078522E-2</v>
      </c>
      <c r="S64" s="78">
        <v>3.1466512702078522E-2</v>
      </c>
      <c r="T64" s="75">
        <v>80</v>
      </c>
      <c r="U64" s="80">
        <v>0</v>
      </c>
      <c r="V64" s="80">
        <v>9.8149999999999995</v>
      </c>
      <c r="W64" s="80">
        <v>1.929</v>
      </c>
      <c r="X64" s="80">
        <v>1.929</v>
      </c>
      <c r="Y64" s="80">
        <v>9.8149999999999995</v>
      </c>
      <c r="Z64" s="81">
        <v>0</v>
      </c>
      <c r="AA64" s="81">
        <v>0.20684605132830708</v>
      </c>
      <c r="AB64" s="82">
        <v>0.20684605132830708</v>
      </c>
    </row>
    <row r="65" spans="2:28">
      <c r="B65" s="83">
        <v>81</v>
      </c>
      <c r="C65" s="84"/>
      <c r="D65" s="84">
        <v>8.7469999999999999</v>
      </c>
      <c r="E65" s="84">
        <v>3.4820000000000002</v>
      </c>
      <c r="F65" s="84">
        <v>3.4820000000000002</v>
      </c>
      <c r="G65" s="84">
        <v>8.7469999999999999</v>
      </c>
      <c r="H65" s="85">
        <v>0</v>
      </c>
      <c r="I65" s="85">
        <v>0.39807934148851037</v>
      </c>
      <c r="J65" s="87">
        <v>0.39807934148851037</v>
      </c>
      <c r="K65" s="83">
        <v>81</v>
      </c>
      <c r="L65" s="84">
        <v>0</v>
      </c>
      <c r="M65" s="84">
        <v>9.8529999999999998</v>
      </c>
      <c r="N65" s="86">
        <v>0.30399999999999999</v>
      </c>
      <c r="O65" s="84">
        <v>0.30399999999999999</v>
      </c>
      <c r="P65" s="84">
        <v>9.8529999999999998</v>
      </c>
      <c r="Q65" s="85">
        <v>0</v>
      </c>
      <c r="R65" s="85">
        <v>3.0853547143002133E-2</v>
      </c>
      <c r="S65" s="87">
        <v>3.0853547143002133E-2</v>
      </c>
      <c r="T65" s="83">
        <v>81</v>
      </c>
      <c r="U65" s="88">
        <v>0</v>
      </c>
      <c r="V65" s="88">
        <v>9.3000000000000007</v>
      </c>
      <c r="W65" s="88">
        <v>1.893</v>
      </c>
      <c r="X65" s="88">
        <v>1.893</v>
      </c>
      <c r="Y65" s="88">
        <v>9.3000000000000007</v>
      </c>
      <c r="Z65" s="29">
        <v>0</v>
      </c>
      <c r="AA65" s="29">
        <v>0.21446644431575626</v>
      </c>
      <c r="AB65" s="89">
        <v>0.21446644431575626</v>
      </c>
    </row>
    <row r="66" spans="2:28">
      <c r="B66" s="75">
        <v>82</v>
      </c>
      <c r="C66" s="76"/>
      <c r="D66" s="76">
        <v>8.2629999999999999</v>
      </c>
      <c r="E66" s="76">
        <v>3.4089999999999998</v>
      </c>
      <c r="F66" s="76">
        <v>3.4089999999999998</v>
      </c>
      <c r="G66" s="76">
        <v>8.2629999999999999</v>
      </c>
      <c r="H66" s="77">
        <v>0</v>
      </c>
      <c r="I66" s="77">
        <v>0.41256202347815563</v>
      </c>
      <c r="J66" s="78">
        <v>0.41256202347815563</v>
      </c>
      <c r="K66" s="75">
        <v>82</v>
      </c>
      <c r="L66" s="76">
        <v>0</v>
      </c>
      <c r="M66" s="76">
        <v>9.3179999999999996</v>
      </c>
      <c r="N66" s="79">
        <v>0.28100000000000003</v>
      </c>
      <c r="O66" s="76">
        <v>0.28100000000000003</v>
      </c>
      <c r="P66" s="76">
        <v>9.3179999999999996</v>
      </c>
      <c r="Q66" s="77">
        <v>0</v>
      </c>
      <c r="R66" s="77">
        <v>3.0156685984116766E-2</v>
      </c>
      <c r="S66" s="78">
        <v>3.0156685984116766E-2</v>
      </c>
      <c r="T66" s="75">
        <v>82</v>
      </c>
      <c r="U66" s="80">
        <v>0</v>
      </c>
      <c r="V66" s="80">
        <v>8.7904999999999998</v>
      </c>
      <c r="W66" s="80">
        <v>1.845</v>
      </c>
      <c r="X66" s="80">
        <v>1.845</v>
      </c>
      <c r="Y66" s="80">
        <v>8.7904999999999998</v>
      </c>
      <c r="Z66" s="81">
        <v>0</v>
      </c>
      <c r="AA66" s="81">
        <v>0.22135935473113619</v>
      </c>
      <c r="AB66" s="82">
        <v>0.22135935473113619</v>
      </c>
    </row>
    <row r="67" spans="2:28">
      <c r="B67" s="83">
        <v>83</v>
      </c>
      <c r="C67" s="84"/>
      <c r="D67" s="84">
        <v>7.7880000000000003</v>
      </c>
      <c r="E67" s="84">
        <v>3.3220000000000001</v>
      </c>
      <c r="F67" s="84">
        <v>3.3220000000000001</v>
      </c>
      <c r="G67" s="84">
        <v>7.7880000000000003</v>
      </c>
      <c r="H67" s="85">
        <v>0</v>
      </c>
      <c r="I67" s="85">
        <v>0.42655367231638419</v>
      </c>
      <c r="J67" s="87">
        <v>0.42655367231638419</v>
      </c>
      <c r="K67" s="83">
        <v>83</v>
      </c>
      <c r="L67" s="84">
        <v>0</v>
      </c>
      <c r="M67" s="84">
        <v>8.7889999999999997</v>
      </c>
      <c r="N67" s="86">
        <v>0.25800000000000001</v>
      </c>
      <c r="O67" s="84">
        <v>0.25800000000000001</v>
      </c>
      <c r="P67" s="84">
        <v>8.7889999999999997</v>
      </c>
      <c r="Q67" s="85">
        <v>0</v>
      </c>
      <c r="R67" s="85">
        <v>2.9354875412447381E-2</v>
      </c>
      <c r="S67" s="87">
        <v>2.9354875412447381E-2</v>
      </c>
      <c r="T67" s="83">
        <v>83</v>
      </c>
      <c r="U67" s="88">
        <v>0</v>
      </c>
      <c r="V67" s="88">
        <v>8.2884999999999991</v>
      </c>
      <c r="W67" s="88">
        <v>1.79</v>
      </c>
      <c r="X67" s="88">
        <v>1.79</v>
      </c>
      <c r="Y67" s="88">
        <v>8.2884999999999991</v>
      </c>
      <c r="Z67" s="29">
        <v>0</v>
      </c>
      <c r="AA67" s="29">
        <v>0.22795427386441577</v>
      </c>
      <c r="AB67" s="89">
        <v>0.22795427386441577</v>
      </c>
    </row>
    <row r="68" spans="2:28">
      <c r="B68" s="75">
        <v>84</v>
      </c>
      <c r="C68" s="76"/>
      <c r="D68" s="76">
        <v>7.327</v>
      </c>
      <c r="E68" s="76">
        <v>3.2229999999999999</v>
      </c>
      <c r="F68" s="76">
        <v>3.2229999999999999</v>
      </c>
      <c r="G68" s="76">
        <v>7.327</v>
      </c>
      <c r="H68" s="77">
        <v>0</v>
      </c>
      <c r="I68" s="77">
        <v>0.43987989627405483</v>
      </c>
      <c r="J68" s="78">
        <v>0.43987989627405483</v>
      </c>
      <c r="K68" s="75">
        <v>84</v>
      </c>
      <c r="L68" s="76">
        <v>0</v>
      </c>
      <c r="M68" s="76">
        <v>8.2710000000000008</v>
      </c>
      <c r="N68" s="79">
        <v>0.23499999999999999</v>
      </c>
      <c r="O68" s="76">
        <v>0.23499999999999999</v>
      </c>
      <c r="P68" s="76">
        <v>8.2710000000000008</v>
      </c>
      <c r="Q68" s="77">
        <v>0</v>
      </c>
      <c r="R68" s="77">
        <v>2.8412525692177483E-2</v>
      </c>
      <c r="S68" s="78">
        <v>2.8412525692177483E-2</v>
      </c>
      <c r="T68" s="75">
        <v>84</v>
      </c>
      <c r="U68" s="80">
        <v>0</v>
      </c>
      <c r="V68" s="80">
        <v>7.7990000000000004</v>
      </c>
      <c r="W68" s="80">
        <v>1.7289999999999999</v>
      </c>
      <c r="X68" s="80">
        <v>1.7289999999999999</v>
      </c>
      <c r="Y68" s="80">
        <v>7.7990000000000004</v>
      </c>
      <c r="Z68" s="81">
        <v>0</v>
      </c>
      <c r="AA68" s="81">
        <v>0.23414621098311617</v>
      </c>
      <c r="AB68" s="82">
        <v>0.23414621098311617</v>
      </c>
    </row>
    <row r="69" spans="2:28">
      <c r="B69" s="83">
        <v>85</v>
      </c>
      <c r="C69" s="84"/>
      <c r="D69" s="84">
        <v>6.883</v>
      </c>
      <c r="E69" s="84">
        <v>3.1139999999999999</v>
      </c>
      <c r="F69" s="84">
        <v>3.1139999999999999</v>
      </c>
      <c r="G69" s="84">
        <v>6.883</v>
      </c>
      <c r="H69" s="85">
        <v>0</v>
      </c>
      <c r="I69" s="85">
        <v>0.45241900334156615</v>
      </c>
      <c r="J69" s="87">
        <v>0.45241900334156615</v>
      </c>
      <c r="K69" s="83">
        <v>85</v>
      </c>
      <c r="L69" s="84">
        <v>0</v>
      </c>
      <c r="M69" s="84">
        <v>7.7679999999999998</v>
      </c>
      <c r="N69" s="86">
        <v>0.21</v>
      </c>
      <c r="O69" s="84">
        <v>0.21</v>
      </c>
      <c r="P69" s="84">
        <v>7.7679999999999998</v>
      </c>
      <c r="Q69" s="85">
        <v>0</v>
      </c>
      <c r="R69" s="85">
        <v>2.7033985581874358E-2</v>
      </c>
      <c r="S69" s="87">
        <v>2.7033985581874358E-2</v>
      </c>
      <c r="T69" s="83">
        <v>85</v>
      </c>
      <c r="U69" s="88">
        <v>0</v>
      </c>
      <c r="V69" s="88">
        <v>7.3254999999999999</v>
      </c>
      <c r="W69" s="88">
        <v>1.6619999999999999</v>
      </c>
      <c r="X69" s="88">
        <v>1.6619999999999999</v>
      </c>
      <c r="Y69" s="88">
        <v>7.3254999999999999</v>
      </c>
      <c r="Z69" s="29">
        <v>0</v>
      </c>
      <c r="AA69" s="29">
        <v>0.23972649446172026</v>
      </c>
      <c r="AB69" s="89">
        <v>0.23972649446172026</v>
      </c>
    </row>
    <row r="70" spans="2:28">
      <c r="B70" s="75">
        <v>86</v>
      </c>
      <c r="C70" s="76"/>
      <c r="D70" s="76">
        <v>6.4619999999999997</v>
      </c>
      <c r="E70" s="76">
        <v>2.9969999999999999</v>
      </c>
      <c r="F70" s="76">
        <v>2.9969999999999999</v>
      </c>
      <c r="G70" s="76">
        <v>6.4619999999999997</v>
      </c>
      <c r="H70" s="77">
        <v>0</v>
      </c>
      <c r="I70" s="77">
        <v>0.46378830083565459</v>
      </c>
      <c r="J70" s="78">
        <v>0.46378830083565459</v>
      </c>
      <c r="K70" s="75">
        <v>86</v>
      </c>
      <c r="L70" s="76">
        <v>0</v>
      </c>
      <c r="M70" s="76">
        <v>7.2850000000000001</v>
      </c>
      <c r="N70" s="79">
        <v>0.186</v>
      </c>
      <c r="O70" s="76">
        <v>0.186</v>
      </c>
      <c r="P70" s="76">
        <v>7.2850000000000001</v>
      </c>
      <c r="Q70" s="77">
        <v>0</v>
      </c>
      <c r="R70" s="77">
        <v>2.553191489361702E-2</v>
      </c>
      <c r="S70" s="78">
        <v>2.553191489361702E-2</v>
      </c>
      <c r="T70" s="75">
        <v>86</v>
      </c>
      <c r="U70" s="80">
        <v>0</v>
      </c>
      <c r="V70" s="80">
        <v>6.8734999999999999</v>
      </c>
      <c r="W70" s="80">
        <v>1.5914999999999999</v>
      </c>
      <c r="X70" s="80">
        <v>1.5914999999999999</v>
      </c>
      <c r="Y70" s="80">
        <v>6.8734999999999999</v>
      </c>
      <c r="Z70" s="81">
        <v>0</v>
      </c>
      <c r="AA70" s="81">
        <v>0.2446601078646358</v>
      </c>
      <c r="AB70" s="82">
        <v>0.2446601078646358</v>
      </c>
    </row>
    <row r="71" spans="2:28">
      <c r="B71" s="83">
        <v>87</v>
      </c>
      <c r="C71" s="84"/>
      <c r="D71" s="84">
        <v>6.069</v>
      </c>
      <c r="E71" s="84">
        <v>2.8730000000000002</v>
      </c>
      <c r="F71" s="84">
        <v>2.8730000000000002</v>
      </c>
      <c r="G71" s="84">
        <v>6.069</v>
      </c>
      <c r="H71" s="85">
        <v>0</v>
      </c>
      <c r="I71" s="85">
        <v>0.47338935574229696</v>
      </c>
      <c r="J71" s="87">
        <v>0.47338935574229696</v>
      </c>
      <c r="K71" s="83">
        <v>87</v>
      </c>
      <c r="L71" s="84">
        <v>0</v>
      </c>
      <c r="M71" s="84">
        <v>6.8259999999999996</v>
      </c>
      <c r="N71" s="86">
        <v>0.16200000000000001</v>
      </c>
      <c r="O71" s="84">
        <v>0.16200000000000001</v>
      </c>
      <c r="P71" s="84">
        <v>6.8259999999999996</v>
      </c>
      <c r="Q71" s="85">
        <v>0</v>
      </c>
      <c r="R71" s="85">
        <v>2.3732786404922358E-2</v>
      </c>
      <c r="S71" s="87">
        <v>2.3732786404922358E-2</v>
      </c>
      <c r="T71" s="83">
        <v>87</v>
      </c>
      <c r="U71" s="88">
        <v>0</v>
      </c>
      <c r="V71" s="88">
        <v>6.4474999999999998</v>
      </c>
      <c r="W71" s="88">
        <v>1.5175000000000001</v>
      </c>
      <c r="X71" s="88">
        <v>1.5175000000000001</v>
      </c>
      <c r="Y71" s="88">
        <v>6.4474999999999998</v>
      </c>
      <c r="Z71" s="29">
        <v>0</v>
      </c>
      <c r="AA71" s="29">
        <v>0.24856107107360967</v>
      </c>
      <c r="AB71" s="89">
        <v>0.24856107107360967</v>
      </c>
    </row>
    <row r="72" spans="2:28">
      <c r="B72" s="75">
        <v>88</v>
      </c>
      <c r="C72" s="76"/>
      <c r="D72" s="76">
        <v>5.7119999999999997</v>
      </c>
      <c r="E72" s="76">
        <v>2.7149999999999999</v>
      </c>
      <c r="F72" s="76">
        <v>2.7149999999999999</v>
      </c>
      <c r="G72" s="76">
        <v>5.7119999999999997</v>
      </c>
      <c r="H72" s="77">
        <v>0</v>
      </c>
      <c r="I72" s="77">
        <v>0.47531512605042014</v>
      </c>
      <c r="J72" s="78">
        <v>0.47531512605042014</v>
      </c>
      <c r="K72" s="75">
        <v>88</v>
      </c>
      <c r="L72" s="76">
        <v>0</v>
      </c>
      <c r="M72" s="76">
        <v>6.3979999999999997</v>
      </c>
      <c r="N72" s="79">
        <v>0.14000000000000001</v>
      </c>
      <c r="O72" s="76">
        <v>0.14000000000000001</v>
      </c>
      <c r="P72" s="76">
        <v>6.3979999999999997</v>
      </c>
      <c r="Q72" s="77">
        <v>0</v>
      </c>
      <c r="R72" s="77">
        <v>2.1881838074398252E-2</v>
      </c>
      <c r="S72" s="78">
        <v>2.1881838074398252E-2</v>
      </c>
      <c r="T72" s="75">
        <v>88</v>
      </c>
      <c r="U72" s="80">
        <v>0</v>
      </c>
      <c r="V72" s="80">
        <v>6.0549999999999997</v>
      </c>
      <c r="W72" s="80">
        <v>1.4275</v>
      </c>
      <c r="X72" s="80">
        <v>1.4275</v>
      </c>
      <c r="Y72" s="80">
        <v>6.0549999999999997</v>
      </c>
      <c r="Z72" s="81">
        <v>0</v>
      </c>
      <c r="AA72" s="81">
        <v>0.2485984820624092</v>
      </c>
      <c r="AB72" s="82">
        <v>0.2485984820624092</v>
      </c>
    </row>
    <row r="73" spans="2:28">
      <c r="B73" s="83">
        <v>89</v>
      </c>
      <c r="C73" s="84"/>
      <c r="D73" s="84">
        <v>5.3979999999999997</v>
      </c>
      <c r="E73" s="84">
        <v>2.5489999999999999</v>
      </c>
      <c r="F73" s="84">
        <v>2.5489999999999999</v>
      </c>
      <c r="G73" s="84">
        <v>5.3979999999999997</v>
      </c>
      <c r="H73" s="85">
        <v>0</v>
      </c>
      <c r="I73" s="85">
        <v>0.4722119303445721</v>
      </c>
      <c r="J73" s="87">
        <v>0.4722119303445721</v>
      </c>
      <c r="K73" s="83">
        <v>89</v>
      </c>
      <c r="L73" s="84">
        <v>0</v>
      </c>
      <c r="M73" s="84">
        <v>6.0069999999999997</v>
      </c>
      <c r="N73" s="86">
        <v>0.11700000000000001</v>
      </c>
      <c r="O73" s="84">
        <v>0.11700000000000001</v>
      </c>
      <c r="P73" s="84">
        <v>6.0069999999999997</v>
      </c>
      <c r="Q73" s="85">
        <v>0</v>
      </c>
      <c r="R73" s="85">
        <v>1.9477276510737475E-2</v>
      </c>
      <c r="S73" s="87">
        <v>1.9477276510737475E-2</v>
      </c>
      <c r="T73" s="83">
        <v>89</v>
      </c>
      <c r="U73" s="88">
        <v>0</v>
      </c>
      <c r="V73" s="88">
        <v>5.7024999999999997</v>
      </c>
      <c r="W73" s="88">
        <v>1.333</v>
      </c>
      <c r="X73" s="88">
        <v>1.333</v>
      </c>
      <c r="Y73" s="88">
        <v>5.7024999999999997</v>
      </c>
      <c r="Z73" s="29">
        <v>0</v>
      </c>
      <c r="AA73" s="29">
        <v>0.2458446034276548</v>
      </c>
      <c r="AB73" s="89">
        <v>0.2458446034276548</v>
      </c>
    </row>
    <row r="74" spans="2:28">
      <c r="B74" s="75">
        <v>90</v>
      </c>
      <c r="C74" s="76"/>
      <c r="D74" s="76">
        <v>5.1150000000000002</v>
      </c>
      <c r="E74" s="76">
        <v>2.387</v>
      </c>
      <c r="F74" s="76">
        <v>2.387</v>
      </c>
      <c r="G74" s="76">
        <v>5.1150000000000002</v>
      </c>
      <c r="H74" s="77">
        <v>0</v>
      </c>
      <c r="I74" s="77">
        <v>0.46666666666666667</v>
      </c>
      <c r="J74" s="78">
        <v>0.46666666666666667</v>
      </c>
      <c r="K74" s="75">
        <v>90</v>
      </c>
      <c r="L74" s="76">
        <v>0</v>
      </c>
      <c r="M74" s="76">
        <v>5.6550000000000002</v>
      </c>
      <c r="N74" s="79">
        <v>9.7000000000000003E-2</v>
      </c>
      <c r="O74" s="76">
        <v>9.7000000000000003E-2</v>
      </c>
      <c r="P74" s="76">
        <v>5.6550000000000002</v>
      </c>
      <c r="Q74" s="77">
        <v>0</v>
      </c>
      <c r="R74" s="77">
        <v>1.7152961980548186E-2</v>
      </c>
      <c r="S74" s="78">
        <v>1.7152961980548186E-2</v>
      </c>
      <c r="T74" s="75">
        <v>90</v>
      </c>
      <c r="U74" s="80">
        <v>0</v>
      </c>
      <c r="V74" s="80">
        <v>5.3849999999999998</v>
      </c>
      <c r="W74" s="80">
        <v>1.242</v>
      </c>
      <c r="X74" s="80">
        <v>1.242</v>
      </c>
      <c r="Y74" s="80">
        <v>5.3849999999999998</v>
      </c>
      <c r="Z74" s="81">
        <v>0</v>
      </c>
      <c r="AA74" s="81">
        <v>0.24190981432360742</v>
      </c>
      <c r="AB74" s="82">
        <v>0.24190981432360742</v>
      </c>
    </row>
    <row r="75" spans="2:28">
      <c r="B75" s="83">
        <v>91</v>
      </c>
      <c r="C75" s="84"/>
      <c r="D75" s="84">
        <v>4.8499999999999996</v>
      </c>
      <c r="E75" s="84">
        <v>2.2040000000000002</v>
      </c>
      <c r="F75" s="84">
        <v>2.2040000000000002</v>
      </c>
      <c r="G75" s="84">
        <v>4.8499999999999996</v>
      </c>
      <c r="H75" s="85">
        <v>0</v>
      </c>
      <c r="I75" s="85">
        <v>0.45443298969072171</v>
      </c>
      <c r="J75" s="87">
        <v>0.45443298969072171</v>
      </c>
      <c r="K75" s="83">
        <v>91</v>
      </c>
      <c r="L75" s="84">
        <v>0</v>
      </c>
      <c r="M75" s="84">
        <v>5.3319999999999999</v>
      </c>
      <c r="N75" s="86">
        <v>0.08</v>
      </c>
      <c r="O75" s="84">
        <v>0.08</v>
      </c>
      <c r="P75" s="84">
        <v>5.3319999999999999</v>
      </c>
      <c r="Q75" s="85">
        <v>0</v>
      </c>
      <c r="R75" s="85">
        <v>1.5003750937734435E-2</v>
      </c>
      <c r="S75" s="87">
        <v>1.5003750937734435E-2</v>
      </c>
      <c r="T75" s="83">
        <v>91</v>
      </c>
      <c r="U75" s="88">
        <v>0</v>
      </c>
      <c r="V75" s="88">
        <v>5.0909999999999993</v>
      </c>
      <c r="W75" s="88">
        <v>1.1420000000000001</v>
      </c>
      <c r="X75" s="88">
        <v>1.1420000000000001</v>
      </c>
      <c r="Y75" s="88">
        <v>5.0909999999999993</v>
      </c>
      <c r="Z75" s="29">
        <v>0</v>
      </c>
      <c r="AA75" s="29">
        <v>0.23471837031422807</v>
      </c>
      <c r="AB75" s="89">
        <v>0.23471837031422807</v>
      </c>
    </row>
    <row r="76" spans="2:28">
      <c r="B76" s="75">
        <v>92</v>
      </c>
      <c r="C76" s="76"/>
      <c r="D76" s="76">
        <v>4.6040000000000001</v>
      </c>
      <c r="E76" s="76">
        <v>2.0350000000000001</v>
      </c>
      <c r="F76" s="76">
        <v>2.0350000000000001</v>
      </c>
      <c r="G76" s="76">
        <v>4.6040000000000001</v>
      </c>
      <c r="H76" s="77">
        <v>0</v>
      </c>
      <c r="I76" s="77">
        <v>0.44200695047784538</v>
      </c>
      <c r="J76" s="78">
        <v>0.44200695047784538</v>
      </c>
      <c r="K76" s="75">
        <v>92</v>
      </c>
      <c r="L76" s="76">
        <v>0</v>
      </c>
      <c r="M76" s="76">
        <v>5.0289999999999999</v>
      </c>
      <c r="N76" s="79">
        <v>6.5000000000000002E-2</v>
      </c>
      <c r="O76" s="76">
        <v>6.5000000000000002E-2</v>
      </c>
      <c r="P76" s="76">
        <v>5.0289999999999999</v>
      </c>
      <c r="Q76" s="77">
        <v>0</v>
      </c>
      <c r="R76" s="77">
        <v>1.2925034798170611E-2</v>
      </c>
      <c r="S76" s="78">
        <v>1.2925034798170611E-2</v>
      </c>
      <c r="T76" s="75">
        <v>92</v>
      </c>
      <c r="U76" s="80">
        <v>0</v>
      </c>
      <c r="V76" s="80">
        <v>4.8164999999999996</v>
      </c>
      <c r="W76" s="80">
        <v>1.05</v>
      </c>
      <c r="X76" s="80">
        <v>1.05</v>
      </c>
      <c r="Y76" s="80">
        <v>4.8164999999999996</v>
      </c>
      <c r="Z76" s="81">
        <v>0</v>
      </c>
      <c r="AA76" s="81">
        <v>0.22746599263800799</v>
      </c>
      <c r="AB76" s="82">
        <v>0.22746599263800799</v>
      </c>
    </row>
    <row r="77" spans="2:28">
      <c r="B77" s="83">
        <v>93</v>
      </c>
      <c r="C77" s="84"/>
      <c r="D77" s="84">
        <v>4.3760000000000003</v>
      </c>
      <c r="E77" s="84">
        <v>1.85</v>
      </c>
      <c r="F77" s="84">
        <v>1.85</v>
      </c>
      <c r="G77" s="84">
        <v>4.3760000000000003</v>
      </c>
      <c r="H77" s="85">
        <v>0</v>
      </c>
      <c r="I77" s="85">
        <v>0.42276051188299818</v>
      </c>
      <c r="J77" s="87">
        <v>0.42276051188299818</v>
      </c>
      <c r="K77" s="83">
        <v>93</v>
      </c>
      <c r="L77" s="84">
        <v>0</v>
      </c>
      <c r="M77" s="84">
        <v>4.7469999999999999</v>
      </c>
      <c r="N77" s="86">
        <v>5.2999999999999999E-2</v>
      </c>
      <c r="O77" s="84">
        <v>5.2999999999999999E-2</v>
      </c>
      <c r="P77" s="84">
        <v>4.7469999999999999</v>
      </c>
      <c r="Q77" s="85">
        <v>0</v>
      </c>
      <c r="R77" s="85">
        <v>1.1164946281862228E-2</v>
      </c>
      <c r="S77" s="87">
        <v>1.1164946281862228E-2</v>
      </c>
      <c r="T77" s="83">
        <v>93</v>
      </c>
      <c r="U77" s="88">
        <v>0</v>
      </c>
      <c r="V77" s="88">
        <v>4.5615000000000006</v>
      </c>
      <c r="W77" s="88">
        <v>0.95150000000000001</v>
      </c>
      <c r="X77" s="88">
        <v>0.95150000000000001</v>
      </c>
      <c r="Y77" s="88">
        <v>4.5615000000000006</v>
      </c>
      <c r="Z77" s="29">
        <v>0</v>
      </c>
      <c r="AA77" s="29">
        <v>0.21696272908243019</v>
      </c>
      <c r="AB77" s="89">
        <v>0.21696272908243019</v>
      </c>
    </row>
    <row r="78" spans="2:28">
      <c r="B78" s="75">
        <v>94</v>
      </c>
      <c r="C78" s="76"/>
      <c r="D78" s="76">
        <v>4.1660000000000004</v>
      </c>
      <c r="E78" s="76">
        <v>1.6830000000000001</v>
      </c>
      <c r="F78" s="76">
        <v>1.6830000000000001</v>
      </c>
      <c r="G78" s="76">
        <v>4.1660000000000004</v>
      </c>
      <c r="H78" s="77">
        <v>0</v>
      </c>
      <c r="I78" s="77">
        <v>0.4039846375420067</v>
      </c>
      <c r="J78" s="78">
        <v>0.4039846375420067</v>
      </c>
      <c r="K78" s="75">
        <v>94</v>
      </c>
      <c r="L78" s="76">
        <v>0</v>
      </c>
      <c r="M78" s="76">
        <v>4.4850000000000003</v>
      </c>
      <c r="N78" s="79">
        <v>4.2000000000000003E-2</v>
      </c>
      <c r="O78" s="76">
        <v>4.2000000000000003E-2</v>
      </c>
      <c r="P78" s="76">
        <v>4.4850000000000003</v>
      </c>
      <c r="Q78" s="77">
        <v>0</v>
      </c>
      <c r="R78" s="77">
        <v>9.3645484949832769E-3</v>
      </c>
      <c r="S78" s="78">
        <v>9.3645484949832769E-3</v>
      </c>
      <c r="T78" s="75">
        <v>94</v>
      </c>
      <c r="U78" s="80">
        <v>0</v>
      </c>
      <c r="V78" s="80">
        <v>4.3254999999999999</v>
      </c>
      <c r="W78" s="80">
        <v>0.86250000000000004</v>
      </c>
      <c r="X78" s="80">
        <v>0.86250000000000004</v>
      </c>
      <c r="Y78" s="80">
        <v>4.3254999999999999</v>
      </c>
      <c r="Z78" s="81">
        <v>0</v>
      </c>
      <c r="AA78" s="81">
        <v>0.206674593018495</v>
      </c>
      <c r="AB78" s="82">
        <v>0.206674593018495</v>
      </c>
    </row>
    <row r="79" spans="2:28">
      <c r="B79" s="83">
        <v>95</v>
      </c>
      <c r="C79" s="84"/>
      <c r="D79" s="84">
        <v>3.9740000000000002</v>
      </c>
      <c r="E79" s="84">
        <v>1.5349999999999999</v>
      </c>
      <c r="F79" s="84">
        <v>1.5349999999999999</v>
      </c>
      <c r="G79" s="84">
        <v>3.9740000000000002</v>
      </c>
      <c r="H79" s="85">
        <v>0</v>
      </c>
      <c r="I79" s="85">
        <v>0.38626069451434319</v>
      </c>
      <c r="J79" s="87">
        <v>0.38626069451434319</v>
      </c>
      <c r="K79" s="83">
        <v>95</v>
      </c>
      <c r="L79" s="84">
        <v>0</v>
      </c>
      <c r="M79" s="84">
        <v>4.2450000000000001</v>
      </c>
      <c r="N79" s="86">
        <v>3.4000000000000002E-2</v>
      </c>
      <c r="O79" s="84">
        <v>3.4000000000000002E-2</v>
      </c>
      <c r="P79" s="84">
        <v>4.2450000000000001</v>
      </c>
      <c r="Q79" s="85">
        <v>0</v>
      </c>
      <c r="R79" s="85">
        <v>8.0094228504122497E-3</v>
      </c>
      <c r="S79" s="87">
        <v>8.0094228504122497E-3</v>
      </c>
      <c r="T79" s="83">
        <v>95</v>
      </c>
      <c r="U79" s="88">
        <v>0</v>
      </c>
      <c r="V79" s="88">
        <v>4.1095000000000006</v>
      </c>
      <c r="W79" s="88">
        <v>0.78449999999999998</v>
      </c>
      <c r="X79" s="88">
        <v>0.78449999999999998</v>
      </c>
      <c r="Y79" s="88">
        <v>4.1095000000000006</v>
      </c>
      <c r="Z79" s="29">
        <v>0</v>
      </c>
      <c r="AA79" s="29">
        <v>0.19713505868237771</v>
      </c>
      <c r="AB79" s="89">
        <v>0.19713505868237771</v>
      </c>
    </row>
    <row r="80" spans="2:28">
      <c r="B80" s="75">
        <v>96</v>
      </c>
      <c r="C80" s="76"/>
      <c r="D80" s="76">
        <v>3.798</v>
      </c>
      <c r="E80" s="76">
        <v>1.371</v>
      </c>
      <c r="F80" s="76">
        <v>1.371</v>
      </c>
      <c r="G80" s="76">
        <v>3.798</v>
      </c>
      <c r="H80" s="77">
        <v>0</v>
      </c>
      <c r="I80" s="77">
        <v>0.36097946287519744</v>
      </c>
      <c r="J80" s="78">
        <v>0.36097946287519744</v>
      </c>
      <c r="K80" s="75">
        <v>96</v>
      </c>
      <c r="L80" s="76">
        <v>0</v>
      </c>
      <c r="M80" s="76">
        <v>4.024</v>
      </c>
      <c r="N80" s="79">
        <v>2.7E-2</v>
      </c>
      <c r="O80" s="76">
        <v>2.7E-2</v>
      </c>
      <c r="P80" s="76">
        <v>4.024</v>
      </c>
      <c r="Q80" s="77">
        <v>0</v>
      </c>
      <c r="R80" s="77">
        <v>6.7097415506958248E-3</v>
      </c>
      <c r="S80" s="78">
        <v>6.7097415506958248E-3</v>
      </c>
      <c r="T80" s="75">
        <v>96</v>
      </c>
      <c r="U80" s="80">
        <v>0</v>
      </c>
      <c r="V80" s="80">
        <v>3.911</v>
      </c>
      <c r="W80" s="80">
        <v>0.69899999999999995</v>
      </c>
      <c r="X80" s="80">
        <v>0.69899999999999995</v>
      </c>
      <c r="Y80" s="80">
        <v>3.911</v>
      </c>
      <c r="Z80" s="81">
        <v>0</v>
      </c>
      <c r="AA80" s="81">
        <v>0.18384460221294663</v>
      </c>
      <c r="AB80" s="82">
        <v>0.18384460221294663</v>
      </c>
    </row>
    <row r="81" spans="2:28">
      <c r="B81" s="83">
        <v>97</v>
      </c>
      <c r="C81" s="84"/>
      <c r="D81" s="84">
        <v>3.6389999999999998</v>
      </c>
      <c r="E81" s="84">
        <v>1.216</v>
      </c>
      <c r="F81" s="84">
        <v>1.216</v>
      </c>
      <c r="G81" s="84">
        <v>3.6389999999999998</v>
      </c>
      <c r="H81" s="85">
        <v>0</v>
      </c>
      <c r="I81" s="85">
        <v>0.33415773564165979</v>
      </c>
      <c r="J81" s="87">
        <v>0.33415773564165979</v>
      </c>
      <c r="K81" s="83">
        <v>97</v>
      </c>
      <c r="L81" s="84">
        <v>0</v>
      </c>
      <c r="M81" s="84">
        <v>3.8239999999999998</v>
      </c>
      <c r="N81" s="86">
        <v>2.1000000000000001E-2</v>
      </c>
      <c r="O81" s="84">
        <v>2.1000000000000001E-2</v>
      </c>
      <c r="P81" s="84">
        <v>3.8239999999999998</v>
      </c>
      <c r="Q81" s="85">
        <v>0</v>
      </c>
      <c r="R81" s="85">
        <v>5.4916317991631804E-3</v>
      </c>
      <c r="S81" s="87">
        <v>5.4916317991631804E-3</v>
      </c>
      <c r="T81" s="83">
        <v>97</v>
      </c>
      <c r="U81" s="88">
        <v>0</v>
      </c>
      <c r="V81" s="88">
        <v>3.7314999999999996</v>
      </c>
      <c r="W81" s="88">
        <v>0.61849999999999994</v>
      </c>
      <c r="X81" s="88">
        <v>0.61849999999999994</v>
      </c>
      <c r="Y81" s="88">
        <v>3.7314999999999996</v>
      </c>
      <c r="Z81" s="29">
        <v>0</v>
      </c>
      <c r="AA81" s="29">
        <v>0.16982468372041148</v>
      </c>
      <c r="AB81" s="89">
        <v>0.16982468372041148</v>
      </c>
    </row>
    <row r="82" spans="2:28">
      <c r="B82" s="75">
        <v>98</v>
      </c>
      <c r="C82" s="76"/>
      <c r="D82" s="76">
        <v>3.4950000000000001</v>
      </c>
      <c r="E82" s="76">
        <v>1.0409999999999999</v>
      </c>
      <c r="F82" s="76">
        <v>1.0409999999999999</v>
      </c>
      <c r="G82" s="76">
        <v>3.4950000000000001</v>
      </c>
      <c r="H82" s="77">
        <v>0</v>
      </c>
      <c r="I82" s="77">
        <v>0.29785407725321883</v>
      </c>
      <c r="J82" s="78">
        <v>0.29785407725321883</v>
      </c>
      <c r="K82" s="75">
        <v>98</v>
      </c>
      <c r="L82" s="76">
        <v>0</v>
      </c>
      <c r="M82" s="76">
        <v>3.6429999999999998</v>
      </c>
      <c r="N82" s="79">
        <v>1.7000000000000001E-2</v>
      </c>
      <c r="O82" s="76">
        <v>1.7000000000000001E-2</v>
      </c>
      <c r="P82" s="76">
        <v>3.6429999999999998</v>
      </c>
      <c r="Q82" s="77">
        <v>0</v>
      </c>
      <c r="R82" s="77">
        <v>4.6664836673071652E-3</v>
      </c>
      <c r="S82" s="78">
        <v>4.6664836673071652E-3</v>
      </c>
      <c r="T82" s="75">
        <v>98</v>
      </c>
      <c r="U82" s="80">
        <v>0</v>
      </c>
      <c r="V82" s="80">
        <v>3.569</v>
      </c>
      <c r="W82" s="80">
        <v>0.52899999999999991</v>
      </c>
      <c r="X82" s="80">
        <v>0.52899999999999991</v>
      </c>
      <c r="Y82" s="80">
        <v>3.569</v>
      </c>
      <c r="Z82" s="81">
        <v>0</v>
      </c>
      <c r="AA82" s="81">
        <v>0.15126028046026299</v>
      </c>
      <c r="AB82" s="82">
        <v>0.15126028046026299</v>
      </c>
    </row>
    <row r="83" spans="2:28">
      <c r="B83" s="83">
        <v>99</v>
      </c>
      <c r="C83" s="84"/>
      <c r="D83" s="84">
        <v>3.3639999999999999</v>
      </c>
      <c r="E83" s="84">
        <v>0.84799999999999998</v>
      </c>
      <c r="F83" s="84">
        <v>0.84799999999999998</v>
      </c>
      <c r="G83" s="84">
        <v>3.3639999999999999</v>
      </c>
      <c r="H83" s="85">
        <v>0</v>
      </c>
      <c r="I83" s="85">
        <v>0.25208085612366232</v>
      </c>
      <c r="J83" s="87">
        <v>0.25208085612366232</v>
      </c>
      <c r="K83" s="83">
        <v>99</v>
      </c>
      <c r="L83" s="84">
        <v>0</v>
      </c>
      <c r="M83" s="84">
        <v>3.48</v>
      </c>
      <c r="N83" s="86">
        <v>1.2999999999999999E-2</v>
      </c>
      <c r="O83" s="84">
        <v>1.2999999999999999E-2</v>
      </c>
      <c r="P83" s="84">
        <v>3.48</v>
      </c>
      <c r="Q83" s="85">
        <v>0</v>
      </c>
      <c r="R83" s="85">
        <v>3.7356321839080459E-3</v>
      </c>
      <c r="S83" s="87">
        <v>3.7356321839080459E-3</v>
      </c>
      <c r="T83" s="83">
        <v>99</v>
      </c>
      <c r="U83" s="88">
        <v>0</v>
      </c>
      <c r="V83" s="88">
        <v>3.4219999999999997</v>
      </c>
      <c r="W83" s="88">
        <v>0.43049999999999999</v>
      </c>
      <c r="X83" s="88">
        <v>0.43049999999999999</v>
      </c>
      <c r="Y83" s="88">
        <v>3.4219999999999997</v>
      </c>
      <c r="Z83" s="29">
        <v>0</v>
      </c>
      <c r="AA83" s="29">
        <v>0.12790824415378518</v>
      </c>
      <c r="AB83" s="89">
        <v>0.12790824415378518</v>
      </c>
    </row>
    <row r="84" spans="2:28" ht="15.75" thickBot="1">
      <c r="B84" s="100">
        <v>100</v>
      </c>
      <c r="C84" s="101"/>
      <c r="D84" s="101">
        <v>3.2450000000000001</v>
      </c>
      <c r="E84" s="101">
        <v>0.67200000000000004</v>
      </c>
      <c r="F84" s="101">
        <v>0.67200000000000004</v>
      </c>
      <c r="G84" s="101">
        <v>3.2450000000000001</v>
      </c>
      <c r="H84" s="102">
        <v>0</v>
      </c>
      <c r="I84" s="102">
        <v>0.20708782742681048</v>
      </c>
      <c r="J84" s="104">
        <v>0.20708782742681048</v>
      </c>
      <c r="K84" s="100">
        <v>100</v>
      </c>
      <c r="L84" s="101">
        <v>0</v>
      </c>
      <c r="M84" s="101">
        <v>3.335</v>
      </c>
      <c r="N84" s="103">
        <v>0.01</v>
      </c>
      <c r="O84" s="101">
        <v>0.01</v>
      </c>
      <c r="P84" s="101">
        <v>3.335</v>
      </c>
      <c r="Q84" s="102">
        <v>0</v>
      </c>
      <c r="R84" s="102">
        <v>2.9985007496251873E-3</v>
      </c>
      <c r="S84" s="104">
        <v>2.9985007496251873E-3</v>
      </c>
      <c r="T84" s="100">
        <v>100</v>
      </c>
      <c r="U84" s="105">
        <v>0</v>
      </c>
      <c r="V84" s="105">
        <v>3.29</v>
      </c>
      <c r="W84" s="105">
        <v>0.34100000000000003</v>
      </c>
      <c r="X84" s="105">
        <v>0.34100000000000003</v>
      </c>
      <c r="Y84" s="105">
        <v>3.29</v>
      </c>
      <c r="Z84" s="106">
        <v>0</v>
      </c>
      <c r="AA84" s="106">
        <v>0.10504316408821783</v>
      </c>
      <c r="AB84" s="107">
        <v>0.10504316408821783</v>
      </c>
    </row>
  </sheetData>
  <mergeCells count="4">
    <mergeCell ref="B2:B3"/>
    <mergeCell ref="H2:J2"/>
    <mergeCell ref="Q2:S2"/>
    <mergeCell ref="Z2:AB2"/>
  </mergeCells>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DB370-A211-4669-832E-D34BF250C35D}">
  <sheetPr codeName="Tabelle46"/>
  <dimension ref="A1:AB84"/>
  <sheetViews>
    <sheetView topLeftCell="B1" workbookViewId="0">
      <selection activeCell="B4" sqref="B4:AB84"/>
    </sheetView>
  </sheetViews>
  <sheetFormatPr baseColWidth="10" defaultColWidth="12.7109375" defaultRowHeight="15"/>
  <cols>
    <col min="1" max="1" width="21.7109375" hidden="1" customWidth="1"/>
    <col min="2" max="2" width="7" customWidth="1"/>
    <col min="3" max="10" width="12.5703125" customWidth="1"/>
    <col min="11" max="11" width="7" customWidth="1"/>
    <col min="12" max="21" width="12.5703125" customWidth="1"/>
    <col min="24" max="24" width="13.28515625" bestFit="1" customWidth="1"/>
    <col min="27" max="28" width="12.5703125" customWidth="1"/>
  </cols>
  <sheetData>
    <row r="1" spans="1:28">
      <c r="B1" s="827" t="s">
        <v>3429</v>
      </c>
      <c r="C1" s="827"/>
      <c r="D1" s="827"/>
      <c r="E1" s="827"/>
      <c r="F1" s="827"/>
      <c r="G1" s="827"/>
      <c r="H1" s="827"/>
      <c r="I1" s="827"/>
      <c r="J1" s="827"/>
      <c r="K1" s="828" t="s">
        <v>3430</v>
      </c>
      <c r="L1" s="828"/>
      <c r="M1" s="828"/>
      <c r="N1" s="828"/>
      <c r="O1" s="828"/>
      <c r="P1" s="828"/>
      <c r="Q1" s="828"/>
      <c r="R1" s="828"/>
      <c r="S1" s="828"/>
      <c r="T1" s="829" t="s">
        <v>3431</v>
      </c>
      <c r="U1" s="829"/>
      <c r="V1" s="829"/>
      <c r="W1" s="829"/>
      <c r="X1" s="829"/>
      <c r="Y1" s="829"/>
      <c r="Z1" s="829"/>
      <c r="AA1" s="829"/>
      <c r="AB1" s="829"/>
    </row>
    <row r="2" spans="1:28" ht="65.25" customHeight="1">
      <c r="A2" t="s">
        <v>3432</v>
      </c>
      <c r="B2" s="830" t="s">
        <v>3433</v>
      </c>
      <c r="C2" s="111" t="s">
        <v>3390</v>
      </c>
      <c r="D2" s="111" t="s">
        <v>3391</v>
      </c>
      <c r="E2" s="111" t="s">
        <v>3392</v>
      </c>
      <c r="F2" s="111" t="s">
        <v>3434</v>
      </c>
      <c r="G2" s="111" t="s">
        <v>3394</v>
      </c>
      <c r="H2" s="831" t="s">
        <v>3395</v>
      </c>
      <c r="I2" s="831"/>
      <c r="J2" s="831"/>
      <c r="K2" s="112"/>
      <c r="L2" s="113" t="s">
        <v>3390</v>
      </c>
      <c r="M2" s="113" t="s">
        <v>3391</v>
      </c>
      <c r="N2" s="113" t="s">
        <v>3392</v>
      </c>
      <c r="O2" s="113" t="s">
        <v>3434</v>
      </c>
      <c r="P2" s="113" t="str">
        <f>+G2</f>
        <v>Anwartschafts-barwert
Altersrente</v>
      </c>
      <c r="Q2" s="832" t="s">
        <v>3435</v>
      </c>
      <c r="R2" s="832"/>
      <c r="S2" s="832"/>
      <c r="T2" s="114"/>
      <c r="U2" s="115" t="s">
        <v>3390</v>
      </c>
      <c r="V2" s="115" t="s">
        <v>3391</v>
      </c>
      <c r="W2" s="115" t="s">
        <v>3392</v>
      </c>
      <c r="X2" s="115" t="s">
        <v>3434</v>
      </c>
      <c r="Y2" s="115" t="s">
        <v>3436</v>
      </c>
      <c r="Z2" s="833" t="s">
        <v>3396</v>
      </c>
      <c r="AA2" s="833"/>
      <c r="AB2" s="833"/>
    </row>
    <row r="3" spans="1:28" s="74" customFormat="1" ht="13.5">
      <c r="A3" s="63">
        <v>43111</v>
      </c>
      <c r="B3" s="830" t="s">
        <v>3437</v>
      </c>
      <c r="C3" s="116" t="s">
        <v>3438</v>
      </c>
      <c r="D3" s="116" t="s">
        <v>3439</v>
      </c>
      <c r="E3" s="116" t="s">
        <v>3440</v>
      </c>
      <c r="F3" s="116" t="s">
        <v>3441</v>
      </c>
      <c r="G3" s="116"/>
      <c r="H3" s="116" t="s">
        <v>3400</v>
      </c>
      <c r="I3" s="116" t="s">
        <v>3401</v>
      </c>
      <c r="J3" s="116" t="s">
        <v>3402</v>
      </c>
      <c r="K3" s="117" t="s">
        <v>3437</v>
      </c>
      <c r="L3" s="117" t="s">
        <v>3438</v>
      </c>
      <c r="M3" s="117" t="s">
        <v>3439</v>
      </c>
      <c r="N3" s="117" t="s">
        <v>3442</v>
      </c>
      <c r="O3" s="117" t="s">
        <v>3441</v>
      </c>
      <c r="P3" s="117"/>
      <c r="Q3" s="117" t="s">
        <v>3400</v>
      </c>
      <c r="R3" s="117" t="s">
        <v>3401</v>
      </c>
      <c r="S3" s="117" t="s">
        <v>3402</v>
      </c>
      <c r="T3" s="118" t="s">
        <v>3443</v>
      </c>
      <c r="U3" s="118" t="s">
        <v>3444</v>
      </c>
      <c r="V3" s="118" t="s">
        <v>3445</v>
      </c>
      <c r="W3" s="118" t="s">
        <v>3446</v>
      </c>
      <c r="X3" s="118"/>
      <c r="Y3" s="118"/>
      <c r="Z3" s="118" t="s">
        <v>3400</v>
      </c>
      <c r="AA3" s="118" t="s">
        <v>3401</v>
      </c>
      <c r="AB3" s="118" t="s">
        <v>3402</v>
      </c>
    </row>
    <row r="4" spans="1:28">
      <c r="B4" s="15">
        <v>20</v>
      </c>
      <c r="C4" s="119">
        <v>0.309</v>
      </c>
      <c r="D4" s="119">
        <v>4.2779999999999996</v>
      </c>
      <c r="E4" s="119">
        <v>0.55800000000000005</v>
      </c>
      <c r="F4" s="119">
        <v>0.55800000000000005</v>
      </c>
      <c r="G4" s="119">
        <v>3.9689999999999994</v>
      </c>
      <c r="H4" s="120">
        <v>7.7853363567649297E-2</v>
      </c>
      <c r="I4" s="120">
        <v>0.14058956916099777</v>
      </c>
      <c r="J4" s="120">
        <v>0.21844293272864707</v>
      </c>
      <c r="K4" s="15">
        <v>20</v>
      </c>
      <c r="L4" s="121">
        <v>0.32100000000000001</v>
      </c>
      <c r="M4" s="119">
        <v>5.032</v>
      </c>
      <c r="N4" s="119">
        <v>0.13300000000000001</v>
      </c>
      <c r="O4" s="119">
        <v>0.13300000000000001</v>
      </c>
      <c r="P4" s="119">
        <v>5.0859999999999994</v>
      </c>
      <c r="Q4" s="120">
        <v>6.3114431773495877E-2</v>
      </c>
      <c r="R4" s="120">
        <v>2.6150216279984276E-2</v>
      </c>
      <c r="S4" s="120">
        <v>8.9264648053480153E-2</v>
      </c>
      <c r="T4" s="15">
        <v>20</v>
      </c>
      <c r="U4" s="122">
        <v>0.315</v>
      </c>
      <c r="V4" s="122">
        <v>4.6549999999999994</v>
      </c>
      <c r="W4" s="122">
        <v>0.34550000000000003</v>
      </c>
      <c r="X4" s="122">
        <v>0.34550000000000003</v>
      </c>
      <c r="Y4" s="122">
        <v>4.5274999999999999</v>
      </c>
      <c r="Z4" s="123">
        <v>7.0483897670572587E-2</v>
      </c>
      <c r="AA4" s="123">
        <v>8.3369892720491029E-2</v>
      </c>
      <c r="AB4" s="123">
        <v>0.15385379039106362</v>
      </c>
    </row>
    <row r="5" spans="1:28">
      <c r="B5" s="15">
        <v>21</v>
      </c>
      <c r="C5" s="119">
        <v>0.35699999999999998</v>
      </c>
      <c r="D5" s="119">
        <v>4.407</v>
      </c>
      <c r="E5" s="119">
        <v>0.64800000000000002</v>
      </c>
      <c r="F5" s="119">
        <v>0.64800000000000002</v>
      </c>
      <c r="G5" s="119">
        <v>4.05</v>
      </c>
      <c r="H5" s="120">
        <v>8.8148148148148142E-2</v>
      </c>
      <c r="I5" s="120">
        <v>0.16</v>
      </c>
      <c r="J5" s="120">
        <v>0.24814814814814815</v>
      </c>
      <c r="K5" s="15">
        <v>21</v>
      </c>
      <c r="L5" s="121">
        <v>0.38600000000000001</v>
      </c>
      <c r="M5" s="119">
        <v>5.1820000000000004</v>
      </c>
      <c r="N5" s="119">
        <v>0.161</v>
      </c>
      <c r="O5" s="119">
        <v>0.161</v>
      </c>
      <c r="P5" s="119">
        <v>5.2629999999999999</v>
      </c>
      <c r="Q5" s="120">
        <v>7.334220026600799E-2</v>
      </c>
      <c r="R5" s="120">
        <v>3.0590917727531829E-2</v>
      </c>
      <c r="S5" s="120">
        <v>0.10393311799353983</v>
      </c>
      <c r="T5" s="15">
        <v>21</v>
      </c>
      <c r="U5" s="122">
        <v>0.3715</v>
      </c>
      <c r="V5" s="122">
        <v>4.7945000000000002</v>
      </c>
      <c r="W5" s="122">
        <v>0.40450000000000003</v>
      </c>
      <c r="X5" s="122">
        <v>0.40450000000000003</v>
      </c>
      <c r="Y5" s="122">
        <v>4.6564999999999994</v>
      </c>
      <c r="Z5" s="123">
        <v>8.0745174207078066E-2</v>
      </c>
      <c r="AA5" s="123">
        <v>9.5295458863765919E-2</v>
      </c>
      <c r="AB5" s="123">
        <v>0.176040633070844</v>
      </c>
    </row>
    <row r="6" spans="1:28">
      <c r="B6" s="15">
        <v>22</v>
      </c>
      <c r="C6" s="119">
        <v>0.40600000000000003</v>
      </c>
      <c r="D6" s="119">
        <v>4.5389999999999997</v>
      </c>
      <c r="E6" s="119">
        <v>0.745</v>
      </c>
      <c r="F6" s="119">
        <v>0.745</v>
      </c>
      <c r="G6" s="119">
        <v>4.133</v>
      </c>
      <c r="H6" s="120">
        <v>9.8233728526494077E-2</v>
      </c>
      <c r="I6" s="120">
        <v>0.18025647229615291</v>
      </c>
      <c r="J6" s="120">
        <v>0.27849020082264697</v>
      </c>
      <c r="K6" s="15">
        <v>22</v>
      </c>
      <c r="L6" s="121">
        <v>0.44600000000000001</v>
      </c>
      <c r="M6" s="119">
        <v>5.3360000000000003</v>
      </c>
      <c r="N6" s="119">
        <v>0.187</v>
      </c>
      <c r="O6" s="119">
        <v>0.187</v>
      </c>
      <c r="P6" s="119">
        <v>5.4420000000000002</v>
      </c>
      <c r="Q6" s="120">
        <v>8.1955163542815138E-2</v>
      </c>
      <c r="R6" s="120">
        <v>3.4362366776920249E-2</v>
      </c>
      <c r="S6" s="120">
        <v>0.11631753031973538</v>
      </c>
      <c r="T6" s="15">
        <v>22</v>
      </c>
      <c r="U6" s="122">
        <v>0.42600000000000005</v>
      </c>
      <c r="V6" s="122">
        <v>4.9375</v>
      </c>
      <c r="W6" s="122">
        <v>0.46599999999999997</v>
      </c>
      <c r="X6" s="122">
        <v>0.46599999999999997</v>
      </c>
      <c r="Y6" s="122">
        <v>4.7874999999999996</v>
      </c>
      <c r="Z6" s="123">
        <v>9.0094446034654607E-2</v>
      </c>
      <c r="AA6" s="123">
        <v>0.10730941953653658</v>
      </c>
      <c r="AB6" s="123">
        <v>0.19740386557119116</v>
      </c>
    </row>
    <row r="7" spans="1:28">
      <c r="B7" s="15">
        <v>23</v>
      </c>
      <c r="C7" s="119">
        <v>0.45700000000000002</v>
      </c>
      <c r="D7" s="119">
        <v>4.6749999999999998</v>
      </c>
      <c r="E7" s="119">
        <v>0.84599999999999997</v>
      </c>
      <c r="F7" s="119">
        <v>0.84599999999999997</v>
      </c>
      <c r="G7" s="119">
        <v>4.218</v>
      </c>
      <c r="H7" s="120">
        <v>0.10834518729255573</v>
      </c>
      <c r="I7" s="120">
        <v>0.20056899004267426</v>
      </c>
      <c r="J7" s="120">
        <v>0.30891417733522997</v>
      </c>
      <c r="K7" s="15">
        <v>23</v>
      </c>
      <c r="L7" s="121">
        <v>0.496</v>
      </c>
      <c r="M7" s="119">
        <v>5.4930000000000003</v>
      </c>
      <c r="N7" s="119">
        <v>0.20899999999999999</v>
      </c>
      <c r="O7" s="119">
        <v>0.20899999999999999</v>
      </c>
      <c r="P7" s="119">
        <v>5.6209999999999996</v>
      </c>
      <c r="Q7" s="120">
        <v>8.8240526596690988E-2</v>
      </c>
      <c r="R7" s="120">
        <v>3.718199608610568E-2</v>
      </c>
      <c r="S7" s="120">
        <v>0.12542252268279666</v>
      </c>
      <c r="T7" s="15">
        <v>23</v>
      </c>
      <c r="U7" s="122">
        <v>0.47650000000000003</v>
      </c>
      <c r="V7" s="122">
        <v>5.0839999999999996</v>
      </c>
      <c r="W7" s="122">
        <v>0.52749999999999997</v>
      </c>
      <c r="X7" s="122">
        <v>0.52749999999999997</v>
      </c>
      <c r="Y7" s="122">
        <v>4.9194999999999993</v>
      </c>
      <c r="Z7" s="123">
        <v>9.8292856944623364E-2</v>
      </c>
      <c r="AA7" s="123">
        <v>0.11887549306438996</v>
      </c>
      <c r="AB7" s="123">
        <v>0.2171683500090133</v>
      </c>
    </row>
    <row r="8" spans="1:28">
      <c r="B8" s="15">
        <v>24</v>
      </c>
      <c r="C8" s="119">
        <v>0.502</v>
      </c>
      <c r="D8" s="119">
        <v>4.8140000000000001</v>
      </c>
      <c r="E8" s="119">
        <v>0.93899999999999995</v>
      </c>
      <c r="F8" s="119">
        <v>0.93899999999999995</v>
      </c>
      <c r="G8" s="119">
        <v>4.3120000000000003</v>
      </c>
      <c r="H8" s="120">
        <v>0.11641929499072355</v>
      </c>
      <c r="I8" s="120">
        <v>0.21776437847866417</v>
      </c>
      <c r="J8" s="120">
        <v>0.33418367346938771</v>
      </c>
      <c r="K8" s="15">
        <v>24</v>
      </c>
      <c r="L8" s="121">
        <v>0.54200000000000004</v>
      </c>
      <c r="M8" s="119">
        <v>5.6550000000000002</v>
      </c>
      <c r="N8" s="119">
        <v>0.22900000000000001</v>
      </c>
      <c r="O8" s="119">
        <v>0.22900000000000001</v>
      </c>
      <c r="P8" s="119">
        <v>5.8009999999999993</v>
      </c>
      <c r="Q8" s="120">
        <v>9.3432166867781441E-2</v>
      </c>
      <c r="R8" s="120">
        <v>3.9475952421996217E-2</v>
      </c>
      <c r="S8" s="120">
        <v>0.13290811928977767</v>
      </c>
      <c r="T8" s="15">
        <v>24</v>
      </c>
      <c r="U8" s="122">
        <v>0.52200000000000002</v>
      </c>
      <c r="V8" s="122">
        <v>5.2345000000000006</v>
      </c>
      <c r="W8" s="122">
        <v>0.58399999999999996</v>
      </c>
      <c r="X8" s="122">
        <v>0.58399999999999996</v>
      </c>
      <c r="Y8" s="122">
        <v>5.0564999999999998</v>
      </c>
      <c r="Z8" s="123">
        <v>0.1049257309292525</v>
      </c>
      <c r="AA8" s="123">
        <v>0.1286201654503302</v>
      </c>
      <c r="AB8" s="123">
        <v>0.23354589637958267</v>
      </c>
    </row>
    <row r="9" spans="1:28">
      <c r="B9" s="15">
        <v>25</v>
      </c>
      <c r="C9" s="119">
        <v>0.54300000000000004</v>
      </c>
      <c r="D9" s="119">
        <v>4.9550000000000001</v>
      </c>
      <c r="E9" s="119">
        <v>1.0249999999999999</v>
      </c>
      <c r="F9" s="119">
        <v>1.0249999999999999</v>
      </c>
      <c r="G9" s="119">
        <v>4.4119999999999999</v>
      </c>
      <c r="H9" s="120">
        <v>0.1230734360834089</v>
      </c>
      <c r="I9" s="120">
        <v>0.23232094288304622</v>
      </c>
      <c r="J9" s="120">
        <v>0.35539437896645509</v>
      </c>
      <c r="K9" s="15">
        <v>25</v>
      </c>
      <c r="L9" s="121">
        <v>0.58699999999999997</v>
      </c>
      <c r="M9" s="119">
        <v>5.819</v>
      </c>
      <c r="N9" s="119">
        <v>0.249</v>
      </c>
      <c r="O9" s="119">
        <v>0.249</v>
      </c>
      <c r="P9" s="119">
        <v>5.9849999999999994</v>
      </c>
      <c r="Q9" s="120">
        <v>9.8078529657477029E-2</v>
      </c>
      <c r="R9" s="120">
        <v>4.1604010025062657E-2</v>
      </c>
      <c r="S9" s="120">
        <v>0.13968253968253969</v>
      </c>
      <c r="T9" s="15">
        <v>25</v>
      </c>
      <c r="U9" s="122">
        <v>0.56499999999999995</v>
      </c>
      <c r="V9" s="122">
        <v>5.3870000000000005</v>
      </c>
      <c r="W9" s="122">
        <v>0.63700000000000001</v>
      </c>
      <c r="X9" s="122">
        <v>0.63700000000000001</v>
      </c>
      <c r="Y9" s="122">
        <v>5.1984999999999992</v>
      </c>
      <c r="Z9" s="123">
        <v>0.11057598287044296</v>
      </c>
      <c r="AA9" s="123">
        <v>0.13696247645405443</v>
      </c>
      <c r="AB9" s="123">
        <v>0.24753845932449739</v>
      </c>
    </row>
    <row r="10" spans="1:28">
      <c r="B10" s="15">
        <v>26</v>
      </c>
      <c r="C10" s="119">
        <v>0.57999999999999996</v>
      </c>
      <c r="D10" s="119">
        <v>5.0999999999999996</v>
      </c>
      <c r="E10" s="119">
        <v>1.107</v>
      </c>
      <c r="F10" s="119">
        <v>1.107</v>
      </c>
      <c r="G10" s="119">
        <v>4.5199999999999996</v>
      </c>
      <c r="H10" s="120">
        <v>0.12831858407079647</v>
      </c>
      <c r="I10" s="120">
        <v>0.24491150442477877</v>
      </c>
      <c r="J10" s="120">
        <v>0.37323008849557526</v>
      </c>
      <c r="K10" s="15">
        <v>26</v>
      </c>
      <c r="L10" s="121">
        <v>0.63200000000000001</v>
      </c>
      <c r="M10" s="119">
        <v>5.9870000000000001</v>
      </c>
      <c r="N10" s="119">
        <v>0.27</v>
      </c>
      <c r="O10" s="119">
        <v>0.27</v>
      </c>
      <c r="P10" s="119">
        <v>6.173</v>
      </c>
      <c r="Q10" s="120">
        <v>0.10238133808520979</v>
      </c>
      <c r="R10" s="120">
        <v>4.3738862789567477E-2</v>
      </c>
      <c r="S10" s="120">
        <v>0.14612020087477726</v>
      </c>
      <c r="T10" s="15">
        <v>26</v>
      </c>
      <c r="U10" s="122">
        <v>0.60599999999999998</v>
      </c>
      <c r="V10" s="122">
        <v>5.5434999999999999</v>
      </c>
      <c r="W10" s="122">
        <v>0.6885</v>
      </c>
      <c r="X10" s="122">
        <v>0.6885</v>
      </c>
      <c r="Y10" s="122">
        <v>5.3464999999999998</v>
      </c>
      <c r="Z10" s="123">
        <v>0.11534996107800313</v>
      </c>
      <c r="AA10" s="123">
        <v>0.14432518360717311</v>
      </c>
      <c r="AB10" s="123">
        <v>0.25967514468517627</v>
      </c>
    </row>
    <row r="11" spans="1:28">
      <c r="B11" s="15">
        <v>27</v>
      </c>
      <c r="C11" s="119">
        <v>0.61399999999999999</v>
      </c>
      <c r="D11" s="119">
        <v>5.2480000000000002</v>
      </c>
      <c r="E11" s="119">
        <v>1.1859999999999999</v>
      </c>
      <c r="F11" s="119">
        <v>1.1859999999999999</v>
      </c>
      <c r="G11" s="119">
        <v>4.6340000000000003</v>
      </c>
      <c r="H11" s="120">
        <v>0.13249892101855848</v>
      </c>
      <c r="I11" s="120">
        <v>0.25593439792835559</v>
      </c>
      <c r="J11" s="120">
        <v>0.38843331894691407</v>
      </c>
      <c r="K11" s="15">
        <v>27</v>
      </c>
      <c r="L11" s="121">
        <v>0.67600000000000005</v>
      </c>
      <c r="M11" s="119">
        <v>6.1580000000000004</v>
      </c>
      <c r="N11" s="119">
        <v>0.28999999999999998</v>
      </c>
      <c r="O11" s="119">
        <v>0.28999999999999998</v>
      </c>
      <c r="P11" s="119">
        <v>6.3629999999999995</v>
      </c>
      <c r="Q11" s="120">
        <v>0.10623919534810626</v>
      </c>
      <c r="R11" s="120">
        <v>4.5575986170045574E-2</v>
      </c>
      <c r="S11" s="120">
        <v>0.15181518151815182</v>
      </c>
      <c r="T11" s="15">
        <v>27</v>
      </c>
      <c r="U11" s="122">
        <v>0.64500000000000002</v>
      </c>
      <c r="V11" s="122">
        <v>5.7030000000000003</v>
      </c>
      <c r="W11" s="122">
        <v>0.73799999999999999</v>
      </c>
      <c r="X11" s="122">
        <v>0.73799999999999999</v>
      </c>
      <c r="Y11" s="122">
        <v>5.4984999999999999</v>
      </c>
      <c r="Z11" s="123">
        <v>0.11936905818333238</v>
      </c>
      <c r="AA11" s="123">
        <v>0.15075519204920057</v>
      </c>
      <c r="AB11" s="123">
        <v>0.27012425023253295</v>
      </c>
    </row>
    <row r="12" spans="1:28">
      <c r="B12" s="15">
        <v>28</v>
      </c>
      <c r="C12" s="119">
        <v>0.64500000000000002</v>
      </c>
      <c r="D12" s="119">
        <v>5.399</v>
      </c>
      <c r="E12" s="119">
        <v>1.264</v>
      </c>
      <c r="F12" s="119">
        <v>1.264</v>
      </c>
      <c r="G12" s="119">
        <v>4.7539999999999996</v>
      </c>
      <c r="H12" s="120">
        <v>0.13567522086663864</v>
      </c>
      <c r="I12" s="120">
        <v>0.26588136306268406</v>
      </c>
      <c r="J12" s="120">
        <v>0.4015565839293227</v>
      </c>
      <c r="K12" s="15">
        <v>28</v>
      </c>
      <c r="L12" s="121">
        <v>0.71799999999999997</v>
      </c>
      <c r="M12" s="119">
        <v>6.3319999999999999</v>
      </c>
      <c r="N12" s="119">
        <v>0.311</v>
      </c>
      <c r="O12" s="119">
        <v>0.311</v>
      </c>
      <c r="P12" s="119">
        <v>6.556</v>
      </c>
      <c r="Q12" s="120">
        <v>0.10951799877974375</v>
      </c>
      <c r="R12" s="120">
        <v>4.7437461866992069E-2</v>
      </c>
      <c r="S12" s="120">
        <v>0.15695546064673582</v>
      </c>
      <c r="T12" s="15">
        <v>28</v>
      </c>
      <c r="U12" s="122">
        <v>0.68149999999999999</v>
      </c>
      <c r="V12" s="122">
        <v>5.8654999999999999</v>
      </c>
      <c r="W12" s="122">
        <v>0.78749999999999998</v>
      </c>
      <c r="X12" s="122">
        <v>0.78749999999999998</v>
      </c>
      <c r="Y12" s="122">
        <v>5.6549999999999994</v>
      </c>
      <c r="Z12" s="123">
        <v>0.12259660982319119</v>
      </c>
      <c r="AA12" s="123">
        <v>0.15665941246483805</v>
      </c>
      <c r="AB12" s="123">
        <v>0.27925602228802926</v>
      </c>
    </row>
    <row r="13" spans="1:28">
      <c r="B13" s="15">
        <v>29</v>
      </c>
      <c r="C13" s="119">
        <v>0.67400000000000004</v>
      </c>
      <c r="D13" s="119">
        <v>5.5529999999999999</v>
      </c>
      <c r="E13" s="119">
        <v>1.339</v>
      </c>
      <c r="F13" s="119">
        <v>1.339</v>
      </c>
      <c r="G13" s="119">
        <v>4.8789999999999996</v>
      </c>
      <c r="H13" s="120">
        <v>0.13814306210288996</v>
      </c>
      <c r="I13" s="120">
        <v>0.27444148391063744</v>
      </c>
      <c r="J13" s="120">
        <v>0.4125845460135274</v>
      </c>
      <c r="K13" s="15">
        <v>29</v>
      </c>
      <c r="L13" s="121">
        <v>0.75800000000000001</v>
      </c>
      <c r="M13" s="119">
        <v>6.51</v>
      </c>
      <c r="N13" s="119">
        <v>0.33100000000000002</v>
      </c>
      <c r="O13" s="119">
        <v>0.33100000000000002</v>
      </c>
      <c r="P13" s="119">
        <v>6.7520000000000007</v>
      </c>
      <c r="Q13" s="120">
        <v>0.11226303317535544</v>
      </c>
      <c r="R13" s="120">
        <v>4.9022511848341228E-2</v>
      </c>
      <c r="S13" s="120">
        <v>0.16128554502369666</v>
      </c>
      <c r="T13" s="15">
        <v>29</v>
      </c>
      <c r="U13" s="122">
        <v>0.71599999999999997</v>
      </c>
      <c r="V13" s="122">
        <v>6.0314999999999994</v>
      </c>
      <c r="W13" s="122">
        <v>0.83499999999999996</v>
      </c>
      <c r="X13" s="122">
        <v>0.83499999999999996</v>
      </c>
      <c r="Y13" s="122">
        <v>5.8155000000000001</v>
      </c>
      <c r="Z13" s="123">
        <v>0.12520304763912271</v>
      </c>
      <c r="AA13" s="123">
        <v>0.16173199787948933</v>
      </c>
      <c r="AB13" s="123">
        <v>0.28693504551861204</v>
      </c>
    </row>
    <row r="14" spans="1:28">
      <c r="B14" s="15">
        <v>30</v>
      </c>
      <c r="C14" s="119">
        <v>0.70199999999999996</v>
      </c>
      <c r="D14" s="119">
        <v>5.7119999999999997</v>
      </c>
      <c r="E14" s="119">
        <v>1.4139999999999999</v>
      </c>
      <c r="F14" s="119">
        <v>1.4139999999999999</v>
      </c>
      <c r="G14" s="119">
        <v>5.01</v>
      </c>
      <c r="H14" s="120">
        <v>0.14011976047904193</v>
      </c>
      <c r="I14" s="120">
        <v>0.28223552894211579</v>
      </c>
      <c r="J14" s="120">
        <v>0.42235528942115774</v>
      </c>
      <c r="K14" s="15">
        <v>30</v>
      </c>
      <c r="L14" s="121">
        <v>0.79600000000000004</v>
      </c>
      <c r="M14" s="119">
        <v>6.6909999999999998</v>
      </c>
      <c r="N14" s="119">
        <v>0.35</v>
      </c>
      <c r="O14" s="119">
        <v>0.35</v>
      </c>
      <c r="P14" s="119">
        <v>6.9509999999999996</v>
      </c>
      <c r="Q14" s="120">
        <v>0.1145158969932384</v>
      </c>
      <c r="R14" s="120">
        <v>5.0352467270896276E-2</v>
      </c>
      <c r="S14" s="120">
        <v>0.16486836426413468</v>
      </c>
      <c r="T14" s="15">
        <v>30</v>
      </c>
      <c r="U14" s="122">
        <v>0.749</v>
      </c>
      <c r="V14" s="122">
        <v>6.2014999999999993</v>
      </c>
      <c r="W14" s="122">
        <v>0.8819999999999999</v>
      </c>
      <c r="X14" s="122">
        <v>0.8819999999999999</v>
      </c>
      <c r="Y14" s="122">
        <v>5.9804999999999993</v>
      </c>
      <c r="Z14" s="123">
        <v>0.12731782873614017</v>
      </c>
      <c r="AA14" s="123">
        <v>0.16629399810650602</v>
      </c>
      <c r="AB14" s="123">
        <v>0.2936118268426462</v>
      </c>
    </row>
    <row r="15" spans="1:28">
      <c r="B15" s="15">
        <v>31</v>
      </c>
      <c r="C15" s="119">
        <v>0.72799999999999998</v>
      </c>
      <c r="D15" s="119">
        <v>5.8739999999999997</v>
      </c>
      <c r="E15" s="119">
        <v>1.4890000000000001</v>
      </c>
      <c r="F15" s="119">
        <v>1.4890000000000001</v>
      </c>
      <c r="G15" s="119">
        <v>5.1459999999999999</v>
      </c>
      <c r="H15" s="120">
        <v>0.14146910221531286</v>
      </c>
      <c r="I15" s="120">
        <v>0.28935095219588031</v>
      </c>
      <c r="J15" s="120">
        <v>0.4308200544111932</v>
      </c>
      <c r="K15" s="15">
        <v>31</v>
      </c>
      <c r="L15" s="121">
        <v>0.83099999999999996</v>
      </c>
      <c r="M15" s="119">
        <v>6.875</v>
      </c>
      <c r="N15" s="119">
        <v>0.36899999999999999</v>
      </c>
      <c r="O15" s="119">
        <v>0.36899999999999999</v>
      </c>
      <c r="P15" s="119">
        <v>7.1530000000000005</v>
      </c>
      <c r="Q15" s="120">
        <v>0.11617503145533341</v>
      </c>
      <c r="R15" s="120">
        <v>5.1586746819516284E-2</v>
      </c>
      <c r="S15" s="120">
        <v>0.1677617782748497</v>
      </c>
      <c r="T15" s="15">
        <v>31</v>
      </c>
      <c r="U15" s="122">
        <v>0.77949999999999997</v>
      </c>
      <c r="V15" s="122">
        <v>6.3744999999999994</v>
      </c>
      <c r="W15" s="122">
        <v>0.92900000000000005</v>
      </c>
      <c r="X15" s="122">
        <v>0.92900000000000005</v>
      </c>
      <c r="Y15" s="122">
        <v>6.1494999999999997</v>
      </c>
      <c r="Z15" s="123">
        <v>0.12882206683532313</v>
      </c>
      <c r="AA15" s="123">
        <v>0.17046884950769831</v>
      </c>
      <c r="AB15" s="123">
        <v>0.29929091634302146</v>
      </c>
    </row>
    <row r="16" spans="1:28">
      <c r="B16" s="15">
        <v>32</v>
      </c>
      <c r="C16" s="119">
        <v>0.753</v>
      </c>
      <c r="D16" s="119">
        <v>6.04</v>
      </c>
      <c r="E16" s="119">
        <v>1.5629999999999999</v>
      </c>
      <c r="F16" s="119">
        <v>1.5629999999999999</v>
      </c>
      <c r="G16" s="119">
        <v>5.2869999999999999</v>
      </c>
      <c r="H16" s="120">
        <v>0.14242481558539816</v>
      </c>
      <c r="I16" s="120">
        <v>0.29563079250993002</v>
      </c>
      <c r="J16" s="120">
        <v>0.43805560809532818</v>
      </c>
      <c r="K16" s="15">
        <v>32</v>
      </c>
      <c r="L16" s="121">
        <v>0.86399999999999999</v>
      </c>
      <c r="M16" s="119">
        <v>7.0620000000000003</v>
      </c>
      <c r="N16" s="119">
        <v>0.38700000000000001</v>
      </c>
      <c r="O16" s="119">
        <v>0.38700000000000001</v>
      </c>
      <c r="P16" s="119">
        <v>7.3579999999999997</v>
      </c>
      <c r="Q16" s="120">
        <v>0.11742321282957326</v>
      </c>
      <c r="R16" s="120">
        <v>5.2595814079913025E-2</v>
      </c>
      <c r="S16" s="120">
        <v>0.17001902690948628</v>
      </c>
      <c r="T16" s="15">
        <v>32</v>
      </c>
      <c r="U16" s="122">
        <v>0.8085</v>
      </c>
      <c r="V16" s="122">
        <v>6.5510000000000002</v>
      </c>
      <c r="W16" s="122">
        <v>0.97499999999999998</v>
      </c>
      <c r="X16" s="122">
        <v>0.97499999999999998</v>
      </c>
      <c r="Y16" s="122">
        <v>6.3224999999999998</v>
      </c>
      <c r="Z16" s="123">
        <v>0.1299240142074857</v>
      </c>
      <c r="AA16" s="123">
        <v>0.17411330329492153</v>
      </c>
      <c r="AB16" s="123">
        <v>0.30403731750240726</v>
      </c>
    </row>
    <row r="17" spans="2:28">
      <c r="B17" s="15">
        <v>33</v>
      </c>
      <c r="C17" s="119">
        <v>0.77700000000000002</v>
      </c>
      <c r="D17" s="119">
        <v>6.21</v>
      </c>
      <c r="E17" s="119">
        <v>1.637</v>
      </c>
      <c r="F17" s="119">
        <v>1.637</v>
      </c>
      <c r="G17" s="119">
        <v>5.4329999999999998</v>
      </c>
      <c r="H17" s="120">
        <v>0.14301490889011598</v>
      </c>
      <c r="I17" s="120">
        <v>0.30130682863979386</v>
      </c>
      <c r="J17" s="120">
        <v>0.44432173752990983</v>
      </c>
      <c r="K17" s="15">
        <v>33</v>
      </c>
      <c r="L17" s="121">
        <v>0.89500000000000002</v>
      </c>
      <c r="M17" s="119">
        <v>7.2539999999999996</v>
      </c>
      <c r="N17" s="119">
        <v>0.40500000000000003</v>
      </c>
      <c r="O17" s="119">
        <v>0.40500000000000003</v>
      </c>
      <c r="P17" s="119">
        <v>7.5650000000000004</v>
      </c>
      <c r="Q17" s="120">
        <v>0.11830799735624586</v>
      </c>
      <c r="R17" s="120">
        <v>5.3536021150033045E-2</v>
      </c>
      <c r="S17" s="120">
        <v>0.17184401850627889</v>
      </c>
      <c r="T17" s="15">
        <v>33</v>
      </c>
      <c r="U17" s="122">
        <v>0.83600000000000008</v>
      </c>
      <c r="V17" s="122">
        <v>6.7319999999999993</v>
      </c>
      <c r="W17" s="122">
        <v>1.0209999999999999</v>
      </c>
      <c r="X17" s="122">
        <v>1.0209999999999999</v>
      </c>
      <c r="Y17" s="122">
        <v>6.4990000000000006</v>
      </c>
      <c r="Z17" s="123">
        <v>0.13066145312318092</v>
      </c>
      <c r="AA17" s="123">
        <v>0.17742142489491344</v>
      </c>
      <c r="AB17" s="123">
        <v>0.30808287801809436</v>
      </c>
    </row>
    <row r="18" spans="2:28">
      <c r="B18" s="15">
        <v>34</v>
      </c>
      <c r="C18" s="119">
        <v>0.79900000000000004</v>
      </c>
      <c r="D18" s="119">
        <v>6.3840000000000003</v>
      </c>
      <c r="E18" s="119">
        <v>1.7110000000000001</v>
      </c>
      <c r="F18" s="119">
        <v>1.7110000000000001</v>
      </c>
      <c r="G18" s="119">
        <v>5.585</v>
      </c>
      <c r="H18" s="120">
        <v>0.14306177260519248</v>
      </c>
      <c r="I18" s="120">
        <v>0.30635631154879139</v>
      </c>
      <c r="J18" s="120">
        <v>0.44941808415398388</v>
      </c>
      <c r="K18" s="15">
        <v>34</v>
      </c>
      <c r="L18" s="121">
        <v>0.92200000000000004</v>
      </c>
      <c r="M18" s="119">
        <v>7.4480000000000004</v>
      </c>
      <c r="N18" s="119">
        <v>0.42299999999999999</v>
      </c>
      <c r="O18" s="119">
        <v>0.42299999999999999</v>
      </c>
      <c r="P18" s="119">
        <v>7.7759999999999998</v>
      </c>
      <c r="Q18" s="120">
        <v>0.11856995884773663</v>
      </c>
      <c r="R18" s="120">
        <v>5.4398148148148147E-2</v>
      </c>
      <c r="S18" s="120">
        <v>0.17296810699588477</v>
      </c>
      <c r="T18" s="15">
        <v>34</v>
      </c>
      <c r="U18" s="122">
        <v>0.86050000000000004</v>
      </c>
      <c r="V18" s="122">
        <v>6.9160000000000004</v>
      </c>
      <c r="W18" s="122">
        <v>1.0669999999999999</v>
      </c>
      <c r="X18" s="122">
        <v>1.0669999999999999</v>
      </c>
      <c r="Y18" s="122">
        <v>6.6805000000000003</v>
      </c>
      <c r="Z18" s="123">
        <v>0.13081586572646456</v>
      </c>
      <c r="AA18" s="123">
        <v>0.18037722984846977</v>
      </c>
      <c r="AB18" s="123">
        <v>0.31119309557493435</v>
      </c>
    </row>
    <row r="19" spans="2:28">
      <c r="B19" s="15">
        <v>35</v>
      </c>
      <c r="C19" s="119">
        <v>0.81899999999999995</v>
      </c>
      <c r="D19" s="119">
        <v>6.5609999999999999</v>
      </c>
      <c r="E19" s="119">
        <v>1.786</v>
      </c>
      <c r="F19" s="119">
        <v>1.786</v>
      </c>
      <c r="G19" s="119">
        <v>5.742</v>
      </c>
      <c r="H19" s="120">
        <v>0.14263322884012539</v>
      </c>
      <c r="I19" s="120">
        <v>0.31104144897248348</v>
      </c>
      <c r="J19" s="120">
        <v>0.45367467781260884</v>
      </c>
      <c r="K19" s="15">
        <v>35</v>
      </c>
      <c r="L19" s="121">
        <v>0.94599999999999995</v>
      </c>
      <c r="M19" s="119">
        <v>7.6459999999999999</v>
      </c>
      <c r="N19" s="119">
        <v>0.44</v>
      </c>
      <c r="O19" s="119">
        <v>0.44</v>
      </c>
      <c r="P19" s="119">
        <v>7.9879999999999995</v>
      </c>
      <c r="Q19" s="120">
        <v>0.11842764146219328</v>
      </c>
      <c r="R19" s="120">
        <v>5.5082623935903859E-2</v>
      </c>
      <c r="S19" s="120">
        <v>0.17351026539809714</v>
      </c>
      <c r="T19" s="15">
        <v>35</v>
      </c>
      <c r="U19" s="122">
        <v>0.88249999999999995</v>
      </c>
      <c r="V19" s="122">
        <v>7.1035000000000004</v>
      </c>
      <c r="W19" s="122">
        <v>1.113</v>
      </c>
      <c r="X19" s="122">
        <v>1.113</v>
      </c>
      <c r="Y19" s="122">
        <v>6.8650000000000002</v>
      </c>
      <c r="Z19" s="123">
        <v>0.13053043515115934</v>
      </c>
      <c r="AA19" s="123">
        <v>0.18306203645419367</v>
      </c>
      <c r="AB19" s="123">
        <v>0.31359247160535297</v>
      </c>
    </row>
    <row r="20" spans="2:28">
      <c r="B20" s="15">
        <v>36</v>
      </c>
      <c r="C20" s="119">
        <v>0.83499999999999996</v>
      </c>
      <c r="D20" s="119">
        <v>6.742</v>
      </c>
      <c r="E20" s="119">
        <v>1.86</v>
      </c>
      <c r="F20" s="119">
        <v>1.86</v>
      </c>
      <c r="G20" s="119">
        <v>5.907</v>
      </c>
      <c r="H20" s="120">
        <v>0.14135771119011342</v>
      </c>
      <c r="I20" s="120">
        <v>0.31488065007618082</v>
      </c>
      <c r="J20" s="120">
        <v>0.45623836126629425</v>
      </c>
      <c r="K20" s="15">
        <v>36</v>
      </c>
      <c r="L20" s="121">
        <v>0.96399999999999997</v>
      </c>
      <c r="M20" s="119">
        <v>7.8460000000000001</v>
      </c>
      <c r="N20" s="119">
        <v>0.45600000000000002</v>
      </c>
      <c r="O20" s="119">
        <v>0.45600000000000002</v>
      </c>
      <c r="P20" s="119">
        <v>8.2029999999999994</v>
      </c>
      <c r="Q20" s="120">
        <v>0.1175179812263806</v>
      </c>
      <c r="R20" s="120">
        <v>5.5589418505424849E-2</v>
      </c>
      <c r="S20" s="120">
        <v>0.17310739973180544</v>
      </c>
      <c r="T20" s="15">
        <v>36</v>
      </c>
      <c r="U20" s="122">
        <v>0.89949999999999997</v>
      </c>
      <c r="V20" s="122">
        <v>7.2940000000000005</v>
      </c>
      <c r="W20" s="122">
        <v>1.1580000000000001</v>
      </c>
      <c r="X20" s="122">
        <v>1.1580000000000001</v>
      </c>
      <c r="Y20" s="122">
        <v>7.0549999999999997</v>
      </c>
      <c r="Z20" s="123">
        <v>0.129437846208247</v>
      </c>
      <c r="AA20" s="123">
        <v>0.18523503429080285</v>
      </c>
      <c r="AB20" s="123">
        <v>0.31467288049904985</v>
      </c>
    </row>
    <row r="21" spans="2:28">
      <c r="B21" s="15">
        <v>37</v>
      </c>
      <c r="C21" s="119">
        <v>0.84699999999999998</v>
      </c>
      <c r="D21" s="119">
        <v>6.9240000000000004</v>
      </c>
      <c r="E21" s="119">
        <v>1.9339999999999999</v>
      </c>
      <c r="F21" s="119">
        <v>1.9339999999999999</v>
      </c>
      <c r="G21" s="119">
        <v>6.077</v>
      </c>
      <c r="H21" s="120">
        <v>0.13937798255718281</v>
      </c>
      <c r="I21" s="120">
        <v>0.31824913608688499</v>
      </c>
      <c r="J21" s="120">
        <v>0.4576271186440678</v>
      </c>
      <c r="K21" s="15">
        <v>37</v>
      </c>
      <c r="L21" s="121">
        <v>0.97699999999999998</v>
      </c>
      <c r="M21" s="119">
        <v>8.0470000000000006</v>
      </c>
      <c r="N21" s="119">
        <v>0.47199999999999998</v>
      </c>
      <c r="O21" s="119">
        <v>0.47199999999999998</v>
      </c>
      <c r="P21" s="119">
        <v>8.4179999999999993</v>
      </c>
      <c r="Q21" s="120">
        <v>0.11606082204799241</v>
      </c>
      <c r="R21" s="120">
        <v>5.6070325492991215E-2</v>
      </c>
      <c r="S21" s="120">
        <v>0.17213114754098363</v>
      </c>
      <c r="T21" s="15">
        <v>37</v>
      </c>
      <c r="U21" s="122">
        <v>0.91199999999999992</v>
      </c>
      <c r="V21" s="122">
        <v>7.4855</v>
      </c>
      <c r="W21" s="122">
        <v>1.2029999999999998</v>
      </c>
      <c r="X21" s="122">
        <v>1.2029999999999998</v>
      </c>
      <c r="Y21" s="122">
        <v>7.2474999999999996</v>
      </c>
      <c r="Z21" s="123">
        <v>0.1277194023025876</v>
      </c>
      <c r="AA21" s="123">
        <v>0.18715973078993811</v>
      </c>
      <c r="AB21" s="123">
        <v>0.31487913309252569</v>
      </c>
    </row>
    <row r="22" spans="2:28">
      <c r="B22" s="15">
        <v>38</v>
      </c>
      <c r="C22" s="119">
        <v>0.85399999999999998</v>
      </c>
      <c r="D22" s="119">
        <v>7.1079999999999997</v>
      </c>
      <c r="E22" s="119">
        <v>2.008</v>
      </c>
      <c r="F22" s="119">
        <v>2.008</v>
      </c>
      <c r="G22" s="119">
        <v>6.2539999999999996</v>
      </c>
      <c r="H22" s="120">
        <v>0.13655260633194757</v>
      </c>
      <c r="I22" s="120">
        <v>0.32107451231212025</v>
      </c>
      <c r="J22" s="120">
        <v>0.4576271186440678</v>
      </c>
      <c r="K22" s="15">
        <v>38</v>
      </c>
      <c r="L22" s="121">
        <v>0.98399999999999999</v>
      </c>
      <c r="M22" s="119">
        <v>8.2509999999999994</v>
      </c>
      <c r="N22" s="119">
        <v>0.48599999999999999</v>
      </c>
      <c r="O22" s="119">
        <v>0.48599999999999999</v>
      </c>
      <c r="P22" s="119">
        <v>8.6349999999999998</v>
      </c>
      <c r="Q22" s="120">
        <v>0.11395483497394325</v>
      </c>
      <c r="R22" s="120">
        <v>5.628257093225246E-2</v>
      </c>
      <c r="S22" s="120">
        <v>0.17023740590619571</v>
      </c>
      <c r="T22" s="15">
        <v>38</v>
      </c>
      <c r="U22" s="122">
        <v>0.91900000000000004</v>
      </c>
      <c r="V22" s="122">
        <v>7.6794999999999991</v>
      </c>
      <c r="W22" s="122">
        <v>1.2469999999999999</v>
      </c>
      <c r="X22" s="122">
        <v>1.2469999999999999</v>
      </c>
      <c r="Y22" s="122">
        <v>7.4444999999999997</v>
      </c>
      <c r="Z22" s="123">
        <v>0.12525372065294541</v>
      </c>
      <c r="AA22" s="123">
        <v>0.18867854162218636</v>
      </c>
      <c r="AB22" s="123">
        <v>0.31393226227513177</v>
      </c>
    </row>
    <row r="23" spans="2:28">
      <c r="B23" s="15">
        <v>39</v>
      </c>
      <c r="C23" s="119">
        <v>0.85499999999999998</v>
      </c>
      <c r="D23" s="119">
        <v>7.2939999999999996</v>
      </c>
      <c r="E23" s="119">
        <v>2.0819999999999999</v>
      </c>
      <c r="F23" s="119">
        <v>2.0819999999999999</v>
      </c>
      <c r="G23" s="119">
        <v>6.4390000000000001</v>
      </c>
      <c r="H23" s="120">
        <v>0.13278459388103742</v>
      </c>
      <c r="I23" s="120">
        <v>0.32334213387171917</v>
      </c>
      <c r="J23" s="120">
        <v>0.45612672775275659</v>
      </c>
      <c r="K23" s="15">
        <v>39</v>
      </c>
      <c r="L23" s="121">
        <v>0.98399999999999999</v>
      </c>
      <c r="M23" s="119">
        <v>8.4559999999999995</v>
      </c>
      <c r="N23" s="119">
        <v>0.5</v>
      </c>
      <c r="O23" s="119">
        <v>0.5</v>
      </c>
      <c r="P23" s="119">
        <v>8.8520000000000003</v>
      </c>
      <c r="Q23" s="120">
        <v>0.11116131947582467</v>
      </c>
      <c r="R23" s="120">
        <v>5.6484410302756437E-2</v>
      </c>
      <c r="S23" s="120">
        <v>0.16764572977858111</v>
      </c>
      <c r="T23" s="15">
        <v>39</v>
      </c>
      <c r="U23" s="122">
        <v>0.91949999999999998</v>
      </c>
      <c r="V23" s="122">
        <v>7.875</v>
      </c>
      <c r="W23" s="122">
        <v>1.2909999999999999</v>
      </c>
      <c r="X23" s="122">
        <v>1.2909999999999999</v>
      </c>
      <c r="Y23" s="122">
        <v>7.6455000000000002</v>
      </c>
      <c r="Z23" s="123">
        <v>0.12197295667843104</v>
      </c>
      <c r="AA23" s="123">
        <v>0.18991327208723779</v>
      </c>
      <c r="AB23" s="123">
        <v>0.31188622876566885</v>
      </c>
    </row>
    <row r="24" spans="2:28">
      <c r="B24" s="15">
        <v>40</v>
      </c>
      <c r="C24" s="119">
        <v>0.85199999999999998</v>
      </c>
      <c r="D24" s="119">
        <v>7.484</v>
      </c>
      <c r="E24" s="119">
        <v>2.1560000000000001</v>
      </c>
      <c r="F24" s="119">
        <v>2.1560000000000001</v>
      </c>
      <c r="G24" s="119">
        <v>6.6319999999999997</v>
      </c>
      <c r="H24" s="120">
        <v>0.12846803377563329</v>
      </c>
      <c r="I24" s="120">
        <v>0.32509047044632089</v>
      </c>
      <c r="J24" s="120">
        <v>0.45355850422195421</v>
      </c>
      <c r="K24" s="15">
        <v>40</v>
      </c>
      <c r="L24" s="121">
        <v>0.97899999999999998</v>
      </c>
      <c r="M24" s="119">
        <v>8.6639999999999997</v>
      </c>
      <c r="N24" s="119">
        <v>0.51400000000000001</v>
      </c>
      <c r="O24" s="119">
        <v>0.51400000000000001</v>
      </c>
      <c r="P24" s="119">
        <v>9.0719999999999992</v>
      </c>
      <c r="Q24" s="120">
        <v>0.10791446208112876</v>
      </c>
      <c r="R24" s="120">
        <v>5.6657848324514995E-2</v>
      </c>
      <c r="S24" s="120">
        <v>0.16457231040564374</v>
      </c>
      <c r="T24" s="15">
        <v>40</v>
      </c>
      <c r="U24" s="122">
        <v>0.91549999999999998</v>
      </c>
      <c r="V24" s="122">
        <v>8.0739999999999998</v>
      </c>
      <c r="W24" s="122">
        <v>1.335</v>
      </c>
      <c r="X24" s="122">
        <v>1.335</v>
      </c>
      <c r="Y24" s="122">
        <v>7.8519999999999994</v>
      </c>
      <c r="Z24" s="123">
        <v>0.11819124792838102</v>
      </c>
      <c r="AA24" s="123">
        <v>0.19087415938541794</v>
      </c>
      <c r="AB24" s="123">
        <v>0.30906540731379895</v>
      </c>
    </row>
    <row r="25" spans="2:28">
      <c r="B25" s="15">
        <v>41</v>
      </c>
      <c r="C25" s="119">
        <v>0.84699999999999998</v>
      </c>
      <c r="D25" s="119">
        <v>7.6779999999999999</v>
      </c>
      <c r="E25" s="119">
        <v>2.2320000000000002</v>
      </c>
      <c r="F25" s="119">
        <v>2.2320000000000002</v>
      </c>
      <c r="G25" s="119">
        <v>6.8309999999999995</v>
      </c>
      <c r="H25" s="120">
        <v>0.12399355877616748</v>
      </c>
      <c r="I25" s="120">
        <v>0.32674571805006591</v>
      </c>
      <c r="J25" s="120">
        <v>0.45073927682623338</v>
      </c>
      <c r="K25" s="15">
        <v>41</v>
      </c>
      <c r="L25" s="121">
        <v>0.96899999999999997</v>
      </c>
      <c r="M25" s="119">
        <v>8.8770000000000007</v>
      </c>
      <c r="N25" s="119">
        <v>0.52600000000000002</v>
      </c>
      <c r="O25" s="119">
        <v>0.52600000000000002</v>
      </c>
      <c r="P25" s="119">
        <v>9.2959999999999994</v>
      </c>
      <c r="Q25" s="120">
        <v>0.10423838209982789</v>
      </c>
      <c r="R25" s="120">
        <v>5.6583476764199662E-2</v>
      </c>
      <c r="S25" s="120">
        <v>0.16082185886402756</v>
      </c>
      <c r="T25" s="15">
        <v>41</v>
      </c>
      <c r="U25" s="122">
        <v>0.90799999999999992</v>
      </c>
      <c r="V25" s="122">
        <v>8.2774999999999999</v>
      </c>
      <c r="W25" s="122">
        <v>1.379</v>
      </c>
      <c r="X25" s="122">
        <v>1.379</v>
      </c>
      <c r="Y25" s="122">
        <v>8.0634999999999994</v>
      </c>
      <c r="Z25" s="123">
        <v>0.11411597043799768</v>
      </c>
      <c r="AA25" s="123">
        <v>0.19166459740713279</v>
      </c>
      <c r="AB25" s="123">
        <v>0.30578056784513047</v>
      </c>
    </row>
    <row r="26" spans="2:28">
      <c r="B26" s="15">
        <v>42</v>
      </c>
      <c r="C26" s="119">
        <v>0.84</v>
      </c>
      <c r="D26" s="119">
        <v>7.8789999999999996</v>
      </c>
      <c r="E26" s="119">
        <v>2.3079999999999998</v>
      </c>
      <c r="F26" s="119">
        <v>2.3079999999999998</v>
      </c>
      <c r="G26" s="119">
        <v>7.0389999999999997</v>
      </c>
      <c r="H26" s="120">
        <v>0.1193351328313681</v>
      </c>
      <c r="I26" s="120">
        <v>0.32788748401761614</v>
      </c>
      <c r="J26" s="120">
        <v>0.44722261684898423</v>
      </c>
      <c r="K26" s="15">
        <v>42</v>
      </c>
      <c r="L26" s="121">
        <v>0.95599999999999996</v>
      </c>
      <c r="M26" s="119">
        <v>9.0950000000000006</v>
      </c>
      <c r="N26" s="119">
        <v>0.53900000000000003</v>
      </c>
      <c r="O26" s="119">
        <v>0.53900000000000003</v>
      </c>
      <c r="P26" s="119">
        <v>9.5249999999999986</v>
      </c>
      <c r="Q26" s="120">
        <v>0.10036745406824148</v>
      </c>
      <c r="R26" s="120">
        <v>5.6587926509186363E-2</v>
      </c>
      <c r="S26" s="120">
        <v>0.15695538057742783</v>
      </c>
      <c r="T26" s="15">
        <v>42</v>
      </c>
      <c r="U26" s="122">
        <v>0.89799999999999991</v>
      </c>
      <c r="V26" s="122">
        <v>8.4870000000000001</v>
      </c>
      <c r="W26" s="122">
        <v>1.4235</v>
      </c>
      <c r="X26" s="122">
        <v>1.4235</v>
      </c>
      <c r="Y26" s="122">
        <v>8.282</v>
      </c>
      <c r="Z26" s="123">
        <v>0.10985129344980479</v>
      </c>
      <c r="AA26" s="123">
        <v>0.19223770526340125</v>
      </c>
      <c r="AB26" s="123">
        <v>0.30208899871320605</v>
      </c>
    </row>
    <row r="27" spans="2:28">
      <c r="B27" s="15">
        <v>43</v>
      </c>
      <c r="C27" s="119">
        <v>0.83399999999999996</v>
      </c>
      <c r="D27" s="119">
        <v>8.0869999999999997</v>
      </c>
      <c r="E27" s="119">
        <v>2.3849999999999998</v>
      </c>
      <c r="F27" s="119">
        <v>2.3849999999999998</v>
      </c>
      <c r="G27" s="119">
        <v>7.2530000000000001</v>
      </c>
      <c r="H27" s="120">
        <v>0.11498690197159796</v>
      </c>
      <c r="I27" s="120">
        <v>0.3288294498828071</v>
      </c>
      <c r="J27" s="120">
        <v>0.44381635185440504</v>
      </c>
      <c r="K27" s="15">
        <v>43</v>
      </c>
      <c r="L27" s="121">
        <v>0.94099999999999995</v>
      </c>
      <c r="M27" s="119">
        <v>9.32</v>
      </c>
      <c r="N27" s="119">
        <v>0.55100000000000005</v>
      </c>
      <c r="O27" s="119">
        <v>0.55100000000000005</v>
      </c>
      <c r="P27" s="119">
        <v>9.7590000000000003</v>
      </c>
      <c r="Q27" s="120">
        <v>9.6423813915360174E-2</v>
      </c>
      <c r="R27" s="120">
        <v>5.6460702940875095E-2</v>
      </c>
      <c r="S27" s="120">
        <v>0.15288451685623528</v>
      </c>
      <c r="T27" s="15">
        <v>43</v>
      </c>
      <c r="U27" s="122">
        <v>0.88749999999999996</v>
      </c>
      <c r="V27" s="122">
        <v>8.7035</v>
      </c>
      <c r="W27" s="122">
        <v>1.468</v>
      </c>
      <c r="X27" s="122">
        <v>1.468</v>
      </c>
      <c r="Y27" s="122">
        <v>8.5060000000000002</v>
      </c>
      <c r="Z27" s="123">
        <v>0.10570535794347907</v>
      </c>
      <c r="AA27" s="123">
        <v>0.19264507641184109</v>
      </c>
      <c r="AB27" s="123">
        <v>0.29835043435532016</v>
      </c>
    </row>
    <row r="28" spans="2:28">
      <c r="B28" s="15">
        <v>44</v>
      </c>
      <c r="C28" s="119">
        <v>0.82699999999999996</v>
      </c>
      <c r="D28" s="119">
        <v>8.3030000000000008</v>
      </c>
      <c r="E28" s="119">
        <v>2.4630000000000001</v>
      </c>
      <c r="F28" s="119">
        <v>2.4630000000000001</v>
      </c>
      <c r="G28" s="119">
        <v>7.4760000000000009</v>
      </c>
      <c r="H28" s="120">
        <v>0.1106206527554842</v>
      </c>
      <c r="I28" s="120">
        <v>0.32945425361155695</v>
      </c>
      <c r="J28" s="120">
        <v>0.44007490636704116</v>
      </c>
      <c r="K28" s="15">
        <v>44</v>
      </c>
      <c r="L28" s="121">
        <v>0.92400000000000004</v>
      </c>
      <c r="M28" s="119">
        <v>9.5510000000000002</v>
      </c>
      <c r="N28" s="119">
        <v>0.56299999999999994</v>
      </c>
      <c r="O28" s="119">
        <v>0.56299999999999994</v>
      </c>
      <c r="P28" s="119">
        <v>10</v>
      </c>
      <c r="Q28" s="120">
        <v>9.240000000000001E-2</v>
      </c>
      <c r="R28" s="120">
        <v>5.6299999999999996E-2</v>
      </c>
      <c r="S28" s="120">
        <v>0.1487</v>
      </c>
      <c r="T28" s="15">
        <v>44</v>
      </c>
      <c r="U28" s="122">
        <v>0.87549999999999994</v>
      </c>
      <c r="V28" s="122">
        <v>8.9269999999999996</v>
      </c>
      <c r="W28" s="122">
        <v>1.5129999999999999</v>
      </c>
      <c r="X28" s="122">
        <v>1.5129999999999999</v>
      </c>
      <c r="Y28" s="122">
        <v>8.7379999999999995</v>
      </c>
      <c r="Z28" s="123">
        <v>0.1015103263777421</v>
      </c>
      <c r="AA28" s="123">
        <v>0.19287712680577848</v>
      </c>
      <c r="AB28" s="123">
        <v>0.29438745318352055</v>
      </c>
    </row>
    <row r="29" spans="2:28">
      <c r="B29" s="15">
        <v>45</v>
      </c>
      <c r="C29" s="119">
        <v>0.81799999999999995</v>
      </c>
      <c r="D29" s="119">
        <v>8.5269999999999992</v>
      </c>
      <c r="E29" s="119">
        <v>2.5419999999999998</v>
      </c>
      <c r="F29" s="119">
        <v>2.5419999999999998</v>
      </c>
      <c r="G29" s="119">
        <v>7.7089999999999996</v>
      </c>
      <c r="H29" s="120">
        <v>0.10610974186016345</v>
      </c>
      <c r="I29" s="120">
        <v>0.32974445453366197</v>
      </c>
      <c r="J29" s="120">
        <v>0.43585419639382539</v>
      </c>
      <c r="K29" s="15">
        <v>45</v>
      </c>
      <c r="L29" s="121">
        <v>0.90500000000000003</v>
      </c>
      <c r="M29" s="119">
        <v>9.7899999999999991</v>
      </c>
      <c r="N29" s="119">
        <v>0.57499999999999996</v>
      </c>
      <c r="O29" s="119">
        <v>0.57499999999999996</v>
      </c>
      <c r="P29" s="119">
        <v>10.249000000000001</v>
      </c>
      <c r="Q29" s="120">
        <v>8.8301297687579272E-2</v>
      </c>
      <c r="R29" s="120">
        <v>5.6103034442384618E-2</v>
      </c>
      <c r="S29" s="120">
        <v>0.1444043321299639</v>
      </c>
      <c r="T29" s="15">
        <v>45</v>
      </c>
      <c r="U29" s="122">
        <v>0.86149999999999993</v>
      </c>
      <c r="V29" s="122">
        <v>9.1585000000000001</v>
      </c>
      <c r="W29" s="122">
        <v>1.5585</v>
      </c>
      <c r="X29" s="122">
        <v>1.5585</v>
      </c>
      <c r="Y29" s="122">
        <v>8.9789999999999992</v>
      </c>
      <c r="Z29" s="123">
        <v>9.720551977387136E-2</v>
      </c>
      <c r="AA29" s="123">
        <v>0.1929237444880233</v>
      </c>
      <c r="AB29" s="123">
        <v>0.29012926426189467</v>
      </c>
    </row>
    <row r="30" spans="2:28">
      <c r="B30" s="15">
        <v>46</v>
      </c>
      <c r="C30" s="119">
        <v>0.80800000000000005</v>
      </c>
      <c r="D30" s="119">
        <v>8.7579999999999991</v>
      </c>
      <c r="E30" s="119">
        <v>2.6190000000000002</v>
      </c>
      <c r="F30" s="119">
        <v>2.6190000000000002</v>
      </c>
      <c r="G30" s="119">
        <v>7.9499999999999993</v>
      </c>
      <c r="H30" s="120">
        <v>0.10163522012578619</v>
      </c>
      <c r="I30" s="120">
        <v>0.329433962264151</v>
      </c>
      <c r="J30" s="120">
        <v>0.43106918238993719</v>
      </c>
      <c r="K30" s="15">
        <v>46</v>
      </c>
      <c r="L30" s="121">
        <v>0.88300000000000001</v>
      </c>
      <c r="M30" s="119">
        <v>10.036</v>
      </c>
      <c r="N30" s="119">
        <v>0.58599999999999997</v>
      </c>
      <c r="O30" s="119">
        <v>0.58599999999999997</v>
      </c>
      <c r="P30" s="119">
        <v>10.504</v>
      </c>
      <c r="Q30" s="120">
        <v>8.4063214013709073E-2</v>
      </c>
      <c r="R30" s="120">
        <v>5.5788271134805785E-2</v>
      </c>
      <c r="S30" s="120">
        <v>0.13985148514851486</v>
      </c>
      <c r="T30" s="15">
        <v>46</v>
      </c>
      <c r="U30" s="122">
        <v>0.84550000000000003</v>
      </c>
      <c r="V30" s="122">
        <v>9.3969999999999985</v>
      </c>
      <c r="W30" s="122">
        <v>1.6025</v>
      </c>
      <c r="X30" s="122">
        <v>1.6025</v>
      </c>
      <c r="Y30" s="122">
        <v>9.2270000000000003</v>
      </c>
      <c r="Z30" s="123">
        <v>9.2849217069747636E-2</v>
      </c>
      <c r="AA30" s="123">
        <v>0.19261111669947839</v>
      </c>
      <c r="AB30" s="123">
        <v>0.28546033376922603</v>
      </c>
    </row>
    <row r="31" spans="2:28">
      <c r="B31" s="15">
        <v>47</v>
      </c>
      <c r="C31" s="119">
        <v>0.79500000000000004</v>
      </c>
      <c r="D31" s="119">
        <v>8.9960000000000004</v>
      </c>
      <c r="E31" s="119">
        <v>2.6970000000000001</v>
      </c>
      <c r="F31" s="119">
        <v>2.6970000000000001</v>
      </c>
      <c r="G31" s="119">
        <v>8.2010000000000005</v>
      </c>
      <c r="H31" s="120">
        <v>9.6939397634434821E-2</v>
      </c>
      <c r="I31" s="120">
        <v>0.32886233386172414</v>
      </c>
      <c r="J31" s="120">
        <v>0.42580173149615896</v>
      </c>
      <c r="K31" s="15">
        <v>47</v>
      </c>
      <c r="L31" s="121">
        <v>0.85899999999999999</v>
      </c>
      <c r="M31" s="119">
        <v>10.289</v>
      </c>
      <c r="N31" s="119">
        <v>0.59699999999999998</v>
      </c>
      <c r="O31" s="119">
        <v>0.59699999999999998</v>
      </c>
      <c r="P31" s="119">
        <v>10.765000000000001</v>
      </c>
      <c r="Q31" s="120">
        <v>7.9795633999071053E-2</v>
      </c>
      <c r="R31" s="120">
        <v>5.5457501161170451E-2</v>
      </c>
      <c r="S31" s="120">
        <v>0.13525313516024151</v>
      </c>
      <c r="T31" s="15">
        <v>47</v>
      </c>
      <c r="U31" s="122">
        <v>0.82699999999999996</v>
      </c>
      <c r="V31" s="122">
        <v>9.6425000000000001</v>
      </c>
      <c r="W31" s="122">
        <v>1.647</v>
      </c>
      <c r="X31" s="122">
        <v>1.647</v>
      </c>
      <c r="Y31" s="122">
        <v>9.4830000000000005</v>
      </c>
      <c r="Z31" s="123">
        <v>8.8367515816752937E-2</v>
      </c>
      <c r="AA31" s="123">
        <v>0.19215991751144729</v>
      </c>
      <c r="AB31" s="123">
        <v>0.28052743332820024</v>
      </c>
    </row>
    <row r="32" spans="2:28">
      <c r="B32" s="15">
        <v>48</v>
      </c>
      <c r="C32" s="119">
        <v>0.77900000000000003</v>
      </c>
      <c r="D32" s="119">
        <v>9.2409999999999997</v>
      </c>
      <c r="E32" s="119">
        <v>2.7719999999999998</v>
      </c>
      <c r="F32" s="119">
        <v>2.7719999999999998</v>
      </c>
      <c r="G32" s="119">
        <v>8.4619999999999997</v>
      </c>
      <c r="H32" s="120">
        <v>9.2058614984637202E-2</v>
      </c>
      <c r="I32" s="120">
        <v>0.32758213188371543</v>
      </c>
      <c r="J32" s="120">
        <v>0.41964074686835262</v>
      </c>
      <c r="K32" s="15">
        <v>48</v>
      </c>
      <c r="L32" s="121">
        <v>0.83099999999999996</v>
      </c>
      <c r="M32" s="119">
        <v>10.55</v>
      </c>
      <c r="N32" s="119">
        <v>0.60699999999999998</v>
      </c>
      <c r="O32" s="119">
        <v>0.60699999999999998</v>
      </c>
      <c r="P32" s="119">
        <v>11.033000000000001</v>
      </c>
      <c r="Q32" s="120">
        <v>7.5319496057282692E-2</v>
      </c>
      <c r="R32" s="120">
        <v>5.5016767878183624E-2</v>
      </c>
      <c r="S32" s="120">
        <v>0.13033626393546632</v>
      </c>
      <c r="T32" s="15">
        <v>48</v>
      </c>
      <c r="U32" s="122">
        <v>0.80499999999999994</v>
      </c>
      <c r="V32" s="122">
        <v>9.8955000000000002</v>
      </c>
      <c r="W32" s="122">
        <v>1.6894999999999998</v>
      </c>
      <c r="X32" s="122">
        <v>1.6894999999999998</v>
      </c>
      <c r="Y32" s="122">
        <v>9.7475000000000005</v>
      </c>
      <c r="Z32" s="123">
        <v>8.3689055520959954E-2</v>
      </c>
      <c r="AA32" s="123">
        <v>0.19129944988094952</v>
      </c>
      <c r="AB32" s="123">
        <v>0.27498850540190944</v>
      </c>
    </row>
    <row r="33" spans="2:28">
      <c r="B33" s="15">
        <v>49</v>
      </c>
      <c r="C33" s="119">
        <v>0.75700000000000001</v>
      </c>
      <c r="D33" s="119">
        <v>9.4930000000000003</v>
      </c>
      <c r="E33" s="119">
        <v>2.8460000000000001</v>
      </c>
      <c r="F33" s="119">
        <v>2.8460000000000001</v>
      </c>
      <c r="G33" s="119">
        <v>8.7360000000000007</v>
      </c>
      <c r="H33" s="120">
        <v>8.66529304029304E-2</v>
      </c>
      <c r="I33" s="120">
        <v>0.32577838827838829</v>
      </c>
      <c r="J33" s="120">
        <v>0.41243131868131866</v>
      </c>
      <c r="K33" s="15">
        <v>49</v>
      </c>
      <c r="L33" s="121">
        <v>0.8</v>
      </c>
      <c r="M33" s="119">
        <v>10.818</v>
      </c>
      <c r="N33" s="119">
        <v>0.61599999999999999</v>
      </c>
      <c r="O33" s="119">
        <v>0.61599999999999999</v>
      </c>
      <c r="P33" s="119">
        <v>11.306999999999999</v>
      </c>
      <c r="Q33" s="120">
        <v>7.075263111346955E-2</v>
      </c>
      <c r="R33" s="120">
        <v>5.4479525957371544E-2</v>
      </c>
      <c r="S33" s="120">
        <v>0.12523215707084109</v>
      </c>
      <c r="T33" s="15">
        <v>49</v>
      </c>
      <c r="U33" s="122">
        <v>0.77849999999999997</v>
      </c>
      <c r="V33" s="122">
        <v>10.1555</v>
      </c>
      <c r="W33" s="122">
        <v>1.7310000000000001</v>
      </c>
      <c r="X33" s="122">
        <v>1.7310000000000001</v>
      </c>
      <c r="Y33" s="122">
        <v>10.0215</v>
      </c>
      <c r="Z33" s="123">
        <v>7.8702780758199975E-2</v>
      </c>
      <c r="AA33" s="123">
        <v>0.19012895711787992</v>
      </c>
      <c r="AB33" s="123">
        <v>0.26883173787607989</v>
      </c>
    </row>
    <row r="34" spans="2:28">
      <c r="B34" s="15">
        <v>50</v>
      </c>
      <c r="C34" s="119">
        <v>0.73099999999999998</v>
      </c>
      <c r="D34" s="119">
        <v>9.7520000000000007</v>
      </c>
      <c r="E34" s="119">
        <v>2.9180000000000001</v>
      </c>
      <c r="F34" s="119">
        <v>2.9180000000000001</v>
      </c>
      <c r="G34" s="119">
        <v>9.0210000000000008</v>
      </c>
      <c r="H34" s="120">
        <v>8.1033144884159178E-2</v>
      </c>
      <c r="I34" s="120">
        <v>0.32346746480434541</v>
      </c>
      <c r="J34" s="120">
        <v>0.4045006096885046</v>
      </c>
      <c r="K34" s="15">
        <v>50</v>
      </c>
      <c r="L34" s="121">
        <v>0.76300000000000001</v>
      </c>
      <c r="M34" s="119">
        <v>11.092000000000001</v>
      </c>
      <c r="N34" s="119">
        <v>0.624</v>
      </c>
      <c r="O34" s="119">
        <v>0.624</v>
      </c>
      <c r="P34" s="119">
        <v>11.587</v>
      </c>
      <c r="Q34" s="120">
        <v>6.5849659100716329E-2</v>
      </c>
      <c r="R34" s="120">
        <v>5.3853456459825665E-2</v>
      </c>
      <c r="S34" s="120">
        <v>0.119703115560542</v>
      </c>
      <c r="T34" s="15">
        <v>50</v>
      </c>
      <c r="U34" s="122">
        <v>0.747</v>
      </c>
      <c r="V34" s="122">
        <v>10.422000000000001</v>
      </c>
      <c r="W34" s="122">
        <v>1.7710000000000001</v>
      </c>
      <c r="X34" s="122">
        <v>1.7710000000000001</v>
      </c>
      <c r="Y34" s="122">
        <v>10.304</v>
      </c>
      <c r="Z34" s="123">
        <v>7.344140199243776E-2</v>
      </c>
      <c r="AA34" s="123">
        <v>0.18866046063208552</v>
      </c>
      <c r="AB34" s="123">
        <v>0.26210186262452329</v>
      </c>
    </row>
    <row r="35" spans="2:28">
      <c r="B35" s="15">
        <v>51</v>
      </c>
      <c r="C35" s="119">
        <v>0.69799999999999995</v>
      </c>
      <c r="D35" s="119">
        <v>10.019</v>
      </c>
      <c r="E35" s="119">
        <v>2.9870000000000001</v>
      </c>
      <c r="F35" s="119">
        <v>2.9870000000000001</v>
      </c>
      <c r="G35" s="119">
        <v>9.3209999999999997</v>
      </c>
      <c r="H35" s="120">
        <v>7.4884669026928433E-2</v>
      </c>
      <c r="I35" s="120">
        <v>0.32045917819976399</v>
      </c>
      <c r="J35" s="120">
        <v>0.39534384722669241</v>
      </c>
      <c r="K35" s="15">
        <v>51</v>
      </c>
      <c r="L35" s="121">
        <v>0.72199999999999998</v>
      </c>
      <c r="M35" s="119">
        <v>11.374000000000001</v>
      </c>
      <c r="N35" s="119">
        <v>0.63100000000000001</v>
      </c>
      <c r="O35" s="119">
        <v>0.63100000000000001</v>
      </c>
      <c r="P35" s="119">
        <v>11.872</v>
      </c>
      <c r="Q35" s="120">
        <v>6.0815363881401616E-2</v>
      </c>
      <c r="R35" s="120">
        <v>5.3150269541778976E-2</v>
      </c>
      <c r="S35" s="120">
        <v>0.11396563342318058</v>
      </c>
      <c r="T35" s="15">
        <v>51</v>
      </c>
      <c r="U35" s="122">
        <v>0.71</v>
      </c>
      <c r="V35" s="122">
        <v>10.6965</v>
      </c>
      <c r="W35" s="122">
        <v>1.8090000000000002</v>
      </c>
      <c r="X35" s="122">
        <v>1.8090000000000002</v>
      </c>
      <c r="Y35" s="122">
        <v>10.596499999999999</v>
      </c>
      <c r="Z35" s="123">
        <v>6.7850016454165024E-2</v>
      </c>
      <c r="AA35" s="123">
        <v>0.18680472387077149</v>
      </c>
      <c r="AB35" s="123">
        <v>0.25465474032493651</v>
      </c>
    </row>
    <row r="36" spans="2:28">
      <c r="B36" s="15">
        <v>52</v>
      </c>
      <c r="C36" s="119">
        <v>0.66</v>
      </c>
      <c r="D36" s="119">
        <v>10.294</v>
      </c>
      <c r="E36" s="119">
        <v>3.0539999999999998</v>
      </c>
      <c r="F36" s="119">
        <v>3.0539999999999998</v>
      </c>
      <c r="G36" s="119">
        <v>9.6340000000000003</v>
      </c>
      <c r="H36" s="120">
        <v>6.8507369732198467E-2</v>
      </c>
      <c r="I36" s="120">
        <v>0.31700228357899102</v>
      </c>
      <c r="J36" s="120">
        <v>0.38550965331118947</v>
      </c>
      <c r="K36" s="15">
        <v>52</v>
      </c>
      <c r="L36" s="121">
        <v>0.67500000000000004</v>
      </c>
      <c r="M36" s="119">
        <v>11.662000000000001</v>
      </c>
      <c r="N36" s="119">
        <v>0.63600000000000001</v>
      </c>
      <c r="O36" s="119">
        <v>0.63600000000000001</v>
      </c>
      <c r="P36" s="119">
        <v>12.163</v>
      </c>
      <c r="Q36" s="120">
        <v>5.5496176930033711E-2</v>
      </c>
      <c r="R36" s="120">
        <v>5.228973115185398E-2</v>
      </c>
      <c r="S36" s="120">
        <v>0.10778590808188769</v>
      </c>
      <c r="T36" s="15">
        <v>52</v>
      </c>
      <c r="U36" s="122">
        <v>0.66749999999999998</v>
      </c>
      <c r="V36" s="122">
        <v>10.978000000000002</v>
      </c>
      <c r="W36" s="122">
        <v>1.845</v>
      </c>
      <c r="X36" s="122">
        <v>1.845</v>
      </c>
      <c r="Y36" s="122">
        <v>10.8985</v>
      </c>
      <c r="Z36" s="123">
        <v>6.2001773331116089E-2</v>
      </c>
      <c r="AA36" s="123">
        <v>0.1846460073654225</v>
      </c>
      <c r="AB36" s="123">
        <v>0.24664778069653859</v>
      </c>
    </row>
    <row r="37" spans="2:28">
      <c r="B37" s="15">
        <v>53</v>
      </c>
      <c r="C37" s="119">
        <v>0.61699999999999999</v>
      </c>
      <c r="D37" s="119">
        <v>10.577</v>
      </c>
      <c r="E37" s="119">
        <v>3.1179999999999999</v>
      </c>
      <c r="F37" s="119">
        <v>3.1179999999999999</v>
      </c>
      <c r="G37" s="119">
        <v>9.9600000000000009</v>
      </c>
      <c r="H37" s="120">
        <v>6.1947791164658629E-2</v>
      </c>
      <c r="I37" s="120">
        <v>0.31305220883534135</v>
      </c>
      <c r="J37" s="120">
        <v>0.375</v>
      </c>
      <c r="K37" s="15">
        <v>53</v>
      </c>
      <c r="L37" s="121">
        <v>0.622</v>
      </c>
      <c r="M37" s="119">
        <v>11.958</v>
      </c>
      <c r="N37" s="119">
        <v>0.64</v>
      </c>
      <c r="O37" s="119">
        <v>0.64</v>
      </c>
      <c r="P37" s="119">
        <v>12.459</v>
      </c>
      <c r="Q37" s="120">
        <v>4.9923749899670924E-2</v>
      </c>
      <c r="R37" s="120">
        <v>5.136848864274822E-2</v>
      </c>
      <c r="S37" s="120">
        <v>0.10129223854241914</v>
      </c>
      <c r="T37" s="15">
        <v>53</v>
      </c>
      <c r="U37" s="122">
        <v>0.61949999999999994</v>
      </c>
      <c r="V37" s="122">
        <v>11.2675</v>
      </c>
      <c r="W37" s="122">
        <v>1.879</v>
      </c>
      <c r="X37" s="122">
        <v>1.879</v>
      </c>
      <c r="Y37" s="122">
        <v>11.2095</v>
      </c>
      <c r="Z37" s="123">
        <v>5.593577053216478E-2</v>
      </c>
      <c r="AA37" s="123">
        <v>0.18221034873904479</v>
      </c>
      <c r="AB37" s="123">
        <v>0.23814611927120957</v>
      </c>
    </row>
    <row r="38" spans="2:28">
      <c r="B38" s="15">
        <v>54</v>
      </c>
      <c r="C38" s="119">
        <v>0.56599999999999995</v>
      </c>
      <c r="D38" s="119">
        <v>10.869</v>
      </c>
      <c r="E38" s="119">
        <v>3.1789999999999998</v>
      </c>
      <c r="F38" s="119">
        <v>3.1789999999999998</v>
      </c>
      <c r="G38" s="119">
        <v>10.302999999999999</v>
      </c>
      <c r="H38" s="120">
        <v>5.4935455692516739E-2</v>
      </c>
      <c r="I38" s="120">
        <v>0.30855090750266911</v>
      </c>
      <c r="J38" s="120">
        <v>0.36348636319518585</v>
      </c>
      <c r="K38" s="15">
        <v>54</v>
      </c>
      <c r="L38" s="121">
        <v>0.56299999999999994</v>
      </c>
      <c r="M38" s="119">
        <v>12.260999999999999</v>
      </c>
      <c r="N38" s="119">
        <v>0.64300000000000002</v>
      </c>
      <c r="O38" s="119">
        <v>0.64300000000000002</v>
      </c>
      <c r="P38" s="119">
        <v>12.760999999999999</v>
      </c>
      <c r="Q38" s="120">
        <v>4.41187994671264E-2</v>
      </c>
      <c r="R38" s="120">
        <v>5.0387900634746498E-2</v>
      </c>
      <c r="S38" s="120">
        <v>9.4506700101872898E-2</v>
      </c>
      <c r="T38" s="15">
        <v>54</v>
      </c>
      <c r="U38" s="122">
        <v>0.5645</v>
      </c>
      <c r="V38" s="122">
        <v>11.565</v>
      </c>
      <c r="W38" s="122">
        <v>1.911</v>
      </c>
      <c r="X38" s="122">
        <v>1.911</v>
      </c>
      <c r="Y38" s="122">
        <v>11.532</v>
      </c>
      <c r="Z38" s="123">
        <v>4.952712757982157E-2</v>
      </c>
      <c r="AA38" s="123">
        <v>0.17946940406870782</v>
      </c>
      <c r="AB38" s="123">
        <v>0.22899653164852937</v>
      </c>
    </row>
    <row r="39" spans="2:28">
      <c r="B39" s="15">
        <v>55</v>
      </c>
      <c r="C39" s="119">
        <v>0.50900000000000001</v>
      </c>
      <c r="D39" s="119">
        <v>11.17</v>
      </c>
      <c r="E39" s="119">
        <v>3.2370000000000001</v>
      </c>
      <c r="F39" s="119">
        <v>3.2370000000000001</v>
      </c>
      <c r="G39" s="119">
        <v>10.661</v>
      </c>
      <c r="H39" s="120">
        <v>4.7744114060594693E-2</v>
      </c>
      <c r="I39" s="120">
        <v>0.30363005346590377</v>
      </c>
      <c r="J39" s="120">
        <v>0.35137416752649847</v>
      </c>
      <c r="K39" s="15">
        <v>55</v>
      </c>
      <c r="L39" s="121">
        <v>0.497</v>
      </c>
      <c r="M39" s="119">
        <v>12.571</v>
      </c>
      <c r="N39" s="119">
        <v>0.64400000000000002</v>
      </c>
      <c r="O39" s="119">
        <v>0.64400000000000002</v>
      </c>
      <c r="P39" s="119">
        <v>13.07</v>
      </c>
      <c r="Q39" s="120">
        <v>3.8026013771996936E-2</v>
      </c>
      <c r="R39" s="120">
        <v>4.9273144605967864E-2</v>
      </c>
      <c r="S39" s="120">
        <v>8.72991583779648E-2</v>
      </c>
      <c r="T39" s="15">
        <v>55</v>
      </c>
      <c r="U39" s="122">
        <v>0.503</v>
      </c>
      <c r="V39" s="122">
        <v>11.8705</v>
      </c>
      <c r="W39" s="122">
        <v>1.9405000000000001</v>
      </c>
      <c r="X39" s="122">
        <v>1.9405000000000001</v>
      </c>
      <c r="Y39" s="122">
        <v>11.865500000000001</v>
      </c>
      <c r="Z39" s="123">
        <v>4.2885063916295818E-2</v>
      </c>
      <c r="AA39" s="123">
        <v>0.17645159903593582</v>
      </c>
      <c r="AB39" s="123">
        <v>0.21933666295223164</v>
      </c>
    </row>
    <row r="40" spans="2:28">
      <c r="B40" s="15">
        <v>56</v>
      </c>
      <c r="C40" s="119">
        <v>0.44500000000000001</v>
      </c>
      <c r="D40" s="119">
        <v>11.481</v>
      </c>
      <c r="E40" s="119">
        <v>3.294</v>
      </c>
      <c r="F40" s="119">
        <v>3.294</v>
      </c>
      <c r="G40" s="119">
        <v>11.036</v>
      </c>
      <c r="H40" s="120">
        <v>4.0322580645161289E-2</v>
      </c>
      <c r="I40" s="120">
        <v>0.2984777093149692</v>
      </c>
      <c r="J40" s="120">
        <v>0.33880028996013051</v>
      </c>
      <c r="K40" s="15">
        <v>56</v>
      </c>
      <c r="L40" s="121">
        <v>0.42599999999999999</v>
      </c>
      <c r="M40" s="119">
        <v>12.89</v>
      </c>
      <c r="N40" s="119">
        <v>0.64500000000000002</v>
      </c>
      <c r="O40" s="119">
        <v>0.64500000000000002</v>
      </c>
      <c r="P40" s="119">
        <v>13.385</v>
      </c>
      <c r="Q40" s="120">
        <v>3.1826671647366453E-2</v>
      </c>
      <c r="R40" s="120">
        <v>4.8188270451998506E-2</v>
      </c>
      <c r="S40" s="120">
        <v>8.0014942099364966E-2</v>
      </c>
      <c r="T40" s="15">
        <v>56</v>
      </c>
      <c r="U40" s="122">
        <v>0.4355</v>
      </c>
      <c r="V40" s="122">
        <v>12.185500000000001</v>
      </c>
      <c r="W40" s="122">
        <v>1.9695</v>
      </c>
      <c r="X40" s="122">
        <v>1.9695</v>
      </c>
      <c r="Y40" s="122">
        <v>12.2105</v>
      </c>
      <c r="Z40" s="123">
        <v>3.6074626146263875E-2</v>
      </c>
      <c r="AA40" s="123">
        <v>0.17333298988348386</v>
      </c>
      <c r="AB40" s="123">
        <v>0.20940761602974772</v>
      </c>
    </row>
    <row r="41" spans="2:28">
      <c r="B41" s="15">
        <v>57</v>
      </c>
      <c r="C41" s="119">
        <v>0.376</v>
      </c>
      <c r="D41" s="119">
        <v>11.802</v>
      </c>
      <c r="E41" s="119">
        <v>3.3479999999999999</v>
      </c>
      <c r="F41" s="119">
        <v>3.3479999999999999</v>
      </c>
      <c r="G41" s="119">
        <v>11.426</v>
      </c>
      <c r="H41" s="120">
        <v>3.2907404165937335E-2</v>
      </c>
      <c r="I41" s="120">
        <v>0.29301592858393138</v>
      </c>
      <c r="J41" s="120">
        <v>0.32592333274986873</v>
      </c>
      <c r="K41" s="15">
        <v>57</v>
      </c>
      <c r="L41" s="121">
        <v>0.35</v>
      </c>
      <c r="M41" s="119">
        <v>13.218999999999999</v>
      </c>
      <c r="N41" s="119">
        <v>0.64400000000000002</v>
      </c>
      <c r="O41" s="119">
        <v>0.64400000000000002</v>
      </c>
      <c r="P41" s="119">
        <v>13.709999999999999</v>
      </c>
      <c r="Q41" s="120">
        <v>2.5528811086797956E-2</v>
      </c>
      <c r="R41" s="120">
        <v>4.6973012399708247E-2</v>
      </c>
      <c r="S41" s="120">
        <v>7.2501823486506203E-2</v>
      </c>
      <c r="T41" s="15">
        <v>57</v>
      </c>
      <c r="U41" s="122">
        <v>0.36299999999999999</v>
      </c>
      <c r="V41" s="122">
        <v>12.5105</v>
      </c>
      <c r="W41" s="122">
        <v>1.996</v>
      </c>
      <c r="X41" s="122">
        <v>1.996</v>
      </c>
      <c r="Y41" s="122">
        <v>12.568</v>
      </c>
      <c r="Z41" s="123">
        <v>2.9218107626367645E-2</v>
      </c>
      <c r="AA41" s="123">
        <v>0.16999447049181982</v>
      </c>
      <c r="AB41" s="123">
        <v>0.19921257811818746</v>
      </c>
    </row>
    <row r="42" spans="2:28">
      <c r="B42" s="15">
        <v>58</v>
      </c>
      <c r="C42" s="119">
        <v>0.30299999999999999</v>
      </c>
      <c r="D42" s="119">
        <v>12.135</v>
      </c>
      <c r="E42" s="119">
        <v>3.403</v>
      </c>
      <c r="F42" s="119">
        <v>3.403</v>
      </c>
      <c r="G42" s="119">
        <v>11.831999999999999</v>
      </c>
      <c r="H42" s="120">
        <v>2.5608519269776878E-2</v>
      </c>
      <c r="I42" s="120">
        <v>0.28760987153482087</v>
      </c>
      <c r="J42" s="120">
        <v>0.31321839080459773</v>
      </c>
      <c r="K42" s="15">
        <v>58</v>
      </c>
      <c r="L42" s="121">
        <v>0.27400000000000002</v>
      </c>
      <c r="M42" s="119">
        <v>13.561</v>
      </c>
      <c r="N42" s="119">
        <v>0.64200000000000002</v>
      </c>
      <c r="O42" s="119">
        <v>0.64200000000000002</v>
      </c>
      <c r="P42" s="119">
        <v>14.047000000000001</v>
      </c>
      <c r="Q42" s="120">
        <v>1.9505944329750124E-2</v>
      </c>
      <c r="R42" s="120">
        <v>4.5703708977005764E-2</v>
      </c>
      <c r="S42" s="120">
        <v>6.5209653306755891E-2</v>
      </c>
      <c r="T42" s="15">
        <v>58</v>
      </c>
      <c r="U42" s="122">
        <v>0.28849999999999998</v>
      </c>
      <c r="V42" s="122">
        <v>12.847999999999999</v>
      </c>
      <c r="W42" s="122">
        <v>2.0225</v>
      </c>
      <c r="X42" s="122">
        <v>2.0225</v>
      </c>
      <c r="Y42" s="122">
        <v>12.939499999999999</v>
      </c>
      <c r="Z42" s="123">
        <v>2.2557231799763502E-2</v>
      </c>
      <c r="AA42" s="123">
        <v>0.16665679025591332</v>
      </c>
      <c r="AB42" s="123">
        <v>0.18921402205567681</v>
      </c>
    </row>
    <row r="43" spans="2:28">
      <c r="B43" s="15">
        <v>59</v>
      </c>
      <c r="C43" s="119">
        <v>0.23</v>
      </c>
      <c r="D43" s="119">
        <v>12.483000000000001</v>
      </c>
      <c r="E43" s="119">
        <v>3.4580000000000002</v>
      </c>
      <c r="F43" s="119">
        <v>3.4580000000000002</v>
      </c>
      <c r="G43" s="119">
        <v>12.253</v>
      </c>
      <c r="H43" s="120">
        <v>1.8770913245735737E-2</v>
      </c>
      <c r="I43" s="120">
        <v>0.28221660001632254</v>
      </c>
      <c r="J43" s="120">
        <v>0.3009875132620583</v>
      </c>
      <c r="K43" s="15">
        <v>59</v>
      </c>
      <c r="L43" s="121">
        <v>0.2</v>
      </c>
      <c r="M43" s="119">
        <v>13.92</v>
      </c>
      <c r="N43" s="119">
        <v>0.64</v>
      </c>
      <c r="O43" s="119">
        <v>0.64</v>
      </c>
      <c r="P43" s="119">
        <v>14.4</v>
      </c>
      <c r="Q43" s="120">
        <v>1.388888888888889E-2</v>
      </c>
      <c r="R43" s="120">
        <v>4.4444444444444446E-2</v>
      </c>
      <c r="S43" s="120">
        <v>5.8333333333333334E-2</v>
      </c>
      <c r="T43" s="15">
        <v>59</v>
      </c>
      <c r="U43" s="122">
        <v>0.21500000000000002</v>
      </c>
      <c r="V43" s="122">
        <v>13.201499999999999</v>
      </c>
      <c r="W43" s="122">
        <v>2.0489999999999999</v>
      </c>
      <c r="X43" s="122">
        <v>2.0489999999999999</v>
      </c>
      <c r="Y43" s="122">
        <v>13.326499999999999</v>
      </c>
      <c r="Z43" s="123">
        <v>1.6329901067312313E-2</v>
      </c>
      <c r="AA43" s="123">
        <v>0.1633305222303835</v>
      </c>
      <c r="AB43" s="123">
        <v>0.17966042329769583</v>
      </c>
    </row>
    <row r="44" spans="2:28">
      <c r="B44" s="15">
        <v>60</v>
      </c>
      <c r="C44" s="119">
        <v>0.16300000000000001</v>
      </c>
      <c r="D44" s="119">
        <v>12.851000000000001</v>
      </c>
      <c r="E44" s="119">
        <v>3.5139999999999998</v>
      </c>
      <c r="F44" s="119">
        <v>3.5139999999999998</v>
      </c>
      <c r="G44" s="119">
        <v>12.688000000000001</v>
      </c>
      <c r="H44" s="120">
        <v>1.2846784363177806E-2</v>
      </c>
      <c r="I44" s="120">
        <v>0.27695460277427486</v>
      </c>
      <c r="J44" s="120">
        <v>0.28980138713745268</v>
      </c>
      <c r="K44" s="15">
        <v>60</v>
      </c>
      <c r="L44" s="121">
        <v>0.13500000000000001</v>
      </c>
      <c r="M44" s="119">
        <v>14.303000000000001</v>
      </c>
      <c r="N44" s="119">
        <v>0.63800000000000001</v>
      </c>
      <c r="O44" s="119">
        <v>0.63800000000000001</v>
      </c>
      <c r="P44" s="119">
        <v>14.777000000000001</v>
      </c>
      <c r="Q44" s="120">
        <v>9.1358191784530005E-3</v>
      </c>
      <c r="R44" s="120">
        <v>4.3175204710022327E-2</v>
      </c>
      <c r="S44" s="120">
        <v>5.2311023888475326E-2</v>
      </c>
      <c r="T44" s="15">
        <v>60</v>
      </c>
      <c r="U44" s="122">
        <v>0.14900000000000002</v>
      </c>
      <c r="V44" s="122">
        <v>13.577000000000002</v>
      </c>
      <c r="W44" s="122">
        <v>2.0760000000000001</v>
      </c>
      <c r="X44" s="122">
        <v>2.0760000000000001</v>
      </c>
      <c r="Y44" s="122">
        <v>13.732500000000002</v>
      </c>
      <c r="Z44" s="123">
        <v>1.0991301770815403E-2</v>
      </c>
      <c r="AA44" s="123">
        <v>0.1600649037421486</v>
      </c>
      <c r="AB44" s="123">
        <v>0.17105620551296399</v>
      </c>
    </row>
    <row r="45" spans="2:28">
      <c r="B45" s="15">
        <v>61</v>
      </c>
      <c r="C45" s="119">
        <v>0.105</v>
      </c>
      <c r="D45" s="119">
        <v>13.243</v>
      </c>
      <c r="E45" s="119">
        <v>3.573</v>
      </c>
      <c r="F45" s="119">
        <v>3.573</v>
      </c>
      <c r="G45" s="119">
        <v>13.138</v>
      </c>
      <c r="H45" s="120">
        <v>7.9920840310549555E-3</v>
      </c>
      <c r="I45" s="120">
        <v>0.27195920231389864</v>
      </c>
      <c r="J45" s="120">
        <v>0.27995128634495359</v>
      </c>
      <c r="K45" s="15">
        <v>61</v>
      </c>
      <c r="L45" s="121">
        <v>8.3000000000000004E-2</v>
      </c>
      <c r="M45" s="119">
        <v>14.712</v>
      </c>
      <c r="N45" s="119">
        <v>0.63600000000000001</v>
      </c>
      <c r="O45" s="119">
        <v>0.63600000000000001</v>
      </c>
      <c r="P45" s="119">
        <v>15.18</v>
      </c>
      <c r="Q45" s="120">
        <v>5.4677206851119903E-3</v>
      </c>
      <c r="R45" s="120">
        <v>4.1897233201581029E-2</v>
      </c>
      <c r="S45" s="120">
        <v>4.7364953886693019E-2</v>
      </c>
      <c r="T45" s="15">
        <v>61</v>
      </c>
      <c r="U45" s="122">
        <v>9.4E-2</v>
      </c>
      <c r="V45" s="122">
        <v>13.977499999999999</v>
      </c>
      <c r="W45" s="122">
        <v>2.1044999999999998</v>
      </c>
      <c r="X45" s="122">
        <v>2.1044999999999998</v>
      </c>
      <c r="Y45" s="122">
        <v>14.158999999999999</v>
      </c>
      <c r="Z45" s="123">
        <v>6.7299023580834729E-3</v>
      </c>
      <c r="AA45" s="123">
        <v>0.15692821775773982</v>
      </c>
      <c r="AB45" s="123">
        <v>0.16365812011582331</v>
      </c>
    </row>
    <row r="46" spans="2:28">
      <c r="B46" s="15">
        <v>62</v>
      </c>
      <c r="C46" s="119">
        <v>0.06</v>
      </c>
      <c r="D46" s="119">
        <v>13.663</v>
      </c>
      <c r="E46" s="119">
        <v>3.617</v>
      </c>
      <c r="F46" s="119">
        <v>3.617</v>
      </c>
      <c r="G46" s="119">
        <v>13.603</v>
      </c>
      <c r="H46" s="120">
        <v>4.4107917371168127E-3</v>
      </c>
      <c r="I46" s="120">
        <v>0.26589722855252518</v>
      </c>
      <c r="J46" s="120">
        <v>0.27030802028964201</v>
      </c>
      <c r="K46" s="15">
        <v>62</v>
      </c>
      <c r="L46" s="121">
        <v>4.4999999999999998E-2</v>
      </c>
      <c r="M46" s="119">
        <v>15.151999999999999</v>
      </c>
      <c r="N46" s="119">
        <v>0.63200000000000001</v>
      </c>
      <c r="O46" s="119">
        <v>0.63200000000000001</v>
      </c>
      <c r="P46" s="119">
        <v>15.612</v>
      </c>
      <c r="Q46" s="120">
        <v>2.8823981552651805E-3</v>
      </c>
      <c r="R46" s="120">
        <v>4.0481680758390981E-2</v>
      </c>
      <c r="S46" s="120">
        <v>4.3364078913656165E-2</v>
      </c>
      <c r="T46" s="15">
        <v>62</v>
      </c>
      <c r="U46" s="122">
        <v>5.2499999999999998E-2</v>
      </c>
      <c r="V46" s="122">
        <v>14.407499999999999</v>
      </c>
      <c r="W46" s="122">
        <v>2.1244999999999998</v>
      </c>
      <c r="X46" s="122">
        <v>2.1244999999999998</v>
      </c>
      <c r="Y46" s="122">
        <v>14.6075</v>
      </c>
      <c r="Z46" s="123">
        <v>3.6465949461909966E-3</v>
      </c>
      <c r="AA46" s="123">
        <v>0.15318945465545808</v>
      </c>
      <c r="AB46" s="123">
        <v>0.1568360496016491</v>
      </c>
    </row>
    <row r="47" spans="2:28">
      <c r="B47" s="15">
        <v>63</v>
      </c>
      <c r="C47" s="119">
        <v>2.8000000000000001E-2</v>
      </c>
      <c r="D47" s="119">
        <v>14.113</v>
      </c>
      <c r="E47" s="119">
        <v>3.661</v>
      </c>
      <c r="F47" s="119">
        <v>3.661</v>
      </c>
      <c r="G47" s="119">
        <v>14.084999999999999</v>
      </c>
      <c r="H47" s="120">
        <v>1.987930422435215E-3</v>
      </c>
      <c r="I47" s="120">
        <v>0.25992190273340438</v>
      </c>
      <c r="J47" s="120">
        <v>0.2619098331558396</v>
      </c>
      <c r="K47" s="15">
        <v>63</v>
      </c>
      <c r="L47" s="121">
        <v>0.02</v>
      </c>
      <c r="M47" s="119">
        <v>15.624000000000001</v>
      </c>
      <c r="N47" s="119">
        <v>0.627</v>
      </c>
      <c r="O47" s="119">
        <v>0.627</v>
      </c>
      <c r="P47" s="119">
        <v>16.074000000000002</v>
      </c>
      <c r="Q47" s="120">
        <v>1.2442453651860146E-3</v>
      </c>
      <c r="R47" s="120">
        <v>3.9007092198581554E-2</v>
      </c>
      <c r="S47" s="120">
        <v>4.0251337563767565E-2</v>
      </c>
      <c r="T47" s="15">
        <v>63</v>
      </c>
      <c r="U47" s="122">
        <v>2.4E-2</v>
      </c>
      <c r="V47" s="122">
        <v>14.868500000000001</v>
      </c>
      <c r="W47" s="122">
        <v>2.1440000000000001</v>
      </c>
      <c r="X47" s="122">
        <v>2.1440000000000001</v>
      </c>
      <c r="Y47" s="122">
        <v>15.079499999999999</v>
      </c>
      <c r="Z47" s="123">
        <v>1.6160878938106149E-3</v>
      </c>
      <c r="AA47" s="123">
        <v>0.14946449746599297</v>
      </c>
      <c r="AB47" s="123">
        <v>0.15108058535980359</v>
      </c>
    </row>
    <row r="48" spans="2:28">
      <c r="B48" s="15">
        <v>64</v>
      </c>
      <c r="C48" s="119">
        <v>0.01</v>
      </c>
      <c r="D48" s="119">
        <v>14.596</v>
      </c>
      <c r="E48" s="119">
        <v>3.7040000000000002</v>
      </c>
      <c r="F48" s="119">
        <v>3.7040000000000002</v>
      </c>
      <c r="G48" s="119">
        <v>14.586</v>
      </c>
      <c r="H48" s="120">
        <v>6.8558892088303855E-4</v>
      </c>
      <c r="I48" s="120">
        <v>0.2539421362950775</v>
      </c>
      <c r="J48" s="120">
        <v>0.25462772521596055</v>
      </c>
      <c r="K48" s="15">
        <v>64</v>
      </c>
      <c r="L48" s="121">
        <v>7.0000000000000001E-3</v>
      </c>
      <c r="M48" s="119">
        <v>16.126999999999999</v>
      </c>
      <c r="N48" s="119">
        <v>0.62</v>
      </c>
      <c r="O48" s="119">
        <v>0.62</v>
      </c>
      <c r="P48" s="119">
        <v>16.567</v>
      </c>
      <c r="Q48" s="120">
        <v>4.2252670972415043E-4</v>
      </c>
      <c r="R48" s="120">
        <v>3.7423794289853325E-2</v>
      </c>
      <c r="S48" s="120">
        <v>3.7846320999577479E-2</v>
      </c>
      <c r="T48" s="15">
        <v>64</v>
      </c>
      <c r="U48" s="122">
        <v>8.5000000000000006E-3</v>
      </c>
      <c r="V48" s="122">
        <v>15.361499999999999</v>
      </c>
      <c r="W48" s="122">
        <v>2.1619999999999999</v>
      </c>
      <c r="X48" s="122">
        <v>2.1619999999999999</v>
      </c>
      <c r="Y48" s="122">
        <v>15.576499999999999</v>
      </c>
      <c r="Z48" s="123">
        <v>5.5405781530359455E-4</v>
      </c>
      <c r="AA48" s="123">
        <v>0.14568296529246541</v>
      </c>
      <c r="AB48" s="123">
        <v>0.14623702310776901</v>
      </c>
    </row>
    <row r="49" spans="2:28">
      <c r="B49" s="15">
        <v>65</v>
      </c>
      <c r="C49" s="119">
        <v>2E-3</v>
      </c>
      <c r="D49" s="119">
        <v>15.112</v>
      </c>
      <c r="E49" s="119">
        <v>3.7429999999999999</v>
      </c>
      <c r="F49" s="119">
        <v>3.7429999999999999</v>
      </c>
      <c r="G49" s="119">
        <v>15.11</v>
      </c>
      <c r="H49" s="120">
        <v>1.3236267372600927E-4</v>
      </c>
      <c r="I49" s="120">
        <v>0.24771674387822634</v>
      </c>
      <c r="J49" s="120">
        <v>0.24784910655195236</v>
      </c>
      <c r="K49" s="15">
        <v>65</v>
      </c>
      <c r="L49" s="121">
        <v>1E-3</v>
      </c>
      <c r="M49" s="119">
        <v>16.658000000000001</v>
      </c>
      <c r="N49" s="119">
        <v>0.61299999999999999</v>
      </c>
      <c r="O49" s="119">
        <v>0.61299999999999999</v>
      </c>
      <c r="P49" s="119">
        <v>17.087000000000003</v>
      </c>
      <c r="Q49" s="120">
        <v>5.8524024111897921E-5</v>
      </c>
      <c r="R49" s="120">
        <v>3.5875226780593426E-2</v>
      </c>
      <c r="S49" s="120">
        <v>3.5933750804705324E-2</v>
      </c>
      <c r="T49" s="15">
        <v>65</v>
      </c>
      <c r="U49" s="122">
        <v>1.5E-3</v>
      </c>
      <c r="V49" s="122">
        <v>15.885000000000002</v>
      </c>
      <c r="W49" s="122">
        <v>2.1779999999999999</v>
      </c>
      <c r="X49" s="122">
        <v>2.1779999999999999</v>
      </c>
      <c r="Y49" s="122">
        <v>16.098500000000001</v>
      </c>
      <c r="Z49" s="123">
        <v>9.5443348918953599E-5</v>
      </c>
      <c r="AA49" s="123">
        <v>0.14179598532940987</v>
      </c>
      <c r="AB49" s="123">
        <v>0.14189142867832885</v>
      </c>
    </row>
    <row r="50" spans="2:28" s="43" customFormat="1">
      <c r="B50" s="124">
        <v>66</v>
      </c>
      <c r="C50" s="125">
        <v>0</v>
      </c>
      <c r="D50" s="125">
        <v>15.661</v>
      </c>
      <c r="E50" s="125">
        <v>3.6739999999999999</v>
      </c>
      <c r="F50" s="125">
        <v>3.6739999999999999</v>
      </c>
      <c r="G50" s="119">
        <v>15.661</v>
      </c>
      <c r="H50" s="120">
        <v>0</v>
      </c>
      <c r="I50" s="120">
        <v>0.23459549198646318</v>
      </c>
      <c r="J50" s="120">
        <v>0.23459549198646318</v>
      </c>
      <c r="K50" s="124">
        <v>66</v>
      </c>
      <c r="L50" s="126">
        <v>0</v>
      </c>
      <c r="M50" s="125">
        <v>17.216999999999999</v>
      </c>
      <c r="N50" s="125">
        <v>0.60399999999999998</v>
      </c>
      <c r="O50" s="119">
        <v>0.60399999999999998</v>
      </c>
      <c r="P50" s="125">
        <v>17.634</v>
      </c>
      <c r="Q50" s="120">
        <v>0</v>
      </c>
      <c r="R50" s="120">
        <v>3.4252013156402403E-2</v>
      </c>
      <c r="S50" s="120">
        <v>3.4252013156402403E-2</v>
      </c>
      <c r="T50" s="124">
        <v>66</v>
      </c>
      <c r="U50" s="122">
        <v>0</v>
      </c>
      <c r="V50" s="122">
        <v>16.439</v>
      </c>
      <c r="W50" s="122">
        <v>2.1389999999999998</v>
      </c>
      <c r="X50" s="122">
        <v>2.1389999999999998</v>
      </c>
      <c r="Y50" s="122">
        <v>16.647500000000001</v>
      </c>
      <c r="Z50" s="123">
        <v>0</v>
      </c>
      <c r="AA50" s="123">
        <v>0.1344237525714328</v>
      </c>
      <c r="AB50" s="123">
        <v>0.1344237525714328</v>
      </c>
    </row>
    <row r="51" spans="2:28">
      <c r="B51" s="15">
        <v>67</v>
      </c>
      <c r="C51" s="119">
        <v>0</v>
      </c>
      <c r="D51" s="119">
        <v>15.260999999999999</v>
      </c>
      <c r="E51" s="119">
        <v>3.6779999999999999</v>
      </c>
      <c r="F51" s="119">
        <v>3.6779999999999999</v>
      </c>
      <c r="G51" s="119">
        <v>15.260999999999999</v>
      </c>
      <c r="H51" s="120">
        <v>0</v>
      </c>
      <c r="I51" s="120">
        <v>0.24100648712404169</v>
      </c>
      <c r="J51" s="120">
        <v>0.24100648712404169</v>
      </c>
      <c r="K51" s="15">
        <v>67</v>
      </c>
      <c r="L51" s="119">
        <v>0</v>
      </c>
      <c r="M51" s="119">
        <v>16.803000000000001</v>
      </c>
      <c r="N51" s="119">
        <v>0.58599999999999997</v>
      </c>
      <c r="O51" s="119">
        <v>0.58599999999999997</v>
      </c>
      <c r="P51" s="119">
        <v>17.477</v>
      </c>
      <c r="Q51" s="120">
        <v>0</v>
      </c>
      <c r="R51" s="120">
        <v>3.3529781999198947E-2</v>
      </c>
      <c r="S51" s="120">
        <v>3.3529781999198947E-2</v>
      </c>
      <c r="T51" s="15">
        <v>67</v>
      </c>
      <c r="U51" s="122">
        <v>0</v>
      </c>
      <c r="V51" s="122">
        <v>16.032</v>
      </c>
      <c r="W51" s="122">
        <v>2.1320000000000001</v>
      </c>
      <c r="X51" s="122">
        <v>2.1320000000000001</v>
      </c>
      <c r="Y51" s="122">
        <v>16.369</v>
      </c>
      <c r="Z51" s="123">
        <v>0</v>
      </c>
      <c r="AA51" s="123">
        <v>0.13726813456162032</v>
      </c>
      <c r="AB51" s="123">
        <v>0.13726813456162032</v>
      </c>
    </row>
    <row r="52" spans="2:28">
      <c r="B52" s="15">
        <v>68</v>
      </c>
      <c r="C52" s="119">
        <v>0</v>
      </c>
      <c r="D52" s="119">
        <v>14.851000000000001</v>
      </c>
      <c r="E52" s="119">
        <v>3.68</v>
      </c>
      <c r="F52" s="119">
        <v>3.68</v>
      </c>
      <c r="G52" s="119">
        <v>14.851000000000001</v>
      </c>
      <c r="H52" s="120">
        <v>0</v>
      </c>
      <c r="I52" s="120">
        <v>0.24779476129553565</v>
      </c>
      <c r="J52" s="120">
        <v>0.24779476129553565</v>
      </c>
      <c r="K52" s="15">
        <v>68</v>
      </c>
      <c r="L52" s="119">
        <v>0</v>
      </c>
      <c r="M52" s="119">
        <v>16.378</v>
      </c>
      <c r="N52" s="119">
        <v>0.56699999999999995</v>
      </c>
      <c r="O52" s="119">
        <v>0.56699999999999995</v>
      </c>
      <c r="P52" s="119">
        <v>17.039000000000001</v>
      </c>
      <c r="Q52" s="120">
        <v>0</v>
      </c>
      <c r="R52" s="120">
        <v>3.3276600739480008E-2</v>
      </c>
      <c r="S52" s="120">
        <v>3.3276600739480008E-2</v>
      </c>
      <c r="T52" s="15">
        <v>68</v>
      </c>
      <c r="U52" s="122">
        <v>0</v>
      </c>
      <c r="V52" s="122">
        <v>15.6145</v>
      </c>
      <c r="W52" s="122">
        <v>2.1234999999999999</v>
      </c>
      <c r="X52" s="122">
        <v>2.1234999999999999</v>
      </c>
      <c r="Y52" s="122">
        <v>15.945</v>
      </c>
      <c r="Z52" s="123">
        <v>0</v>
      </c>
      <c r="AA52" s="123">
        <v>0.14053568101750782</v>
      </c>
      <c r="AB52" s="123">
        <v>0.14053568101750782</v>
      </c>
    </row>
    <row r="53" spans="2:28">
      <c r="B53" s="15">
        <v>69</v>
      </c>
      <c r="C53" s="119">
        <v>0</v>
      </c>
      <c r="D53" s="119">
        <v>14.432</v>
      </c>
      <c r="E53" s="119">
        <v>3.681</v>
      </c>
      <c r="F53" s="119">
        <v>3.681</v>
      </c>
      <c r="G53" s="119">
        <v>14.432</v>
      </c>
      <c r="H53" s="120">
        <v>0</v>
      </c>
      <c r="I53" s="120">
        <v>0.25505820399113083</v>
      </c>
      <c r="J53" s="120">
        <v>0.25505820399113083</v>
      </c>
      <c r="K53" s="15">
        <v>69</v>
      </c>
      <c r="L53" s="119">
        <v>0</v>
      </c>
      <c r="M53" s="119">
        <v>15.94</v>
      </c>
      <c r="N53" s="119">
        <v>0.54900000000000004</v>
      </c>
      <c r="O53" s="119">
        <v>0.54900000000000004</v>
      </c>
      <c r="P53" s="119">
        <v>16.588999999999999</v>
      </c>
      <c r="Q53" s="120">
        <v>0</v>
      </c>
      <c r="R53" s="120">
        <v>3.3094219060823445E-2</v>
      </c>
      <c r="S53" s="120">
        <v>3.3094219060823445E-2</v>
      </c>
      <c r="T53" s="15">
        <v>69</v>
      </c>
      <c r="U53" s="122">
        <v>0</v>
      </c>
      <c r="V53" s="122">
        <v>15.186</v>
      </c>
      <c r="W53" s="122">
        <v>2.1150000000000002</v>
      </c>
      <c r="X53" s="122">
        <v>2.1150000000000002</v>
      </c>
      <c r="Y53" s="122">
        <v>15.5105</v>
      </c>
      <c r="Z53" s="123">
        <v>0</v>
      </c>
      <c r="AA53" s="123">
        <v>0.14407621152597713</v>
      </c>
      <c r="AB53" s="123">
        <v>0.14407621152597713</v>
      </c>
    </row>
    <row r="54" spans="2:28">
      <c r="B54" s="15">
        <v>70</v>
      </c>
      <c r="C54" s="119">
        <v>0</v>
      </c>
      <c r="D54" s="119">
        <v>14.002000000000001</v>
      </c>
      <c r="E54" s="119">
        <v>3.6789999999999998</v>
      </c>
      <c r="F54" s="119">
        <v>3.6789999999999998</v>
      </c>
      <c r="G54" s="119">
        <v>14.002000000000001</v>
      </c>
      <c r="H54" s="120">
        <v>0</v>
      </c>
      <c r="I54" s="120">
        <v>0.26274817883159546</v>
      </c>
      <c r="J54" s="120">
        <v>0.26274817883159546</v>
      </c>
      <c r="K54" s="15">
        <v>70</v>
      </c>
      <c r="L54" s="119">
        <v>0</v>
      </c>
      <c r="M54" s="119">
        <v>15.49</v>
      </c>
      <c r="N54" s="119">
        <v>0.53</v>
      </c>
      <c r="O54" s="119">
        <v>0.53</v>
      </c>
      <c r="P54" s="119">
        <v>16.125</v>
      </c>
      <c r="Q54" s="120">
        <v>0</v>
      </c>
      <c r="R54" s="120">
        <v>3.2868217054263571E-2</v>
      </c>
      <c r="S54" s="120">
        <v>3.2868217054263571E-2</v>
      </c>
      <c r="T54" s="15">
        <v>70</v>
      </c>
      <c r="U54" s="122">
        <v>0</v>
      </c>
      <c r="V54" s="122">
        <v>14.746</v>
      </c>
      <c r="W54" s="122">
        <v>2.1044999999999998</v>
      </c>
      <c r="X54" s="122">
        <v>2.1044999999999998</v>
      </c>
      <c r="Y54" s="122">
        <v>15.063500000000001</v>
      </c>
      <c r="Z54" s="123">
        <v>0</v>
      </c>
      <c r="AA54" s="123">
        <v>0.14780819794292951</v>
      </c>
      <c r="AB54" s="123">
        <v>0.14780819794292951</v>
      </c>
    </row>
    <row r="55" spans="2:28">
      <c r="B55" s="15">
        <v>71</v>
      </c>
      <c r="C55" s="119">
        <v>0</v>
      </c>
      <c r="D55" s="119">
        <v>13.561999999999999</v>
      </c>
      <c r="E55" s="119">
        <v>3.6749999999999998</v>
      </c>
      <c r="F55" s="119">
        <v>3.6749999999999998</v>
      </c>
      <c r="G55" s="119">
        <v>13.561999999999999</v>
      </c>
      <c r="H55" s="120">
        <v>0</v>
      </c>
      <c r="I55" s="120">
        <v>0.27097773189795016</v>
      </c>
      <c r="J55" s="120">
        <v>0.27097773189795016</v>
      </c>
      <c r="K55" s="15">
        <v>71</v>
      </c>
      <c r="L55" s="119">
        <v>0</v>
      </c>
      <c r="M55" s="119">
        <v>15.026</v>
      </c>
      <c r="N55" s="119">
        <v>0.51</v>
      </c>
      <c r="O55" s="119">
        <v>0.51</v>
      </c>
      <c r="P55" s="119">
        <v>15.649000000000001</v>
      </c>
      <c r="Q55" s="120">
        <v>0</v>
      </c>
      <c r="R55" s="120">
        <v>3.2589941849319445E-2</v>
      </c>
      <c r="S55" s="120">
        <v>3.2589941849319445E-2</v>
      </c>
      <c r="T55" s="15">
        <v>71</v>
      </c>
      <c r="U55" s="122">
        <v>0</v>
      </c>
      <c r="V55" s="122">
        <v>14.294</v>
      </c>
      <c r="W55" s="122">
        <v>2.0924999999999998</v>
      </c>
      <c r="X55" s="122">
        <v>2.0924999999999998</v>
      </c>
      <c r="Y55" s="122">
        <v>14.605499999999999</v>
      </c>
      <c r="Z55" s="123">
        <v>0</v>
      </c>
      <c r="AA55" s="123">
        <v>0.15178383687363481</v>
      </c>
      <c r="AB55" s="123">
        <v>0.15178383687363481</v>
      </c>
    </row>
    <row r="56" spans="2:28">
      <c r="B56" s="15">
        <v>72</v>
      </c>
      <c r="C56" s="119">
        <v>0</v>
      </c>
      <c r="D56" s="119">
        <v>13.111000000000001</v>
      </c>
      <c r="E56" s="119">
        <v>3.669</v>
      </c>
      <c r="F56" s="119">
        <v>3.669</v>
      </c>
      <c r="G56" s="119">
        <v>13.111000000000001</v>
      </c>
      <c r="H56" s="120">
        <v>0</v>
      </c>
      <c r="I56" s="120">
        <v>0.27984135458775072</v>
      </c>
      <c r="J56" s="120">
        <v>0.27984135458775072</v>
      </c>
      <c r="K56" s="15">
        <v>72</v>
      </c>
      <c r="L56" s="119">
        <v>0</v>
      </c>
      <c r="M56" s="119">
        <v>14.55</v>
      </c>
      <c r="N56" s="119">
        <v>0.49099999999999999</v>
      </c>
      <c r="O56" s="119">
        <v>0.49099999999999999</v>
      </c>
      <c r="P56" s="119">
        <v>15.158999999999999</v>
      </c>
      <c r="Q56" s="120">
        <v>0</v>
      </c>
      <c r="R56" s="120">
        <v>3.2389999340325881E-2</v>
      </c>
      <c r="S56" s="120">
        <v>3.2389999340325881E-2</v>
      </c>
      <c r="T56" s="15">
        <v>72</v>
      </c>
      <c r="U56" s="122">
        <v>0</v>
      </c>
      <c r="V56" s="122">
        <v>13.830500000000001</v>
      </c>
      <c r="W56" s="122">
        <v>2.08</v>
      </c>
      <c r="X56" s="122">
        <v>2.08</v>
      </c>
      <c r="Y56" s="122">
        <v>14.135</v>
      </c>
      <c r="Z56" s="123">
        <v>0</v>
      </c>
      <c r="AA56" s="123">
        <v>0.1561156769640383</v>
      </c>
      <c r="AB56" s="123">
        <v>0.1561156769640383</v>
      </c>
    </row>
    <row r="57" spans="2:28">
      <c r="B57" s="15">
        <v>73</v>
      </c>
      <c r="C57" s="119">
        <v>0</v>
      </c>
      <c r="D57" s="119">
        <v>12.65</v>
      </c>
      <c r="E57" s="119">
        <v>3.6669999999999998</v>
      </c>
      <c r="F57" s="119">
        <v>3.6669999999999998</v>
      </c>
      <c r="G57" s="119">
        <v>12.65</v>
      </c>
      <c r="H57" s="120">
        <v>0</v>
      </c>
      <c r="I57" s="120">
        <v>0.28988142292490116</v>
      </c>
      <c r="J57" s="120">
        <v>0.28988142292490116</v>
      </c>
      <c r="K57" s="15">
        <v>73</v>
      </c>
      <c r="L57" s="119">
        <v>0</v>
      </c>
      <c r="M57" s="119">
        <v>14.061999999999999</v>
      </c>
      <c r="N57" s="119">
        <v>0.47199999999999998</v>
      </c>
      <c r="O57" s="119">
        <v>0.47199999999999998</v>
      </c>
      <c r="P57" s="119">
        <v>14.657</v>
      </c>
      <c r="Q57" s="120">
        <v>0</v>
      </c>
      <c r="R57" s="120">
        <v>3.2203042914648289E-2</v>
      </c>
      <c r="S57" s="120">
        <v>3.2203042914648289E-2</v>
      </c>
      <c r="T57" s="15">
        <v>73</v>
      </c>
      <c r="U57" s="122">
        <v>0</v>
      </c>
      <c r="V57" s="122">
        <v>13.356</v>
      </c>
      <c r="W57" s="122">
        <v>2.0694999999999997</v>
      </c>
      <c r="X57" s="122">
        <v>2.0694999999999997</v>
      </c>
      <c r="Y57" s="122">
        <v>13.653500000000001</v>
      </c>
      <c r="Z57" s="123">
        <v>0</v>
      </c>
      <c r="AA57" s="123">
        <v>0.16104223291977471</v>
      </c>
      <c r="AB57" s="123">
        <v>0.16104223291977471</v>
      </c>
    </row>
    <row r="58" spans="2:28">
      <c r="B58" s="15">
        <v>74</v>
      </c>
      <c r="C58" s="119">
        <v>0</v>
      </c>
      <c r="D58" s="119">
        <v>12.18</v>
      </c>
      <c r="E58" s="119">
        <v>3.6619999999999999</v>
      </c>
      <c r="F58" s="119">
        <v>3.6619999999999999</v>
      </c>
      <c r="G58" s="119">
        <v>12.18</v>
      </c>
      <c r="H58" s="120">
        <v>0</v>
      </c>
      <c r="I58" s="120">
        <v>0.30065681444991788</v>
      </c>
      <c r="J58" s="120">
        <v>0.30065681444991788</v>
      </c>
      <c r="K58" s="15">
        <v>74</v>
      </c>
      <c r="L58" s="119">
        <v>0</v>
      </c>
      <c r="M58" s="119">
        <v>13.561999999999999</v>
      </c>
      <c r="N58" s="119">
        <v>0.45300000000000001</v>
      </c>
      <c r="O58" s="119">
        <v>0.45300000000000001</v>
      </c>
      <c r="P58" s="119">
        <v>14.145</v>
      </c>
      <c r="Q58" s="120">
        <v>0</v>
      </c>
      <c r="R58" s="120">
        <v>3.2025450689289504E-2</v>
      </c>
      <c r="S58" s="120">
        <v>3.2025450689289504E-2</v>
      </c>
      <c r="T58" s="15">
        <v>74</v>
      </c>
      <c r="U58" s="122">
        <v>0</v>
      </c>
      <c r="V58" s="122">
        <v>12.870999999999999</v>
      </c>
      <c r="W58" s="122">
        <v>2.0575000000000001</v>
      </c>
      <c r="X58" s="122">
        <v>2.0575000000000001</v>
      </c>
      <c r="Y58" s="122">
        <v>13.1625</v>
      </c>
      <c r="Z58" s="123">
        <v>0</v>
      </c>
      <c r="AA58" s="123">
        <v>0.1663411325696037</v>
      </c>
      <c r="AB58" s="123">
        <v>0.1663411325696037</v>
      </c>
    </row>
    <row r="59" spans="2:28">
      <c r="B59" s="15">
        <v>75</v>
      </c>
      <c r="C59" s="119">
        <v>0</v>
      </c>
      <c r="D59" s="119">
        <v>11.701000000000001</v>
      </c>
      <c r="E59" s="119">
        <v>3.6549999999999998</v>
      </c>
      <c r="F59" s="119">
        <v>3.6549999999999998</v>
      </c>
      <c r="G59" s="119">
        <v>11.701000000000001</v>
      </c>
      <c r="H59" s="120">
        <v>0</v>
      </c>
      <c r="I59" s="120">
        <v>0.31236646440475169</v>
      </c>
      <c r="J59" s="120">
        <v>0.31236646440475169</v>
      </c>
      <c r="K59" s="15">
        <v>75</v>
      </c>
      <c r="L59" s="119">
        <v>0</v>
      </c>
      <c r="M59" s="119">
        <v>13.051</v>
      </c>
      <c r="N59" s="119">
        <v>0.434</v>
      </c>
      <c r="O59" s="119">
        <v>0.434</v>
      </c>
      <c r="P59" s="119">
        <v>13.622</v>
      </c>
      <c r="Q59" s="120">
        <v>0</v>
      </c>
      <c r="R59" s="120">
        <v>3.1860226104830421E-2</v>
      </c>
      <c r="S59" s="120">
        <v>3.1860226104830421E-2</v>
      </c>
      <c r="T59" s="15">
        <v>75</v>
      </c>
      <c r="U59" s="122">
        <v>0</v>
      </c>
      <c r="V59" s="122">
        <v>12.376000000000001</v>
      </c>
      <c r="W59" s="122">
        <v>2.0444999999999998</v>
      </c>
      <c r="X59" s="122">
        <v>2.0444999999999998</v>
      </c>
      <c r="Y59" s="122">
        <v>12.6615</v>
      </c>
      <c r="Z59" s="123">
        <v>0</v>
      </c>
      <c r="AA59" s="123">
        <v>0.17211334525479105</v>
      </c>
      <c r="AB59" s="123">
        <v>0.17211334525479105</v>
      </c>
    </row>
    <row r="60" spans="2:28">
      <c r="B60" s="15">
        <v>76</v>
      </c>
      <c r="C60" s="119">
        <v>0</v>
      </c>
      <c r="D60" s="119">
        <v>11.215</v>
      </c>
      <c r="E60" s="119">
        <v>3.6429999999999998</v>
      </c>
      <c r="F60" s="119">
        <v>3.6429999999999998</v>
      </c>
      <c r="G60" s="119">
        <v>11.215</v>
      </c>
      <c r="H60" s="120">
        <v>0</v>
      </c>
      <c r="I60" s="120">
        <v>0.32483281319661167</v>
      </c>
      <c r="J60" s="120">
        <v>0.32483281319661167</v>
      </c>
      <c r="K60" s="15">
        <v>76</v>
      </c>
      <c r="L60" s="119">
        <v>0</v>
      </c>
      <c r="M60" s="119">
        <v>12.531000000000001</v>
      </c>
      <c r="N60" s="119">
        <v>0.41399999999999998</v>
      </c>
      <c r="O60" s="119">
        <v>0.41399999999999998</v>
      </c>
      <c r="P60" s="119">
        <v>13.09</v>
      </c>
      <c r="Q60" s="120">
        <v>0</v>
      </c>
      <c r="R60" s="120">
        <v>3.1627196333078686E-2</v>
      </c>
      <c r="S60" s="120">
        <v>3.1627196333078686E-2</v>
      </c>
      <c r="T60" s="15">
        <v>76</v>
      </c>
      <c r="U60" s="122">
        <v>0</v>
      </c>
      <c r="V60" s="122">
        <v>11.873000000000001</v>
      </c>
      <c r="W60" s="122">
        <v>2.0284999999999997</v>
      </c>
      <c r="X60" s="122">
        <v>2.0284999999999997</v>
      </c>
      <c r="Y60" s="122">
        <v>12.1525</v>
      </c>
      <c r="Z60" s="123">
        <v>0</v>
      </c>
      <c r="AA60" s="123">
        <v>0.17823000476484518</v>
      </c>
      <c r="AB60" s="123">
        <v>0.17823000476484518</v>
      </c>
    </row>
    <row r="61" spans="2:28">
      <c r="B61" s="15">
        <v>77</v>
      </c>
      <c r="C61" s="119">
        <v>0</v>
      </c>
      <c r="D61" s="119">
        <v>10.724</v>
      </c>
      <c r="E61" s="119">
        <v>3.625</v>
      </c>
      <c r="F61" s="119">
        <v>3.625</v>
      </c>
      <c r="G61" s="119">
        <v>10.724</v>
      </c>
      <c r="H61" s="120">
        <v>0</v>
      </c>
      <c r="I61" s="120">
        <v>0.33802685565087653</v>
      </c>
      <c r="J61" s="120">
        <v>0.33802685565087653</v>
      </c>
      <c r="K61" s="15">
        <v>77</v>
      </c>
      <c r="L61" s="119">
        <v>0</v>
      </c>
      <c r="M61" s="119">
        <v>12.003</v>
      </c>
      <c r="N61" s="119">
        <v>0.39300000000000002</v>
      </c>
      <c r="O61" s="119">
        <v>0.39300000000000002</v>
      </c>
      <c r="P61" s="119">
        <v>12.547000000000001</v>
      </c>
      <c r="Q61" s="120">
        <v>0</v>
      </c>
      <c r="R61" s="120">
        <v>3.1322228421136529E-2</v>
      </c>
      <c r="S61" s="120">
        <v>3.1322228421136529E-2</v>
      </c>
      <c r="T61" s="15">
        <v>77</v>
      </c>
      <c r="U61" s="122">
        <v>0</v>
      </c>
      <c r="V61" s="122">
        <v>11.3635</v>
      </c>
      <c r="W61" s="122">
        <v>2.0089999999999999</v>
      </c>
      <c r="X61" s="122">
        <v>2.0089999999999999</v>
      </c>
      <c r="Y61" s="122">
        <v>11.6355</v>
      </c>
      <c r="Z61" s="123">
        <v>0</v>
      </c>
      <c r="AA61" s="123">
        <v>0.18467454203600653</v>
      </c>
      <c r="AB61" s="123">
        <v>0.18467454203600653</v>
      </c>
    </row>
    <row r="62" spans="2:28">
      <c r="B62" s="15">
        <v>78</v>
      </c>
      <c r="C62" s="119">
        <v>0</v>
      </c>
      <c r="D62" s="119">
        <v>10.228999999999999</v>
      </c>
      <c r="E62" s="119">
        <v>3.601</v>
      </c>
      <c r="F62" s="119">
        <v>3.601</v>
      </c>
      <c r="G62" s="119">
        <v>10.228999999999999</v>
      </c>
      <c r="H62" s="120">
        <v>0</v>
      </c>
      <c r="I62" s="120">
        <v>0.35203832241665856</v>
      </c>
      <c r="J62" s="120">
        <v>0.35203832241665856</v>
      </c>
      <c r="K62" s="15">
        <v>78</v>
      </c>
      <c r="L62" s="119">
        <v>0</v>
      </c>
      <c r="M62" s="119">
        <v>11.47</v>
      </c>
      <c r="N62" s="119">
        <v>0.371</v>
      </c>
      <c r="O62" s="119">
        <v>0.371</v>
      </c>
      <c r="P62" s="119">
        <v>11.999000000000001</v>
      </c>
      <c r="Q62" s="120">
        <v>0</v>
      </c>
      <c r="R62" s="120">
        <v>3.0919243270272522E-2</v>
      </c>
      <c r="S62" s="120">
        <v>3.0919243270272522E-2</v>
      </c>
      <c r="T62" s="15">
        <v>78</v>
      </c>
      <c r="U62" s="122">
        <v>0</v>
      </c>
      <c r="V62" s="122">
        <v>10.849499999999999</v>
      </c>
      <c r="W62" s="122">
        <v>1.986</v>
      </c>
      <c r="X62" s="122">
        <v>1.986</v>
      </c>
      <c r="Y62" s="122">
        <v>11.114000000000001</v>
      </c>
      <c r="Z62" s="123">
        <v>0</v>
      </c>
      <c r="AA62" s="123">
        <v>0.19147878284346553</v>
      </c>
      <c r="AB62" s="123">
        <v>0.19147878284346553</v>
      </c>
    </row>
    <row r="63" spans="2:28">
      <c r="B63" s="15">
        <v>79</v>
      </c>
      <c r="C63" s="119">
        <v>0</v>
      </c>
      <c r="D63" s="119">
        <v>9.7330000000000005</v>
      </c>
      <c r="E63" s="119">
        <v>3.57</v>
      </c>
      <c r="F63" s="119">
        <v>3.57</v>
      </c>
      <c r="G63" s="119">
        <v>9.7330000000000005</v>
      </c>
      <c r="H63" s="120">
        <v>0</v>
      </c>
      <c r="I63" s="120">
        <v>0.36679338333504569</v>
      </c>
      <c r="J63" s="120">
        <v>0.36679338333504569</v>
      </c>
      <c r="K63" s="15">
        <v>79</v>
      </c>
      <c r="L63" s="119">
        <v>0</v>
      </c>
      <c r="M63" s="119">
        <v>10.932</v>
      </c>
      <c r="N63" s="119">
        <v>0.34899999999999998</v>
      </c>
      <c r="O63" s="119">
        <v>0.34899999999999998</v>
      </c>
      <c r="P63" s="119">
        <v>11.444999999999999</v>
      </c>
      <c r="Q63" s="120">
        <v>0</v>
      </c>
      <c r="R63" s="120">
        <v>3.0493665356050678E-2</v>
      </c>
      <c r="S63" s="120">
        <v>3.0493665356050678E-2</v>
      </c>
      <c r="T63" s="15">
        <v>79</v>
      </c>
      <c r="U63" s="122">
        <v>0</v>
      </c>
      <c r="V63" s="122">
        <v>10.3325</v>
      </c>
      <c r="W63" s="122">
        <v>1.9594999999999998</v>
      </c>
      <c r="X63" s="122">
        <v>1.9594999999999998</v>
      </c>
      <c r="Y63" s="122">
        <v>10.588999999999999</v>
      </c>
      <c r="Z63" s="123">
        <v>0</v>
      </c>
      <c r="AA63" s="123">
        <v>0.19864352434554819</v>
      </c>
      <c r="AB63" s="123">
        <v>0.19864352434554819</v>
      </c>
    </row>
    <row r="64" spans="2:28">
      <c r="B64" s="15">
        <v>80</v>
      </c>
      <c r="C64" s="119">
        <v>0</v>
      </c>
      <c r="D64" s="119">
        <v>9.2379999999999995</v>
      </c>
      <c r="E64" s="119">
        <v>3.5310000000000001</v>
      </c>
      <c r="F64" s="119">
        <v>3.5310000000000001</v>
      </c>
      <c r="G64" s="119">
        <v>9.2379999999999995</v>
      </c>
      <c r="H64" s="120">
        <v>0</v>
      </c>
      <c r="I64" s="120">
        <v>0.38222558995453565</v>
      </c>
      <c r="J64" s="120">
        <v>0.38222558995453565</v>
      </c>
      <c r="K64" s="15">
        <v>80</v>
      </c>
      <c r="L64" s="119">
        <v>0</v>
      </c>
      <c r="M64" s="119">
        <v>10.391999999999999</v>
      </c>
      <c r="N64" s="119">
        <v>0.32700000000000001</v>
      </c>
      <c r="O64" s="119">
        <v>0.32700000000000001</v>
      </c>
      <c r="P64" s="119">
        <v>10.888</v>
      </c>
      <c r="Q64" s="120">
        <v>0</v>
      </c>
      <c r="R64" s="120">
        <v>3.0033063923585599E-2</v>
      </c>
      <c r="S64" s="120">
        <v>3.0033063923585599E-2</v>
      </c>
      <c r="T64" s="15">
        <v>80</v>
      </c>
      <c r="U64" s="122">
        <v>0</v>
      </c>
      <c r="V64" s="122">
        <v>9.8149999999999995</v>
      </c>
      <c r="W64" s="122">
        <v>1.929</v>
      </c>
      <c r="X64" s="122">
        <v>1.929</v>
      </c>
      <c r="Y64" s="122">
        <v>10.062999999999999</v>
      </c>
      <c r="Z64" s="123">
        <v>0</v>
      </c>
      <c r="AA64" s="123">
        <v>0.20612932693906064</v>
      </c>
      <c r="AB64" s="123">
        <v>0.20612932693906064</v>
      </c>
    </row>
    <row r="65" spans="2:28">
      <c r="B65" s="15">
        <v>81</v>
      </c>
      <c r="C65" s="119">
        <v>0</v>
      </c>
      <c r="D65" s="119">
        <v>8.7469999999999999</v>
      </c>
      <c r="E65" s="119">
        <v>3.4820000000000002</v>
      </c>
      <c r="F65" s="119">
        <v>3.4820000000000002</v>
      </c>
      <c r="G65" s="119">
        <v>8.7469999999999999</v>
      </c>
      <c r="H65" s="120">
        <v>0</v>
      </c>
      <c r="I65" s="120">
        <v>0.39807934148851037</v>
      </c>
      <c r="J65" s="120">
        <v>0.39807934148851037</v>
      </c>
      <c r="K65" s="15">
        <v>81</v>
      </c>
      <c r="L65" s="119">
        <v>0</v>
      </c>
      <c r="M65" s="119">
        <v>9.8529999999999998</v>
      </c>
      <c r="N65" s="119">
        <v>0.30399999999999999</v>
      </c>
      <c r="O65" s="119">
        <v>0.30399999999999999</v>
      </c>
      <c r="P65" s="119">
        <v>10.331999999999999</v>
      </c>
      <c r="Q65" s="120">
        <v>0</v>
      </c>
      <c r="R65" s="120">
        <v>2.942315137437089E-2</v>
      </c>
      <c r="S65" s="120">
        <v>2.942315137437089E-2</v>
      </c>
      <c r="T65" s="15">
        <v>81</v>
      </c>
      <c r="U65" s="122">
        <v>0</v>
      </c>
      <c r="V65" s="122">
        <v>9.3000000000000007</v>
      </c>
      <c r="W65" s="122">
        <v>1.893</v>
      </c>
      <c r="X65" s="122">
        <v>1.893</v>
      </c>
      <c r="Y65" s="122">
        <v>9.5395000000000003</v>
      </c>
      <c r="Z65" s="123">
        <v>0</v>
      </c>
      <c r="AA65" s="123">
        <v>0.21375124643144064</v>
      </c>
      <c r="AB65" s="123">
        <v>0.21375124643144064</v>
      </c>
    </row>
    <row r="66" spans="2:28">
      <c r="B66" s="15">
        <v>82</v>
      </c>
      <c r="C66" s="119">
        <v>0</v>
      </c>
      <c r="D66" s="119">
        <v>8.2629999999999999</v>
      </c>
      <c r="E66" s="119">
        <v>3.4089999999999998</v>
      </c>
      <c r="F66" s="119">
        <v>3.4089999999999998</v>
      </c>
      <c r="G66" s="119">
        <v>8.2629999999999999</v>
      </c>
      <c r="H66" s="120">
        <v>0</v>
      </c>
      <c r="I66" s="120">
        <v>0.41256202347815563</v>
      </c>
      <c r="J66" s="120">
        <v>0.41256202347815563</v>
      </c>
      <c r="K66" s="15">
        <v>82</v>
      </c>
      <c r="L66" s="119">
        <v>0</v>
      </c>
      <c r="M66" s="119">
        <v>9.3179999999999996</v>
      </c>
      <c r="N66" s="119">
        <v>0.28100000000000003</v>
      </c>
      <c r="O66" s="119">
        <v>0.28100000000000003</v>
      </c>
      <c r="P66" s="119">
        <v>9.777000000000001</v>
      </c>
      <c r="Q66" s="120">
        <v>0</v>
      </c>
      <c r="R66" s="120">
        <v>2.8740922573386521E-2</v>
      </c>
      <c r="S66" s="120">
        <v>2.8740922573386521E-2</v>
      </c>
      <c r="T66" s="15">
        <v>82</v>
      </c>
      <c r="U66" s="122">
        <v>0</v>
      </c>
      <c r="V66" s="122">
        <v>8.7904999999999998</v>
      </c>
      <c r="W66" s="122">
        <v>1.845</v>
      </c>
      <c r="X66" s="122">
        <v>1.845</v>
      </c>
      <c r="Y66" s="122">
        <v>9.02</v>
      </c>
      <c r="Z66" s="123">
        <v>0</v>
      </c>
      <c r="AA66" s="123">
        <v>0.22065147302577107</v>
      </c>
      <c r="AB66" s="123">
        <v>0.22065147302577107</v>
      </c>
    </row>
    <row r="67" spans="2:28">
      <c r="B67" s="15">
        <v>83</v>
      </c>
      <c r="C67" s="119">
        <v>0</v>
      </c>
      <c r="D67" s="119">
        <v>7.7880000000000003</v>
      </c>
      <c r="E67" s="119">
        <v>3.3220000000000001</v>
      </c>
      <c r="F67" s="119">
        <v>3.3220000000000001</v>
      </c>
      <c r="G67" s="119">
        <v>7.7880000000000003</v>
      </c>
      <c r="H67" s="120">
        <v>0</v>
      </c>
      <c r="I67" s="120">
        <v>0.42655367231638419</v>
      </c>
      <c r="J67" s="120">
        <v>0.42655367231638419</v>
      </c>
      <c r="K67" s="15">
        <v>83</v>
      </c>
      <c r="L67" s="119">
        <v>0</v>
      </c>
      <c r="M67" s="119">
        <v>8.7889999999999997</v>
      </c>
      <c r="N67" s="119">
        <v>0.25800000000000001</v>
      </c>
      <c r="O67" s="119">
        <v>0.25800000000000001</v>
      </c>
      <c r="P67" s="119">
        <v>9.2279999999999998</v>
      </c>
      <c r="Q67" s="120">
        <v>0</v>
      </c>
      <c r="R67" s="120">
        <v>2.7958387516254877E-2</v>
      </c>
      <c r="S67" s="120">
        <v>2.7958387516254877E-2</v>
      </c>
      <c r="T67" s="15">
        <v>83</v>
      </c>
      <c r="U67" s="122">
        <v>0</v>
      </c>
      <c r="V67" s="122">
        <v>8.2884999999999991</v>
      </c>
      <c r="W67" s="122">
        <v>1.79</v>
      </c>
      <c r="X67" s="122">
        <v>1.79</v>
      </c>
      <c r="Y67" s="122">
        <v>8.5079999999999991</v>
      </c>
      <c r="Z67" s="123">
        <v>0</v>
      </c>
      <c r="AA67" s="123">
        <v>0.22725602991631955</v>
      </c>
      <c r="AB67" s="123">
        <v>0.22725602991631955</v>
      </c>
    </row>
    <row r="68" spans="2:28">
      <c r="B68" s="15">
        <v>84</v>
      </c>
      <c r="C68" s="119">
        <v>0</v>
      </c>
      <c r="D68" s="119">
        <v>7.327</v>
      </c>
      <c r="E68" s="119">
        <v>3.2229999999999999</v>
      </c>
      <c r="F68" s="119">
        <v>3.2229999999999999</v>
      </c>
      <c r="G68" s="119">
        <v>7.327</v>
      </c>
      <c r="H68" s="120">
        <v>0</v>
      </c>
      <c r="I68" s="120">
        <v>0.43987989627405483</v>
      </c>
      <c r="J68" s="120">
        <v>0.43987989627405483</v>
      </c>
      <c r="K68" s="15">
        <v>84</v>
      </c>
      <c r="L68" s="119">
        <v>0</v>
      </c>
      <c r="M68" s="119">
        <v>8.2710000000000008</v>
      </c>
      <c r="N68" s="119">
        <v>0.23499999999999999</v>
      </c>
      <c r="O68" s="119">
        <v>0.23499999999999999</v>
      </c>
      <c r="P68" s="119">
        <v>8.6879999999999988</v>
      </c>
      <c r="Q68" s="120">
        <v>0</v>
      </c>
      <c r="R68" s="120">
        <v>2.7048802946593006E-2</v>
      </c>
      <c r="S68" s="120">
        <v>2.7048802946593006E-2</v>
      </c>
      <c r="T68" s="15">
        <v>84</v>
      </c>
      <c r="U68" s="122">
        <v>0</v>
      </c>
      <c r="V68" s="122">
        <v>7.7990000000000004</v>
      </c>
      <c r="W68" s="122">
        <v>1.7289999999999999</v>
      </c>
      <c r="X68" s="122">
        <v>1.7289999999999999</v>
      </c>
      <c r="Y68" s="122">
        <v>8.0075000000000003</v>
      </c>
      <c r="Z68" s="123">
        <v>0</v>
      </c>
      <c r="AA68" s="123">
        <v>0.23346434961032392</v>
      </c>
      <c r="AB68" s="123">
        <v>0.23346434961032392</v>
      </c>
    </row>
    <row r="69" spans="2:28">
      <c r="B69" s="15">
        <v>85</v>
      </c>
      <c r="C69" s="119">
        <v>0</v>
      </c>
      <c r="D69" s="119">
        <v>6.883</v>
      </c>
      <c r="E69" s="119">
        <v>3.1139999999999999</v>
      </c>
      <c r="F69" s="119">
        <v>3.1139999999999999</v>
      </c>
      <c r="G69" s="119">
        <v>6.883</v>
      </c>
      <c r="H69" s="120">
        <v>0</v>
      </c>
      <c r="I69" s="120">
        <v>0.45241900334156615</v>
      </c>
      <c r="J69" s="120">
        <v>0.45241900334156615</v>
      </c>
      <c r="K69" s="15">
        <v>85</v>
      </c>
      <c r="L69" s="119">
        <v>0</v>
      </c>
      <c r="M69" s="119">
        <v>7.7679999999999998</v>
      </c>
      <c r="N69" s="119">
        <v>0.21</v>
      </c>
      <c r="O69" s="119">
        <v>0.21</v>
      </c>
      <c r="P69" s="119">
        <v>8.1560000000000006</v>
      </c>
      <c r="Q69" s="120">
        <v>0</v>
      </c>
      <c r="R69" s="120">
        <v>2.5747915644923978E-2</v>
      </c>
      <c r="S69" s="120">
        <v>2.5747915644923978E-2</v>
      </c>
      <c r="T69" s="15">
        <v>85</v>
      </c>
      <c r="U69" s="122">
        <v>0</v>
      </c>
      <c r="V69" s="122">
        <v>7.3254999999999999</v>
      </c>
      <c r="W69" s="122">
        <v>1.6619999999999999</v>
      </c>
      <c r="X69" s="122">
        <v>1.6619999999999999</v>
      </c>
      <c r="Y69" s="122">
        <v>7.5195000000000007</v>
      </c>
      <c r="Z69" s="123">
        <v>0</v>
      </c>
      <c r="AA69" s="123">
        <v>0.23908345949324505</v>
      </c>
      <c r="AB69" s="123">
        <v>0.23908345949324505</v>
      </c>
    </row>
    <row r="70" spans="2:28">
      <c r="B70" s="15">
        <v>86</v>
      </c>
      <c r="C70" s="119">
        <v>0</v>
      </c>
      <c r="D70" s="119">
        <v>6.4619999999999997</v>
      </c>
      <c r="E70" s="119">
        <v>2.9969999999999999</v>
      </c>
      <c r="F70" s="119">
        <v>2.9969999999999999</v>
      </c>
      <c r="G70" s="119">
        <v>6.4619999999999997</v>
      </c>
      <c r="H70" s="120">
        <v>0</v>
      </c>
      <c r="I70" s="120">
        <v>0.46378830083565459</v>
      </c>
      <c r="J70" s="120">
        <v>0.46378830083565459</v>
      </c>
      <c r="K70" s="15">
        <v>86</v>
      </c>
      <c r="L70" s="119">
        <v>0</v>
      </c>
      <c r="M70" s="119">
        <v>7.2850000000000001</v>
      </c>
      <c r="N70" s="119">
        <v>0.186</v>
      </c>
      <c r="O70" s="119">
        <v>0.186</v>
      </c>
      <c r="P70" s="119">
        <v>7.6379999999999999</v>
      </c>
      <c r="Q70" s="120">
        <v>0</v>
      </c>
      <c r="R70" s="120">
        <v>2.4351924587588374E-2</v>
      </c>
      <c r="S70" s="120">
        <v>2.4351924587588374E-2</v>
      </c>
      <c r="T70" s="15">
        <v>86</v>
      </c>
      <c r="U70" s="122">
        <v>0</v>
      </c>
      <c r="V70" s="122">
        <v>6.8734999999999999</v>
      </c>
      <c r="W70" s="122">
        <v>1.5914999999999999</v>
      </c>
      <c r="X70" s="122">
        <v>1.5914999999999999</v>
      </c>
      <c r="Y70" s="122">
        <v>7.05</v>
      </c>
      <c r="Z70" s="123">
        <v>0</v>
      </c>
      <c r="AA70" s="123">
        <v>0.24407011271162149</v>
      </c>
      <c r="AB70" s="123">
        <v>0.24407011271162149</v>
      </c>
    </row>
    <row r="71" spans="2:28">
      <c r="B71" s="15">
        <v>87</v>
      </c>
      <c r="C71" s="119">
        <v>0</v>
      </c>
      <c r="D71" s="119">
        <v>6.069</v>
      </c>
      <c r="E71" s="119">
        <v>2.8730000000000002</v>
      </c>
      <c r="F71" s="119">
        <v>2.8730000000000002</v>
      </c>
      <c r="G71" s="119">
        <v>6.069</v>
      </c>
      <c r="H71" s="120">
        <v>0</v>
      </c>
      <c r="I71" s="120">
        <v>0.47338935574229696</v>
      </c>
      <c r="J71" s="120">
        <v>0.47338935574229696</v>
      </c>
      <c r="K71" s="15">
        <v>87</v>
      </c>
      <c r="L71" s="119">
        <v>0</v>
      </c>
      <c r="M71" s="119">
        <v>6.8259999999999996</v>
      </c>
      <c r="N71" s="119">
        <v>0.16200000000000001</v>
      </c>
      <c r="O71" s="119">
        <v>0.16200000000000001</v>
      </c>
      <c r="P71" s="119">
        <v>7.1390000000000002</v>
      </c>
      <c r="Q71" s="120">
        <v>0</v>
      </c>
      <c r="R71" s="120">
        <v>2.2692253817061213E-2</v>
      </c>
      <c r="S71" s="120">
        <v>2.2692253817061213E-2</v>
      </c>
      <c r="T71" s="15">
        <v>87</v>
      </c>
      <c r="U71" s="122">
        <v>0</v>
      </c>
      <c r="V71" s="122">
        <v>6.4474999999999998</v>
      </c>
      <c r="W71" s="122">
        <v>1.5175000000000001</v>
      </c>
      <c r="X71" s="122">
        <v>1.5175000000000001</v>
      </c>
      <c r="Y71" s="122">
        <v>6.6040000000000001</v>
      </c>
      <c r="Z71" s="123">
        <v>0</v>
      </c>
      <c r="AA71" s="123">
        <v>0.24804080477967907</v>
      </c>
      <c r="AB71" s="123">
        <v>0.24804080477967907</v>
      </c>
    </row>
    <row r="72" spans="2:28">
      <c r="B72" s="15">
        <v>88</v>
      </c>
      <c r="C72" s="119">
        <v>0</v>
      </c>
      <c r="D72" s="119">
        <v>5.7119999999999997</v>
      </c>
      <c r="E72" s="119">
        <v>2.7149999999999999</v>
      </c>
      <c r="F72" s="119">
        <v>2.7149999999999999</v>
      </c>
      <c r="G72" s="119">
        <v>5.7119999999999997</v>
      </c>
      <c r="H72" s="120">
        <v>0</v>
      </c>
      <c r="I72" s="120">
        <v>0.47531512605042014</v>
      </c>
      <c r="J72" s="120">
        <v>0.47531512605042014</v>
      </c>
      <c r="K72" s="15">
        <v>88</v>
      </c>
      <c r="L72" s="119">
        <v>0</v>
      </c>
      <c r="M72" s="119">
        <v>6.3979999999999997</v>
      </c>
      <c r="N72" s="119">
        <v>0.14000000000000001</v>
      </c>
      <c r="O72" s="119">
        <v>0.14000000000000001</v>
      </c>
      <c r="P72" s="119">
        <v>6.6609999999999996</v>
      </c>
      <c r="Q72" s="120">
        <v>0</v>
      </c>
      <c r="R72" s="120">
        <v>2.1017865185407599E-2</v>
      </c>
      <c r="S72" s="120">
        <v>2.1017865185407599E-2</v>
      </c>
      <c r="T72" s="15">
        <v>88</v>
      </c>
      <c r="U72" s="122">
        <v>0</v>
      </c>
      <c r="V72" s="122">
        <v>6.0549999999999997</v>
      </c>
      <c r="W72" s="122">
        <v>1.4275</v>
      </c>
      <c r="X72" s="122">
        <v>1.4275</v>
      </c>
      <c r="Y72" s="122">
        <v>6.1864999999999997</v>
      </c>
      <c r="Z72" s="123">
        <v>0</v>
      </c>
      <c r="AA72" s="123">
        <v>0.24816649561791387</v>
      </c>
      <c r="AB72" s="123">
        <v>0.24816649561791387</v>
      </c>
    </row>
    <row r="73" spans="2:28">
      <c r="B73" s="15">
        <v>89</v>
      </c>
      <c r="C73" s="119">
        <v>0</v>
      </c>
      <c r="D73" s="119">
        <v>5.3979999999999997</v>
      </c>
      <c r="E73" s="119">
        <v>2.5489999999999999</v>
      </c>
      <c r="F73" s="119">
        <v>2.5489999999999999</v>
      </c>
      <c r="G73" s="119">
        <v>5.3979999999999997</v>
      </c>
      <c r="H73" s="120">
        <v>0</v>
      </c>
      <c r="I73" s="120">
        <v>0.4722119303445721</v>
      </c>
      <c r="J73" s="120">
        <v>0.4722119303445721</v>
      </c>
      <c r="K73" s="15">
        <v>89</v>
      </c>
      <c r="L73" s="119">
        <v>0</v>
      </c>
      <c r="M73" s="119">
        <v>6.0069999999999997</v>
      </c>
      <c r="N73" s="119">
        <v>0.11700000000000001</v>
      </c>
      <c r="O73" s="119">
        <v>0.11700000000000001</v>
      </c>
      <c r="P73" s="119">
        <v>6.21</v>
      </c>
      <c r="Q73" s="120">
        <v>0</v>
      </c>
      <c r="R73" s="120">
        <v>1.8840579710144929E-2</v>
      </c>
      <c r="S73" s="120">
        <v>1.8840579710144929E-2</v>
      </c>
      <c r="T73" s="15">
        <v>89</v>
      </c>
      <c r="U73" s="122">
        <v>0</v>
      </c>
      <c r="V73" s="122">
        <v>5.7024999999999997</v>
      </c>
      <c r="W73" s="122">
        <v>1.333</v>
      </c>
      <c r="X73" s="122">
        <v>1.333</v>
      </c>
      <c r="Y73" s="122">
        <v>5.8040000000000003</v>
      </c>
      <c r="Z73" s="123">
        <v>0</v>
      </c>
      <c r="AA73" s="123">
        <v>0.2455262550273585</v>
      </c>
      <c r="AB73" s="123">
        <v>0.2455262550273585</v>
      </c>
    </row>
    <row r="74" spans="2:28">
      <c r="B74" s="15">
        <v>90</v>
      </c>
      <c r="C74" s="119">
        <v>0</v>
      </c>
      <c r="D74" s="119">
        <v>5.1150000000000002</v>
      </c>
      <c r="E74" s="119">
        <v>2.387</v>
      </c>
      <c r="F74" s="119">
        <v>2.387</v>
      </c>
      <c r="G74" s="119">
        <v>5.1150000000000002</v>
      </c>
      <c r="H74" s="120">
        <v>0</v>
      </c>
      <c r="I74" s="120">
        <v>0.46666666666666667</v>
      </c>
      <c r="J74" s="120">
        <v>0.46666666666666667</v>
      </c>
      <c r="K74" s="15">
        <v>90</v>
      </c>
      <c r="L74" s="119">
        <v>0</v>
      </c>
      <c r="M74" s="119">
        <v>5.6550000000000002</v>
      </c>
      <c r="N74" s="119">
        <v>9.7000000000000003E-2</v>
      </c>
      <c r="O74" s="119">
        <v>9.7000000000000003E-2</v>
      </c>
      <c r="P74" s="119">
        <v>5.7910000000000004</v>
      </c>
      <c r="Q74" s="120">
        <v>0</v>
      </c>
      <c r="R74" s="120">
        <v>1.6750129511310653E-2</v>
      </c>
      <c r="S74" s="120">
        <v>1.6750129511310653E-2</v>
      </c>
      <c r="T74" s="15">
        <v>90</v>
      </c>
      <c r="U74" s="122">
        <v>0</v>
      </c>
      <c r="V74" s="122">
        <v>5.3849999999999998</v>
      </c>
      <c r="W74" s="122">
        <v>1.242</v>
      </c>
      <c r="X74" s="122">
        <v>1.242</v>
      </c>
      <c r="Y74" s="122">
        <v>5.4530000000000003</v>
      </c>
      <c r="Z74" s="123">
        <v>0</v>
      </c>
      <c r="AA74" s="123">
        <v>0.24170839808898867</v>
      </c>
      <c r="AB74" s="123">
        <v>0.24170839808898867</v>
      </c>
    </row>
    <row r="75" spans="2:28">
      <c r="B75" s="15">
        <v>91</v>
      </c>
      <c r="C75" s="119">
        <v>0</v>
      </c>
      <c r="D75" s="119">
        <v>4.8499999999999996</v>
      </c>
      <c r="E75" s="119">
        <v>2.2040000000000002</v>
      </c>
      <c r="F75" s="119">
        <v>2.2040000000000002</v>
      </c>
      <c r="G75" s="119">
        <v>4.8499999999999996</v>
      </c>
      <c r="H75" s="120">
        <v>0</v>
      </c>
      <c r="I75" s="120">
        <v>0.45443298969072171</v>
      </c>
      <c r="J75" s="120">
        <v>0.45443298969072171</v>
      </c>
      <c r="K75" s="15">
        <v>91</v>
      </c>
      <c r="L75" s="119">
        <v>0</v>
      </c>
      <c r="M75" s="119">
        <v>5.3319999999999999</v>
      </c>
      <c r="N75" s="119">
        <v>0.08</v>
      </c>
      <c r="O75" s="119">
        <v>0.08</v>
      </c>
      <c r="P75" s="119">
        <v>5.4059999999999997</v>
      </c>
      <c r="Q75" s="120">
        <v>0</v>
      </c>
      <c r="R75" s="120">
        <v>1.4798372179060304E-2</v>
      </c>
      <c r="S75" s="120">
        <v>1.4798372179060304E-2</v>
      </c>
      <c r="T75" s="15">
        <v>91</v>
      </c>
      <c r="U75" s="122">
        <v>0</v>
      </c>
      <c r="V75" s="122">
        <v>5.0909999999999993</v>
      </c>
      <c r="W75" s="122">
        <v>1.1420000000000001</v>
      </c>
      <c r="X75" s="122">
        <v>1.1420000000000001</v>
      </c>
      <c r="Y75" s="122">
        <v>5.1280000000000001</v>
      </c>
      <c r="Z75" s="123">
        <v>0</v>
      </c>
      <c r="AA75" s="123">
        <v>0.23461568093489102</v>
      </c>
      <c r="AB75" s="123">
        <v>0.23461568093489102</v>
      </c>
    </row>
    <row r="76" spans="2:28">
      <c r="B76" s="15">
        <v>92</v>
      </c>
      <c r="C76" s="119">
        <v>0</v>
      </c>
      <c r="D76" s="119">
        <v>4.6040000000000001</v>
      </c>
      <c r="E76" s="119">
        <v>2.0350000000000001</v>
      </c>
      <c r="F76" s="119">
        <v>2.0350000000000001</v>
      </c>
      <c r="G76" s="119">
        <v>4.6040000000000001</v>
      </c>
      <c r="H76" s="120">
        <v>0</v>
      </c>
      <c r="I76" s="120">
        <v>0.44200695047784538</v>
      </c>
      <c r="J76" s="120">
        <v>0.44200695047784538</v>
      </c>
      <c r="K76" s="15">
        <v>92</v>
      </c>
      <c r="L76" s="119">
        <v>0</v>
      </c>
      <c r="M76" s="119">
        <v>5.0289999999999999</v>
      </c>
      <c r="N76" s="119">
        <v>6.5000000000000002E-2</v>
      </c>
      <c r="O76" s="119">
        <v>6.5000000000000002E-2</v>
      </c>
      <c r="P76" s="119">
        <v>5.0540000000000003</v>
      </c>
      <c r="Q76" s="120">
        <v>0</v>
      </c>
      <c r="R76" s="120">
        <v>1.2861100118717847E-2</v>
      </c>
      <c r="S76" s="120">
        <v>1.2861100118717847E-2</v>
      </c>
      <c r="T76" s="15">
        <v>92</v>
      </c>
      <c r="U76" s="122">
        <v>0</v>
      </c>
      <c r="V76" s="122">
        <v>4.8164999999999996</v>
      </c>
      <c r="W76" s="122">
        <v>1.05</v>
      </c>
      <c r="X76" s="122">
        <v>1.05</v>
      </c>
      <c r="Y76" s="122">
        <v>4.8290000000000006</v>
      </c>
      <c r="Z76" s="123">
        <v>0</v>
      </c>
      <c r="AA76" s="123">
        <v>0.22743402529828161</v>
      </c>
      <c r="AB76" s="123">
        <v>0.22743402529828161</v>
      </c>
    </row>
    <row r="77" spans="2:28">
      <c r="B77" s="15">
        <v>93</v>
      </c>
      <c r="C77" s="119">
        <v>0</v>
      </c>
      <c r="D77" s="119">
        <v>4.3760000000000003</v>
      </c>
      <c r="E77" s="119">
        <v>1.85</v>
      </c>
      <c r="F77" s="119">
        <v>1.85</v>
      </c>
      <c r="G77" s="119">
        <v>4.3760000000000003</v>
      </c>
      <c r="H77" s="120">
        <v>0</v>
      </c>
      <c r="I77" s="120">
        <v>0.42276051188299818</v>
      </c>
      <c r="J77" s="120">
        <v>0.42276051188299818</v>
      </c>
      <c r="K77" s="15">
        <v>93</v>
      </c>
      <c r="L77" s="119">
        <v>0</v>
      </c>
      <c r="M77" s="119">
        <v>4.7469999999999999</v>
      </c>
      <c r="N77" s="119">
        <v>5.2999999999999999E-2</v>
      </c>
      <c r="O77" s="119">
        <v>5.2999999999999999E-2</v>
      </c>
      <c r="P77" s="119">
        <v>4.7359999999999998</v>
      </c>
      <c r="Q77" s="120">
        <v>0</v>
      </c>
      <c r="R77" s="120">
        <v>1.1190878378378379E-2</v>
      </c>
      <c r="S77" s="120">
        <v>1.1190878378378379E-2</v>
      </c>
      <c r="T77" s="15">
        <v>93</v>
      </c>
      <c r="U77" s="122">
        <v>0</v>
      </c>
      <c r="V77" s="122">
        <v>4.5615000000000006</v>
      </c>
      <c r="W77" s="122">
        <v>0.95150000000000001</v>
      </c>
      <c r="X77" s="122">
        <v>0.95150000000000001</v>
      </c>
      <c r="Y77" s="122">
        <v>4.556</v>
      </c>
      <c r="Z77" s="123">
        <v>0</v>
      </c>
      <c r="AA77" s="123">
        <v>0.21697569513068829</v>
      </c>
      <c r="AB77" s="123">
        <v>0.21697569513068829</v>
      </c>
    </row>
    <row r="78" spans="2:28">
      <c r="B78" s="15">
        <v>94</v>
      </c>
      <c r="C78" s="119">
        <v>0</v>
      </c>
      <c r="D78" s="119">
        <v>4.1660000000000004</v>
      </c>
      <c r="E78" s="119">
        <v>1.6830000000000001</v>
      </c>
      <c r="F78" s="119">
        <v>1.6830000000000001</v>
      </c>
      <c r="G78" s="119">
        <v>4.1660000000000004</v>
      </c>
      <c r="H78" s="120">
        <v>0</v>
      </c>
      <c r="I78" s="120">
        <v>0.4039846375420067</v>
      </c>
      <c r="J78" s="120">
        <v>0.4039846375420067</v>
      </c>
      <c r="K78" s="15">
        <v>94</v>
      </c>
      <c r="L78" s="119">
        <v>0</v>
      </c>
      <c r="M78" s="119">
        <v>4.4850000000000003</v>
      </c>
      <c r="N78" s="119">
        <v>4.2000000000000003E-2</v>
      </c>
      <c r="O78" s="119">
        <v>4.2000000000000003E-2</v>
      </c>
      <c r="P78" s="119">
        <v>4.4459999999999997</v>
      </c>
      <c r="Q78" s="120">
        <v>0</v>
      </c>
      <c r="R78" s="120">
        <v>9.4466936572199737E-3</v>
      </c>
      <c r="S78" s="120">
        <v>9.4466936572199737E-3</v>
      </c>
      <c r="T78" s="15">
        <v>94</v>
      </c>
      <c r="U78" s="122">
        <v>0</v>
      </c>
      <c r="V78" s="122">
        <v>4.3254999999999999</v>
      </c>
      <c r="W78" s="122">
        <v>0.86250000000000004</v>
      </c>
      <c r="X78" s="122">
        <v>0.86250000000000004</v>
      </c>
      <c r="Y78" s="122">
        <v>4.306</v>
      </c>
      <c r="Z78" s="123">
        <v>0</v>
      </c>
      <c r="AA78" s="123">
        <v>0.20671566559961332</v>
      </c>
      <c r="AB78" s="123">
        <v>0.20671566559961332</v>
      </c>
    </row>
    <row r="79" spans="2:28">
      <c r="B79" s="15">
        <v>95</v>
      </c>
      <c r="C79" s="119">
        <v>0</v>
      </c>
      <c r="D79" s="119">
        <v>3.9740000000000002</v>
      </c>
      <c r="E79" s="119">
        <v>1.5349999999999999</v>
      </c>
      <c r="F79" s="119">
        <v>1.5349999999999999</v>
      </c>
      <c r="G79" s="119">
        <v>3.9740000000000002</v>
      </c>
      <c r="H79" s="120">
        <v>0</v>
      </c>
      <c r="I79" s="120">
        <v>0.38626069451434319</v>
      </c>
      <c r="J79" s="120">
        <v>0.38626069451434319</v>
      </c>
      <c r="K79" s="15">
        <v>95</v>
      </c>
      <c r="L79" s="119">
        <v>0</v>
      </c>
      <c r="M79" s="119">
        <v>4.2450000000000001</v>
      </c>
      <c r="N79" s="119">
        <v>3.4000000000000002E-2</v>
      </c>
      <c r="O79" s="119">
        <v>3.4000000000000002E-2</v>
      </c>
      <c r="P79" s="119">
        <v>4.1829999999999998</v>
      </c>
      <c r="Q79" s="120">
        <v>0</v>
      </c>
      <c r="R79" s="120">
        <v>8.1281377002151572E-3</v>
      </c>
      <c r="S79" s="120">
        <v>8.1281377002151572E-3</v>
      </c>
      <c r="T79" s="15">
        <v>95</v>
      </c>
      <c r="U79" s="122">
        <v>0</v>
      </c>
      <c r="V79" s="122">
        <v>4.1095000000000006</v>
      </c>
      <c r="W79" s="122">
        <v>0.78449999999999998</v>
      </c>
      <c r="X79" s="122">
        <v>0.78449999999999998</v>
      </c>
      <c r="Y79" s="122">
        <v>4.0785</v>
      </c>
      <c r="Z79" s="123">
        <v>0</v>
      </c>
      <c r="AA79" s="123">
        <v>0.19719441610727917</v>
      </c>
      <c r="AB79" s="123">
        <v>0.19719441610727917</v>
      </c>
    </row>
    <row r="80" spans="2:28">
      <c r="B80" s="15">
        <v>96</v>
      </c>
      <c r="C80" s="119">
        <v>0</v>
      </c>
      <c r="D80" s="119">
        <v>3.798</v>
      </c>
      <c r="E80" s="119">
        <v>1.371</v>
      </c>
      <c r="F80" s="119">
        <v>1.371</v>
      </c>
      <c r="G80" s="119">
        <v>3.798</v>
      </c>
      <c r="H80" s="120">
        <v>0</v>
      </c>
      <c r="I80" s="120">
        <v>0.36097946287519744</v>
      </c>
      <c r="J80" s="120">
        <v>0.36097946287519744</v>
      </c>
      <c r="K80" s="15">
        <v>96</v>
      </c>
      <c r="L80" s="119">
        <v>0</v>
      </c>
      <c r="M80" s="119">
        <v>4.024</v>
      </c>
      <c r="N80" s="119">
        <v>2.7E-2</v>
      </c>
      <c r="O80" s="119">
        <v>2.7E-2</v>
      </c>
      <c r="P80" s="119">
        <v>3.9460000000000002</v>
      </c>
      <c r="Q80" s="120">
        <v>0</v>
      </c>
      <c r="R80" s="120">
        <v>6.842372022301064E-3</v>
      </c>
      <c r="S80" s="120">
        <v>6.842372022301064E-3</v>
      </c>
      <c r="T80" s="15">
        <v>96</v>
      </c>
      <c r="U80" s="122">
        <v>0</v>
      </c>
      <c r="V80" s="122">
        <v>3.911</v>
      </c>
      <c r="W80" s="122">
        <v>0.69899999999999995</v>
      </c>
      <c r="X80" s="122">
        <v>0.69899999999999995</v>
      </c>
      <c r="Y80" s="122">
        <v>3.8719999999999999</v>
      </c>
      <c r="Z80" s="123">
        <v>0</v>
      </c>
      <c r="AA80" s="123">
        <v>0.18391091744874927</v>
      </c>
      <c r="AB80" s="123">
        <v>0.18391091744874927</v>
      </c>
    </row>
    <row r="81" spans="2:28">
      <c r="B81" s="15">
        <v>97</v>
      </c>
      <c r="C81" s="119">
        <v>0</v>
      </c>
      <c r="D81" s="119">
        <v>3.6389999999999998</v>
      </c>
      <c r="E81" s="119">
        <v>1.216</v>
      </c>
      <c r="F81" s="119">
        <v>1.216</v>
      </c>
      <c r="G81" s="119">
        <v>3.6389999999999998</v>
      </c>
      <c r="H81" s="120">
        <v>0</v>
      </c>
      <c r="I81" s="120">
        <v>0.33415773564165979</v>
      </c>
      <c r="J81" s="120">
        <v>0.33415773564165979</v>
      </c>
      <c r="K81" s="15">
        <v>97</v>
      </c>
      <c r="L81" s="119">
        <v>0</v>
      </c>
      <c r="M81" s="119">
        <v>3.8239999999999998</v>
      </c>
      <c r="N81" s="119">
        <v>2.1000000000000001E-2</v>
      </c>
      <c r="O81" s="119">
        <v>2.1000000000000001E-2</v>
      </c>
      <c r="P81" s="119">
        <v>3.734</v>
      </c>
      <c r="Q81" s="120">
        <v>0</v>
      </c>
      <c r="R81" s="120">
        <v>5.6239957150508845E-3</v>
      </c>
      <c r="S81" s="120">
        <v>5.6239957150508845E-3</v>
      </c>
      <c r="T81" s="15">
        <v>97</v>
      </c>
      <c r="U81" s="122">
        <v>0</v>
      </c>
      <c r="V81" s="122">
        <v>3.7314999999999996</v>
      </c>
      <c r="W81" s="122">
        <v>0.61849999999999994</v>
      </c>
      <c r="X81" s="122">
        <v>0.61849999999999994</v>
      </c>
      <c r="Y81" s="122">
        <v>3.6864999999999997</v>
      </c>
      <c r="Z81" s="123">
        <v>0</v>
      </c>
      <c r="AA81" s="123">
        <v>0.16989086567835535</v>
      </c>
      <c r="AB81" s="123">
        <v>0.16989086567835535</v>
      </c>
    </row>
    <row r="82" spans="2:28">
      <c r="B82" s="15">
        <v>98</v>
      </c>
      <c r="C82" s="119">
        <v>0</v>
      </c>
      <c r="D82" s="119">
        <v>3.4950000000000001</v>
      </c>
      <c r="E82" s="119">
        <v>1.0409999999999999</v>
      </c>
      <c r="F82" s="119">
        <v>1.0409999999999999</v>
      </c>
      <c r="G82" s="119">
        <v>3.4950000000000001</v>
      </c>
      <c r="H82" s="120">
        <v>0</v>
      </c>
      <c r="I82" s="120">
        <v>0.29785407725321883</v>
      </c>
      <c r="J82" s="120">
        <v>0.29785407725321883</v>
      </c>
      <c r="K82" s="15">
        <v>98</v>
      </c>
      <c r="L82" s="119">
        <v>0</v>
      </c>
      <c r="M82" s="119">
        <v>3.6429999999999998</v>
      </c>
      <c r="N82" s="119">
        <v>1.7000000000000001E-2</v>
      </c>
      <c r="O82" s="119">
        <v>1.7000000000000001E-2</v>
      </c>
      <c r="P82" s="119">
        <v>3.5459999999999998</v>
      </c>
      <c r="Q82" s="120">
        <v>0</v>
      </c>
      <c r="R82" s="120">
        <v>4.7941342357586021E-3</v>
      </c>
      <c r="S82" s="120">
        <v>4.7941342357586021E-3</v>
      </c>
      <c r="T82" s="15">
        <v>98</v>
      </c>
      <c r="U82" s="122">
        <v>0</v>
      </c>
      <c r="V82" s="122">
        <v>3.569</v>
      </c>
      <c r="W82" s="122">
        <v>0.52899999999999991</v>
      </c>
      <c r="X82" s="122">
        <v>0.52899999999999991</v>
      </c>
      <c r="Y82" s="122">
        <v>3.5205000000000002</v>
      </c>
      <c r="Z82" s="123">
        <v>0</v>
      </c>
      <c r="AA82" s="123">
        <v>0.15132410574448871</v>
      </c>
      <c r="AB82" s="123">
        <v>0.15132410574448871</v>
      </c>
    </row>
    <row r="83" spans="2:28">
      <c r="B83" s="15">
        <v>99</v>
      </c>
      <c r="C83" s="119">
        <v>0</v>
      </c>
      <c r="D83" s="119">
        <v>3.3639999999999999</v>
      </c>
      <c r="E83" s="119">
        <v>0.84799999999999998</v>
      </c>
      <c r="F83" s="119">
        <v>0.84799999999999998</v>
      </c>
      <c r="G83" s="119">
        <v>3.3639999999999999</v>
      </c>
      <c r="H83" s="120">
        <v>0</v>
      </c>
      <c r="I83" s="120">
        <v>0.25208085612366232</v>
      </c>
      <c r="J83" s="120">
        <v>0.25208085612366232</v>
      </c>
      <c r="K83" s="15">
        <v>99</v>
      </c>
      <c r="L83" s="119">
        <v>0</v>
      </c>
      <c r="M83" s="119">
        <v>3.48</v>
      </c>
      <c r="N83" s="119">
        <v>1.2999999999999999E-2</v>
      </c>
      <c r="O83" s="119">
        <v>1.2999999999999999E-2</v>
      </c>
      <c r="P83" s="119">
        <v>3.3820000000000001</v>
      </c>
      <c r="Q83" s="120">
        <v>0</v>
      </c>
      <c r="R83" s="120">
        <v>3.8438793613246596E-3</v>
      </c>
      <c r="S83" s="120">
        <v>3.8438793613246596E-3</v>
      </c>
      <c r="T83" s="15">
        <v>99</v>
      </c>
      <c r="U83" s="122">
        <v>0</v>
      </c>
      <c r="V83" s="122">
        <v>3.4219999999999997</v>
      </c>
      <c r="W83" s="122">
        <v>0.43049999999999999</v>
      </c>
      <c r="X83" s="122">
        <v>0.43049999999999999</v>
      </c>
      <c r="Y83" s="122">
        <v>3.3730000000000002</v>
      </c>
      <c r="Z83" s="123">
        <v>0</v>
      </c>
      <c r="AA83" s="123">
        <v>0.1279623677424935</v>
      </c>
      <c r="AB83" s="123">
        <v>0.1279623677424935</v>
      </c>
    </row>
    <row r="84" spans="2:28">
      <c r="B84" s="15">
        <v>100</v>
      </c>
      <c r="C84" s="119">
        <v>0</v>
      </c>
      <c r="D84" s="119">
        <v>3.2450000000000001</v>
      </c>
      <c r="E84" s="119">
        <v>0.67200000000000004</v>
      </c>
      <c r="F84" s="119">
        <v>0.67200000000000004</v>
      </c>
      <c r="G84" s="119">
        <v>3.2450000000000001</v>
      </c>
      <c r="H84" s="120">
        <v>0</v>
      </c>
      <c r="I84" s="120">
        <v>0.20708782742681048</v>
      </c>
      <c r="J84" s="120">
        <v>0.20708782742681048</v>
      </c>
      <c r="K84" s="15">
        <v>100</v>
      </c>
      <c r="L84" s="119">
        <v>0</v>
      </c>
      <c r="M84" s="119">
        <v>3.335</v>
      </c>
      <c r="N84" s="119">
        <v>0.01</v>
      </c>
      <c r="O84" s="119">
        <v>0.01</v>
      </c>
      <c r="P84" s="119">
        <v>3.2409999999999997</v>
      </c>
      <c r="Q84" s="120">
        <v>0</v>
      </c>
      <c r="R84" s="120">
        <v>3.0854674483184207E-3</v>
      </c>
      <c r="S84" s="120">
        <v>3.0854674483184207E-3</v>
      </c>
      <c r="T84" s="15">
        <v>100</v>
      </c>
      <c r="U84" s="122">
        <v>0</v>
      </c>
      <c r="V84" s="122">
        <v>3.29</v>
      </c>
      <c r="W84" s="122">
        <v>0.34100000000000003</v>
      </c>
      <c r="X84" s="122">
        <v>0.34100000000000003</v>
      </c>
      <c r="Y84" s="122">
        <v>3.2429999999999999</v>
      </c>
      <c r="Z84" s="123">
        <v>0</v>
      </c>
      <c r="AA84" s="123">
        <v>0.10508664743756445</v>
      </c>
      <c r="AB84" s="123">
        <v>0.10508664743756445</v>
      </c>
    </row>
  </sheetData>
  <mergeCells count="7">
    <mergeCell ref="B1:J1"/>
    <mergeCell ref="K1:S1"/>
    <mergeCell ref="T1:AB1"/>
    <mergeCell ref="B2:B3"/>
    <mergeCell ref="H2:J2"/>
    <mergeCell ref="Q2:S2"/>
    <mergeCell ref="Z2:AB2"/>
  </mergeCell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75293-AC73-4E6C-B7DF-C4B6F0A76F5A}">
  <sheetPr codeName="Tabelle29"/>
  <dimension ref="A1:DR102"/>
  <sheetViews>
    <sheetView topLeftCell="A87" workbookViewId="0">
      <selection activeCell="N117" sqref="N117"/>
    </sheetView>
  </sheetViews>
  <sheetFormatPr baseColWidth="10" defaultColWidth="12.7109375" defaultRowHeight="15"/>
  <cols>
    <col min="1" max="1" width="6.28515625" style="36" customWidth="1"/>
    <col min="2" max="122" width="6.28515625" customWidth="1"/>
  </cols>
  <sheetData>
    <row r="1" spans="1:122" s="36" customFormat="1">
      <c r="A1" s="34" t="s">
        <v>3387</v>
      </c>
      <c r="B1" s="46">
        <v>1900</v>
      </c>
      <c r="C1" s="46">
        <v>1901</v>
      </c>
      <c r="D1" s="46">
        <v>1902</v>
      </c>
      <c r="E1" s="46">
        <v>1903</v>
      </c>
      <c r="F1" s="46">
        <v>1904</v>
      </c>
      <c r="G1" s="46">
        <v>1905</v>
      </c>
      <c r="H1" s="46">
        <v>1906</v>
      </c>
      <c r="I1" s="46">
        <v>1907</v>
      </c>
      <c r="J1" s="46">
        <v>1908</v>
      </c>
      <c r="K1" s="46">
        <v>1909</v>
      </c>
      <c r="L1" s="46">
        <v>1910</v>
      </c>
      <c r="M1" s="46">
        <v>1911</v>
      </c>
      <c r="N1" s="46">
        <v>1912</v>
      </c>
      <c r="O1" s="46">
        <v>1913</v>
      </c>
      <c r="P1" s="46">
        <v>1914</v>
      </c>
      <c r="Q1" s="46">
        <v>1915</v>
      </c>
      <c r="R1" s="46">
        <v>1916</v>
      </c>
      <c r="S1" s="46">
        <v>1917</v>
      </c>
      <c r="T1" s="46">
        <v>1918</v>
      </c>
      <c r="U1" s="46">
        <v>1919</v>
      </c>
      <c r="V1" s="46">
        <v>1920</v>
      </c>
      <c r="W1" s="46">
        <v>1921</v>
      </c>
      <c r="X1" s="46">
        <v>1922</v>
      </c>
      <c r="Y1" s="46">
        <v>1923</v>
      </c>
      <c r="Z1" s="46">
        <v>1924</v>
      </c>
      <c r="AA1" s="46">
        <v>1925</v>
      </c>
      <c r="AB1" s="46">
        <v>1926</v>
      </c>
      <c r="AC1" s="46">
        <v>1927</v>
      </c>
      <c r="AD1" s="46">
        <v>1928</v>
      </c>
      <c r="AE1" s="46">
        <v>1929</v>
      </c>
      <c r="AF1" s="46">
        <v>1930</v>
      </c>
      <c r="AG1" s="46">
        <v>1931</v>
      </c>
      <c r="AH1" s="46">
        <v>1932</v>
      </c>
      <c r="AI1" s="46">
        <v>1933</v>
      </c>
      <c r="AJ1" s="46">
        <v>1934</v>
      </c>
      <c r="AK1" s="46">
        <v>1935</v>
      </c>
      <c r="AL1" s="46">
        <v>1936</v>
      </c>
      <c r="AM1" s="46">
        <v>1937</v>
      </c>
      <c r="AN1" s="46">
        <v>1938</v>
      </c>
      <c r="AO1" s="46">
        <v>1939</v>
      </c>
      <c r="AP1" s="46">
        <v>1940</v>
      </c>
      <c r="AQ1" s="46">
        <v>1941</v>
      </c>
      <c r="AR1" s="46">
        <v>1942</v>
      </c>
      <c r="AS1" s="46">
        <v>1943</v>
      </c>
      <c r="AT1" s="46">
        <v>1944</v>
      </c>
      <c r="AU1" s="46">
        <v>1945</v>
      </c>
      <c r="AV1" s="46">
        <v>1946</v>
      </c>
      <c r="AW1" s="46">
        <v>1947</v>
      </c>
      <c r="AX1" s="46">
        <v>1948</v>
      </c>
      <c r="AY1" s="46">
        <v>1949</v>
      </c>
      <c r="AZ1" s="46">
        <v>1950</v>
      </c>
      <c r="BA1" s="46">
        <v>1951</v>
      </c>
      <c r="BB1" s="46">
        <v>1952</v>
      </c>
      <c r="BC1" s="46">
        <v>1953</v>
      </c>
      <c r="BD1" s="46">
        <v>1954</v>
      </c>
      <c r="BE1" s="46">
        <v>1955</v>
      </c>
      <c r="BF1" s="46">
        <v>1956</v>
      </c>
      <c r="BG1" s="46">
        <v>1957</v>
      </c>
      <c r="BH1" s="46">
        <v>1958</v>
      </c>
      <c r="BI1" s="46">
        <v>1959</v>
      </c>
      <c r="BJ1" s="46">
        <v>1960</v>
      </c>
      <c r="BK1" s="46">
        <v>1961</v>
      </c>
      <c r="BL1" s="46">
        <v>1962</v>
      </c>
      <c r="BM1" s="46">
        <v>1963</v>
      </c>
      <c r="BN1" s="46">
        <v>1964</v>
      </c>
      <c r="BO1" s="46">
        <v>1965</v>
      </c>
      <c r="BP1" s="46">
        <v>1966</v>
      </c>
      <c r="BQ1" s="46">
        <v>1967</v>
      </c>
      <c r="BR1" s="46">
        <v>1968</v>
      </c>
      <c r="BS1" s="46">
        <v>1969</v>
      </c>
      <c r="BT1" s="46">
        <v>1970</v>
      </c>
      <c r="BU1" s="46">
        <v>1971</v>
      </c>
      <c r="BV1" s="46">
        <v>1972</v>
      </c>
      <c r="BW1" s="46">
        <v>1973</v>
      </c>
      <c r="BX1" s="46">
        <v>1974</v>
      </c>
      <c r="BY1" s="46">
        <v>1975</v>
      </c>
      <c r="BZ1" s="46">
        <v>1976</v>
      </c>
      <c r="CA1" s="46">
        <v>1977</v>
      </c>
      <c r="CB1" s="46">
        <v>1978</v>
      </c>
      <c r="CC1" s="46">
        <v>1979</v>
      </c>
      <c r="CD1" s="46">
        <v>1980</v>
      </c>
      <c r="CE1" s="46">
        <v>1981</v>
      </c>
      <c r="CF1" s="46">
        <v>1982</v>
      </c>
      <c r="CG1" s="46">
        <v>1983</v>
      </c>
      <c r="CH1" s="46">
        <v>1984</v>
      </c>
      <c r="CI1" s="46">
        <v>1985</v>
      </c>
      <c r="CJ1" s="46">
        <v>1986</v>
      </c>
      <c r="CK1" s="46">
        <v>1987</v>
      </c>
      <c r="CL1" s="46">
        <v>1988</v>
      </c>
      <c r="CM1" s="46">
        <v>1989</v>
      </c>
      <c r="CN1" s="46">
        <v>1990</v>
      </c>
      <c r="CO1" s="46">
        <v>1991</v>
      </c>
      <c r="CP1" s="46">
        <v>1992</v>
      </c>
      <c r="CQ1" s="46">
        <v>1993</v>
      </c>
      <c r="CR1" s="46">
        <v>1994</v>
      </c>
      <c r="CS1" s="46">
        <v>1995</v>
      </c>
      <c r="CT1" s="46">
        <v>1996</v>
      </c>
      <c r="CU1" s="46">
        <v>1997</v>
      </c>
      <c r="CV1" s="46">
        <v>1998</v>
      </c>
      <c r="CW1" s="46">
        <v>1999</v>
      </c>
      <c r="CX1" s="46">
        <v>2000</v>
      </c>
      <c r="CY1" s="46">
        <v>2001</v>
      </c>
      <c r="CZ1" s="46">
        <v>2002</v>
      </c>
      <c r="DA1" s="46">
        <v>2003</v>
      </c>
      <c r="DB1" s="46">
        <v>2004</v>
      </c>
      <c r="DC1" s="46">
        <v>2005</v>
      </c>
      <c r="DD1" s="46">
        <v>2006</v>
      </c>
      <c r="DE1" s="46">
        <v>2007</v>
      </c>
      <c r="DF1" s="46">
        <v>2008</v>
      </c>
      <c r="DG1" s="46">
        <v>2009</v>
      </c>
      <c r="DH1" s="46">
        <v>2010</v>
      </c>
      <c r="DI1" s="46">
        <v>2011</v>
      </c>
      <c r="DJ1" s="46">
        <v>2012</v>
      </c>
      <c r="DK1" s="46">
        <v>2013</v>
      </c>
      <c r="DL1" s="46">
        <v>2014</v>
      </c>
      <c r="DM1" s="46">
        <v>2015</v>
      </c>
      <c r="DN1" s="46">
        <v>2016</v>
      </c>
      <c r="DO1" s="46">
        <v>2017</v>
      </c>
      <c r="DP1" s="46">
        <v>2018</v>
      </c>
      <c r="DQ1" s="46">
        <v>2019</v>
      </c>
      <c r="DR1" s="46">
        <v>2020</v>
      </c>
    </row>
    <row r="2" spans="1:122">
      <c r="A2" s="44">
        <v>0</v>
      </c>
      <c r="B2" s="45"/>
      <c r="C2" s="45"/>
      <c r="D2" s="45"/>
      <c r="E2" s="45"/>
      <c r="F2" s="45"/>
      <c r="G2" s="45"/>
      <c r="H2" s="45"/>
      <c r="I2" s="45"/>
      <c r="J2" s="45"/>
      <c r="K2" s="45"/>
      <c r="L2" s="45"/>
      <c r="M2" s="45"/>
      <c r="N2" s="45"/>
      <c r="O2" s="45"/>
      <c r="P2" s="45"/>
      <c r="Q2" s="45"/>
      <c r="R2" s="45"/>
      <c r="S2" s="45"/>
      <c r="T2" s="45"/>
      <c r="U2" s="45"/>
      <c r="V2" s="39"/>
      <c r="W2" s="39">
        <v>65.28</v>
      </c>
      <c r="X2" s="39">
        <v>66.06</v>
      </c>
      <c r="Y2" s="39">
        <v>66.28</v>
      </c>
      <c r="Z2" s="39">
        <v>68.099999999999994</v>
      </c>
      <c r="AA2" s="39">
        <v>68.569999999999993</v>
      </c>
      <c r="AB2" s="39">
        <v>69.209999999999994</v>
      </c>
      <c r="AC2" s="39">
        <v>70.08</v>
      </c>
      <c r="AD2" s="39">
        <v>70.86</v>
      </c>
      <c r="AE2" s="39">
        <v>70.98</v>
      </c>
      <c r="AF2" s="39">
        <v>72.040000000000006</v>
      </c>
      <c r="AG2" s="39">
        <v>72.569999999999993</v>
      </c>
      <c r="AH2" s="39">
        <v>72.86</v>
      </c>
      <c r="AI2" s="39">
        <v>73.349999999999994</v>
      </c>
      <c r="AJ2" s="39">
        <v>74.55</v>
      </c>
      <c r="AK2" s="39">
        <v>74.78</v>
      </c>
      <c r="AL2" s="39">
        <v>75.31</v>
      </c>
      <c r="AM2" s="39">
        <v>75.75</v>
      </c>
      <c r="AN2" s="39">
        <v>76.33</v>
      </c>
      <c r="AO2" s="39">
        <v>76.489999999999995</v>
      </c>
      <c r="AP2" s="39">
        <v>76.69</v>
      </c>
      <c r="AQ2" s="39">
        <v>76.81</v>
      </c>
      <c r="AR2" s="39">
        <v>76.88</v>
      </c>
      <c r="AS2" s="39">
        <v>76.489999999999995</v>
      </c>
      <c r="AT2" s="39">
        <v>75.92</v>
      </c>
      <c r="AU2" s="39">
        <v>75.05</v>
      </c>
      <c r="AV2" s="39">
        <v>75.27</v>
      </c>
      <c r="AW2" s="39">
        <v>75.73</v>
      </c>
      <c r="AX2" s="39">
        <v>77.45</v>
      </c>
      <c r="AY2" s="39">
        <v>78.94</v>
      </c>
      <c r="AZ2" s="39">
        <v>79.13</v>
      </c>
      <c r="BA2" s="39">
        <v>79.3</v>
      </c>
      <c r="BB2" s="39">
        <v>79.900000000000006</v>
      </c>
      <c r="BC2" s="39">
        <v>80.22</v>
      </c>
      <c r="BD2" s="39">
        <v>80.59</v>
      </c>
      <c r="BE2" s="39">
        <v>80.78</v>
      </c>
      <c r="BF2" s="39">
        <v>81.209999999999994</v>
      </c>
      <c r="BG2" s="39">
        <v>81.5</v>
      </c>
      <c r="BH2" s="39">
        <v>81.83</v>
      </c>
      <c r="BI2" s="39">
        <v>82.04</v>
      </c>
      <c r="BJ2" s="39">
        <v>82.37</v>
      </c>
      <c r="BK2" s="39">
        <v>82.73</v>
      </c>
      <c r="BL2" s="39">
        <v>83.14</v>
      </c>
      <c r="BM2" s="39">
        <v>83.5</v>
      </c>
      <c r="BN2" s="39">
        <v>83.84</v>
      </c>
      <c r="BO2" s="39">
        <v>84.12</v>
      </c>
      <c r="BP2" s="39">
        <v>84.41</v>
      </c>
      <c r="BQ2" s="39">
        <v>84.61</v>
      </c>
      <c r="BR2" s="39">
        <v>84.83</v>
      </c>
      <c r="BS2" s="39">
        <v>84.98</v>
      </c>
      <c r="BT2" s="39">
        <v>85.18</v>
      </c>
      <c r="BU2" s="39">
        <v>85.36</v>
      </c>
      <c r="BV2" s="39">
        <v>85.58</v>
      </c>
      <c r="BW2" s="39">
        <v>85.79</v>
      </c>
      <c r="BX2" s="39">
        <v>86.01</v>
      </c>
      <c r="BY2" s="39">
        <v>86.22</v>
      </c>
      <c r="BZ2" s="39">
        <v>86.54</v>
      </c>
      <c r="CA2" s="39">
        <v>86.82</v>
      </c>
      <c r="CB2" s="39">
        <v>87.04</v>
      </c>
      <c r="CC2" s="39">
        <v>87.24</v>
      </c>
      <c r="CD2" s="39">
        <v>87.44</v>
      </c>
      <c r="CE2" s="39">
        <v>87.64</v>
      </c>
      <c r="CF2" s="39">
        <v>87.83</v>
      </c>
      <c r="CG2" s="39">
        <v>88.04</v>
      </c>
      <c r="CH2" s="39">
        <v>88.22</v>
      </c>
      <c r="CI2" s="39">
        <v>88.43</v>
      </c>
      <c r="CJ2" s="39">
        <v>88.59</v>
      </c>
      <c r="CK2" s="39">
        <v>88.77</v>
      </c>
      <c r="CL2" s="39">
        <v>88.98</v>
      </c>
      <c r="CM2" s="39">
        <v>89.13</v>
      </c>
      <c r="CN2" s="39">
        <v>89.31</v>
      </c>
      <c r="CO2" s="39">
        <v>89.46</v>
      </c>
      <c r="CP2" s="39">
        <v>89.64</v>
      </c>
      <c r="CQ2" s="39">
        <v>89.79</v>
      </c>
      <c r="CR2" s="39">
        <v>89.95</v>
      </c>
      <c r="CS2" s="39">
        <v>90.1</v>
      </c>
      <c r="CT2" s="39">
        <v>90.25</v>
      </c>
      <c r="CU2" s="39">
        <v>90.39</v>
      </c>
      <c r="CV2" s="39">
        <v>90.5</v>
      </c>
      <c r="CW2" s="39">
        <v>90.65</v>
      </c>
      <c r="CX2" s="39">
        <v>90.79</v>
      </c>
      <c r="CY2" s="39">
        <v>90.92</v>
      </c>
      <c r="CZ2" s="39">
        <v>91.02</v>
      </c>
      <c r="DA2" s="39">
        <v>91.15</v>
      </c>
      <c r="DB2" s="39">
        <v>91.27</v>
      </c>
      <c r="DC2" s="39">
        <v>91.42</v>
      </c>
      <c r="DD2" s="39">
        <v>91.53</v>
      </c>
      <c r="DE2" s="39">
        <v>91.66</v>
      </c>
      <c r="DF2" s="39">
        <v>91.81</v>
      </c>
      <c r="DG2" s="39">
        <v>91.9</v>
      </c>
      <c r="DH2" s="39">
        <v>92.03</v>
      </c>
      <c r="DI2" s="39">
        <v>92.11</v>
      </c>
      <c r="DJ2" s="39">
        <v>92.24</v>
      </c>
      <c r="DK2" s="39">
        <v>92.36</v>
      </c>
      <c r="DL2" s="39">
        <v>92.47</v>
      </c>
      <c r="DM2" s="39">
        <v>92.55</v>
      </c>
      <c r="DN2" s="39">
        <v>92.66</v>
      </c>
      <c r="DO2" s="39">
        <v>92.77</v>
      </c>
      <c r="DP2" s="39">
        <v>92.89</v>
      </c>
      <c r="DQ2" s="39">
        <v>93.01</v>
      </c>
      <c r="DR2" s="39">
        <v>93.12</v>
      </c>
    </row>
    <row r="3" spans="1:122">
      <c r="A3" s="44">
        <v>1</v>
      </c>
      <c r="B3" s="45"/>
      <c r="C3" s="45"/>
      <c r="D3" s="45"/>
      <c r="E3" s="45"/>
      <c r="F3" s="45"/>
      <c r="G3" s="45"/>
      <c r="H3" s="45"/>
      <c r="I3" s="45"/>
      <c r="J3" s="45"/>
      <c r="K3" s="45"/>
      <c r="L3" s="45"/>
      <c r="M3" s="45"/>
      <c r="N3" s="45"/>
      <c r="O3" s="45"/>
      <c r="P3" s="45"/>
      <c r="Q3" s="45"/>
      <c r="R3" s="45"/>
      <c r="S3" s="45"/>
      <c r="T3" s="45"/>
      <c r="U3" s="45"/>
      <c r="V3" s="39"/>
      <c r="W3" s="39">
        <v>73.16</v>
      </c>
      <c r="X3" s="39">
        <v>73.69</v>
      </c>
      <c r="Y3" s="39">
        <v>74.2</v>
      </c>
      <c r="Z3" s="39">
        <v>74.47</v>
      </c>
      <c r="AA3" s="39">
        <v>74.66</v>
      </c>
      <c r="AB3" s="39">
        <v>75.11</v>
      </c>
      <c r="AC3" s="39">
        <v>75.650000000000006</v>
      </c>
      <c r="AD3" s="39">
        <v>75.92</v>
      </c>
      <c r="AE3" s="39">
        <v>76.5</v>
      </c>
      <c r="AF3" s="39">
        <v>76.86</v>
      </c>
      <c r="AG3" s="39">
        <v>77.150000000000006</v>
      </c>
      <c r="AH3" s="39">
        <v>77.41</v>
      </c>
      <c r="AI3" s="39">
        <v>77.680000000000007</v>
      </c>
      <c r="AJ3" s="39">
        <v>78.13</v>
      </c>
      <c r="AK3" s="39">
        <v>78.53</v>
      </c>
      <c r="AL3" s="39">
        <v>78.930000000000007</v>
      </c>
      <c r="AM3" s="39">
        <v>79.27</v>
      </c>
      <c r="AN3" s="39">
        <v>79.540000000000006</v>
      </c>
      <c r="AO3" s="39">
        <v>79.81</v>
      </c>
      <c r="AP3" s="39">
        <v>80.02</v>
      </c>
      <c r="AQ3" s="39">
        <v>80.14</v>
      </c>
      <c r="AR3" s="39">
        <v>80.209999999999994</v>
      </c>
      <c r="AS3" s="39">
        <v>80.260000000000005</v>
      </c>
      <c r="AT3" s="39">
        <v>80.34</v>
      </c>
      <c r="AU3" s="39">
        <v>80.58</v>
      </c>
      <c r="AV3" s="39">
        <v>80.849999999999994</v>
      </c>
      <c r="AW3" s="39">
        <v>81.36</v>
      </c>
      <c r="AX3" s="39">
        <v>81.81</v>
      </c>
      <c r="AY3" s="39">
        <v>82.01</v>
      </c>
      <c r="AZ3" s="39">
        <v>82.2</v>
      </c>
      <c r="BA3" s="39">
        <v>82.38</v>
      </c>
      <c r="BB3" s="39">
        <v>82.53</v>
      </c>
      <c r="BC3" s="39">
        <v>82.69</v>
      </c>
      <c r="BD3" s="39">
        <v>82.82</v>
      </c>
      <c r="BE3" s="39">
        <v>82.97</v>
      </c>
      <c r="BF3" s="39">
        <v>83.16</v>
      </c>
      <c r="BG3" s="39">
        <v>83.38</v>
      </c>
      <c r="BH3" s="39">
        <v>83.57</v>
      </c>
      <c r="BI3" s="39">
        <v>83.74</v>
      </c>
      <c r="BJ3" s="39">
        <v>83.92</v>
      </c>
      <c r="BK3" s="39">
        <v>84.11</v>
      </c>
      <c r="BL3" s="39">
        <v>84.34</v>
      </c>
      <c r="BM3" s="39">
        <v>84.56</v>
      </c>
      <c r="BN3" s="39">
        <v>84.74</v>
      </c>
      <c r="BO3" s="39">
        <v>84.92</v>
      </c>
      <c r="BP3" s="39">
        <v>85.13</v>
      </c>
      <c r="BQ3" s="39">
        <v>85.31</v>
      </c>
      <c r="BR3" s="39">
        <v>85.46</v>
      </c>
      <c r="BS3" s="39">
        <v>85.67</v>
      </c>
      <c r="BT3" s="39">
        <v>85.84</v>
      </c>
      <c r="BU3" s="39">
        <v>86</v>
      </c>
      <c r="BV3" s="39">
        <v>86.17</v>
      </c>
      <c r="BW3" s="39">
        <v>86.33</v>
      </c>
      <c r="BX3" s="39">
        <v>86.49</v>
      </c>
      <c r="BY3" s="39">
        <v>86.65</v>
      </c>
      <c r="BZ3" s="39">
        <v>86.78</v>
      </c>
      <c r="CA3" s="39">
        <v>86.94</v>
      </c>
      <c r="CB3" s="39">
        <v>87.11</v>
      </c>
      <c r="CC3" s="39">
        <v>87.24</v>
      </c>
      <c r="CD3" s="39">
        <v>87.4</v>
      </c>
      <c r="CE3" s="39">
        <v>87.54</v>
      </c>
      <c r="CF3" s="39">
        <v>87.68</v>
      </c>
      <c r="CG3" s="39">
        <v>87.83</v>
      </c>
      <c r="CH3" s="39">
        <v>87.98</v>
      </c>
      <c r="CI3" s="39">
        <v>88.14</v>
      </c>
      <c r="CJ3" s="39">
        <v>88.26</v>
      </c>
      <c r="CK3" s="39">
        <v>88.41</v>
      </c>
      <c r="CL3" s="39">
        <v>88.56</v>
      </c>
      <c r="CM3" s="39">
        <v>88.7</v>
      </c>
      <c r="CN3" s="39">
        <v>88.85</v>
      </c>
      <c r="CO3" s="39">
        <v>88.98</v>
      </c>
      <c r="CP3" s="39">
        <v>89.12</v>
      </c>
      <c r="CQ3" s="39">
        <v>89.24</v>
      </c>
      <c r="CR3" s="39">
        <v>89.38</v>
      </c>
      <c r="CS3" s="39">
        <v>89.52</v>
      </c>
      <c r="CT3" s="39">
        <v>89.65</v>
      </c>
      <c r="CU3" s="39">
        <v>89.77</v>
      </c>
      <c r="CV3" s="39">
        <v>89.88</v>
      </c>
      <c r="CW3" s="39">
        <v>90.01</v>
      </c>
      <c r="CX3" s="39">
        <v>90.14</v>
      </c>
      <c r="CY3" s="39">
        <v>90.26</v>
      </c>
      <c r="CZ3" s="39">
        <v>90.37</v>
      </c>
      <c r="DA3" s="39">
        <v>90.5</v>
      </c>
      <c r="DB3" s="39">
        <v>90.61</v>
      </c>
      <c r="DC3" s="39">
        <v>90.73</v>
      </c>
      <c r="DD3" s="39">
        <v>90.85</v>
      </c>
      <c r="DE3" s="39">
        <v>90.97</v>
      </c>
      <c r="DF3" s="39">
        <v>91.09</v>
      </c>
      <c r="DG3" s="39">
        <v>91.19</v>
      </c>
      <c r="DH3" s="39">
        <v>91.31</v>
      </c>
      <c r="DI3" s="39">
        <v>91.42</v>
      </c>
      <c r="DJ3" s="39">
        <v>91.52</v>
      </c>
      <c r="DK3" s="39">
        <v>91.63</v>
      </c>
      <c r="DL3" s="39">
        <v>91.74</v>
      </c>
      <c r="DM3" s="39">
        <v>91.84</v>
      </c>
      <c r="DN3" s="39">
        <v>91.95</v>
      </c>
      <c r="DO3" s="39">
        <v>92.05</v>
      </c>
      <c r="DP3" s="39">
        <v>92.16</v>
      </c>
      <c r="DQ3" s="39">
        <v>92.26</v>
      </c>
      <c r="DR3" s="39">
        <v>92.36</v>
      </c>
    </row>
    <row r="4" spans="1:122">
      <c r="A4" s="44">
        <v>2</v>
      </c>
      <c r="B4" s="45"/>
      <c r="C4" s="45"/>
      <c r="D4" s="45"/>
      <c r="E4" s="45"/>
      <c r="F4" s="45"/>
      <c r="G4" s="45"/>
      <c r="H4" s="45"/>
      <c r="I4" s="45"/>
      <c r="J4" s="45"/>
      <c r="K4" s="45"/>
      <c r="L4" s="45"/>
      <c r="M4" s="45"/>
      <c r="N4" s="45"/>
      <c r="O4" s="45"/>
      <c r="P4" s="45"/>
      <c r="Q4" s="45"/>
      <c r="R4" s="45"/>
      <c r="S4" s="45"/>
      <c r="T4" s="45"/>
      <c r="U4" s="45"/>
      <c r="V4" s="39"/>
      <c r="W4" s="39">
        <v>73.52</v>
      </c>
      <c r="X4" s="39">
        <v>74.099999999999994</v>
      </c>
      <c r="Y4" s="39">
        <v>74.31</v>
      </c>
      <c r="Z4" s="39">
        <v>74.59</v>
      </c>
      <c r="AA4" s="39">
        <v>74.790000000000006</v>
      </c>
      <c r="AB4" s="39">
        <v>75.150000000000006</v>
      </c>
      <c r="AC4" s="39">
        <v>75.489999999999995</v>
      </c>
      <c r="AD4" s="39">
        <v>75.819999999999993</v>
      </c>
      <c r="AE4" s="39">
        <v>76.19</v>
      </c>
      <c r="AF4" s="39">
        <v>76.52</v>
      </c>
      <c r="AG4" s="39">
        <v>76.78</v>
      </c>
      <c r="AH4" s="39">
        <v>77.05</v>
      </c>
      <c r="AI4" s="39">
        <v>77.319999999999993</v>
      </c>
      <c r="AJ4" s="39">
        <v>77.69</v>
      </c>
      <c r="AK4" s="39">
        <v>78.08</v>
      </c>
      <c r="AL4" s="39">
        <v>78.47</v>
      </c>
      <c r="AM4" s="39">
        <v>78.77</v>
      </c>
      <c r="AN4" s="39">
        <v>79.05</v>
      </c>
      <c r="AO4" s="39">
        <v>79.319999999999993</v>
      </c>
      <c r="AP4" s="39">
        <v>79.53</v>
      </c>
      <c r="AQ4" s="39">
        <v>79.66</v>
      </c>
      <c r="AR4" s="39">
        <v>79.78</v>
      </c>
      <c r="AS4" s="39">
        <v>79.91</v>
      </c>
      <c r="AT4" s="39">
        <v>80.12</v>
      </c>
      <c r="AU4" s="39">
        <v>80.349999999999994</v>
      </c>
      <c r="AV4" s="39">
        <v>80.63</v>
      </c>
      <c r="AW4" s="39">
        <v>80.98</v>
      </c>
      <c r="AX4" s="39">
        <v>81.099999999999994</v>
      </c>
      <c r="AY4" s="39">
        <v>81.3</v>
      </c>
      <c r="AZ4" s="39">
        <v>81.5</v>
      </c>
      <c r="BA4" s="39">
        <v>81.650000000000006</v>
      </c>
      <c r="BB4" s="39">
        <v>81.78</v>
      </c>
      <c r="BC4" s="39">
        <v>81.92</v>
      </c>
      <c r="BD4" s="39">
        <v>82.06</v>
      </c>
      <c r="BE4" s="39">
        <v>82.18</v>
      </c>
      <c r="BF4" s="39">
        <v>82.39</v>
      </c>
      <c r="BG4" s="39">
        <v>82.57</v>
      </c>
      <c r="BH4" s="39">
        <v>82.77</v>
      </c>
      <c r="BI4" s="39">
        <v>82.92</v>
      </c>
      <c r="BJ4" s="39">
        <v>83.1</v>
      </c>
      <c r="BK4" s="39">
        <v>83.28</v>
      </c>
      <c r="BL4" s="39">
        <v>83.49</v>
      </c>
      <c r="BM4" s="39">
        <v>83.71</v>
      </c>
      <c r="BN4" s="39">
        <v>83.88</v>
      </c>
      <c r="BO4" s="39">
        <v>84.05</v>
      </c>
      <c r="BP4" s="39">
        <v>84.26</v>
      </c>
      <c r="BQ4" s="39">
        <v>84.43</v>
      </c>
      <c r="BR4" s="39">
        <v>84.59</v>
      </c>
      <c r="BS4" s="39">
        <v>84.79</v>
      </c>
      <c r="BT4" s="39">
        <v>84.95</v>
      </c>
      <c r="BU4" s="39">
        <v>85.1</v>
      </c>
      <c r="BV4" s="39">
        <v>85.27</v>
      </c>
      <c r="BW4" s="39">
        <v>85.43</v>
      </c>
      <c r="BX4" s="39">
        <v>85.58</v>
      </c>
      <c r="BY4" s="39">
        <v>85.73</v>
      </c>
      <c r="BZ4" s="39">
        <v>85.86</v>
      </c>
      <c r="CA4" s="39">
        <v>86.02</v>
      </c>
      <c r="CB4" s="39">
        <v>86.19</v>
      </c>
      <c r="CC4" s="39">
        <v>86.32</v>
      </c>
      <c r="CD4" s="39">
        <v>86.47</v>
      </c>
      <c r="CE4" s="39">
        <v>86.61</v>
      </c>
      <c r="CF4" s="39">
        <v>86.75</v>
      </c>
      <c r="CG4" s="39">
        <v>86.89</v>
      </c>
      <c r="CH4" s="39">
        <v>87.05</v>
      </c>
      <c r="CI4" s="39">
        <v>87.2</v>
      </c>
      <c r="CJ4" s="39">
        <v>87.31</v>
      </c>
      <c r="CK4" s="39">
        <v>87.46</v>
      </c>
      <c r="CL4" s="39">
        <v>87.61</v>
      </c>
      <c r="CM4" s="39">
        <v>87.75</v>
      </c>
      <c r="CN4" s="39">
        <v>87.9</v>
      </c>
      <c r="CO4" s="39">
        <v>88.03</v>
      </c>
      <c r="CP4" s="39">
        <v>88.17</v>
      </c>
      <c r="CQ4" s="39">
        <v>88.29</v>
      </c>
      <c r="CR4" s="39">
        <v>88.42</v>
      </c>
      <c r="CS4" s="39">
        <v>88.55</v>
      </c>
      <c r="CT4" s="39">
        <v>88.69</v>
      </c>
      <c r="CU4" s="39">
        <v>88.8</v>
      </c>
      <c r="CV4" s="39">
        <v>88.91</v>
      </c>
      <c r="CW4" s="39">
        <v>89.05</v>
      </c>
      <c r="CX4" s="39">
        <v>89.17</v>
      </c>
      <c r="CY4" s="39">
        <v>89.3</v>
      </c>
      <c r="CZ4" s="39">
        <v>89.41</v>
      </c>
      <c r="DA4" s="39">
        <v>89.53</v>
      </c>
      <c r="DB4" s="39">
        <v>89.64</v>
      </c>
      <c r="DC4" s="39">
        <v>89.76</v>
      </c>
      <c r="DD4" s="39">
        <v>89.88</v>
      </c>
      <c r="DE4" s="39">
        <v>89.99</v>
      </c>
      <c r="DF4" s="39">
        <v>90.11</v>
      </c>
      <c r="DG4" s="39">
        <v>90.22</v>
      </c>
      <c r="DH4" s="39">
        <v>90.33</v>
      </c>
      <c r="DI4" s="39">
        <v>90.44</v>
      </c>
      <c r="DJ4" s="39">
        <v>90.54</v>
      </c>
      <c r="DK4" s="39">
        <v>90.65</v>
      </c>
      <c r="DL4" s="39">
        <v>90.76</v>
      </c>
      <c r="DM4" s="39">
        <v>90.86</v>
      </c>
      <c r="DN4" s="39">
        <v>90.97</v>
      </c>
      <c r="DO4" s="39">
        <v>91.07</v>
      </c>
      <c r="DP4" s="39">
        <v>91.18</v>
      </c>
      <c r="DQ4" s="39">
        <v>91.28</v>
      </c>
      <c r="DR4" s="39">
        <v>91.38</v>
      </c>
    </row>
    <row r="5" spans="1:122">
      <c r="A5" s="44">
        <v>3</v>
      </c>
      <c r="B5" s="45"/>
      <c r="C5" s="45"/>
      <c r="D5" s="45"/>
      <c r="E5" s="45"/>
      <c r="F5" s="45"/>
      <c r="G5" s="45"/>
      <c r="H5" s="45"/>
      <c r="I5" s="45"/>
      <c r="J5" s="45"/>
      <c r="K5" s="45"/>
      <c r="L5" s="45"/>
      <c r="M5" s="45"/>
      <c r="N5" s="45"/>
      <c r="O5" s="45"/>
      <c r="P5" s="45"/>
      <c r="Q5" s="45"/>
      <c r="R5" s="45"/>
      <c r="S5" s="45"/>
      <c r="T5" s="45"/>
      <c r="U5" s="45"/>
      <c r="V5" s="39"/>
      <c r="W5" s="39">
        <v>73.31</v>
      </c>
      <c r="X5" s="39">
        <v>73.53</v>
      </c>
      <c r="Y5" s="39">
        <v>73.739999999999995</v>
      </c>
      <c r="Z5" s="39">
        <v>74.010000000000005</v>
      </c>
      <c r="AA5" s="39">
        <v>74.239999999999995</v>
      </c>
      <c r="AB5" s="39">
        <v>74.56</v>
      </c>
      <c r="AC5" s="39">
        <v>74.95</v>
      </c>
      <c r="AD5" s="39">
        <v>75.19</v>
      </c>
      <c r="AE5" s="39">
        <v>75.52</v>
      </c>
      <c r="AF5" s="39">
        <v>75.819999999999993</v>
      </c>
      <c r="AG5" s="39">
        <v>76.09</v>
      </c>
      <c r="AH5" s="39">
        <v>76.36</v>
      </c>
      <c r="AI5" s="39">
        <v>76.67</v>
      </c>
      <c r="AJ5" s="39">
        <v>77.08</v>
      </c>
      <c r="AK5" s="39">
        <v>77.41</v>
      </c>
      <c r="AL5" s="39">
        <v>77.78</v>
      </c>
      <c r="AM5" s="39">
        <v>78.099999999999994</v>
      </c>
      <c r="AN5" s="39">
        <v>78.38</v>
      </c>
      <c r="AO5" s="39">
        <v>78.650000000000006</v>
      </c>
      <c r="AP5" s="39">
        <v>78.86</v>
      </c>
      <c r="AQ5" s="39">
        <v>79.02</v>
      </c>
      <c r="AR5" s="39">
        <v>79.2</v>
      </c>
      <c r="AS5" s="39">
        <v>79.41</v>
      </c>
      <c r="AT5" s="39">
        <v>79.5</v>
      </c>
      <c r="AU5" s="39">
        <v>79.73</v>
      </c>
      <c r="AV5" s="39">
        <v>79.88</v>
      </c>
      <c r="AW5" s="39">
        <v>80.16</v>
      </c>
      <c r="AX5" s="39">
        <v>80.27</v>
      </c>
      <c r="AY5" s="39">
        <v>80.48</v>
      </c>
      <c r="AZ5" s="39">
        <v>80.62</v>
      </c>
      <c r="BA5" s="39">
        <v>80.78</v>
      </c>
      <c r="BB5" s="39">
        <v>80.900000000000006</v>
      </c>
      <c r="BC5" s="39">
        <v>81.040000000000006</v>
      </c>
      <c r="BD5" s="39">
        <v>81.17</v>
      </c>
      <c r="BE5" s="39">
        <v>81.290000000000006</v>
      </c>
      <c r="BF5" s="39">
        <v>81.489999999999995</v>
      </c>
      <c r="BG5" s="39">
        <v>81.67</v>
      </c>
      <c r="BH5" s="39">
        <v>81.86</v>
      </c>
      <c r="BI5" s="39">
        <v>82.01</v>
      </c>
      <c r="BJ5" s="39">
        <v>82.19</v>
      </c>
      <c r="BK5" s="39">
        <v>82.37</v>
      </c>
      <c r="BL5" s="39">
        <v>82.57</v>
      </c>
      <c r="BM5" s="39">
        <v>82.78</v>
      </c>
      <c r="BN5" s="39">
        <v>82.96</v>
      </c>
      <c r="BO5" s="39">
        <v>83.12</v>
      </c>
      <c r="BP5" s="39">
        <v>83.33</v>
      </c>
      <c r="BQ5" s="39">
        <v>83.51</v>
      </c>
      <c r="BR5" s="39">
        <v>83.65</v>
      </c>
      <c r="BS5" s="39">
        <v>83.85</v>
      </c>
      <c r="BT5" s="39">
        <v>84.01</v>
      </c>
      <c r="BU5" s="39">
        <v>84.16</v>
      </c>
      <c r="BV5" s="39">
        <v>84.33</v>
      </c>
      <c r="BW5" s="39">
        <v>84.48</v>
      </c>
      <c r="BX5" s="39">
        <v>84.63</v>
      </c>
      <c r="BY5" s="39">
        <v>84.78</v>
      </c>
      <c r="BZ5" s="39">
        <v>84.91</v>
      </c>
      <c r="CA5" s="39">
        <v>85.07</v>
      </c>
      <c r="CB5" s="39">
        <v>85.23</v>
      </c>
      <c r="CC5" s="39">
        <v>85.37</v>
      </c>
      <c r="CD5" s="39">
        <v>85.51</v>
      </c>
      <c r="CE5" s="39">
        <v>85.64</v>
      </c>
      <c r="CF5" s="39">
        <v>85.79</v>
      </c>
      <c r="CG5" s="39">
        <v>85.92</v>
      </c>
      <c r="CH5" s="39">
        <v>86.08</v>
      </c>
      <c r="CI5" s="39">
        <v>86.23</v>
      </c>
      <c r="CJ5" s="39">
        <v>86.35</v>
      </c>
      <c r="CK5" s="39">
        <v>86.49</v>
      </c>
      <c r="CL5" s="39">
        <v>86.64</v>
      </c>
      <c r="CM5" s="39">
        <v>86.78</v>
      </c>
      <c r="CN5" s="39">
        <v>86.92</v>
      </c>
      <c r="CO5" s="39">
        <v>87.05</v>
      </c>
      <c r="CP5" s="39">
        <v>87.19</v>
      </c>
      <c r="CQ5" s="39">
        <v>87.31</v>
      </c>
      <c r="CR5" s="39">
        <v>87.44</v>
      </c>
      <c r="CS5" s="39">
        <v>87.58</v>
      </c>
      <c r="CT5" s="39">
        <v>87.71</v>
      </c>
      <c r="CU5" s="39">
        <v>87.82</v>
      </c>
      <c r="CV5" s="39">
        <v>87.93</v>
      </c>
      <c r="CW5" s="39">
        <v>88.06</v>
      </c>
      <c r="CX5" s="39">
        <v>88.19</v>
      </c>
      <c r="CY5" s="39">
        <v>88.32</v>
      </c>
      <c r="CZ5" s="39">
        <v>88.42</v>
      </c>
      <c r="DA5" s="39">
        <v>88.54</v>
      </c>
      <c r="DB5" s="39">
        <v>88.65</v>
      </c>
      <c r="DC5" s="39">
        <v>88.77</v>
      </c>
      <c r="DD5" s="39">
        <v>88.89</v>
      </c>
      <c r="DE5" s="39">
        <v>89</v>
      </c>
      <c r="DF5" s="39">
        <v>89.13</v>
      </c>
      <c r="DG5" s="39">
        <v>89.23</v>
      </c>
      <c r="DH5" s="39">
        <v>89.34</v>
      </c>
      <c r="DI5" s="39">
        <v>89.45</v>
      </c>
      <c r="DJ5" s="39">
        <v>89.55</v>
      </c>
      <c r="DK5" s="39">
        <v>89.67</v>
      </c>
      <c r="DL5" s="39">
        <v>89.77</v>
      </c>
      <c r="DM5" s="39">
        <v>89.88</v>
      </c>
      <c r="DN5" s="39">
        <v>89.98</v>
      </c>
      <c r="DO5" s="39">
        <v>90.09</v>
      </c>
      <c r="DP5" s="39">
        <v>90.19</v>
      </c>
      <c r="DQ5" s="39">
        <v>90.29</v>
      </c>
      <c r="DR5" s="39">
        <v>90.39</v>
      </c>
    </row>
    <row r="6" spans="1:122">
      <c r="A6" s="44">
        <v>4</v>
      </c>
      <c r="B6" s="45"/>
      <c r="C6" s="45"/>
      <c r="D6" s="45"/>
      <c r="E6" s="45"/>
      <c r="F6" s="45"/>
      <c r="G6" s="45"/>
      <c r="H6" s="45"/>
      <c r="I6" s="45"/>
      <c r="J6" s="45"/>
      <c r="K6" s="45"/>
      <c r="L6" s="45"/>
      <c r="M6" s="45"/>
      <c r="N6" s="45"/>
      <c r="O6" s="45"/>
      <c r="P6" s="45"/>
      <c r="Q6" s="45"/>
      <c r="R6" s="45"/>
      <c r="S6" s="45"/>
      <c r="T6" s="45"/>
      <c r="U6" s="45"/>
      <c r="V6" s="39"/>
      <c r="W6" s="39">
        <v>72.569999999999993</v>
      </c>
      <c r="X6" s="39">
        <v>72.790000000000006</v>
      </c>
      <c r="Y6" s="39">
        <v>73.010000000000005</v>
      </c>
      <c r="Z6" s="39">
        <v>73.3</v>
      </c>
      <c r="AA6" s="39">
        <v>73.52</v>
      </c>
      <c r="AB6" s="39">
        <v>73.86</v>
      </c>
      <c r="AC6" s="39">
        <v>74.22</v>
      </c>
      <c r="AD6" s="39">
        <v>74.430000000000007</v>
      </c>
      <c r="AE6" s="39">
        <v>74.739999999999995</v>
      </c>
      <c r="AF6" s="39">
        <v>75.040000000000006</v>
      </c>
      <c r="AG6" s="39">
        <v>75.31</v>
      </c>
      <c r="AH6" s="39">
        <v>75.61</v>
      </c>
      <c r="AI6" s="39">
        <v>75.95</v>
      </c>
      <c r="AJ6" s="39">
        <v>76.319999999999993</v>
      </c>
      <c r="AK6" s="39">
        <v>76.63</v>
      </c>
      <c r="AL6" s="39">
        <v>77.010000000000005</v>
      </c>
      <c r="AM6" s="39">
        <v>77.34</v>
      </c>
      <c r="AN6" s="39">
        <v>77.62</v>
      </c>
      <c r="AO6" s="39">
        <v>77.89</v>
      </c>
      <c r="AP6" s="39">
        <v>78.13</v>
      </c>
      <c r="AQ6" s="39">
        <v>78.319999999999993</v>
      </c>
      <c r="AR6" s="39">
        <v>78.56</v>
      </c>
      <c r="AS6" s="39">
        <v>78.69</v>
      </c>
      <c r="AT6" s="39">
        <v>78.78</v>
      </c>
      <c r="AU6" s="39">
        <v>78.92</v>
      </c>
      <c r="AV6" s="39">
        <v>79.010000000000005</v>
      </c>
      <c r="AW6" s="39">
        <v>79.290000000000006</v>
      </c>
      <c r="AX6" s="39">
        <v>79.400000000000006</v>
      </c>
      <c r="AY6" s="39">
        <v>79.56</v>
      </c>
      <c r="AZ6" s="39">
        <v>79.7</v>
      </c>
      <c r="BA6" s="39">
        <v>79.86</v>
      </c>
      <c r="BB6" s="39">
        <v>79.98</v>
      </c>
      <c r="BC6" s="39">
        <v>80.12</v>
      </c>
      <c r="BD6" s="39">
        <v>80.25</v>
      </c>
      <c r="BE6" s="39">
        <v>80.36</v>
      </c>
      <c r="BF6" s="39">
        <v>80.56</v>
      </c>
      <c r="BG6" s="39">
        <v>80.739999999999995</v>
      </c>
      <c r="BH6" s="39">
        <v>80.930000000000007</v>
      </c>
      <c r="BI6" s="39">
        <v>81.069999999999993</v>
      </c>
      <c r="BJ6" s="39">
        <v>81.25</v>
      </c>
      <c r="BK6" s="39">
        <v>81.42</v>
      </c>
      <c r="BL6" s="39">
        <v>81.62</v>
      </c>
      <c r="BM6" s="39">
        <v>81.84</v>
      </c>
      <c r="BN6" s="39">
        <v>82.01</v>
      </c>
      <c r="BO6" s="39">
        <v>82.18</v>
      </c>
      <c r="BP6" s="39">
        <v>82.38</v>
      </c>
      <c r="BQ6" s="39">
        <v>82.56</v>
      </c>
      <c r="BR6" s="39">
        <v>82.7</v>
      </c>
      <c r="BS6" s="39">
        <v>82.9</v>
      </c>
      <c r="BT6" s="39">
        <v>83.06</v>
      </c>
      <c r="BU6" s="39">
        <v>83.2</v>
      </c>
      <c r="BV6" s="39">
        <v>83.37</v>
      </c>
      <c r="BW6" s="39">
        <v>83.52</v>
      </c>
      <c r="BX6" s="39">
        <v>83.68</v>
      </c>
      <c r="BY6" s="39">
        <v>83.82</v>
      </c>
      <c r="BZ6" s="39">
        <v>83.95</v>
      </c>
      <c r="CA6" s="39">
        <v>84.1</v>
      </c>
      <c r="CB6" s="39">
        <v>84.26</v>
      </c>
      <c r="CC6" s="39">
        <v>84.4</v>
      </c>
      <c r="CD6" s="39">
        <v>84.54</v>
      </c>
      <c r="CE6" s="39">
        <v>84.67</v>
      </c>
      <c r="CF6" s="39">
        <v>84.82</v>
      </c>
      <c r="CG6" s="39">
        <v>84.95</v>
      </c>
      <c r="CH6" s="39">
        <v>85.11</v>
      </c>
      <c r="CI6" s="39">
        <v>85.26</v>
      </c>
      <c r="CJ6" s="39">
        <v>85.37</v>
      </c>
      <c r="CK6" s="39">
        <v>85.52</v>
      </c>
      <c r="CL6" s="39">
        <v>85.66</v>
      </c>
      <c r="CM6" s="39">
        <v>85.8</v>
      </c>
      <c r="CN6" s="39">
        <v>85.94</v>
      </c>
      <c r="CO6" s="39">
        <v>86.07</v>
      </c>
      <c r="CP6" s="39">
        <v>86.21</v>
      </c>
      <c r="CQ6" s="39">
        <v>86.32</v>
      </c>
      <c r="CR6" s="39">
        <v>86.45</v>
      </c>
      <c r="CS6" s="39">
        <v>86.59</v>
      </c>
      <c r="CT6" s="39">
        <v>86.72</v>
      </c>
      <c r="CU6" s="39">
        <v>86.84</v>
      </c>
      <c r="CV6" s="39">
        <v>86.94</v>
      </c>
      <c r="CW6" s="39">
        <v>87.08</v>
      </c>
      <c r="CX6" s="39">
        <v>87.2</v>
      </c>
      <c r="CY6" s="39">
        <v>87.33</v>
      </c>
      <c r="CZ6" s="39">
        <v>87.43</v>
      </c>
      <c r="DA6" s="39">
        <v>87.56</v>
      </c>
      <c r="DB6" s="39">
        <v>87.67</v>
      </c>
      <c r="DC6" s="39">
        <v>87.79</v>
      </c>
      <c r="DD6" s="39">
        <v>87.9</v>
      </c>
      <c r="DE6" s="39">
        <v>88.01</v>
      </c>
      <c r="DF6" s="39">
        <v>88.14</v>
      </c>
      <c r="DG6" s="39">
        <v>88.24</v>
      </c>
      <c r="DH6" s="39">
        <v>88.35</v>
      </c>
      <c r="DI6" s="39">
        <v>88.46</v>
      </c>
      <c r="DJ6" s="39">
        <v>88.56</v>
      </c>
      <c r="DK6" s="39">
        <v>88.68</v>
      </c>
      <c r="DL6" s="39">
        <v>88.78</v>
      </c>
      <c r="DM6" s="39">
        <v>88.89</v>
      </c>
      <c r="DN6" s="39">
        <v>88.99</v>
      </c>
      <c r="DO6" s="39">
        <v>89.1</v>
      </c>
      <c r="DP6" s="39">
        <v>89.2</v>
      </c>
      <c r="DQ6" s="39">
        <v>89.3</v>
      </c>
      <c r="DR6" s="39">
        <v>89.4</v>
      </c>
    </row>
    <row r="7" spans="1:122">
      <c r="A7" s="44">
        <v>5</v>
      </c>
      <c r="B7" s="45"/>
      <c r="C7" s="45"/>
      <c r="D7" s="45"/>
      <c r="E7" s="45"/>
      <c r="F7" s="45"/>
      <c r="G7" s="45"/>
      <c r="H7" s="45"/>
      <c r="I7" s="45"/>
      <c r="J7" s="45"/>
      <c r="K7" s="45"/>
      <c r="L7" s="45"/>
      <c r="M7" s="45"/>
      <c r="N7" s="45"/>
      <c r="O7" s="45"/>
      <c r="P7" s="45"/>
      <c r="Q7" s="45"/>
      <c r="R7" s="45"/>
      <c r="S7" s="45"/>
      <c r="T7" s="45"/>
      <c r="U7" s="45"/>
      <c r="V7" s="39"/>
      <c r="W7" s="39">
        <v>71.78</v>
      </c>
      <c r="X7" s="39">
        <v>72</v>
      </c>
      <c r="Y7" s="39">
        <v>72.23</v>
      </c>
      <c r="Z7" s="39">
        <v>72.52</v>
      </c>
      <c r="AA7" s="39">
        <v>72.760000000000005</v>
      </c>
      <c r="AB7" s="39">
        <v>73.09</v>
      </c>
      <c r="AC7" s="39">
        <v>73.41</v>
      </c>
      <c r="AD7" s="39">
        <v>73.61</v>
      </c>
      <c r="AE7" s="39">
        <v>73.92</v>
      </c>
      <c r="AF7" s="39">
        <v>74.23</v>
      </c>
      <c r="AG7" s="39">
        <v>74.52</v>
      </c>
      <c r="AH7" s="39">
        <v>74.84</v>
      </c>
      <c r="AI7" s="39">
        <v>75.150000000000006</v>
      </c>
      <c r="AJ7" s="39">
        <v>75.510000000000005</v>
      </c>
      <c r="AK7" s="39">
        <v>75.83</v>
      </c>
      <c r="AL7" s="39">
        <v>76.209999999999994</v>
      </c>
      <c r="AM7" s="39">
        <v>76.540000000000006</v>
      </c>
      <c r="AN7" s="39">
        <v>76.819999999999993</v>
      </c>
      <c r="AO7" s="39">
        <v>77.11</v>
      </c>
      <c r="AP7" s="39">
        <v>77.38</v>
      </c>
      <c r="AQ7" s="39">
        <v>77.63</v>
      </c>
      <c r="AR7" s="39">
        <v>77.75</v>
      </c>
      <c r="AS7" s="39">
        <v>77.88</v>
      </c>
      <c r="AT7" s="39">
        <v>77.91</v>
      </c>
      <c r="AU7" s="39">
        <v>78.02</v>
      </c>
      <c r="AV7" s="39">
        <v>78.11</v>
      </c>
      <c r="AW7" s="39">
        <v>78.39</v>
      </c>
      <c r="AX7" s="39">
        <v>78.47</v>
      </c>
      <c r="AY7" s="39">
        <v>78.63</v>
      </c>
      <c r="AZ7" s="39">
        <v>78.77</v>
      </c>
      <c r="BA7" s="39">
        <v>78.91</v>
      </c>
      <c r="BB7" s="39">
        <v>79.040000000000006</v>
      </c>
      <c r="BC7" s="39">
        <v>79.180000000000007</v>
      </c>
      <c r="BD7" s="39">
        <v>79.31</v>
      </c>
      <c r="BE7" s="39">
        <v>79.41</v>
      </c>
      <c r="BF7" s="39">
        <v>79.62</v>
      </c>
      <c r="BG7" s="39">
        <v>79.790000000000006</v>
      </c>
      <c r="BH7" s="39">
        <v>79.97</v>
      </c>
      <c r="BI7" s="39">
        <v>80.12</v>
      </c>
      <c r="BJ7" s="39">
        <v>80.290000000000006</v>
      </c>
      <c r="BK7" s="39">
        <v>80.47</v>
      </c>
      <c r="BL7" s="39">
        <v>80.67</v>
      </c>
      <c r="BM7" s="39">
        <v>80.89</v>
      </c>
      <c r="BN7" s="39">
        <v>81.06</v>
      </c>
      <c r="BO7" s="39">
        <v>81.22</v>
      </c>
      <c r="BP7" s="39">
        <v>81.42</v>
      </c>
      <c r="BQ7" s="39">
        <v>81.599999999999994</v>
      </c>
      <c r="BR7" s="39">
        <v>81.75</v>
      </c>
      <c r="BS7" s="39">
        <v>81.93</v>
      </c>
      <c r="BT7" s="39">
        <v>82.1</v>
      </c>
      <c r="BU7" s="39">
        <v>82.24</v>
      </c>
      <c r="BV7" s="39">
        <v>82.41</v>
      </c>
      <c r="BW7" s="39">
        <v>82.56</v>
      </c>
      <c r="BX7" s="39">
        <v>82.71</v>
      </c>
      <c r="BY7" s="39">
        <v>82.85</v>
      </c>
      <c r="BZ7" s="39">
        <v>82.98</v>
      </c>
      <c r="CA7" s="39">
        <v>83.13</v>
      </c>
      <c r="CB7" s="39">
        <v>83.29</v>
      </c>
      <c r="CC7" s="39">
        <v>83.42</v>
      </c>
      <c r="CD7" s="39">
        <v>83.56</v>
      </c>
      <c r="CE7" s="39">
        <v>83.69</v>
      </c>
      <c r="CF7" s="39">
        <v>83.84</v>
      </c>
      <c r="CG7" s="39">
        <v>83.97</v>
      </c>
      <c r="CH7" s="39">
        <v>84.12</v>
      </c>
      <c r="CI7" s="39">
        <v>84.28</v>
      </c>
      <c r="CJ7" s="39">
        <v>84.39</v>
      </c>
      <c r="CK7" s="39">
        <v>84.54</v>
      </c>
      <c r="CL7" s="39">
        <v>84.68</v>
      </c>
      <c r="CM7" s="39">
        <v>84.82</v>
      </c>
      <c r="CN7" s="39">
        <v>84.96</v>
      </c>
      <c r="CO7" s="39">
        <v>85.09</v>
      </c>
      <c r="CP7" s="39">
        <v>85.22</v>
      </c>
      <c r="CQ7" s="39">
        <v>85.34</v>
      </c>
      <c r="CR7" s="39">
        <v>85.46</v>
      </c>
      <c r="CS7" s="39">
        <v>85.61</v>
      </c>
      <c r="CT7" s="39">
        <v>85.73</v>
      </c>
      <c r="CU7" s="39">
        <v>85.85</v>
      </c>
      <c r="CV7" s="39">
        <v>85.96</v>
      </c>
      <c r="CW7" s="39">
        <v>86.09</v>
      </c>
      <c r="CX7" s="39">
        <v>86.21</v>
      </c>
      <c r="CY7" s="39">
        <v>86.34</v>
      </c>
      <c r="CZ7" s="39">
        <v>86.44</v>
      </c>
      <c r="DA7" s="39">
        <v>86.57</v>
      </c>
      <c r="DB7" s="39">
        <v>86.68</v>
      </c>
      <c r="DC7" s="39">
        <v>86.8</v>
      </c>
      <c r="DD7" s="39">
        <v>86.91</v>
      </c>
      <c r="DE7" s="39">
        <v>87.02</v>
      </c>
      <c r="DF7" s="39">
        <v>87.14</v>
      </c>
      <c r="DG7" s="39">
        <v>87.25</v>
      </c>
      <c r="DH7" s="39">
        <v>87.36</v>
      </c>
      <c r="DI7" s="39">
        <v>87.47</v>
      </c>
      <c r="DJ7" s="39">
        <v>87.57</v>
      </c>
      <c r="DK7" s="39">
        <v>87.68</v>
      </c>
      <c r="DL7" s="39">
        <v>87.79</v>
      </c>
      <c r="DM7" s="39">
        <v>87.9</v>
      </c>
      <c r="DN7" s="39">
        <v>88</v>
      </c>
      <c r="DO7" s="39">
        <v>88.1</v>
      </c>
      <c r="DP7" s="39">
        <v>88.21</v>
      </c>
      <c r="DQ7" s="39">
        <v>88.31</v>
      </c>
      <c r="DR7" s="39">
        <v>88.41</v>
      </c>
    </row>
    <row r="8" spans="1:122">
      <c r="A8" s="44">
        <v>6</v>
      </c>
      <c r="B8" s="45"/>
      <c r="C8" s="45"/>
      <c r="D8" s="45"/>
      <c r="E8" s="45"/>
      <c r="F8" s="45"/>
      <c r="G8" s="45"/>
      <c r="H8" s="45"/>
      <c r="I8" s="45"/>
      <c r="J8" s="45"/>
      <c r="K8" s="45"/>
      <c r="L8" s="45"/>
      <c r="M8" s="45"/>
      <c r="N8" s="45"/>
      <c r="O8" s="45"/>
      <c r="P8" s="45"/>
      <c r="Q8" s="45"/>
      <c r="R8" s="45"/>
      <c r="S8" s="45"/>
      <c r="T8" s="45"/>
      <c r="U8" s="45"/>
      <c r="V8" s="39"/>
      <c r="W8" s="39">
        <v>70.94</v>
      </c>
      <c r="X8" s="39">
        <v>71.17</v>
      </c>
      <c r="Y8" s="39">
        <v>71.41</v>
      </c>
      <c r="Z8" s="39">
        <v>71.72</v>
      </c>
      <c r="AA8" s="39">
        <v>71.959999999999994</v>
      </c>
      <c r="AB8" s="39">
        <v>72.260000000000005</v>
      </c>
      <c r="AC8" s="39">
        <v>72.569999999999993</v>
      </c>
      <c r="AD8" s="39">
        <v>72.77</v>
      </c>
      <c r="AE8" s="39">
        <v>73.08</v>
      </c>
      <c r="AF8" s="39">
        <v>73.41</v>
      </c>
      <c r="AG8" s="39">
        <v>73.72</v>
      </c>
      <c r="AH8" s="39">
        <v>74.02</v>
      </c>
      <c r="AI8" s="39">
        <v>74.31</v>
      </c>
      <c r="AJ8" s="39">
        <v>74.680000000000007</v>
      </c>
      <c r="AK8" s="39">
        <v>75</v>
      </c>
      <c r="AL8" s="39">
        <v>75.39</v>
      </c>
      <c r="AM8" s="39">
        <v>75.709999999999994</v>
      </c>
      <c r="AN8" s="39">
        <v>76.010000000000005</v>
      </c>
      <c r="AO8" s="39">
        <v>76.33</v>
      </c>
      <c r="AP8" s="39">
        <v>76.64</v>
      </c>
      <c r="AQ8" s="39">
        <v>76.760000000000005</v>
      </c>
      <c r="AR8" s="39">
        <v>76.89</v>
      </c>
      <c r="AS8" s="39">
        <v>76.98</v>
      </c>
      <c r="AT8" s="39">
        <v>76.98</v>
      </c>
      <c r="AU8" s="39">
        <v>77.099999999999994</v>
      </c>
      <c r="AV8" s="39">
        <v>77.19</v>
      </c>
      <c r="AW8" s="39">
        <v>77.45</v>
      </c>
      <c r="AX8" s="39">
        <v>77.52</v>
      </c>
      <c r="AY8" s="39">
        <v>77.69</v>
      </c>
      <c r="AZ8" s="39">
        <v>77.819999999999993</v>
      </c>
      <c r="BA8" s="39">
        <v>77.959999999999994</v>
      </c>
      <c r="BB8" s="39">
        <v>78.09</v>
      </c>
      <c r="BC8" s="39">
        <v>78.23</v>
      </c>
      <c r="BD8" s="39">
        <v>78.349999999999994</v>
      </c>
      <c r="BE8" s="39">
        <v>78.459999999999994</v>
      </c>
      <c r="BF8" s="39">
        <v>78.66</v>
      </c>
      <c r="BG8" s="39">
        <v>78.83</v>
      </c>
      <c r="BH8" s="39">
        <v>79.010000000000005</v>
      </c>
      <c r="BI8" s="39">
        <v>79.16</v>
      </c>
      <c r="BJ8" s="39">
        <v>79.33</v>
      </c>
      <c r="BK8" s="39">
        <v>79.510000000000005</v>
      </c>
      <c r="BL8" s="39">
        <v>79.709999999999994</v>
      </c>
      <c r="BM8" s="39">
        <v>79.92</v>
      </c>
      <c r="BN8" s="39">
        <v>80.099999999999994</v>
      </c>
      <c r="BO8" s="39">
        <v>80.260000000000005</v>
      </c>
      <c r="BP8" s="39">
        <v>80.459999999999994</v>
      </c>
      <c r="BQ8" s="39">
        <v>80.64</v>
      </c>
      <c r="BR8" s="39">
        <v>80.78</v>
      </c>
      <c r="BS8" s="39">
        <v>80.97</v>
      </c>
      <c r="BT8" s="39">
        <v>81.13</v>
      </c>
      <c r="BU8" s="39">
        <v>81.27</v>
      </c>
      <c r="BV8" s="39">
        <v>81.430000000000007</v>
      </c>
      <c r="BW8" s="39">
        <v>81.59</v>
      </c>
      <c r="BX8" s="39">
        <v>81.73</v>
      </c>
      <c r="BY8" s="39">
        <v>81.87</v>
      </c>
      <c r="BZ8" s="39">
        <v>82.01</v>
      </c>
      <c r="CA8" s="39">
        <v>82.15</v>
      </c>
      <c r="CB8" s="39">
        <v>82.31</v>
      </c>
      <c r="CC8" s="39">
        <v>82.45</v>
      </c>
      <c r="CD8" s="39">
        <v>82.58</v>
      </c>
      <c r="CE8" s="39">
        <v>82.71</v>
      </c>
      <c r="CF8" s="39">
        <v>82.85</v>
      </c>
      <c r="CG8" s="39">
        <v>82.98</v>
      </c>
      <c r="CH8" s="39">
        <v>83.14</v>
      </c>
      <c r="CI8" s="39">
        <v>83.29</v>
      </c>
      <c r="CJ8" s="39">
        <v>83.41</v>
      </c>
      <c r="CK8" s="39">
        <v>83.56</v>
      </c>
      <c r="CL8" s="39">
        <v>83.69</v>
      </c>
      <c r="CM8" s="39">
        <v>83.83</v>
      </c>
      <c r="CN8" s="39">
        <v>83.97</v>
      </c>
      <c r="CO8" s="39">
        <v>84.1</v>
      </c>
      <c r="CP8" s="39">
        <v>84.23</v>
      </c>
      <c r="CQ8" s="39">
        <v>84.35</v>
      </c>
      <c r="CR8" s="39">
        <v>84.47</v>
      </c>
      <c r="CS8" s="39">
        <v>84.61</v>
      </c>
      <c r="CT8" s="39">
        <v>84.74</v>
      </c>
      <c r="CU8" s="39">
        <v>84.86</v>
      </c>
      <c r="CV8" s="39">
        <v>84.97</v>
      </c>
      <c r="CW8" s="39">
        <v>85.1</v>
      </c>
      <c r="CX8" s="39">
        <v>85.22</v>
      </c>
      <c r="CY8" s="39">
        <v>85.34</v>
      </c>
      <c r="CZ8" s="39">
        <v>85.45</v>
      </c>
      <c r="DA8" s="39">
        <v>85.57</v>
      </c>
      <c r="DB8" s="39">
        <v>85.69</v>
      </c>
      <c r="DC8" s="39">
        <v>85.81</v>
      </c>
      <c r="DD8" s="39">
        <v>85.92</v>
      </c>
      <c r="DE8" s="39">
        <v>86.03</v>
      </c>
      <c r="DF8" s="39">
        <v>86.15</v>
      </c>
      <c r="DG8" s="39">
        <v>86.26</v>
      </c>
      <c r="DH8" s="39">
        <v>86.36</v>
      </c>
      <c r="DI8" s="39">
        <v>86.47</v>
      </c>
      <c r="DJ8" s="39">
        <v>86.58</v>
      </c>
      <c r="DK8" s="39">
        <v>86.69</v>
      </c>
      <c r="DL8" s="39">
        <v>86.8</v>
      </c>
      <c r="DM8" s="39">
        <v>86.9</v>
      </c>
      <c r="DN8" s="39">
        <v>87.01</v>
      </c>
      <c r="DO8" s="39">
        <v>87.11</v>
      </c>
      <c r="DP8" s="39">
        <v>87.21</v>
      </c>
      <c r="DQ8" s="39">
        <v>87.31</v>
      </c>
      <c r="DR8" s="39">
        <v>87.41</v>
      </c>
    </row>
    <row r="9" spans="1:122">
      <c r="A9" s="44">
        <v>7</v>
      </c>
      <c r="B9" s="45"/>
      <c r="C9" s="45"/>
      <c r="D9" s="45"/>
      <c r="E9" s="45"/>
      <c r="F9" s="45"/>
      <c r="G9" s="45"/>
      <c r="H9" s="45"/>
      <c r="I9" s="45"/>
      <c r="J9" s="45"/>
      <c r="K9" s="45"/>
      <c r="L9" s="45"/>
      <c r="M9" s="45"/>
      <c r="N9" s="45"/>
      <c r="O9" s="45"/>
      <c r="P9" s="45"/>
      <c r="Q9" s="45"/>
      <c r="R9" s="45"/>
      <c r="S9" s="45"/>
      <c r="T9" s="45"/>
      <c r="U9" s="45"/>
      <c r="V9" s="39"/>
      <c r="W9" s="39">
        <v>70.069999999999993</v>
      </c>
      <c r="X9" s="39">
        <v>70.319999999999993</v>
      </c>
      <c r="Y9" s="39">
        <v>70.58</v>
      </c>
      <c r="Z9" s="39">
        <v>70.900000000000006</v>
      </c>
      <c r="AA9" s="39">
        <v>71.11</v>
      </c>
      <c r="AB9" s="39">
        <v>71.400000000000006</v>
      </c>
      <c r="AC9" s="39">
        <v>71.709999999999994</v>
      </c>
      <c r="AD9" s="39">
        <v>71.91</v>
      </c>
      <c r="AE9" s="39">
        <v>72.239999999999995</v>
      </c>
      <c r="AF9" s="39">
        <v>72.59</v>
      </c>
      <c r="AG9" s="39">
        <v>72.87</v>
      </c>
      <c r="AH9" s="39">
        <v>73.16</v>
      </c>
      <c r="AI9" s="39">
        <v>73.47</v>
      </c>
      <c r="AJ9" s="39">
        <v>73.83</v>
      </c>
      <c r="AK9" s="39">
        <v>74.16</v>
      </c>
      <c r="AL9" s="39">
        <v>74.540000000000006</v>
      </c>
      <c r="AM9" s="39">
        <v>74.88</v>
      </c>
      <c r="AN9" s="39">
        <v>75.209999999999994</v>
      </c>
      <c r="AO9" s="39">
        <v>75.56</v>
      </c>
      <c r="AP9" s="39">
        <v>75.75</v>
      </c>
      <c r="AQ9" s="39">
        <v>75.87</v>
      </c>
      <c r="AR9" s="39">
        <v>75.959999999999994</v>
      </c>
      <c r="AS9" s="39">
        <v>76.040000000000006</v>
      </c>
      <c r="AT9" s="39">
        <v>76.05</v>
      </c>
      <c r="AU9" s="39">
        <v>76.16</v>
      </c>
      <c r="AV9" s="39">
        <v>76.239999999999995</v>
      </c>
      <c r="AW9" s="39">
        <v>76.489999999999995</v>
      </c>
      <c r="AX9" s="39">
        <v>76.569999999999993</v>
      </c>
      <c r="AY9" s="39">
        <v>76.73</v>
      </c>
      <c r="AZ9" s="39">
        <v>76.86</v>
      </c>
      <c r="BA9" s="39">
        <v>77</v>
      </c>
      <c r="BB9" s="39">
        <v>77.13</v>
      </c>
      <c r="BC9" s="39">
        <v>77.260000000000005</v>
      </c>
      <c r="BD9" s="39">
        <v>77.38</v>
      </c>
      <c r="BE9" s="39">
        <v>77.489999999999995</v>
      </c>
      <c r="BF9" s="39">
        <v>77.69</v>
      </c>
      <c r="BG9" s="39">
        <v>77.87</v>
      </c>
      <c r="BH9" s="39">
        <v>78.05</v>
      </c>
      <c r="BI9" s="39">
        <v>78.19</v>
      </c>
      <c r="BJ9" s="39">
        <v>78.37</v>
      </c>
      <c r="BK9" s="39">
        <v>78.55</v>
      </c>
      <c r="BL9" s="39">
        <v>78.739999999999995</v>
      </c>
      <c r="BM9" s="39">
        <v>78.959999999999994</v>
      </c>
      <c r="BN9" s="39">
        <v>79.13</v>
      </c>
      <c r="BO9" s="39">
        <v>79.3</v>
      </c>
      <c r="BP9" s="39">
        <v>79.489999999999995</v>
      </c>
      <c r="BQ9" s="39">
        <v>79.67</v>
      </c>
      <c r="BR9" s="39">
        <v>79.81</v>
      </c>
      <c r="BS9" s="39">
        <v>80</v>
      </c>
      <c r="BT9" s="39">
        <v>80.16</v>
      </c>
      <c r="BU9" s="39">
        <v>80.3</v>
      </c>
      <c r="BV9" s="39">
        <v>80.459999999999994</v>
      </c>
      <c r="BW9" s="39">
        <v>80.62</v>
      </c>
      <c r="BX9" s="39">
        <v>80.75</v>
      </c>
      <c r="BY9" s="39">
        <v>80.900000000000006</v>
      </c>
      <c r="BZ9" s="39">
        <v>81.03</v>
      </c>
      <c r="CA9" s="39">
        <v>81.16</v>
      </c>
      <c r="CB9" s="39">
        <v>81.33</v>
      </c>
      <c r="CC9" s="39">
        <v>81.459999999999994</v>
      </c>
      <c r="CD9" s="39">
        <v>81.59</v>
      </c>
      <c r="CE9" s="39">
        <v>81.72</v>
      </c>
      <c r="CF9" s="39">
        <v>81.87</v>
      </c>
      <c r="CG9" s="39">
        <v>82</v>
      </c>
      <c r="CH9" s="39">
        <v>82.16</v>
      </c>
      <c r="CI9" s="39">
        <v>82.31</v>
      </c>
      <c r="CJ9" s="39">
        <v>82.42</v>
      </c>
      <c r="CK9" s="39">
        <v>82.56</v>
      </c>
      <c r="CL9" s="39">
        <v>82.71</v>
      </c>
      <c r="CM9" s="39">
        <v>82.84</v>
      </c>
      <c r="CN9" s="39">
        <v>82.98</v>
      </c>
      <c r="CO9" s="39">
        <v>83.11</v>
      </c>
      <c r="CP9" s="39">
        <v>83.24</v>
      </c>
      <c r="CQ9" s="39">
        <v>83.36</v>
      </c>
      <c r="CR9" s="39">
        <v>83.49</v>
      </c>
      <c r="CS9" s="39">
        <v>83.62</v>
      </c>
      <c r="CT9" s="39">
        <v>83.75</v>
      </c>
      <c r="CU9" s="39">
        <v>83.87</v>
      </c>
      <c r="CV9" s="39">
        <v>83.98</v>
      </c>
      <c r="CW9" s="39">
        <v>84.11</v>
      </c>
      <c r="CX9" s="39">
        <v>84.23</v>
      </c>
      <c r="CY9" s="39">
        <v>84.35</v>
      </c>
      <c r="CZ9" s="39">
        <v>84.46</v>
      </c>
      <c r="DA9" s="39">
        <v>84.58</v>
      </c>
      <c r="DB9" s="39">
        <v>84.69</v>
      </c>
      <c r="DC9" s="39">
        <v>84.81</v>
      </c>
      <c r="DD9" s="39">
        <v>84.93</v>
      </c>
      <c r="DE9" s="39">
        <v>85.04</v>
      </c>
      <c r="DF9" s="39">
        <v>85.15</v>
      </c>
      <c r="DG9" s="39">
        <v>85.26</v>
      </c>
      <c r="DH9" s="39">
        <v>85.37</v>
      </c>
      <c r="DI9" s="39">
        <v>85.48</v>
      </c>
      <c r="DJ9" s="39">
        <v>85.59</v>
      </c>
      <c r="DK9" s="39">
        <v>85.7</v>
      </c>
      <c r="DL9" s="39">
        <v>85.8</v>
      </c>
      <c r="DM9" s="39">
        <v>85.91</v>
      </c>
      <c r="DN9" s="39">
        <v>86.01</v>
      </c>
      <c r="DO9" s="39">
        <v>86.11</v>
      </c>
      <c r="DP9" s="39">
        <v>86.22</v>
      </c>
      <c r="DQ9" s="39">
        <v>86.32</v>
      </c>
      <c r="DR9" s="39">
        <v>86.42</v>
      </c>
    </row>
    <row r="10" spans="1:122">
      <c r="A10" s="44">
        <v>8</v>
      </c>
      <c r="B10" s="45"/>
      <c r="C10" s="45"/>
      <c r="D10" s="45"/>
      <c r="E10" s="45"/>
      <c r="F10" s="45"/>
      <c r="G10" s="45"/>
      <c r="H10" s="45"/>
      <c r="I10" s="45"/>
      <c r="J10" s="45"/>
      <c r="K10" s="45"/>
      <c r="L10" s="45"/>
      <c r="M10" s="45"/>
      <c r="N10" s="45"/>
      <c r="O10" s="45"/>
      <c r="P10" s="45"/>
      <c r="Q10" s="45"/>
      <c r="R10" s="45"/>
      <c r="S10" s="45"/>
      <c r="T10" s="45"/>
      <c r="U10" s="45"/>
      <c r="V10" s="39"/>
      <c r="W10" s="39">
        <v>69.2</v>
      </c>
      <c r="X10" s="39">
        <v>69.45</v>
      </c>
      <c r="Y10" s="39">
        <v>69.709999999999994</v>
      </c>
      <c r="Z10" s="39">
        <v>70.010000000000005</v>
      </c>
      <c r="AA10" s="39">
        <v>70.23</v>
      </c>
      <c r="AB10" s="39">
        <v>70.52</v>
      </c>
      <c r="AC10" s="39">
        <v>70.83</v>
      </c>
      <c r="AD10" s="39">
        <v>71.06</v>
      </c>
      <c r="AE10" s="39">
        <v>71.39</v>
      </c>
      <c r="AF10" s="39">
        <v>71.72</v>
      </c>
      <c r="AG10" s="39">
        <v>72</v>
      </c>
      <c r="AH10" s="39">
        <v>72.290000000000006</v>
      </c>
      <c r="AI10" s="39">
        <v>72.599999999999994</v>
      </c>
      <c r="AJ10" s="39">
        <v>72.959999999999994</v>
      </c>
      <c r="AK10" s="39">
        <v>73.290000000000006</v>
      </c>
      <c r="AL10" s="39">
        <v>73.69</v>
      </c>
      <c r="AM10" s="39">
        <v>74.05</v>
      </c>
      <c r="AN10" s="39">
        <v>74.41</v>
      </c>
      <c r="AO10" s="39">
        <v>74.650000000000006</v>
      </c>
      <c r="AP10" s="39">
        <v>74.83</v>
      </c>
      <c r="AQ10" s="39">
        <v>74.94</v>
      </c>
      <c r="AR10" s="39">
        <v>75.010000000000005</v>
      </c>
      <c r="AS10" s="39">
        <v>75.09</v>
      </c>
      <c r="AT10" s="39">
        <v>75.09</v>
      </c>
      <c r="AU10" s="39">
        <v>75.2</v>
      </c>
      <c r="AV10" s="39">
        <v>75.27</v>
      </c>
      <c r="AW10" s="39">
        <v>75.52</v>
      </c>
      <c r="AX10" s="39">
        <v>75.599999999999994</v>
      </c>
      <c r="AY10" s="39">
        <v>75.760000000000005</v>
      </c>
      <c r="AZ10" s="39">
        <v>75.89</v>
      </c>
      <c r="BA10" s="39">
        <v>76.03</v>
      </c>
      <c r="BB10" s="39">
        <v>76.16</v>
      </c>
      <c r="BC10" s="39">
        <v>76.290000000000006</v>
      </c>
      <c r="BD10" s="39">
        <v>76.42</v>
      </c>
      <c r="BE10" s="39">
        <v>76.53</v>
      </c>
      <c r="BF10" s="39">
        <v>76.72</v>
      </c>
      <c r="BG10" s="39">
        <v>76.900000000000006</v>
      </c>
      <c r="BH10" s="39">
        <v>77.08</v>
      </c>
      <c r="BI10" s="39">
        <v>77.22</v>
      </c>
      <c r="BJ10" s="39">
        <v>77.400000000000006</v>
      </c>
      <c r="BK10" s="39">
        <v>77.58</v>
      </c>
      <c r="BL10" s="39">
        <v>77.77</v>
      </c>
      <c r="BM10" s="39">
        <v>77.989999999999995</v>
      </c>
      <c r="BN10" s="39">
        <v>78.16</v>
      </c>
      <c r="BO10" s="39">
        <v>78.33</v>
      </c>
      <c r="BP10" s="39">
        <v>78.52</v>
      </c>
      <c r="BQ10" s="39">
        <v>78.7</v>
      </c>
      <c r="BR10" s="39">
        <v>78.84</v>
      </c>
      <c r="BS10" s="39">
        <v>79.02</v>
      </c>
      <c r="BT10" s="39">
        <v>79.180000000000007</v>
      </c>
      <c r="BU10" s="39">
        <v>79.319999999999993</v>
      </c>
      <c r="BV10" s="39">
        <v>79.48</v>
      </c>
      <c r="BW10" s="39">
        <v>79.64</v>
      </c>
      <c r="BX10" s="39">
        <v>79.77</v>
      </c>
      <c r="BY10" s="39">
        <v>79.92</v>
      </c>
      <c r="BZ10" s="39">
        <v>80.05</v>
      </c>
      <c r="CA10" s="39">
        <v>80.180000000000007</v>
      </c>
      <c r="CB10" s="39">
        <v>80.34</v>
      </c>
      <c r="CC10" s="39">
        <v>80.48</v>
      </c>
      <c r="CD10" s="39">
        <v>80.61</v>
      </c>
      <c r="CE10" s="39">
        <v>80.739999999999995</v>
      </c>
      <c r="CF10" s="39">
        <v>80.89</v>
      </c>
      <c r="CG10" s="39">
        <v>81.010000000000005</v>
      </c>
      <c r="CH10" s="39">
        <v>81.17</v>
      </c>
      <c r="CI10" s="39">
        <v>81.319999999999993</v>
      </c>
      <c r="CJ10" s="39">
        <v>81.44</v>
      </c>
      <c r="CK10" s="39">
        <v>81.58</v>
      </c>
      <c r="CL10" s="39">
        <v>81.72</v>
      </c>
      <c r="CM10" s="39">
        <v>81.849999999999994</v>
      </c>
      <c r="CN10" s="39">
        <v>81.99</v>
      </c>
      <c r="CO10" s="39">
        <v>82.11</v>
      </c>
      <c r="CP10" s="39">
        <v>82.25</v>
      </c>
      <c r="CQ10" s="39">
        <v>82.36</v>
      </c>
      <c r="CR10" s="39">
        <v>82.49</v>
      </c>
      <c r="CS10" s="39">
        <v>82.63</v>
      </c>
      <c r="CT10" s="39">
        <v>82.76</v>
      </c>
      <c r="CU10" s="39">
        <v>82.87</v>
      </c>
      <c r="CV10" s="39">
        <v>82.99</v>
      </c>
      <c r="CW10" s="39">
        <v>83.11</v>
      </c>
      <c r="CX10" s="39">
        <v>83.23</v>
      </c>
      <c r="CY10" s="39">
        <v>83.35</v>
      </c>
      <c r="CZ10" s="39">
        <v>83.47</v>
      </c>
      <c r="DA10" s="39">
        <v>83.59</v>
      </c>
      <c r="DB10" s="39">
        <v>83.7</v>
      </c>
      <c r="DC10" s="39">
        <v>83.82</v>
      </c>
      <c r="DD10" s="39">
        <v>83.93</v>
      </c>
      <c r="DE10" s="39">
        <v>84.04</v>
      </c>
      <c r="DF10" s="39">
        <v>84.16</v>
      </c>
      <c r="DG10" s="39">
        <v>84.27</v>
      </c>
      <c r="DH10" s="39">
        <v>84.38</v>
      </c>
      <c r="DI10" s="39">
        <v>84.49</v>
      </c>
      <c r="DJ10" s="39">
        <v>84.59</v>
      </c>
      <c r="DK10" s="39">
        <v>84.7</v>
      </c>
      <c r="DL10" s="39">
        <v>84.81</v>
      </c>
      <c r="DM10" s="39">
        <v>84.91</v>
      </c>
      <c r="DN10" s="39">
        <v>85.02</v>
      </c>
      <c r="DO10" s="39">
        <v>85.12</v>
      </c>
      <c r="DP10" s="39">
        <v>85.22</v>
      </c>
      <c r="DQ10" s="39">
        <v>85.32</v>
      </c>
      <c r="DR10" s="39">
        <v>85.42</v>
      </c>
    </row>
    <row r="11" spans="1:122">
      <c r="A11" s="44">
        <v>9</v>
      </c>
      <c r="B11" s="45"/>
      <c r="C11" s="45"/>
      <c r="D11" s="45"/>
      <c r="E11" s="45"/>
      <c r="F11" s="45"/>
      <c r="G11" s="45"/>
      <c r="H11" s="45"/>
      <c r="I11" s="45"/>
      <c r="J11" s="45"/>
      <c r="K11" s="45"/>
      <c r="L11" s="45"/>
      <c r="M11" s="45"/>
      <c r="N11" s="45"/>
      <c r="O11" s="45"/>
      <c r="P11" s="45"/>
      <c r="Q11" s="45"/>
      <c r="R11" s="45"/>
      <c r="S11" s="45"/>
      <c r="T11" s="45"/>
      <c r="U11" s="45"/>
      <c r="V11" s="39"/>
      <c r="W11" s="39">
        <v>68.31</v>
      </c>
      <c r="X11" s="39">
        <v>68.569999999999993</v>
      </c>
      <c r="Y11" s="39">
        <v>68.8</v>
      </c>
      <c r="Z11" s="39">
        <v>69.11</v>
      </c>
      <c r="AA11" s="39">
        <v>69.33</v>
      </c>
      <c r="AB11" s="39">
        <v>69.63</v>
      </c>
      <c r="AC11" s="39">
        <v>69.959999999999994</v>
      </c>
      <c r="AD11" s="39">
        <v>70.180000000000007</v>
      </c>
      <c r="AE11" s="39">
        <v>70.5</v>
      </c>
      <c r="AF11" s="39">
        <v>70.819999999999993</v>
      </c>
      <c r="AG11" s="39">
        <v>71.11</v>
      </c>
      <c r="AH11" s="39">
        <v>71.400000000000006</v>
      </c>
      <c r="AI11" s="39">
        <v>71.709999999999994</v>
      </c>
      <c r="AJ11" s="39">
        <v>72.069999999999993</v>
      </c>
      <c r="AK11" s="39">
        <v>72.41</v>
      </c>
      <c r="AL11" s="39">
        <v>72.83</v>
      </c>
      <c r="AM11" s="39">
        <v>73.22</v>
      </c>
      <c r="AN11" s="39">
        <v>73.48</v>
      </c>
      <c r="AO11" s="39">
        <v>73.73</v>
      </c>
      <c r="AP11" s="39">
        <v>73.89</v>
      </c>
      <c r="AQ11" s="39">
        <v>73.98</v>
      </c>
      <c r="AR11" s="39">
        <v>74.05</v>
      </c>
      <c r="AS11" s="39">
        <v>74.13</v>
      </c>
      <c r="AT11" s="39">
        <v>74.13</v>
      </c>
      <c r="AU11" s="39">
        <v>74.23</v>
      </c>
      <c r="AV11" s="39">
        <v>74.3</v>
      </c>
      <c r="AW11" s="39">
        <v>74.55</v>
      </c>
      <c r="AX11" s="39">
        <v>74.63</v>
      </c>
      <c r="AY11" s="39">
        <v>74.78</v>
      </c>
      <c r="AZ11" s="39">
        <v>74.92</v>
      </c>
      <c r="BA11" s="39">
        <v>75.06</v>
      </c>
      <c r="BB11" s="39">
        <v>75.19</v>
      </c>
      <c r="BC11" s="39">
        <v>75.319999999999993</v>
      </c>
      <c r="BD11" s="39">
        <v>75.45</v>
      </c>
      <c r="BE11" s="39">
        <v>75.55</v>
      </c>
      <c r="BF11" s="39">
        <v>75.739999999999995</v>
      </c>
      <c r="BG11" s="39">
        <v>75.92</v>
      </c>
      <c r="BH11" s="39">
        <v>76.099999999999994</v>
      </c>
      <c r="BI11" s="39">
        <v>76.25</v>
      </c>
      <c r="BJ11" s="39">
        <v>76.42</v>
      </c>
      <c r="BK11" s="39">
        <v>76.599999999999994</v>
      </c>
      <c r="BL11" s="39">
        <v>76.8</v>
      </c>
      <c r="BM11" s="39">
        <v>77.02</v>
      </c>
      <c r="BN11" s="39">
        <v>77.19</v>
      </c>
      <c r="BO11" s="39">
        <v>77.349999999999994</v>
      </c>
      <c r="BP11" s="39">
        <v>77.540000000000006</v>
      </c>
      <c r="BQ11" s="39">
        <v>77.72</v>
      </c>
      <c r="BR11" s="39">
        <v>77.86</v>
      </c>
      <c r="BS11" s="39">
        <v>78.040000000000006</v>
      </c>
      <c r="BT11" s="39">
        <v>78.2</v>
      </c>
      <c r="BU11" s="39">
        <v>78.34</v>
      </c>
      <c r="BV11" s="39">
        <v>78.5</v>
      </c>
      <c r="BW11" s="39">
        <v>78.650000000000006</v>
      </c>
      <c r="BX11" s="39">
        <v>78.790000000000006</v>
      </c>
      <c r="BY11" s="39">
        <v>78.930000000000007</v>
      </c>
      <c r="BZ11" s="39">
        <v>79.06</v>
      </c>
      <c r="CA11" s="39">
        <v>79.2</v>
      </c>
      <c r="CB11" s="39">
        <v>79.36</v>
      </c>
      <c r="CC11" s="39">
        <v>79.489999999999995</v>
      </c>
      <c r="CD11" s="39">
        <v>79.62</v>
      </c>
      <c r="CE11" s="39">
        <v>79.760000000000005</v>
      </c>
      <c r="CF11" s="39">
        <v>79.900000000000006</v>
      </c>
      <c r="CG11" s="39">
        <v>80.03</v>
      </c>
      <c r="CH11" s="39">
        <v>80.180000000000007</v>
      </c>
      <c r="CI11" s="39">
        <v>80.33</v>
      </c>
      <c r="CJ11" s="39">
        <v>80.45</v>
      </c>
      <c r="CK11" s="39">
        <v>80.59</v>
      </c>
      <c r="CL11" s="39">
        <v>80.72</v>
      </c>
      <c r="CM11" s="39">
        <v>80.86</v>
      </c>
      <c r="CN11" s="39">
        <v>80.989999999999995</v>
      </c>
      <c r="CO11" s="39">
        <v>81.12</v>
      </c>
      <c r="CP11" s="39">
        <v>81.25</v>
      </c>
      <c r="CQ11" s="39">
        <v>81.37</v>
      </c>
      <c r="CR11" s="39">
        <v>81.5</v>
      </c>
      <c r="CS11" s="39">
        <v>81.64</v>
      </c>
      <c r="CT11" s="39">
        <v>81.760000000000005</v>
      </c>
      <c r="CU11" s="39">
        <v>81.88</v>
      </c>
      <c r="CV11" s="39">
        <v>81.99</v>
      </c>
      <c r="CW11" s="39">
        <v>82.12</v>
      </c>
      <c r="CX11" s="39">
        <v>82.24</v>
      </c>
      <c r="CY11" s="39">
        <v>82.36</v>
      </c>
      <c r="CZ11" s="39">
        <v>82.48</v>
      </c>
      <c r="DA11" s="39">
        <v>82.59</v>
      </c>
      <c r="DB11" s="39">
        <v>82.71</v>
      </c>
      <c r="DC11" s="39">
        <v>82.82</v>
      </c>
      <c r="DD11" s="39">
        <v>82.94</v>
      </c>
      <c r="DE11" s="39">
        <v>83.05</v>
      </c>
      <c r="DF11" s="39">
        <v>83.16</v>
      </c>
      <c r="DG11" s="39">
        <v>83.27</v>
      </c>
      <c r="DH11" s="39">
        <v>83.38</v>
      </c>
      <c r="DI11" s="39">
        <v>83.49</v>
      </c>
      <c r="DJ11" s="39">
        <v>83.6</v>
      </c>
      <c r="DK11" s="39">
        <v>83.71</v>
      </c>
      <c r="DL11" s="39">
        <v>83.81</v>
      </c>
      <c r="DM11" s="39">
        <v>83.92</v>
      </c>
      <c r="DN11" s="39">
        <v>84.02</v>
      </c>
      <c r="DO11" s="39">
        <v>84.12</v>
      </c>
      <c r="DP11" s="39">
        <v>84.22</v>
      </c>
      <c r="DQ11" s="39">
        <v>84.33</v>
      </c>
      <c r="DR11" s="39">
        <v>84.43</v>
      </c>
    </row>
    <row r="12" spans="1:122">
      <c r="A12" s="44">
        <v>10</v>
      </c>
      <c r="B12" s="45"/>
      <c r="C12" s="45"/>
      <c r="D12" s="45"/>
      <c r="E12" s="45"/>
      <c r="F12" s="45"/>
      <c r="G12" s="45"/>
      <c r="H12" s="45"/>
      <c r="I12" s="45"/>
      <c r="J12" s="45"/>
      <c r="K12" s="45"/>
      <c r="L12" s="45"/>
      <c r="M12" s="45"/>
      <c r="N12" s="45"/>
      <c r="O12" s="45"/>
      <c r="P12" s="45"/>
      <c r="Q12" s="45"/>
      <c r="R12" s="45"/>
      <c r="S12" s="45"/>
      <c r="T12" s="45"/>
      <c r="U12" s="45"/>
      <c r="V12" s="39"/>
      <c r="W12" s="39">
        <v>67.41</v>
      </c>
      <c r="X12" s="39">
        <v>67.650000000000006</v>
      </c>
      <c r="Y12" s="39">
        <v>67.89</v>
      </c>
      <c r="Z12" s="39">
        <v>68.2</v>
      </c>
      <c r="AA12" s="39">
        <v>68.42</v>
      </c>
      <c r="AB12" s="39">
        <v>68.73</v>
      </c>
      <c r="AC12" s="39">
        <v>69.069999999999993</v>
      </c>
      <c r="AD12" s="39">
        <v>69.27</v>
      </c>
      <c r="AE12" s="39">
        <v>69.58</v>
      </c>
      <c r="AF12" s="39">
        <v>69.92</v>
      </c>
      <c r="AG12" s="39">
        <v>70.2</v>
      </c>
      <c r="AH12" s="39">
        <v>70.5</v>
      </c>
      <c r="AI12" s="39">
        <v>70.8</v>
      </c>
      <c r="AJ12" s="39">
        <v>71.180000000000007</v>
      </c>
      <c r="AK12" s="39">
        <v>71.53</v>
      </c>
      <c r="AL12" s="39">
        <v>71.97</v>
      </c>
      <c r="AM12" s="39">
        <v>72.290000000000006</v>
      </c>
      <c r="AN12" s="39">
        <v>72.56</v>
      </c>
      <c r="AO12" s="39">
        <v>72.78</v>
      </c>
      <c r="AP12" s="39">
        <v>72.930000000000007</v>
      </c>
      <c r="AQ12" s="39">
        <v>73.02</v>
      </c>
      <c r="AR12" s="39">
        <v>73.09</v>
      </c>
      <c r="AS12" s="39">
        <v>73.16</v>
      </c>
      <c r="AT12" s="39">
        <v>73.16</v>
      </c>
      <c r="AU12" s="39">
        <v>73.25</v>
      </c>
      <c r="AV12" s="39">
        <v>73.319999999999993</v>
      </c>
      <c r="AW12" s="39">
        <v>73.58</v>
      </c>
      <c r="AX12" s="39">
        <v>73.66</v>
      </c>
      <c r="AY12" s="39">
        <v>73.81</v>
      </c>
      <c r="AZ12" s="39">
        <v>73.94</v>
      </c>
      <c r="BA12" s="39">
        <v>74.09</v>
      </c>
      <c r="BB12" s="39">
        <v>74.209999999999994</v>
      </c>
      <c r="BC12" s="39">
        <v>74.34</v>
      </c>
      <c r="BD12" s="39">
        <v>74.47</v>
      </c>
      <c r="BE12" s="39">
        <v>74.58</v>
      </c>
      <c r="BF12" s="39">
        <v>74.760000000000005</v>
      </c>
      <c r="BG12" s="39">
        <v>74.94</v>
      </c>
      <c r="BH12" s="39">
        <v>75.13</v>
      </c>
      <c r="BI12" s="39">
        <v>75.28</v>
      </c>
      <c r="BJ12" s="39">
        <v>75.45</v>
      </c>
      <c r="BK12" s="39">
        <v>75.63</v>
      </c>
      <c r="BL12" s="39">
        <v>75.83</v>
      </c>
      <c r="BM12" s="39">
        <v>76.040000000000006</v>
      </c>
      <c r="BN12" s="39">
        <v>76.209999999999994</v>
      </c>
      <c r="BO12" s="39">
        <v>76.37</v>
      </c>
      <c r="BP12" s="39">
        <v>76.569999999999993</v>
      </c>
      <c r="BQ12" s="39">
        <v>76.73</v>
      </c>
      <c r="BR12" s="39">
        <v>76.88</v>
      </c>
      <c r="BS12" s="39">
        <v>77.06</v>
      </c>
      <c r="BT12" s="39">
        <v>77.22</v>
      </c>
      <c r="BU12" s="39">
        <v>77.36</v>
      </c>
      <c r="BV12" s="39">
        <v>77.510000000000005</v>
      </c>
      <c r="BW12" s="39">
        <v>77.67</v>
      </c>
      <c r="BX12" s="39">
        <v>77.8</v>
      </c>
      <c r="BY12" s="39">
        <v>77.95</v>
      </c>
      <c r="BZ12" s="39">
        <v>78.08</v>
      </c>
      <c r="CA12" s="39">
        <v>78.209999999999994</v>
      </c>
      <c r="CB12" s="39">
        <v>78.37</v>
      </c>
      <c r="CC12" s="39">
        <v>78.5</v>
      </c>
      <c r="CD12" s="39">
        <v>78.63</v>
      </c>
      <c r="CE12" s="39">
        <v>78.77</v>
      </c>
      <c r="CF12" s="39">
        <v>78.91</v>
      </c>
      <c r="CG12" s="39">
        <v>79.040000000000006</v>
      </c>
      <c r="CH12" s="39">
        <v>79.19</v>
      </c>
      <c r="CI12" s="39">
        <v>79.34</v>
      </c>
      <c r="CJ12" s="39">
        <v>79.45</v>
      </c>
      <c r="CK12" s="39">
        <v>79.59</v>
      </c>
      <c r="CL12" s="39">
        <v>79.73</v>
      </c>
      <c r="CM12" s="39">
        <v>79.87</v>
      </c>
      <c r="CN12" s="39">
        <v>80</v>
      </c>
      <c r="CO12" s="39">
        <v>80.13</v>
      </c>
      <c r="CP12" s="39">
        <v>80.260000000000005</v>
      </c>
      <c r="CQ12" s="39">
        <v>80.38</v>
      </c>
      <c r="CR12" s="39">
        <v>80.5</v>
      </c>
      <c r="CS12" s="39">
        <v>80.650000000000006</v>
      </c>
      <c r="CT12" s="39">
        <v>80.77</v>
      </c>
      <c r="CU12" s="39">
        <v>80.89</v>
      </c>
      <c r="CV12" s="39">
        <v>81</v>
      </c>
      <c r="CW12" s="39">
        <v>81.12</v>
      </c>
      <c r="CX12" s="39">
        <v>81.239999999999995</v>
      </c>
      <c r="CY12" s="39">
        <v>81.37</v>
      </c>
      <c r="CZ12" s="39">
        <v>81.48</v>
      </c>
      <c r="DA12" s="39">
        <v>81.599999999999994</v>
      </c>
      <c r="DB12" s="39">
        <v>81.709999999999994</v>
      </c>
      <c r="DC12" s="39">
        <v>81.83</v>
      </c>
      <c r="DD12" s="39">
        <v>81.94</v>
      </c>
      <c r="DE12" s="39">
        <v>82.05</v>
      </c>
      <c r="DF12" s="39">
        <v>82.17</v>
      </c>
      <c r="DG12" s="39">
        <v>82.28</v>
      </c>
      <c r="DH12" s="39">
        <v>82.39</v>
      </c>
      <c r="DI12" s="39">
        <v>82.5</v>
      </c>
      <c r="DJ12" s="39">
        <v>82.6</v>
      </c>
      <c r="DK12" s="39">
        <v>82.71</v>
      </c>
      <c r="DL12" s="39">
        <v>82.82</v>
      </c>
      <c r="DM12" s="39">
        <v>82.92</v>
      </c>
      <c r="DN12" s="39">
        <v>83.02</v>
      </c>
      <c r="DO12" s="39">
        <v>83.13</v>
      </c>
      <c r="DP12" s="39">
        <v>83.23</v>
      </c>
      <c r="DQ12" s="39">
        <v>83.33</v>
      </c>
      <c r="DR12" s="39">
        <v>83.43</v>
      </c>
    </row>
    <row r="13" spans="1:122">
      <c r="A13" s="44">
        <v>11</v>
      </c>
      <c r="B13" s="45"/>
      <c r="C13" s="45"/>
      <c r="D13" s="45"/>
      <c r="E13" s="45"/>
      <c r="F13" s="45"/>
      <c r="G13" s="45"/>
      <c r="H13" s="45"/>
      <c r="I13" s="45"/>
      <c r="J13" s="45"/>
      <c r="K13" s="45"/>
      <c r="L13" s="45"/>
      <c r="M13" s="45"/>
      <c r="N13" s="45"/>
      <c r="O13" s="45"/>
      <c r="P13" s="45"/>
      <c r="Q13" s="45"/>
      <c r="R13" s="45"/>
      <c r="S13" s="45"/>
      <c r="T13" s="45"/>
      <c r="U13" s="45"/>
      <c r="V13" s="39"/>
      <c r="W13" s="39">
        <v>66.48</v>
      </c>
      <c r="X13" s="39">
        <v>66.72</v>
      </c>
      <c r="Y13" s="39">
        <v>66.97</v>
      </c>
      <c r="Z13" s="39">
        <v>67.28</v>
      </c>
      <c r="AA13" s="39">
        <v>67.52</v>
      </c>
      <c r="AB13" s="39">
        <v>67.819999999999993</v>
      </c>
      <c r="AC13" s="39">
        <v>68.150000000000006</v>
      </c>
      <c r="AD13" s="39">
        <v>68.349999999999994</v>
      </c>
      <c r="AE13" s="39">
        <v>68.67</v>
      </c>
      <c r="AF13" s="39">
        <v>69</v>
      </c>
      <c r="AG13" s="39">
        <v>69.290000000000006</v>
      </c>
      <c r="AH13" s="39">
        <v>69.58</v>
      </c>
      <c r="AI13" s="39">
        <v>69.900000000000006</v>
      </c>
      <c r="AJ13" s="39">
        <v>70.290000000000006</v>
      </c>
      <c r="AK13" s="39">
        <v>70.66</v>
      </c>
      <c r="AL13" s="39">
        <v>71.040000000000006</v>
      </c>
      <c r="AM13" s="39">
        <v>71.36</v>
      </c>
      <c r="AN13" s="39">
        <v>71.61</v>
      </c>
      <c r="AO13" s="39">
        <v>71.819999999999993</v>
      </c>
      <c r="AP13" s="39">
        <v>71.97</v>
      </c>
      <c r="AQ13" s="39">
        <v>72.05</v>
      </c>
      <c r="AR13" s="39">
        <v>72.11</v>
      </c>
      <c r="AS13" s="39">
        <v>72.19</v>
      </c>
      <c r="AT13" s="39">
        <v>72.180000000000007</v>
      </c>
      <c r="AU13" s="39">
        <v>72.27</v>
      </c>
      <c r="AV13" s="39">
        <v>72.349999999999994</v>
      </c>
      <c r="AW13" s="39">
        <v>72.61</v>
      </c>
      <c r="AX13" s="39">
        <v>72.680000000000007</v>
      </c>
      <c r="AY13" s="39">
        <v>72.83</v>
      </c>
      <c r="AZ13" s="39">
        <v>72.959999999999994</v>
      </c>
      <c r="BA13" s="39">
        <v>73.11</v>
      </c>
      <c r="BB13" s="39">
        <v>73.23</v>
      </c>
      <c r="BC13" s="39">
        <v>73.36</v>
      </c>
      <c r="BD13" s="39">
        <v>73.489999999999995</v>
      </c>
      <c r="BE13" s="39">
        <v>73.599999999999994</v>
      </c>
      <c r="BF13" s="39">
        <v>73.78</v>
      </c>
      <c r="BG13" s="39">
        <v>73.959999999999994</v>
      </c>
      <c r="BH13" s="39">
        <v>74.150000000000006</v>
      </c>
      <c r="BI13" s="39">
        <v>74.3</v>
      </c>
      <c r="BJ13" s="39">
        <v>74.47</v>
      </c>
      <c r="BK13" s="39">
        <v>74.650000000000006</v>
      </c>
      <c r="BL13" s="39">
        <v>74.849999999999994</v>
      </c>
      <c r="BM13" s="39">
        <v>75.06</v>
      </c>
      <c r="BN13" s="39">
        <v>75.22</v>
      </c>
      <c r="BO13" s="39">
        <v>75.39</v>
      </c>
      <c r="BP13" s="39">
        <v>75.58</v>
      </c>
      <c r="BQ13" s="39">
        <v>75.75</v>
      </c>
      <c r="BR13" s="39">
        <v>75.900000000000006</v>
      </c>
      <c r="BS13" s="39">
        <v>76.08</v>
      </c>
      <c r="BT13" s="39">
        <v>76.239999999999995</v>
      </c>
      <c r="BU13" s="39">
        <v>76.37</v>
      </c>
      <c r="BV13" s="39">
        <v>76.52</v>
      </c>
      <c r="BW13" s="39">
        <v>76.680000000000007</v>
      </c>
      <c r="BX13" s="39">
        <v>76.81</v>
      </c>
      <c r="BY13" s="39">
        <v>76.959999999999994</v>
      </c>
      <c r="BZ13" s="39">
        <v>77.09</v>
      </c>
      <c r="CA13" s="39">
        <v>77.22</v>
      </c>
      <c r="CB13" s="39">
        <v>77.38</v>
      </c>
      <c r="CC13" s="39">
        <v>77.510000000000005</v>
      </c>
      <c r="CD13" s="39">
        <v>77.64</v>
      </c>
      <c r="CE13" s="39">
        <v>77.78</v>
      </c>
      <c r="CF13" s="39">
        <v>77.92</v>
      </c>
      <c r="CG13" s="39">
        <v>78.05</v>
      </c>
      <c r="CH13" s="39">
        <v>78.19</v>
      </c>
      <c r="CI13" s="39">
        <v>78.349999999999994</v>
      </c>
      <c r="CJ13" s="39">
        <v>78.459999999999994</v>
      </c>
      <c r="CK13" s="39">
        <v>78.599999999999994</v>
      </c>
      <c r="CL13" s="39">
        <v>78.739999999999995</v>
      </c>
      <c r="CM13" s="39">
        <v>78.88</v>
      </c>
      <c r="CN13" s="39">
        <v>79.010000000000005</v>
      </c>
      <c r="CO13" s="39">
        <v>79.14</v>
      </c>
      <c r="CP13" s="39">
        <v>79.27</v>
      </c>
      <c r="CQ13" s="39">
        <v>79.38</v>
      </c>
      <c r="CR13" s="39">
        <v>79.510000000000005</v>
      </c>
      <c r="CS13" s="39">
        <v>79.650000000000006</v>
      </c>
      <c r="CT13" s="39">
        <v>79.77</v>
      </c>
      <c r="CU13" s="39">
        <v>79.89</v>
      </c>
      <c r="CV13" s="39">
        <v>80</v>
      </c>
      <c r="CW13" s="39">
        <v>80.13</v>
      </c>
      <c r="CX13" s="39">
        <v>80.25</v>
      </c>
      <c r="CY13" s="39">
        <v>80.37</v>
      </c>
      <c r="CZ13" s="39">
        <v>80.489999999999995</v>
      </c>
      <c r="DA13" s="39">
        <v>80.599999999999994</v>
      </c>
      <c r="DB13" s="39">
        <v>80.72</v>
      </c>
      <c r="DC13" s="39">
        <v>80.83</v>
      </c>
      <c r="DD13" s="39">
        <v>80.95</v>
      </c>
      <c r="DE13" s="39">
        <v>81.06</v>
      </c>
      <c r="DF13" s="39">
        <v>81.17</v>
      </c>
      <c r="DG13" s="39">
        <v>81.28</v>
      </c>
      <c r="DH13" s="39">
        <v>81.39</v>
      </c>
      <c r="DI13" s="39">
        <v>81.5</v>
      </c>
      <c r="DJ13" s="39">
        <v>81.61</v>
      </c>
      <c r="DK13" s="39">
        <v>81.709999999999994</v>
      </c>
      <c r="DL13" s="39">
        <v>81.819999999999993</v>
      </c>
      <c r="DM13" s="39">
        <v>81.92</v>
      </c>
      <c r="DN13" s="39">
        <v>82.03</v>
      </c>
      <c r="DO13" s="39">
        <v>82.13</v>
      </c>
      <c r="DP13" s="39">
        <v>82.23</v>
      </c>
      <c r="DQ13" s="39">
        <v>82.33</v>
      </c>
      <c r="DR13" s="39">
        <v>82.43</v>
      </c>
    </row>
    <row r="14" spans="1:122">
      <c r="A14" s="44">
        <v>12</v>
      </c>
      <c r="B14" s="45"/>
      <c r="C14" s="45"/>
      <c r="D14" s="45"/>
      <c r="E14" s="45"/>
      <c r="F14" s="45"/>
      <c r="G14" s="45"/>
      <c r="H14" s="45"/>
      <c r="I14" s="45"/>
      <c r="J14" s="45"/>
      <c r="K14" s="45"/>
      <c r="L14" s="45"/>
      <c r="M14" s="45"/>
      <c r="N14" s="45"/>
      <c r="O14" s="45"/>
      <c r="P14" s="45"/>
      <c r="Q14" s="45"/>
      <c r="R14" s="45"/>
      <c r="S14" s="45"/>
      <c r="T14" s="45"/>
      <c r="U14" s="45"/>
      <c r="V14" s="39"/>
      <c r="W14" s="39">
        <v>65.55</v>
      </c>
      <c r="X14" s="39">
        <v>65.790000000000006</v>
      </c>
      <c r="Y14" s="39">
        <v>66.040000000000006</v>
      </c>
      <c r="Z14" s="39">
        <v>66.36</v>
      </c>
      <c r="AA14" s="39">
        <v>66.599999999999994</v>
      </c>
      <c r="AB14" s="39">
        <v>66.900000000000006</v>
      </c>
      <c r="AC14" s="39">
        <v>67.22</v>
      </c>
      <c r="AD14" s="39">
        <v>67.430000000000007</v>
      </c>
      <c r="AE14" s="39">
        <v>67.739999999999995</v>
      </c>
      <c r="AF14" s="39">
        <v>68.08</v>
      </c>
      <c r="AG14" s="39">
        <v>68.36</v>
      </c>
      <c r="AH14" s="39">
        <v>68.66</v>
      </c>
      <c r="AI14" s="39">
        <v>68.989999999999995</v>
      </c>
      <c r="AJ14" s="39">
        <v>69.400000000000006</v>
      </c>
      <c r="AK14" s="39">
        <v>69.72</v>
      </c>
      <c r="AL14" s="39">
        <v>70.099999999999994</v>
      </c>
      <c r="AM14" s="39">
        <v>70.41</v>
      </c>
      <c r="AN14" s="39">
        <v>70.64</v>
      </c>
      <c r="AO14" s="39">
        <v>70.849999999999994</v>
      </c>
      <c r="AP14" s="39">
        <v>71</v>
      </c>
      <c r="AQ14" s="39">
        <v>71.08</v>
      </c>
      <c r="AR14" s="39">
        <v>71.14</v>
      </c>
      <c r="AS14" s="39">
        <v>71.209999999999994</v>
      </c>
      <c r="AT14" s="39">
        <v>71.2</v>
      </c>
      <c r="AU14" s="39">
        <v>71.3</v>
      </c>
      <c r="AV14" s="39">
        <v>71.37</v>
      </c>
      <c r="AW14" s="39">
        <v>71.63</v>
      </c>
      <c r="AX14" s="39">
        <v>71.7</v>
      </c>
      <c r="AY14" s="39">
        <v>71.849999999999994</v>
      </c>
      <c r="AZ14" s="39">
        <v>71.98</v>
      </c>
      <c r="BA14" s="39">
        <v>72.13</v>
      </c>
      <c r="BB14" s="39">
        <v>72.25</v>
      </c>
      <c r="BC14" s="39">
        <v>72.38</v>
      </c>
      <c r="BD14" s="39">
        <v>72.510000000000005</v>
      </c>
      <c r="BE14" s="39">
        <v>72.62</v>
      </c>
      <c r="BF14" s="39">
        <v>72.81</v>
      </c>
      <c r="BG14" s="39">
        <v>72.98</v>
      </c>
      <c r="BH14" s="39">
        <v>73.17</v>
      </c>
      <c r="BI14" s="39">
        <v>73.319999999999993</v>
      </c>
      <c r="BJ14" s="39">
        <v>73.489999999999995</v>
      </c>
      <c r="BK14" s="39">
        <v>73.67</v>
      </c>
      <c r="BL14" s="39">
        <v>73.86</v>
      </c>
      <c r="BM14" s="39">
        <v>74.069999999999993</v>
      </c>
      <c r="BN14" s="39">
        <v>74.239999999999995</v>
      </c>
      <c r="BO14" s="39">
        <v>74.41</v>
      </c>
      <c r="BP14" s="39">
        <v>74.599999999999994</v>
      </c>
      <c r="BQ14" s="39">
        <v>74.760000000000005</v>
      </c>
      <c r="BR14" s="39">
        <v>74.91</v>
      </c>
      <c r="BS14" s="39">
        <v>75.09</v>
      </c>
      <c r="BT14" s="39">
        <v>75.25</v>
      </c>
      <c r="BU14" s="39">
        <v>75.38</v>
      </c>
      <c r="BV14" s="39">
        <v>75.540000000000006</v>
      </c>
      <c r="BW14" s="39">
        <v>75.69</v>
      </c>
      <c r="BX14" s="39">
        <v>75.83</v>
      </c>
      <c r="BY14" s="39">
        <v>75.97</v>
      </c>
      <c r="BZ14" s="39">
        <v>76.099999999999994</v>
      </c>
      <c r="CA14" s="39">
        <v>76.23</v>
      </c>
      <c r="CB14" s="39">
        <v>76.39</v>
      </c>
      <c r="CC14" s="39">
        <v>76.53</v>
      </c>
      <c r="CD14" s="39">
        <v>76.650000000000006</v>
      </c>
      <c r="CE14" s="39">
        <v>76.790000000000006</v>
      </c>
      <c r="CF14" s="39">
        <v>76.930000000000007</v>
      </c>
      <c r="CG14" s="39">
        <v>77.06</v>
      </c>
      <c r="CH14" s="39">
        <v>77.2</v>
      </c>
      <c r="CI14" s="39">
        <v>77.36</v>
      </c>
      <c r="CJ14" s="39">
        <v>77.47</v>
      </c>
      <c r="CK14" s="39">
        <v>77.61</v>
      </c>
      <c r="CL14" s="39">
        <v>77.75</v>
      </c>
      <c r="CM14" s="39">
        <v>77.88</v>
      </c>
      <c r="CN14" s="39">
        <v>78.02</v>
      </c>
      <c r="CO14" s="39">
        <v>78.14</v>
      </c>
      <c r="CP14" s="39">
        <v>78.28</v>
      </c>
      <c r="CQ14" s="39">
        <v>78.39</v>
      </c>
      <c r="CR14" s="39">
        <v>78.52</v>
      </c>
      <c r="CS14" s="39">
        <v>78.66</v>
      </c>
      <c r="CT14" s="39">
        <v>78.78</v>
      </c>
      <c r="CU14" s="39">
        <v>78.900000000000006</v>
      </c>
      <c r="CV14" s="39">
        <v>79.010000000000005</v>
      </c>
      <c r="CW14" s="39">
        <v>79.14</v>
      </c>
      <c r="CX14" s="39">
        <v>79.260000000000005</v>
      </c>
      <c r="CY14" s="39">
        <v>79.37</v>
      </c>
      <c r="CZ14" s="39">
        <v>79.489999999999995</v>
      </c>
      <c r="DA14" s="39">
        <v>79.61</v>
      </c>
      <c r="DB14" s="39">
        <v>79.73</v>
      </c>
      <c r="DC14" s="39">
        <v>79.84</v>
      </c>
      <c r="DD14" s="39">
        <v>79.95</v>
      </c>
      <c r="DE14" s="39">
        <v>80.069999999999993</v>
      </c>
      <c r="DF14" s="39">
        <v>80.180000000000007</v>
      </c>
      <c r="DG14" s="39">
        <v>80.290000000000006</v>
      </c>
      <c r="DH14" s="39">
        <v>80.400000000000006</v>
      </c>
      <c r="DI14" s="39">
        <v>80.510000000000005</v>
      </c>
      <c r="DJ14" s="39">
        <v>80.61</v>
      </c>
      <c r="DK14" s="39">
        <v>80.72</v>
      </c>
      <c r="DL14" s="39">
        <v>80.819999999999993</v>
      </c>
      <c r="DM14" s="39">
        <v>80.930000000000007</v>
      </c>
      <c r="DN14" s="39">
        <v>81.03</v>
      </c>
      <c r="DO14" s="39">
        <v>81.13</v>
      </c>
      <c r="DP14" s="39">
        <v>81.239999999999995</v>
      </c>
      <c r="DQ14" s="39">
        <v>81.34</v>
      </c>
      <c r="DR14" s="39">
        <v>81.44</v>
      </c>
    </row>
    <row r="15" spans="1:122">
      <c r="A15" s="44">
        <v>13</v>
      </c>
      <c r="B15" s="45"/>
      <c r="C15" s="45"/>
      <c r="D15" s="45"/>
      <c r="E15" s="45"/>
      <c r="F15" s="45"/>
      <c r="G15" s="45"/>
      <c r="H15" s="45"/>
      <c r="I15" s="45"/>
      <c r="J15" s="45"/>
      <c r="K15" s="45"/>
      <c r="L15" s="45"/>
      <c r="M15" s="45"/>
      <c r="N15" s="45"/>
      <c r="O15" s="45"/>
      <c r="P15" s="45"/>
      <c r="Q15" s="45"/>
      <c r="R15" s="45"/>
      <c r="S15" s="45"/>
      <c r="T15" s="45"/>
      <c r="U15" s="45"/>
      <c r="V15" s="39"/>
      <c r="W15" s="39">
        <v>64.61</v>
      </c>
      <c r="X15" s="39">
        <v>64.86</v>
      </c>
      <c r="Y15" s="39">
        <v>65.12</v>
      </c>
      <c r="Z15" s="39">
        <v>65.45</v>
      </c>
      <c r="AA15" s="39">
        <v>65.680000000000007</v>
      </c>
      <c r="AB15" s="39">
        <v>65.97</v>
      </c>
      <c r="AC15" s="39">
        <v>66.3</v>
      </c>
      <c r="AD15" s="39">
        <v>66.510000000000005</v>
      </c>
      <c r="AE15" s="39">
        <v>66.819999999999993</v>
      </c>
      <c r="AF15" s="39">
        <v>67.16</v>
      </c>
      <c r="AG15" s="39">
        <v>67.45</v>
      </c>
      <c r="AH15" s="39">
        <v>67.77</v>
      </c>
      <c r="AI15" s="39">
        <v>68.12</v>
      </c>
      <c r="AJ15" s="39">
        <v>68.459999999999994</v>
      </c>
      <c r="AK15" s="39">
        <v>68.790000000000006</v>
      </c>
      <c r="AL15" s="39">
        <v>69.150000000000006</v>
      </c>
      <c r="AM15" s="39">
        <v>69.44</v>
      </c>
      <c r="AN15" s="39">
        <v>69.67</v>
      </c>
      <c r="AO15" s="39">
        <v>69.88</v>
      </c>
      <c r="AP15" s="39">
        <v>70.02</v>
      </c>
      <c r="AQ15" s="39">
        <v>70.099999999999994</v>
      </c>
      <c r="AR15" s="39">
        <v>70.16</v>
      </c>
      <c r="AS15" s="39">
        <v>70.23</v>
      </c>
      <c r="AT15" s="39">
        <v>70.22</v>
      </c>
      <c r="AU15" s="39">
        <v>70.319999999999993</v>
      </c>
      <c r="AV15" s="39">
        <v>70.39</v>
      </c>
      <c r="AW15" s="39">
        <v>70.650000000000006</v>
      </c>
      <c r="AX15" s="39">
        <v>70.72</v>
      </c>
      <c r="AY15" s="39">
        <v>70.88</v>
      </c>
      <c r="AZ15" s="39">
        <v>71</v>
      </c>
      <c r="BA15" s="39">
        <v>71.150000000000006</v>
      </c>
      <c r="BB15" s="39">
        <v>71.27</v>
      </c>
      <c r="BC15" s="39">
        <v>71.400000000000006</v>
      </c>
      <c r="BD15" s="39">
        <v>71.53</v>
      </c>
      <c r="BE15" s="39">
        <v>71.64</v>
      </c>
      <c r="BF15" s="39">
        <v>71.83</v>
      </c>
      <c r="BG15" s="39">
        <v>72</v>
      </c>
      <c r="BH15" s="39">
        <v>72.19</v>
      </c>
      <c r="BI15" s="39">
        <v>72.34</v>
      </c>
      <c r="BJ15" s="39">
        <v>72.510000000000005</v>
      </c>
      <c r="BK15" s="39">
        <v>72.680000000000007</v>
      </c>
      <c r="BL15" s="39">
        <v>72.88</v>
      </c>
      <c r="BM15" s="39">
        <v>73.09</v>
      </c>
      <c r="BN15" s="39">
        <v>73.260000000000005</v>
      </c>
      <c r="BO15" s="39">
        <v>73.42</v>
      </c>
      <c r="BP15" s="39">
        <v>73.61</v>
      </c>
      <c r="BQ15" s="39">
        <v>73.78</v>
      </c>
      <c r="BR15" s="39">
        <v>73.930000000000007</v>
      </c>
      <c r="BS15" s="39">
        <v>74.11</v>
      </c>
      <c r="BT15" s="39">
        <v>74.27</v>
      </c>
      <c r="BU15" s="39">
        <v>74.400000000000006</v>
      </c>
      <c r="BV15" s="39">
        <v>74.55</v>
      </c>
      <c r="BW15" s="39">
        <v>74.7</v>
      </c>
      <c r="BX15" s="39">
        <v>74.84</v>
      </c>
      <c r="BY15" s="39">
        <v>74.98</v>
      </c>
      <c r="BZ15" s="39">
        <v>75.11</v>
      </c>
      <c r="CA15" s="39">
        <v>75.239999999999995</v>
      </c>
      <c r="CB15" s="39">
        <v>75.400000000000006</v>
      </c>
      <c r="CC15" s="39">
        <v>75.540000000000006</v>
      </c>
      <c r="CD15" s="39">
        <v>75.66</v>
      </c>
      <c r="CE15" s="39">
        <v>75.8</v>
      </c>
      <c r="CF15" s="39">
        <v>75.94</v>
      </c>
      <c r="CG15" s="39">
        <v>76.069999999999993</v>
      </c>
      <c r="CH15" s="39">
        <v>76.209999999999994</v>
      </c>
      <c r="CI15" s="39">
        <v>76.37</v>
      </c>
      <c r="CJ15" s="39">
        <v>76.48</v>
      </c>
      <c r="CK15" s="39">
        <v>76.62</v>
      </c>
      <c r="CL15" s="39">
        <v>76.75</v>
      </c>
      <c r="CM15" s="39">
        <v>76.89</v>
      </c>
      <c r="CN15" s="39">
        <v>77.03</v>
      </c>
      <c r="CO15" s="39">
        <v>77.150000000000006</v>
      </c>
      <c r="CP15" s="39">
        <v>77.290000000000006</v>
      </c>
      <c r="CQ15" s="39">
        <v>77.39</v>
      </c>
      <c r="CR15" s="39">
        <v>77.53</v>
      </c>
      <c r="CS15" s="39">
        <v>77.66</v>
      </c>
      <c r="CT15" s="39">
        <v>77.790000000000006</v>
      </c>
      <c r="CU15" s="39">
        <v>77.900000000000006</v>
      </c>
      <c r="CV15" s="39">
        <v>78.02</v>
      </c>
      <c r="CW15" s="39">
        <v>78.14</v>
      </c>
      <c r="CX15" s="39">
        <v>78.260000000000005</v>
      </c>
      <c r="CY15" s="39">
        <v>78.38</v>
      </c>
      <c r="CZ15" s="39">
        <v>78.5</v>
      </c>
      <c r="DA15" s="39">
        <v>78.61</v>
      </c>
      <c r="DB15" s="39">
        <v>78.73</v>
      </c>
      <c r="DC15" s="39">
        <v>78.849999999999994</v>
      </c>
      <c r="DD15" s="39">
        <v>78.959999999999994</v>
      </c>
      <c r="DE15" s="39">
        <v>79.069999999999993</v>
      </c>
      <c r="DF15" s="39">
        <v>79.180000000000007</v>
      </c>
      <c r="DG15" s="39">
        <v>79.290000000000006</v>
      </c>
      <c r="DH15" s="39">
        <v>79.400000000000006</v>
      </c>
      <c r="DI15" s="39">
        <v>79.510000000000005</v>
      </c>
      <c r="DJ15" s="39">
        <v>79.62</v>
      </c>
      <c r="DK15" s="39">
        <v>79.72</v>
      </c>
      <c r="DL15" s="39">
        <v>79.83</v>
      </c>
      <c r="DM15" s="39">
        <v>79.930000000000007</v>
      </c>
      <c r="DN15" s="39">
        <v>80.040000000000006</v>
      </c>
      <c r="DO15" s="39">
        <v>80.14</v>
      </c>
      <c r="DP15" s="39">
        <v>80.239999999999995</v>
      </c>
      <c r="DQ15" s="39">
        <v>80.34</v>
      </c>
      <c r="DR15" s="39">
        <v>80.44</v>
      </c>
    </row>
    <row r="16" spans="1:122">
      <c r="A16" s="44">
        <v>14</v>
      </c>
      <c r="B16" s="45"/>
      <c r="C16" s="45"/>
      <c r="D16" s="45"/>
      <c r="E16" s="45"/>
      <c r="F16" s="45"/>
      <c r="G16" s="45"/>
      <c r="H16" s="45"/>
      <c r="I16" s="45"/>
      <c r="J16" s="45"/>
      <c r="K16" s="45"/>
      <c r="L16" s="45"/>
      <c r="M16" s="45"/>
      <c r="N16" s="45"/>
      <c r="O16" s="45"/>
      <c r="P16" s="45"/>
      <c r="Q16" s="45"/>
      <c r="R16" s="45"/>
      <c r="S16" s="45"/>
      <c r="T16" s="45"/>
      <c r="U16" s="45"/>
      <c r="V16" s="39"/>
      <c r="W16" s="39">
        <v>63.68</v>
      </c>
      <c r="X16" s="39">
        <v>63.95</v>
      </c>
      <c r="Y16" s="39">
        <v>64.209999999999994</v>
      </c>
      <c r="Z16" s="39">
        <v>64.53</v>
      </c>
      <c r="AA16" s="39">
        <v>64.760000000000005</v>
      </c>
      <c r="AB16" s="39">
        <v>65.06</v>
      </c>
      <c r="AC16" s="39">
        <v>65.38</v>
      </c>
      <c r="AD16" s="39">
        <v>65.59</v>
      </c>
      <c r="AE16" s="39">
        <v>65.91</v>
      </c>
      <c r="AF16" s="39">
        <v>66.25</v>
      </c>
      <c r="AG16" s="39">
        <v>66.56</v>
      </c>
      <c r="AH16" s="39">
        <v>66.900000000000006</v>
      </c>
      <c r="AI16" s="39">
        <v>67.180000000000007</v>
      </c>
      <c r="AJ16" s="39">
        <v>67.53</v>
      </c>
      <c r="AK16" s="39">
        <v>67.84</v>
      </c>
      <c r="AL16" s="39">
        <v>68.19</v>
      </c>
      <c r="AM16" s="39">
        <v>68.48</v>
      </c>
      <c r="AN16" s="39">
        <v>68.709999999999994</v>
      </c>
      <c r="AO16" s="39">
        <v>68.91</v>
      </c>
      <c r="AP16" s="39">
        <v>69.05</v>
      </c>
      <c r="AQ16" s="39">
        <v>69.13</v>
      </c>
      <c r="AR16" s="39">
        <v>69.19</v>
      </c>
      <c r="AS16" s="39">
        <v>69.260000000000005</v>
      </c>
      <c r="AT16" s="39">
        <v>69.25</v>
      </c>
      <c r="AU16" s="39">
        <v>69.34</v>
      </c>
      <c r="AV16" s="39">
        <v>69.41</v>
      </c>
      <c r="AW16" s="39">
        <v>69.67</v>
      </c>
      <c r="AX16" s="39">
        <v>69.739999999999995</v>
      </c>
      <c r="AY16" s="39">
        <v>69.900000000000006</v>
      </c>
      <c r="AZ16" s="39">
        <v>70.02</v>
      </c>
      <c r="BA16" s="39">
        <v>70.17</v>
      </c>
      <c r="BB16" s="39">
        <v>70.3</v>
      </c>
      <c r="BC16" s="39">
        <v>70.42</v>
      </c>
      <c r="BD16" s="39">
        <v>70.55</v>
      </c>
      <c r="BE16" s="39">
        <v>70.66</v>
      </c>
      <c r="BF16" s="39">
        <v>70.849999999999994</v>
      </c>
      <c r="BG16" s="39">
        <v>71.02</v>
      </c>
      <c r="BH16" s="39">
        <v>71.209999999999994</v>
      </c>
      <c r="BI16" s="39">
        <v>71.36</v>
      </c>
      <c r="BJ16" s="39">
        <v>71.53</v>
      </c>
      <c r="BK16" s="39">
        <v>71.7</v>
      </c>
      <c r="BL16" s="39">
        <v>71.900000000000006</v>
      </c>
      <c r="BM16" s="39">
        <v>72.11</v>
      </c>
      <c r="BN16" s="39">
        <v>72.27</v>
      </c>
      <c r="BO16" s="39">
        <v>72.44</v>
      </c>
      <c r="BP16" s="39">
        <v>72.63</v>
      </c>
      <c r="BQ16" s="39">
        <v>72.790000000000006</v>
      </c>
      <c r="BR16" s="39">
        <v>72.94</v>
      </c>
      <c r="BS16" s="39">
        <v>73.12</v>
      </c>
      <c r="BT16" s="39">
        <v>73.28</v>
      </c>
      <c r="BU16" s="39">
        <v>73.41</v>
      </c>
      <c r="BV16" s="39">
        <v>73.56</v>
      </c>
      <c r="BW16" s="39">
        <v>73.709999999999994</v>
      </c>
      <c r="BX16" s="39">
        <v>73.849999999999994</v>
      </c>
      <c r="BY16" s="39">
        <v>73.989999999999995</v>
      </c>
      <c r="BZ16" s="39">
        <v>74.12</v>
      </c>
      <c r="CA16" s="39">
        <v>74.25</v>
      </c>
      <c r="CB16" s="39">
        <v>74.41</v>
      </c>
      <c r="CC16" s="39">
        <v>74.55</v>
      </c>
      <c r="CD16" s="39">
        <v>74.680000000000007</v>
      </c>
      <c r="CE16" s="39">
        <v>74.81</v>
      </c>
      <c r="CF16" s="39">
        <v>74.95</v>
      </c>
      <c r="CG16" s="39">
        <v>75.069999999999993</v>
      </c>
      <c r="CH16" s="39">
        <v>75.22</v>
      </c>
      <c r="CI16" s="39">
        <v>75.37</v>
      </c>
      <c r="CJ16" s="39">
        <v>75.489999999999995</v>
      </c>
      <c r="CK16" s="39">
        <v>75.62</v>
      </c>
      <c r="CL16" s="39">
        <v>75.77</v>
      </c>
      <c r="CM16" s="39">
        <v>75.900000000000006</v>
      </c>
      <c r="CN16" s="39">
        <v>76.03</v>
      </c>
      <c r="CO16" s="39">
        <v>76.150000000000006</v>
      </c>
      <c r="CP16" s="39">
        <v>76.290000000000006</v>
      </c>
      <c r="CQ16" s="39">
        <v>76.400000000000006</v>
      </c>
      <c r="CR16" s="39">
        <v>76.540000000000006</v>
      </c>
      <c r="CS16" s="39">
        <v>76.67</v>
      </c>
      <c r="CT16" s="39">
        <v>76.790000000000006</v>
      </c>
      <c r="CU16" s="39">
        <v>76.91</v>
      </c>
      <c r="CV16" s="39">
        <v>77.03</v>
      </c>
      <c r="CW16" s="39">
        <v>77.150000000000006</v>
      </c>
      <c r="CX16" s="39">
        <v>77.27</v>
      </c>
      <c r="CY16" s="39">
        <v>77.39</v>
      </c>
      <c r="CZ16" s="39">
        <v>77.510000000000005</v>
      </c>
      <c r="DA16" s="39">
        <v>77.62</v>
      </c>
      <c r="DB16" s="39">
        <v>77.739999999999995</v>
      </c>
      <c r="DC16" s="39">
        <v>77.849999999999994</v>
      </c>
      <c r="DD16" s="39">
        <v>77.97</v>
      </c>
      <c r="DE16" s="39">
        <v>78.08</v>
      </c>
      <c r="DF16" s="39">
        <v>78.19</v>
      </c>
      <c r="DG16" s="39">
        <v>78.3</v>
      </c>
      <c r="DH16" s="39">
        <v>78.41</v>
      </c>
      <c r="DI16" s="39">
        <v>78.52</v>
      </c>
      <c r="DJ16" s="39">
        <v>78.62</v>
      </c>
      <c r="DK16" s="39">
        <v>78.73</v>
      </c>
      <c r="DL16" s="39">
        <v>78.83</v>
      </c>
      <c r="DM16" s="39">
        <v>78.94</v>
      </c>
      <c r="DN16" s="39">
        <v>79.040000000000006</v>
      </c>
      <c r="DO16" s="39">
        <v>79.14</v>
      </c>
      <c r="DP16" s="39">
        <v>79.239999999999995</v>
      </c>
      <c r="DQ16" s="39">
        <v>79.34</v>
      </c>
      <c r="DR16" s="39">
        <v>79.44</v>
      </c>
    </row>
    <row r="17" spans="1:122">
      <c r="A17" s="44">
        <v>15</v>
      </c>
      <c r="B17" s="45"/>
      <c r="C17" s="45"/>
      <c r="D17" s="45"/>
      <c r="E17" s="45"/>
      <c r="F17" s="45"/>
      <c r="G17" s="45"/>
      <c r="H17" s="45"/>
      <c r="I17" s="45"/>
      <c r="J17" s="45"/>
      <c r="K17" s="45"/>
      <c r="L17" s="45"/>
      <c r="M17" s="45"/>
      <c r="N17" s="45"/>
      <c r="O17" s="45"/>
      <c r="P17" s="45"/>
      <c r="Q17" s="45"/>
      <c r="R17" s="45"/>
      <c r="S17" s="45"/>
      <c r="T17" s="45"/>
      <c r="U17" s="45"/>
      <c r="V17" s="39"/>
      <c r="W17" s="39">
        <v>62.77</v>
      </c>
      <c r="X17" s="39">
        <v>63.04</v>
      </c>
      <c r="Y17" s="39">
        <v>63.3</v>
      </c>
      <c r="Z17" s="39">
        <v>63.61</v>
      </c>
      <c r="AA17" s="39">
        <v>63.84</v>
      </c>
      <c r="AB17" s="39">
        <v>64.14</v>
      </c>
      <c r="AC17" s="39">
        <v>64.47</v>
      </c>
      <c r="AD17" s="39">
        <v>64.680000000000007</v>
      </c>
      <c r="AE17" s="39">
        <v>65.010000000000005</v>
      </c>
      <c r="AF17" s="39">
        <v>65.36</v>
      </c>
      <c r="AG17" s="39">
        <v>65.69</v>
      </c>
      <c r="AH17" s="39">
        <v>65.97</v>
      </c>
      <c r="AI17" s="39">
        <v>66.25</v>
      </c>
      <c r="AJ17" s="39">
        <v>66.59</v>
      </c>
      <c r="AK17" s="39">
        <v>66.88</v>
      </c>
      <c r="AL17" s="39">
        <v>67.23</v>
      </c>
      <c r="AM17" s="39">
        <v>67.52</v>
      </c>
      <c r="AN17" s="39">
        <v>67.739999999999995</v>
      </c>
      <c r="AO17" s="39">
        <v>67.94</v>
      </c>
      <c r="AP17" s="39">
        <v>68.08</v>
      </c>
      <c r="AQ17" s="39">
        <v>68.150000000000006</v>
      </c>
      <c r="AR17" s="39">
        <v>68.209999999999994</v>
      </c>
      <c r="AS17" s="39">
        <v>68.290000000000006</v>
      </c>
      <c r="AT17" s="39">
        <v>68.28</v>
      </c>
      <c r="AU17" s="39">
        <v>68.37</v>
      </c>
      <c r="AV17" s="39">
        <v>68.430000000000007</v>
      </c>
      <c r="AW17" s="39">
        <v>68.7</v>
      </c>
      <c r="AX17" s="39">
        <v>68.760000000000005</v>
      </c>
      <c r="AY17" s="39">
        <v>68.92</v>
      </c>
      <c r="AZ17" s="39">
        <v>69.040000000000006</v>
      </c>
      <c r="BA17" s="39">
        <v>69.19</v>
      </c>
      <c r="BB17" s="39">
        <v>69.319999999999993</v>
      </c>
      <c r="BC17" s="39">
        <v>69.44</v>
      </c>
      <c r="BD17" s="39">
        <v>69.58</v>
      </c>
      <c r="BE17" s="39">
        <v>69.69</v>
      </c>
      <c r="BF17" s="39">
        <v>69.87</v>
      </c>
      <c r="BG17" s="39">
        <v>70.040000000000006</v>
      </c>
      <c r="BH17" s="39">
        <v>70.23</v>
      </c>
      <c r="BI17" s="39">
        <v>70.38</v>
      </c>
      <c r="BJ17" s="39">
        <v>70.55</v>
      </c>
      <c r="BK17" s="39">
        <v>70.72</v>
      </c>
      <c r="BL17" s="39">
        <v>70.92</v>
      </c>
      <c r="BM17" s="39">
        <v>71.13</v>
      </c>
      <c r="BN17" s="39">
        <v>71.290000000000006</v>
      </c>
      <c r="BO17" s="39">
        <v>71.459999999999994</v>
      </c>
      <c r="BP17" s="39">
        <v>71.650000000000006</v>
      </c>
      <c r="BQ17" s="39">
        <v>71.81</v>
      </c>
      <c r="BR17" s="39">
        <v>71.959999999999994</v>
      </c>
      <c r="BS17" s="39">
        <v>72.14</v>
      </c>
      <c r="BT17" s="39">
        <v>72.290000000000006</v>
      </c>
      <c r="BU17" s="39">
        <v>72.430000000000007</v>
      </c>
      <c r="BV17" s="39">
        <v>72.569999999999993</v>
      </c>
      <c r="BW17" s="39">
        <v>72.72</v>
      </c>
      <c r="BX17" s="39">
        <v>72.86</v>
      </c>
      <c r="BY17" s="39">
        <v>73</v>
      </c>
      <c r="BZ17" s="39">
        <v>73.14</v>
      </c>
      <c r="CA17" s="39">
        <v>73.260000000000005</v>
      </c>
      <c r="CB17" s="39">
        <v>73.42</v>
      </c>
      <c r="CC17" s="39">
        <v>73.56</v>
      </c>
      <c r="CD17" s="39">
        <v>73.69</v>
      </c>
      <c r="CE17" s="39">
        <v>73.819999999999993</v>
      </c>
      <c r="CF17" s="39">
        <v>73.959999999999994</v>
      </c>
      <c r="CG17" s="39">
        <v>74.08</v>
      </c>
      <c r="CH17" s="39">
        <v>74.23</v>
      </c>
      <c r="CI17" s="39">
        <v>74.39</v>
      </c>
      <c r="CJ17" s="39">
        <v>74.5</v>
      </c>
      <c r="CK17" s="39">
        <v>74.63</v>
      </c>
      <c r="CL17" s="39">
        <v>74.78</v>
      </c>
      <c r="CM17" s="39">
        <v>74.91</v>
      </c>
      <c r="CN17" s="39">
        <v>75.040000000000006</v>
      </c>
      <c r="CO17" s="39">
        <v>75.17</v>
      </c>
      <c r="CP17" s="39">
        <v>75.3</v>
      </c>
      <c r="CQ17" s="39">
        <v>75.41</v>
      </c>
      <c r="CR17" s="39">
        <v>75.540000000000006</v>
      </c>
      <c r="CS17" s="39">
        <v>75.680000000000007</v>
      </c>
      <c r="CT17" s="39">
        <v>75.8</v>
      </c>
      <c r="CU17" s="39">
        <v>75.91</v>
      </c>
      <c r="CV17" s="39">
        <v>76.03</v>
      </c>
      <c r="CW17" s="39">
        <v>76.16</v>
      </c>
      <c r="CX17" s="39">
        <v>76.28</v>
      </c>
      <c r="CY17" s="39">
        <v>76.39</v>
      </c>
      <c r="CZ17" s="39">
        <v>76.510000000000005</v>
      </c>
      <c r="DA17" s="39">
        <v>76.63</v>
      </c>
      <c r="DB17" s="39">
        <v>76.75</v>
      </c>
      <c r="DC17" s="39">
        <v>76.86</v>
      </c>
      <c r="DD17" s="39">
        <v>76.97</v>
      </c>
      <c r="DE17" s="39">
        <v>77.08</v>
      </c>
      <c r="DF17" s="39">
        <v>77.2</v>
      </c>
      <c r="DG17" s="39">
        <v>77.3</v>
      </c>
      <c r="DH17" s="39">
        <v>77.41</v>
      </c>
      <c r="DI17" s="39">
        <v>77.52</v>
      </c>
      <c r="DJ17" s="39">
        <v>77.63</v>
      </c>
      <c r="DK17" s="39">
        <v>77.73</v>
      </c>
      <c r="DL17" s="39">
        <v>77.84</v>
      </c>
      <c r="DM17" s="39">
        <v>77.94</v>
      </c>
      <c r="DN17" s="39">
        <v>78.05</v>
      </c>
      <c r="DO17" s="39">
        <v>78.150000000000006</v>
      </c>
      <c r="DP17" s="39">
        <v>78.25</v>
      </c>
      <c r="DQ17" s="39">
        <v>78.349999999999994</v>
      </c>
      <c r="DR17" s="39">
        <v>78.45</v>
      </c>
    </row>
    <row r="18" spans="1:122">
      <c r="A18" s="44">
        <v>16</v>
      </c>
      <c r="B18" s="45"/>
      <c r="C18" s="45"/>
      <c r="D18" s="45"/>
      <c r="E18" s="45"/>
      <c r="F18" s="45"/>
      <c r="G18" s="45"/>
      <c r="H18" s="45"/>
      <c r="I18" s="45"/>
      <c r="J18" s="45"/>
      <c r="K18" s="45"/>
      <c r="L18" s="45"/>
      <c r="M18" s="45"/>
      <c r="N18" s="45"/>
      <c r="O18" s="45"/>
      <c r="P18" s="45"/>
      <c r="Q18" s="45"/>
      <c r="R18" s="45"/>
      <c r="S18" s="45"/>
      <c r="T18" s="45"/>
      <c r="U18" s="45"/>
      <c r="V18" s="39"/>
      <c r="W18" s="39">
        <v>61.87</v>
      </c>
      <c r="X18" s="39">
        <v>62.13</v>
      </c>
      <c r="Y18" s="39">
        <v>62.39</v>
      </c>
      <c r="Z18" s="39">
        <v>62.7</v>
      </c>
      <c r="AA18" s="39">
        <v>62.93</v>
      </c>
      <c r="AB18" s="39">
        <v>63.24</v>
      </c>
      <c r="AC18" s="39">
        <v>63.56</v>
      </c>
      <c r="AD18" s="39">
        <v>63.78</v>
      </c>
      <c r="AE18" s="39">
        <v>64.12</v>
      </c>
      <c r="AF18" s="39">
        <v>64.510000000000005</v>
      </c>
      <c r="AG18" s="39">
        <v>64.78</v>
      </c>
      <c r="AH18" s="39">
        <v>65.06</v>
      </c>
      <c r="AI18" s="39">
        <v>65.319999999999993</v>
      </c>
      <c r="AJ18" s="39">
        <v>65.63</v>
      </c>
      <c r="AK18" s="39">
        <v>65.92</v>
      </c>
      <c r="AL18" s="39">
        <v>66.27</v>
      </c>
      <c r="AM18" s="39">
        <v>66.55</v>
      </c>
      <c r="AN18" s="39">
        <v>66.77</v>
      </c>
      <c r="AO18" s="39">
        <v>66.97</v>
      </c>
      <c r="AP18" s="39">
        <v>67.11</v>
      </c>
      <c r="AQ18" s="39">
        <v>67.19</v>
      </c>
      <c r="AR18" s="39">
        <v>67.239999999999995</v>
      </c>
      <c r="AS18" s="39">
        <v>67.31</v>
      </c>
      <c r="AT18" s="39">
        <v>67.31</v>
      </c>
      <c r="AU18" s="39">
        <v>67.400000000000006</v>
      </c>
      <c r="AV18" s="39">
        <v>67.459999999999994</v>
      </c>
      <c r="AW18" s="39">
        <v>67.73</v>
      </c>
      <c r="AX18" s="39">
        <v>67.790000000000006</v>
      </c>
      <c r="AY18" s="39">
        <v>67.94</v>
      </c>
      <c r="AZ18" s="39">
        <v>68.069999999999993</v>
      </c>
      <c r="BA18" s="39">
        <v>68.22</v>
      </c>
      <c r="BB18" s="39">
        <v>68.349999999999994</v>
      </c>
      <c r="BC18" s="39">
        <v>68.47</v>
      </c>
      <c r="BD18" s="39">
        <v>68.61</v>
      </c>
      <c r="BE18" s="39">
        <v>68.72</v>
      </c>
      <c r="BF18" s="39">
        <v>68.900000000000006</v>
      </c>
      <c r="BG18" s="39">
        <v>69.069999999999993</v>
      </c>
      <c r="BH18" s="39">
        <v>69.260000000000005</v>
      </c>
      <c r="BI18" s="39">
        <v>69.41</v>
      </c>
      <c r="BJ18" s="39">
        <v>69.58</v>
      </c>
      <c r="BK18" s="39">
        <v>69.75</v>
      </c>
      <c r="BL18" s="39">
        <v>69.95</v>
      </c>
      <c r="BM18" s="39">
        <v>70.150000000000006</v>
      </c>
      <c r="BN18" s="39">
        <v>70.319999999999993</v>
      </c>
      <c r="BO18" s="39">
        <v>70.48</v>
      </c>
      <c r="BP18" s="39">
        <v>70.67</v>
      </c>
      <c r="BQ18" s="39">
        <v>70.83</v>
      </c>
      <c r="BR18" s="39">
        <v>70.98</v>
      </c>
      <c r="BS18" s="39">
        <v>71.16</v>
      </c>
      <c r="BT18" s="39">
        <v>71.31</v>
      </c>
      <c r="BU18" s="39">
        <v>71.44</v>
      </c>
      <c r="BV18" s="39">
        <v>71.59</v>
      </c>
      <c r="BW18" s="39">
        <v>71.739999999999995</v>
      </c>
      <c r="BX18" s="39">
        <v>71.88</v>
      </c>
      <c r="BY18" s="39">
        <v>72.02</v>
      </c>
      <c r="BZ18" s="39">
        <v>72.16</v>
      </c>
      <c r="CA18" s="39">
        <v>72.27</v>
      </c>
      <c r="CB18" s="39">
        <v>72.44</v>
      </c>
      <c r="CC18" s="39">
        <v>72.58</v>
      </c>
      <c r="CD18" s="39">
        <v>72.709999999999994</v>
      </c>
      <c r="CE18" s="39">
        <v>72.83</v>
      </c>
      <c r="CF18" s="39">
        <v>72.98</v>
      </c>
      <c r="CG18" s="39">
        <v>73.099999999999994</v>
      </c>
      <c r="CH18" s="39">
        <v>73.25</v>
      </c>
      <c r="CI18" s="39">
        <v>73.400000000000006</v>
      </c>
      <c r="CJ18" s="39">
        <v>73.510000000000005</v>
      </c>
      <c r="CK18" s="39">
        <v>73.650000000000006</v>
      </c>
      <c r="CL18" s="39">
        <v>73.790000000000006</v>
      </c>
      <c r="CM18" s="39">
        <v>73.92</v>
      </c>
      <c r="CN18" s="39">
        <v>74.05</v>
      </c>
      <c r="CO18" s="39">
        <v>74.180000000000007</v>
      </c>
      <c r="CP18" s="39">
        <v>74.31</v>
      </c>
      <c r="CQ18" s="39">
        <v>74.42</v>
      </c>
      <c r="CR18" s="39">
        <v>74.56</v>
      </c>
      <c r="CS18" s="39">
        <v>74.69</v>
      </c>
      <c r="CT18" s="39">
        <v>74.81</v>
      </c>
      <c r="CU18" s="39">
        <v>74.92</v>
      </c>
      <c r="CV18" s="39">
        <v>75.040000000000006</v>
      </c>
      <c r="CW18" s="39">
        <v>75.17</v>
      </c>
      <c r="CX18" s="39">
        <v>75.290000000000006</v>
      </c>
      <c r="CY18" s="39">
        <v>75.400000000000006</v>
      </c>
      <c r="CZ18" s="39">
        <v>75.52</v>
      </c>
      <c r="DA18" s="39">
        <v>75.64</v>
      </c>
      <c r="DB18" s="39">
        <v>75.75</v>
      </c>
      <c r="DC18" s="39">
        <v>75.87</v>
      </c>
      <c r="DD18" s="39">
        <v>75.98</v>
      </c>
      <c r="DE18" s="39">
        <v>76.09</v>
      </c>
      <c r="DF18" s="39">
        <v>76.2</v>
      </c>
      <c r="DG18" s="39">
        <v>76.31</v>
      </c>
      <c r="DH18" s="39">
        <v>76.42</v>
      </c>
      <c r="DI18" s="39">
        <v>76.53</v>
      </c>
      <c r="DJ18" s="39">
        <v>76.63</v>
      </c>
      <c r="DK18" s="39">
        <v>76.739999999999995</v>
      </c>
      <c r="DL18" s="39">
        <v>76.849999999999994</v>
      </c>
      <c r="DM18" s="39">
        <v>76.95</v>
      </c>
      <c r="DN18" s="39">
        <v>77.05</v>
      </c>
      <c r="DO18" s="39">
        <v>77.150000000000006</v>
      </c>
      <c r="DP18" s="39">
        <v>77.25</v>
      </c>
      <c r="DQ18" s="39">
        <v>77.349999999999994</v>
      </c>
      <c r="DR18" s="39">
        <v>77.45</v>
      </c>
    </row>
    <row r="19" spans="1:122">
      <c r="A19" s="44">
        <v>17</v>
      </c>
      <c r="B19" s="45"/>
      <c r="C19" s="45"/>
      <c r="D19" s="45"/>
      <c r="E19" s="45"/>
      <c r="F19" s="45"/>
      <c r="G19" s="45"/>
      <c r="H19" s="45"/>
      <c r="I19" s="45"/>
      <c r="J19" s="45"/>
      <c r="K19" s="45"/>
      <c r="L19" s="45"/>
      <c r="M19" s="45"/>
      <c r="N19" s="45"/>
      <c r="O19" s="45"/>
      <c r="P19" s="45"/>
      <c r="Q19" s="45"/>
      <c r="R19" s="45"/>
      <c r="S19" s="45"/>
      <c r="T19" s="45"/>
      <c r="U19" s="45"/>
      <c r="V19" s="39"/>
      <c r="W19" s="39">
        <v>60.96</v>
      </c>
      <c r="X19" s="39">
        <v>61.22</v>
      </c>
      <c r="Y19" s="39">
        <v>61.48</v>
      </c>
      <c r="Z19" s="39">
        <v>61.8</v>
      </c>
      <c r="AA19" s="39">
        <v>62.03</v>
      </c>
      <c r="AB19" s="39">
        <v>62.33</v>
      </c>
      <c r="AC19" s="39">
        <v>62.67</v>
      </c>
      <c r="AD19" s="39">
        <v>62.9</v>
      </c>
      <c r="AE19" s="39">
        <v>63.29</v>
      </c>
      <c r="AF19" s="39">
        <v>63.61</v>
      </c>
      <c r="AG19" s="39">
        <v>63.88</v>
      </c>
      <c r="AH19" s="39">
        <v>64.14</v>
      </c>
      <c r="AI19" s="39">
        <v>64.37</v>
      </c>
      <c r="AJ19" s="39">
        <v>64.680000000000007</v>
      </c>
      <c r="AK19" s="39">
        <v>64.97</v>
      </c>
      <c r="AL19" s="39">
        <v>65.319999999999993</v>
      </c>
      <c r="AM19" s="39">
        <v>65.59</v>
      </c>
      <c r="AN19" s="39">
        <v>65.81</v>
      </c>
      <c r="AO19" s="39">
        <v>66</v>
      </c>
      <c r="AP19" s="39">
        <v>66.14</v>
      </c>
      <c r="AQ19" s="39">
        <v>66.22</v>
      </c>
      <c r="AR19" s="39">
        <v>66.28</v>
      </c>
      <c r="AS19" s="39">
        <v>66.349999999999994</v>
      </c>
      <c r="AT19" s="39">
        <v>66.34</v>
      </c>
      <c r="AU19" s="39">
        <v>66.430000000000007</v>
      </c>
      <c r="AV19" s="39">
        <v>66.489999999999995</v>
      </c>
      <c r="AW19" s="39">
        <v>66.760000000000005</v>
      </c>
      <c r="AX19" s="39">
        <v>66.819999999999993</v>
      </c>
      <c r="AY19" s="39">
        <v>66.97</v>
      </c>
      <c r="AZ19" s="39">
        <v>67.11</v>
      </c>
      <c r="BA19" s="39">
        <v>67.25</v>
      </c>
      <c r="BB19" s="39">
        <v>67.38</v>
      </c>
      <c r="BC19" s="39">
        <v>67.5</v>
      </c>
      <c r="BD19" s="39">
        <v>67.64</v>
      </c>
      <c r="BE19" s="39">
        <v>67.760000000000005</v>
      </c>
      <c r="BF19" s="39">
        <v>67.94</v>
      </c>
      <c r="BG19" s="39">
        <v>68.11</v>
      </c>
      <c r="BH19" s="39">
        <v>68.290000000000006</v>
      </c>
      <c r="BI19" s="39">
        <v>68.44</v>
      </c>
      <c r="BJ19" s="39">
        <v>68.62</v>
      </c>
      <c r="BK19" s="39">
        <v>68.790000000000006</v>
      </c>
      <c r="BL19" s="39">
        <v>68.98</v>
      </c>
      <c r="BM19" s="39">
        <v>69.19</v>
      </c>
      <c r="BN19" s="39">
        <v>69.349999999999994</v>
      </c>
      <c r="BO19" s="39">
        <v>69.510000000000005</v>
      </c>
      <c r="BP19" s="39">
        <v>69.7</v>
      </c>
      <c r="BQ19" s="39">
        <v>69.849999999999994</v>
      </c>
      <c r="BR19" s="39">
        <v>70</v>
      </c>
      <c r="BS19" s="39">
        <v>70.180000000000007</v>
      </c>
      <c r="BT19" s="39">
        <v>70.33</v>
      </c>
      <c r="BU19" s="39">
        <v>70.459999999999994</v>
      </c>
      <c r="BV19" s="39">
        <v>70.599999999999994</v>
      </c>
      <c r="BW19" s="39">
        <v>70.760000000000005</v>
      </c>
      <c r="BX19" s="39">
        <v>70.900000000000006</v>
      </c>
      <c r="BY19" s="39">
        <v>71.040000000000006</v>
      </c>
      <c r="BZ19" s="39">
        <v>71.180000000000007</v>
      </c>
      <c r="CA19" s="39">
        <v>71.3</v>
      </c>
      <c r="CB19" s="39">
        <v>71.459999999999994</v>
      </c>
      <c r="CC19" s="39">
        <v>71.599999999999994</v>
      </c>
      <c r="CD19" s="39">
        <v>71.73</v>
      </c>
      <c r="CE19" s="39">
        <v>71.849999999999994</v>
      </c>
      <c r="CF19" s="39">
        <v>71.989999999999995</v>
      </c>
      <c r="CG19" s="39">
        <v>72.11</v>
      </c>
      <c r="CH19" s="39">
        <v>72.260000000000005</v>
      </c>
      <c r="CI19" s="39">
        <v>72.41</v>
      </c>
      <c r="CJ19" s="39">
        <v>72.53</v>
      </c>
      <c r="CK19" s="39">
        <v>72.66</v>
      </c>
      <c r="CL19" s="39">
        <v>72.8</v>
      </c>
      <c r="CM19" s="39">
        <v>72.930000000000007</v>
      </c>
      <c r="CN19" s="39">
        <v>73.06</v>
      </c>
      <c r="CO19" s="39">
        <v>73.19</v>
      </c>
      <c r="CP19" s="39">
        <v>73.33</v>
      </c>
      <c r="CQ19" s="39">
        <v>73.430000000000007</v>
      </c>
      <c r="CR19" s="39">
        <v>73.569999999999993</v>
      </c>
      <c r="CS19" s="39">
        <v>73.7</v>
      </c>
      <c r="CT19" s="39">
        <v>73.81</v>
      </c>
      <c r="CU19" s="39">
        <v>73.94</v>
      </c>
      <c r="CV19" s="39">
        <v>74.05</v>
      </c>
      <c r="CW19" s="39">
        <v>74.180000000000007</v>
      </c>
      <c r="CX19" s="39">
        <v>74.3</v>
      </c>
      <c r="CY19" s="39">
        <v>74.42</v>
      </c>
      <c r="CZ19" s="39">
        <v>74.53</v>
      </c>
      <c r="DA19" s="39">
        <v>74.650000000000006</v>
      </c>
      <c r="DB19" s="39">
        <v>74.760000000000005</v>
      </c>
      <c r="DC19" s="39">
        <v>74.88</v>
      </c>
      <c r="DD19" s="39">
        <v>74.989999999999995</v>
      </c>
      <c r="DE19" s="39">
        <v>75.099999999999994</v>
      </c>
      <c r="DF19" s="39">
        <v>75.209999999999994</v>
      </c>
      <c r="DG19" s="39">
        <v>75.319999999999993</v>
      </c>
      <c r="DH19" s="39">
        <v>75.430000000000007</v>
      </c>
      <c r="DI19" s="39">
        <v>75.540000000000006</v>
      </c>
      <c r="DJ19" s="39">
        <v>75.64</v>
      </c>
      <c r="DK19" s="39">
        <v>75.75</v>
      </c>
      <c r="DL19" s="39">
        <v>75.849999999999994</v>
      </c>
      <c r="DM19" s="39">
        <v>75.959999999999994</v>
      </c>
      <c r="DN19" s="39">
        <v>76.06</v>
      </c>
      <c r="DO19" s="39">
        <v>76.16</v>
      </c>
      <c r="DP19" s="39">
        <v>76.260000000000005</v>
      </c>
      <c r="DQ19" s="39">
        <v>76.36</v>
      </c>
      <c r="DR19" s="39">
        <v>76.459999999999994</v>
      </c>
    </row>
    <row r="20" spans="1:122">
      <c r="A20" s="44">
        <v>18</v>
      </c>
      <c r="B20" s="45"/>
      <c r="C20" s="45"/>
      <c r="D20" s="45"/>
      <c r="E20" s="45"/>
      <c r="F20" s="45"/>
      <c r="G20" s="45"/>
      <c r="H20" s="45"/>
      <c r="I20" s="45"/>
      <c r="J20" s="45"/>
      <c r="K20" s="45"/>
      <c r="L20" s="45"/>
      <c r="M20" s="45"/>
      <c r="N20" s="45"/>
      <c r="O20" s="45"/>
      <c r="P20" s="45"/>
      <c r="Q20" s="45"/>
      <c r="R20" s="45"/>
      <c r="S20" s="45"/>
      <c r="T20" s="45"/>
      <c r="U20" s="45"/>
      <c r="V20" s="39"/>
      <c r="W20" s="39">
        <v>60.06</v>
      </c>
      <c r="X20" s="39">
        <v>60.32</v>
      </c>
      <c r="Y20" s="39">
        <v>60.58</v>
      </c>
      <c r="Z20" s="39">
        <v>60.9</v>
      </c>
      <c r="AA20" s="39">
        <v>61.13</v>
      </c>
      <c r="AB20" s="39">
        <v>61.44</v>
      </c>
      <c r="AC20" s="39">
        <v>61.79</v>
      </c>
      <c r="AD20" s="39">
        <v>62.08</v>
      </c>
      <c r="AE20" s="39">
        <v>62.4</v>
      </c>
      <c r="AF20" s="39">
        <v>62.72</v>
      </c>
      <c r="AG20" s="39">
        <v>62.96</v>
      </c>
      <c r="AH20" s="39">
        <v>63.19</v>
      </c>
      <c r="AI20" s="39">
        <v>63.43</v>
      </c>
      <c r="AJ20" s="39">
        <v>63.74</v>
      </c>
      <c r="AK20" s="39">
        <v>64.02</v>
      </c>
      <c r="AL20" s="39">
        <v>64.349999999999994</v>
      </c>
      <c r="AM20" s="39">
        <v>64.63</v>
      </c>
      <c r="AN20" s="39">
        <v>64.849999999999994</v>
      </c>
      <c r="AO20" s="39">
        <v>65.040000000000006</v>
      </c>
      <c r="AP20" s="39">
        <v>65.180000000000007</v>
      </c>
      <c r="AQ20" s="39">
        <v>65.25</v>
      </c>
      <c r="AR20" s="39">
        <v>65.31</v>
      </c>
      <c r="AS20" s="39">
        <v>65.38</v>
      </c>
      <c r="AT20" s="39">
        <v>65.37</v>
      </c>
      <c r="AU20" s="39">
        <v>65.459999999999994</v>
      </c>
      <c r="AV20" s="39">
        <v>65.52</v>
      </c>
      <c r="AW20" s="39">
        <v>65.790000000000006</v>
      </c>
      <c r="AX20" s="39">
        <v>65.849999999999994</v>
      </c>
      <c r="AY20" s="39">
        <v>66</v>
      </c>
      <c r="AZ20" s="39">
        <v>66.14</v>
      </c>
      <c r="BA20" s="39">
        <v>66.290000000000006</v>
      </c>
      <c r="BB20" s="39">
        <v>66.41</v>
      </c>
      <c r="BC20" s="39">
        <v>66.540000000000006</v>
      </c>
      <c r="BD20" s="39">
        <v>66.680000000000007</v>
      </c>
      <c r="BE20" s="39">
        <v>66.8</v>
      </c>
      <c r="BF20" s="39">
        <v>66.97</v>
      </c>
      <c r="BG20" s="39">
        <v>67.14</v>
      </c>
      <c r="BH20" s="39">
        <v>67.33</v>
      </c>
      <c r="BI20" s="39">
        <v>67.48</v>
      </c>
      <c r="BJ20" s="39">
        <v>67.66</v>
      </c>
      <c r="BK20" s="39">
        <v>67.83</v>
      </c>
      <c r="BL20" s="39">
        <v>68.010000000000005</v>
      </c>
      <c r="BM20" s="39">
        <v>68.22</v>
      </c>
      <c r="BN20" s="39">
        <v>68.39</v>
      </c>
      <c r="BO20" s="39">
        <v>68.540000000000006</v>
      </c>
      <c r="BP20" s="39">
        <v>68.73</v>
      </c>
      <c r="BQ20" s="39">
        <v>68.88</v>
      </c>
      <c r="BR20" s="39">
        <v>69.03</v>
      </c>
      <c r="BS20" s="39">
        <v>69.2</v>
      </c>
      <c r="BT20" s="39">
        <v>69.36</v>
      </c>
      <c r="BU20" s="39">
        <v>69.489999999999995</v>
      </c>
      <c r="BV20" s="39">
        <v>69.63</v>
      </c>
      <c r="BW20" s="39">
        <v>69.78</v>
      </c>
      <c r="BX20" s="39">
        <v>69.92</v>
      </c>
      <c r="BY20" s="39">
        <v>70.06</v>
      </c>
      <c r="BZ20" s="39">
        <v>70.2</v>
      </c>
      <c r="CA20" s="39">
        <v>70.319999999999993</v>
      </c>
      <c r="CB20" s="39">
        <v>70.48</v>
      </c>
      <c r="CC20" s="39">
        <v>70.61</v>
      </c>
      <c r="CD20" s="39">
        <v>70.739999999999995</v>
      </c>
      <c r="CE20" s="39">
        <v>70.88</v>
      </c>
      <c r="CF20" s="39">
        <v>71.02</v>
      </c>
      <c r="CG20" s="39">
        <v>71.13</v>
      </c>
      <c r="CH20" s="39">
        <v>71.28</v>
      </c>
      <c r="CI20" s="39">
        <v>71.430000000000007</v>
      </c>
      <c r="CJ20" s="39">
        <v>71.540000000000006</v>
      </c>
      <c r="CK20" s="39">
        <v>71.680000000000007</v>
      </c>
      <c r="CL20" s="39">
        <v>71.819999999999993</v>
      </c>
      <c r="CM20" s="39">
        <v>71.94</v>
      </c>
      <c r="CN20" s="39">
        <v>72.08</v>
      </c>
      <c r="CO20" s="39">
        <v>72.2</v>
      </c>
      <c r="CP20" s="39">
        <v>72.34</v>
      </c>
      <c r="CQ20" s="39">
        <v>72.45</v>
      </c>
      <c r="CR20" s="39">
        <v>72.58</v>
      </c>
      <c r="CS20" s="39">
        <v>72.709999999999994</v>
      </c>
      <c r="CT20" s="39">
        <v>72.83</v>
      </c>
      <c r="CU20" s="39">
        <v>72.94</v>
      </c>
      <c r="CV20" s="39">
        <v>73.069999999999993</v>
      </c>
      <c r="CW20" s="39">
        <v>73.19</v>
      </c>
      <c r="CX20" s="39">
        <v>73.31</v>
      </c>
      <c r="CY20" s="39">
        <v>73.430000000000007</v>
      </c>
      <c r="CZ20" s="39">
        <v>73.540000000000006</v>
      </c>
      <c r="DA20" s="39">
        <v>73.66</v>
      </c>
      <c r="DB20" s="39">
        <v>73.77</v>
      </c>
      <c r="DC20" s="39">
        <v>73.88</v>
      </c>
      <c r="DD20" s="39">
        <v>74</v>
      </c>
      <c r="DE20" s="39">
        <v>74.11</v>
      </c>
      <c r="DF20" s="39">
        <v>74.22</v>
      </c>
      <c r="DG20" s="39">
        <v>74.33</v>
      </c>
      <c r="DH20" s="39">
        <v>74.44</v>
      </c>
      <c r="DI20" s="39">
        <v>74.540000000000006</v>
      </c>
      <c r="DJ20" s="39">
        <v>74.650000000000006</v>
      </c>
      <c r="DK20" s="39">
        <v>74.75</v>
      </c>
      <c r="DL20" s="39">
        <v>74.86</v>
      </c>
      <c r="DM20" s="39">
        <v>74.959999999999994</v>
      </c>
      <c r="DN20" s="39">
        <v>75.06</v>
      </c>
      <c r="DO20" s="39">
        <v>75.17</v>
      </c>
      <c r="DP20" s="39">
        <v>75.27</v>
      </c>
      <c r="DQ20" s="39">
        <v>75.37</v>
      </c>
      <c r="DR20" s="39">
        <v>75.459999999999994</v>
      </c>
    </row>
    <row r="21" spans="1:122">
      <c r="A21" s="44">
        <v>19</v>
      </c>
      <c r="B21" s="45"/>
      <c r="C21" s="45"/>
      <c r="D21" s="45"/>
      <c r="E21" s="45"/>
      <c r="F21" s="45"/>
      <c r="G21" s="45"/>
      <c r="H21" s="45"/>
      <c r="I21" s="45"/>
      <c r="J21" s="45"/>
      <c r="K21" s="45"/>
      <c r="L21" s="45"/>
      <c r="M21" s="45"/>
      <c r="N21" s="45"/>
      <c r="O21" s="45"/>
      <c r="P21" s="45"/>
      <c r="Q21" s="45"/>
      <c r="R21" s="45"/>
      <c r="S21" s="45"/>
      <c r="T21" s="45"/>
      <c r="U21" s="45"/>
      <c r="V21" s="39"/>
      <c r="W21" s="39">
        <v>59.16</v>
      </c>
      <c r="X21" s="39">
        <v>59.43</v>
      </c>
      <c r="Y21" s="39">
        <v>59.69</v>
      </c>
      <c r="Z21" s="39">
        <v>60.01</v>
      </c>
      <c r="AA21" s="39">
        <v>60.25</v>
      </c>
      <c r="AB21" s="39">
        <v>60.58</v>
      </c>
      <c r="AC21" s="39">
        <v>60.99</v>
      </c>
      <c r="AD21" s="39">
        <v>61.2</v>
      </c>
      <c r="AE21" s="39">
        <v>61.52</v>
      </c>
      <c r="AF21" s="39">
        <v>61.81</v>
      </c>
      <c r="AG21" s="39">
        <v>62.02</v>
      </c>
      <c r="AH21" s="39">
        <v>62.25</v>
      </c>
      <c r="AI21" s="39">
        <v>62.49</v>
      </c>
      <c r="AJ21" s="39">
        <v>62.78</v>
      </c>
      <c r="AK21" s="39">
        <v>63.06</v>
      </c>
      <c r="AL21" s="39">
        <v>63.4</v>
      </c>
      <c r="AM21" s="39">
        <v>63.67</v>
      </c>
      <c r="AN21" s="39">
        <v>63.88</v>
      </c>
      <c r="AO21" s="39">
        <v>64.069999999999993</v>
      </c>
      <c r="AP21" s="39">
        <v>64.209999999999994</v>
      </c>
      <c r="AQ21" s="39">
        <v>64.290000000000006</v>
      </c>
      <c r="AR21" s="39">
        <v>64.349999999999994</v>
      </c>
      <c r="AS21" s="39">
        <v>64.42</v>
      </c>
      <c r="AT21" s="39">
        <v>64.41</v>
      </c>
      <c r="AU21" s="39">
        <v>64.489999999999995</v>
      </c>
      <c r="AV21" s="39">
        <v>64.56</v>
      </c>
      <c r="AW21" s="39">
        <v>64.83</v>
      </c>
      <c r="AX21" s="39">
        <v>64.89</v>
      </c>
      <c r="AY21" s="39">
        <v>65.040000000000006</v>
      </c>
      <c r="AZ21" s="39">
        <v>65.180000000000007</v>
      </c>
      <c r="BA21" s="39">
        <v>65.33</v>
      </c>
      <c r="BB21" s="39">
        <v>65.459999999999994</v>
      </c>
      <c r="BC21" s="39">
        <v>65.58</v>
      </c>
      <c r="BD21" s="39">
        <v>65.72</v>
      </c>
      <c r="BE21" s="39">
        <v>65.83</v>
      </c>
      <c r="BF21" s="39">
        <v>66.010000000000005</v>
      </c>
      <c r="BG21" s="39">
        <v>66.180000000000007</v>
      </c>
      <c r="BH21" s="39">
        <v>66.37</v>
      </c>
      <c r="BI21" s="39">
        <v>66.52</v>
      </c>
      <c r="BJ21" s="39">
        <v>66.69</v>
      </c>
      <c r="BK21" s="39">
        <v>66.86</v>
      </c>
      <c r="BL21" s="39">
        <v>67.05</v>
      </c>
      <c r="BM21" s="39">
        <v>67.260000000000005</v>
      </c>
      <c r="BN21" s="39">
        <v>67.42</v>
      </c>
      <c r="BO21" s="39">
        <v>67.569999999999993</v>
      </c>
      <c r="BP21" s="39">
        <v>67.760000000000005</v>
      </c>
      <c r="BQ21" s="39">
        <v>67.91</v>
      </c>
      <c r="BR21" s="39">
        <v>68.05</v>
      </c>
      <c r="BS21" s="39">
        <v>68.23</v>
      </c>
      <c r="BT21" s="39">
        <v>68.38</v>
      </c>
      <c r="BU21" s="39">
        <v>68.510000000000005</v>
      </c>
      <c r="BV21" s="39">
        <v>68.66</v>
      </c>
      <c r="BW21" s="39">
        <v>68.81</v>
      </c>
      <c r="BX21" s="39">
        <v>68.94</v>
      </c>
      <c r="BY21" s="39">
        <v>69.09</v>
      </c>
      <c r="BZ21" s="39">
        <v>69.23</v>
      </c>
      <c r="CA21" s="39">
        <v>69.34</v>
      </c>
      <c r="CB21" s="39">
        <v>69.510000000000005</v>
      </c>
      <c r="CC21" s="39">
        <v>69.64</v>
      </c>
      <c r="CD21" s="39">
        <v>69.77</v>
      </c>
      <c r="CE21" s="39">
        <v>69.900000000000006</v>
      </c>
      <c r="CF21" s="39">
        <v>70.040000000000006</v>
      </c>
      <c r="CG21" s="39">
        <v>70.16</v>
      </c>
      <c r="CH21" s="39">
        <v>70.3</v>
      </c>
      <c r="CI21" s="39">
        <v>70.45</v>
      </c>
      <c r="CJ21" s="39">
        <v>70.56</v>
      </c>
      <c r="CK21" s="39">
        <v>70.69</v>
      </c>
      <c r="CL21" s="39">
        <v>70.83</v>
      </c>
      <c r="CM21" s="39">
        <v>70.959999999999994</v>
      </c>
      <c r="CN21" s="39">
        <v>71.09</v>
      </c>
      <c r="CO21" s="39">
        <v>71.22</v>
      </c>
      <c r="CP21" s="39">
        <v>71.349999999999994</v>
      </c>
      <c r="CQ21" s="39">
        <v>71.459999999999994</v>
      </c>
      <c r="CR21" s="39">
        <v>71.599999999999994</v>
      </c>
      <c r="CS21" s="39">
        <v>71.72</v>
      </c>
      <c r="CT21" s="39">
        <v>71.84</v>
      </c>
      <c r="CU21" s="39">
        <v>71.959999999999994</v>
      </c>
      <c r="CV21" s="39">
        <v>72.08</v>
      </c>
      <c r="CW21" s="39">
        <v>72.2</v>
      </c>
      <c r="CX21" s="39">
        <v>72.319999999999993</v>
      </c>
      <c r="CY21" s="39">
        <v>72.44</v>
      </c>
      <c r="CZ21" s="39">
        <v>72.55</v>
      </c>
      <c r="DA21" s="39">
        <v>72.67</v>
      </c>
      <c r="DB21" s="39">
        <v>72.78</v>
      </c>
      <c r="DC21" s="39">
        <v>72.89</v>
      </c>
      <c r="DD21" s="39">
        <v>73.010000000000005</v>
      </c>
      <c r="DE21" s="39">
        <v>73.12</v>
      </c>
      <c r="DF21" s="39">
        <v>73.23</v>
      </c>
      <c r="DG21" s="39">
        <v>73.34</v>
      </c>
      <c r="DH21" s="39">
        <v>73.44</v>
      </c>
      <c r="DI21" s="39">
        <v>73.55</v>
      </c>
      <c r="DJ21" s="39">
        <v>73.66</v>
      </c>
      <c r="DK21" s="39">
        <v>73.760000000000005</v>
      </c>
      <c r="DL21" s="39">
        <v>73.87</v>
      </c>
      <c r="DM21" s="39">
        <v>73.97</v>
      </c>
      <c r="DN21" s="39">
        <v>74.069999999999993</v>
      </c>
      <c r="DO21" s="39">
        <v>74.17</v>
      </c>
      <c r="DP21" s="39">
        <v>74.27</v>
      </c>
      <c r="DQ21" s="39">
        <v>74.37</v>
      </c>
      <c r="DR21" s="39">
        <v>74.47</v>
      </c>
    </row>
    <row r="22" spans="1:122">
      <c r="A22" s="44">
        <v>20</v>
      </c>
      <c r="B22" s="45"/>
      <c r="C22" s="45"/>
      <c r="D22" s="45"/>
      <c r="E22" s="45"/>
      <c r="F22" s="45"/>
      <c r="G22" s="45"/>
      <c r="H22" s="45"/>
      <c r="I22" s="45"/>
      <c r="J22" s="45"/>
      <c r="K22" s="45"/>
      <c r="L22" s="45"/>
      <c r="M22" s="45"/>
      <c r="N22" s="45"/>
      <c r="O22" s="45"/>
      <c r="P22" s="45"/>
      <c r="Q22" s="45"/>
      <c r="R22" s="45"/>
      <c r="S22" s="45"/>
      <c r="T22" s="45"/>
      <c r="U22" s="45"/>
      <c r="V22" s="39"/>
      <c r="W22" s="39">
        <v>58.28</v>
      </c>
      <c r="X22" s="39">
        <v>58.54</v>
      </c>
      <c r="Y22" s="39">
        <v>58.8</v>
      </c>
      <c r="Z22" s="39">
        <v>59.13</v>
      </c>
      <c r="AA22" s="39">
        <v>59.39</v>
      </c>
      <c r="AB22" s="39">
        <v>59.78</v>
      </c>
      <c r="AC22" s="39">
        <v>60.12</v>
      </c>
      <c r="AD22" s="39">
        <v>60.34</v>
      </c>
      <c r="AE22" s="39">
        <v>60.62</v>
      </c>
      <c r="AF22" s="39">
        <v>60.88</v>
      </c>
      <c r="AG22" s="39">
        <v>61.09</v>
      </c>
      <c r="AH22" s="39">
        <v>61.32</v>
      </c>
      <c r="AI22" s="39">
        <v>61.54</v>
      </c>
      <c r="AJ22" s="39">
        <v>61.83</v>
      </c>
      <c r="AK22" s="39">
        <v>62.11</v>
      </c>
      <c r="AL22" s="39">
        <v>62.44</v>
      </c>
      <c r="AM22" s="39">
        <v>62.71</v>
      </c>
      <c r="AN22" s="39">
        <v>62.93</v>
      </c>
      <c r="AO22" s="39">
        <v>63.11</v>
      </c>
      <c r="AP22" s="39">
        <v>63.25</v>
      </c>
      <c r="AQ22" s="39">
        <v>63.33</v>
      </c>
      <c r="AR22" s="39">
        <v>63.39</v>
      </c>
      <c r="AS22" s="39">
        <v>63.46</v>
      </c>
      <c r="AT22" s="39">
        <v>63.45</v>
      </c>
      <c r="AU22" s="39">
        <v>63.53</v>
      </c>
      <c r="AV22" s="39">
        <v>63.6</v>
      </c>
      <c r="AW22" s="39">
        <v>63.86</v>
      </c>
      <c r="AX22" s="39">
        <v>63.93</v>
      </c>
      <c r="AY22" s="39">
        <v>64.08</v>
      </c>
      <c r="AZ22" s="39">
        <v>64.22</v>
      </c>
      <c r="BA22" s="39">
        <v>64.37</v>
      </c>
      <c r="BB22" s="39">
        <v>64.5</v>
      </c>
      <c r="BC22" s="39">
        <v>64.62</v>
      </c>
      <c r="BD22" s="39">
        <v>64.75</v>
      </c>
      <c r="BE22" s="39">
        <v>64.87</v>
      </c>
      <c r="BF22" s="39">
        <v>65.05</v>
      </c>
      <c r="BG22" s="39">
        <v>65.22</v>
      </c>
      <c r="BH22" s="39">
        <v>65.41</v>
      </c>
      <c r="BI22" s="39">
        <v>65.56</v>
      </c>
      <c r="BJ22" s="39">
        <v>65.73</v>
      </c>
      <c r="BK22" s="39">
        <v>65.900000000000006</v>
      </c>
      <c r="BL22" s="39">
        <v>66.09</v>
      </c>
      <c r="BM22" s="39">
        <v>66.290000000000006</v>
      </c>
      <c r="BN22" s="39">
        <v>66.459999999999994</v>
      </c>
      <c r="BO22" s="39">
        <v>66.61</v>
      </c>
      <c r="BP22" s="39">
        <v>66.78</v>
      </c>
      <c r="BQ22" s="39">
        <v>66.930000000000007</v>
      </c>
      <c r="BR22" s="39">
        <v>67.08</v>
      </c>
      <c r="BS22" s="39">
        <v>67.25</v>
      </c>
      <c r="BT22" s="39">
        <v>67.41</v>
      </c>
      <c r="BU22" s="39">
        <v>67.540000000000006</v>
      </c>
      <c r="BV22" s="39">
        <v>67.69</v>
      </c>
      <c r="BW22" s="39">
        <v>67.83</v>
      </c>
      <c r="BX22" s="39">
        <v>67.97</v>
      </c>
      <c r="BY22" s="39">
        <v>68.11</v>
      </c>
      <c r="BZ22" s="39">
        <v>68.25</v>
      </c>
      <c r="CA22" s="39">
        <v>68.37</v>
      </c>
      <c r="CB22" s="39">
        <v>68.53</v>
      </c>
      <c r="CC22" s="39">
        <v>68.67</v>
      </c>
      <c r="CD22" s="39">
        <v>68.790000000000006</v>
      </c>
      <c r="CE22" s="39">
        <v>68.930000000000007</v>
      </c>
      <c r="CF22" s="39">
        <v>69.06</v>
      </c>
      <c r="CG22" s="39">
        <v>69.180000000000007</v>
      </c>
      <c r="CH22" s="39">
        <v>69.319999999999993</v>
      </c>
      <c r="CI22" s="39">
        <v>69.459999999999994</v>
      </c>
      <c r="CJ22" s="39">
        <v>69.58</v>
      </c>
      <c r="CK22" s="39">
        <v>69.709999999999994</v>
      </c>
      <c r="CL22" s="39">
        <v>69.849999999999994</v>
      </c>
      <c r="CM22" s="39">
        <v>69.97</v>
      </c>
      <c r="CN22" s="39">
        <v>70.11</v>
      </c>
      <c r="CO22" s="39">
        <v>70.23</v>
      </c>
      <c r="CP22" s="39">
        <v>70.37</v>
      </c>
      <c r="CQ22" s="39">
        <v>70.48</v>
      </c>
      <c r="CR22" s="39">
        <v>70.61</v>
      </c>
      <c r="CS22" s="39">
        <v>70.73</v>
      </c>
      <c r="CT22" s="39">
        <v>70.849999999999994</v>
      </c>
      <c r="CU22" s="39">
        <v>70.97</v>
      </c>
      <c r="CV22" s="39">
        <v>71.09</v>
      </c>
      <c r="CW22" s="39">
        <v>71.209999999999994</v>
      </c>
      <c r="CX22" s="39">
        <v>71.33</v>
      </c>
      <c r="CY22" s="39">
        <v>71.45</v>
      </c>
      <c r="CZ22" s="39">
        <v>71.56</v>
      </c>
      <c r="DA22" s="39">
        <v>71.680000000000007</v>
      </c>
      <c r="DB22" s="39">
        <v>71.790000000000006</v>
      </c>
      <c r="DC22" s="39">
        <v>71.900000000000006</v>
      </c>
      <c r="DD22" s="39">
        <v>72.02</v>
      </c>
      <c r="DE22" s="39">
        <v>72.13</v>
      </c>
      <c r="DF22" s="39">
        <v>72.239999999999995</v>
      </c>
      <c r="DG22" s="39">
        <v>72.349999999999994</v>
      </c>
      <c r="DH22" s="39">
        <v>72.45</v>
      </c>
      <c r="DI22" s="39">
        <v>72.56</v>
      </c>
      <c r="DJ22" s="39">
        <v>72.67</v>
      </c>
      <c r="DK22" s="39">
        <v>72.77</v>
      </c>
      <c r="DL22" s="39">
        <v>72.87</v>
      </c>
      <c r="DM22" s="39">
        <v>72.98</v>
      </c>
      <c r="DN22" s="39">
        <v>73.08</v>
      </c>
      <c r="DO22" s="39">
        <v>73.180000000000007</v>
      </c>
      <c r="DP22" s="39">
        <v>73.28</v>
      </c>
      <c r="DQ22" s="39">
        <v>73.38</v>
      </c>
      <c r="DR22" s="39">
        <v>73.48</v>
      </c>
    </row>
    <row r="23" spans="1:122">
      <c r="A23" s="44">
        <v>21</v>
      </c>
      <c r="B23" s="45"/>
      <c r="C23" s="45"/>
      <c r="D23" s="45"/>
      <c r="E23" s="45"/>
      <c r="F23" s="45"/>
      <c r="G23" s="45"/>
      <c r="H23" s="45"/>
      <c r="I23" s="45"/>
      <c r="J23" s="45"/>
      <c r="K23" s="45"/>
      <c r="L23" s="45"/>
      <c r="M23" s="45"/>
      <c r="N23" s="45"/>
      <c r="O23" s="45"/>
      <c r="P23" s="45"/>
      <c r="Q23" s="45"/>
      <c r="R23" s="45"/>
      <c r="S23" s="45"/>
      <c r="T23" s="45"/>
      <c r="U23" s="45"/>
      <c r="V23" s="39"/>
      <c r="W23" s="39">
        <v>57.4</v>
      </c>
      <c r="X23" s="39">
        <v>57.66</v>
      </c>
      <c r="Y23" s="39">
        <v>57.93</v>
      </c>
      <c r="Z23" s="39">
        <v>58.28</v>
      </c>
      <c r="AA23" s="39">
        <v>58.61</v>
      </c>
      <c r="AB23" s="39">
        <v>58.93</v>
      </c>
      <c r="AC23" s="39">
        <v>59.27</v>
      </c>
      <c r="AD23" s="39">
        <v>59.44</v>
      </c>
      <c r="AE23" s="39">
        <v>59.69</v>
      </c>
      <c r="AF23" s="39">
        <v>59.95</v>
      </c>
      <c r="AG23" s="39">
        <v>60.16</v>
      </c>
      <c r="AH23" s="39">
        <v>60.37</v>
      </c>
      <c r="AI23" s="39">
        <v>60.59</v>
      </c>
      <c r="AJ23" s="39">
        <v>60.88</v>
      </c>
      <c r="AK23" s="39">
        <v>61.15</v>
      </c>
      <c r="AL23" s="39">
        <v>61.49</v>
      </c>
      <c r="AM23" s="39">
        <v>61.76</v>
      </c>
      <c r="AN23" s="39">
        <v>61.97</v>
      </c>
      <c r="AO23" s="39">
        <v>62.15</v>
      </c>
      <c r="AP23" s="39">
        <v>62.29</v>
      </c>
      <c r="AQ23" s="39">
        <v>62.37</v>
      </c>
      <c r="AR23" s="39">
        <v>62.43</v>
      </c>
      <c r="AS23" s="39">
        <v>62.49</v>
      </c>
      <c r="AT23" s="39">
        <v>62.48</v>
      </c>
      <c r="AU23" s="39">
        <v>62.57</v>
      </c>
      <c r="AV23" s="39">
        <v>62.64</v>
      </c>
      <c r="AW23" s="39">
        <v>62.9</v>
      </c>
      <c r="AX23" s="39">
        <v>62.97</v>
      </c>
      <c r="AY23" s="39">
        <v>63.12</v>
      </c>
      <c r="AZ23" s="39">
        <v>63.26</v>
      </c>
      <c r="BA23" s="39">
        <v>63.41</v>
      </c>
      <c r="BB23" s="39">
        <v>63.54</v>
      </c>
      <c r="BC23" s="39">
        <v>63.66</v>
      </c>
      <c r="BD23" s="39">
        <v>63.79</v>
      </c>
      <c r="BE23" s="39">
        <v>63.91</v>
      </c>
      <c r="BF23" s="39">
        <v>64.09</v>
      </c>
      <c r="BG23" s="39">
        <v>64.260000000000005</v>
      </c>
      <c r="BH23" s="39">
        <v>64.45</v>
      </c>
      <c r="BI23" s="39">
        <v>64.59</v>
      </c>
      <c r="BJ23" s="39">
        <v>64.760000000000005</v>
      </c>
      <c r="BK23" s="39">
        <v>64.930000000000007</v>
      </c>
      <c r="BL23" s="39">
        <v>65.12</v>
      </c>
      <c r="BM23" s="39">
        <v>65.319999999999993</v>
      </c>
      <c r="BN23" s="39">
        <v>65.489999999999995</v>
      </c>
      <c r="BO23" s="39">
        <v>65.63</v>
      </c>
      <c r="BP23" s="39">
        <v>65.81</v>
      </c>
      <c r="BQ23" s="39">
        <v>65.959999999999994</v>
      </c>
      <c r="BR23" s="39">
        <v>66.11</v>
      </c>
      <c r="BS23" s="39">
        <v>66.28</v>
      </c>
      <c r="BT23" s="39">
        <v>66.430000000000007</v>
      </c>
      <c r="BU23" s="39">
        <v>66.569999999999993</v>
      </c>
      <c r="BV23" s="39">
        <v>66.709999999999994</v>
      </c>
      <c r="BW23" s="39">
        <v>66.86</v>
      </c>
      <c r="BX23" s="39">
        <v>66.989999999999995</v>
      </c>
      <c r="BY23" s="39">
        <v>67.14</v>
      </c>
      <c r="BZ23" s="39">
        <v>67.28</v>
      </c>
      <c r="CA23" s="39">
        <v>67.400000000000006</v>
      </c>
      <c r="CB23" s="39">
        <v>67.55</v>
      </c>
      <c r="CC23" s="39">
        <v>67.69</v>
      </c>
      <c r="CD23" s="39">
        <v>67.819999999999993</v>
      </c>
      <c r="CE23" s="39">
        <v>67.95</v>
      </c>
      <c r="CF23" s="39">
        <v>68.08</v>
      </c>
      <c r="CG23" s="39">
        <v>68.2</v>
      </c>
      <c r="CH23" s="39">
        <v>68.34</v>
      </c>
      <c r="CI23" s="39">
        <v>68.48</v>
      </c>
      <c r="CJ23" s="39">
        <v>68.59</v>
      </c>
      <c r="CK23" s="39">
        <v>68.73</v>
      </c>
      <c r="CL23" s="39">
        <v>68.86</v>
      </c>
      <c r="CM23" s="39">
        <v>68.98</v>
      </c>
      <c r="CN23" s="39">
        <v>69.12</v>
      </c>
      <c r="CO23" s="39">
        <v>69.25</v>
      </c>
      <c r="CP23" s="39">
        <v>69.38</v>
      </c>
      <c r="CQ23" s="39">
        <v>69.489999999999995</v>
      </c>
      <c r="CR23" s="39">
        <v>69.62</v>
      </c>
      <c r="CS23" s="39">
        <v>69.75</v>
      </c>
      <c r="CT23" s="39">
        <v>69.87</v>
      </c>
      <c r="CU23" s="39">
        <v>69.989999999999995</v>
      </c>
      <c r="CV23" s="39">
        <v>70.11</v>
      </c>
      <c r="CW23" s="39">
        <v>70.22</v>
      </c>
      <c r="CX23" s="39">
        <v>70.34</v>
      </c>
      <c r="CY23" s="39">
        <v>70.459999999999994</v>
      </c>
      <c r="CZ23" s="39">
        <v>70.569999999999993</v>
      </c>
      <c r="DA23" s="39">
        <v>70.69</v>
      </c>
      <c r="DB23" s="39">
        <v>70.8</v>
      </c>
      <c r="DC23" s="39">
        <v>70.91</v>
      </c>
      <c r="DD23" s="39">
        <v>71.03</v>
      </c>
      <c r="DE23" s="39">
        <v>71.14</v>
      </c>
      <c r="DF23" s="39">
        <v>71.25</v>
      </c>
      <c r="DG23" s="39">
        <v>71.349999999999994</v>
      </c>
      <c r="DH23" s="39">
        <v>71.459999999999994</v>
      </c>
      <c r="DI23" s="39">
        <v>71.569999999999993</v>
      </c>
      <c r="DJ23" s="39">
        <v>71.67</v>
      </c>
      <c r="DK23" s="39">
        <v>71.78</v>
      </c>
      <c r="DL23" s="39">
        <v>71.88</v>
      </c>
      <c r="DM23" s="39">
        <v>71.98</v>
      </c>
      <c r="DN23" s="39">
        <v>72.09</v>
      </c>
      <c r="DO23" s="39">
        <v>72.19</v>
      </c>
      <c r="DP23" s="39">
        <v>72.290000000000006</v>
      </c>
      <c r="DQ23" s="39">
        <v>72.39</v>
      </c>
      <c r="DR23" s="39">
        <v>72.48</v>
      </c>
    </row>
    <row r="24" spans="1:122">
      <c r="A24" s="44">
        <v>22</v>
      </c>
      <c r="B24" s="45"/>
      <c r="C24" s="45"/>
      <c r="D24" s="45"/>
      <c r="E24" s="45"/>
      <c r="F24" s="45"/>
      <c r="G24" s="45"/>
      <c r="H24" s="45"/>
      <c r="I24" s="45"/>
      <c r="J24" s="45"/>
      <c r="K24" s="45"/>
      <c r="L24" s="45"/>
      <c r="M24" s="45"/>
      <c r="N24" s="45"/>
      <c r="O24" s="45"/>
      <c r="P24" s="45"/>
      <c r="Q24" s="45"/>
      <c r="R24" s="45"/>
      <c r="S24" s="45"/>
      <c r="T24" s="45"/>
      <c r="U24" s="45"/>
      <c r="V24" s="39"/>
      <c r="W24" s="39">
        <v>56.52</v>
      </c>
      <c r="X24" s="39">
        <v>56.8</v>
      </c>
      <c r="Y24" s="39">
        <v>57.09</v>
      </c>
      <c r="Z24" s="39">
        <v>57.51</v>
      </c>
      <c r="AA24" s="39">
        <v>57.75</v>
      </c>
      <c r="AB24" s="39">
        <v>58.07</v>
      </c>
      <c r="AC24" s="39">
        <v>58.37</v>
      </c>
      <c r="AD24" s="39">
        <v>58.52</v>
      </c>
      <c r="AE24" s="39">
        <v>58.76</v>
      </c>
      <c r="AF24" s="39">
        <v>59.02</v>
      </c>
      <c r="AG24" s="39">
        <v>59.21</v>
      </c>
      <c r="AH24" s="39">
        <v>59.42</v>
      </c>
      <c r="AI24" s="39">
        <v>59.64</v>
      </c>
      <c r="AJ24" s="39">
        <v>59.92</v>
      </c>
      <c r="AK24" s="39">
        <v>60.2</v>
      </c>
      <c r="AL24" s="39">
        <v>60.52</v>
      </c>
      <c r="AM24" s="39">
        <v>60.8</v>
      </c>
      <c r="AN24" s="39">
        <v>61</v>
      </c>
      <c r="AO24" s="39">
        <v>61.19</v>
      </c>
      <c r="AP24" s="39">
        <v>61.33</v>
      </c>
      <c r="AQ24" s="39">
        <v>61.4</v>
      </c>
      <c r="AR24" s="39">
        <v>61.46</v>
      </c>
      <c r="AS24" s="39">
        <v>61.53</v>
      </c>
      <c r="AT24" s="39">
        <v>61.52</v>
      </c>
      <c r="AU24" s="39">
        <v>61.6</v>
      </c>
      <c r="AV24" s="39">
        <v>61.67</v>
      </c>
      <c r="AW24" s="39">
        <v>61.93</v>
      </c>
      <c r="AX24" s="39">
        <v>62</v>
      </c>
      <c r="AY24" s="39">
        <v>62.15</v>
      </c>
      <c r="AZ24" s="39">
        <v>62.3</v>
      </c>
      <c r="BA24" s="39">
        <v>62.45</v>
      </c>
      <c r="BB24" s="39">
        <v>62.58</v>
      </c>
      <c r="BC24" s="39">
        <v>62.7</v>
      </c>
      <c r="BD24" s="39">
        <v>62.82</v>
      </c>
      <c r="BE24" s="39">
        <v>62.95</v>
      </c>
      <c r="BF24" s="39">
        <v>63.12</v>
      </c>
      <c r="BG24" s="39">
        <v>63.29</v>
      </c>
      <c r="BH24" s="39">
        <v>63.48</v>
      </c>
      <c r="BI24" s="39">
        <v>63.62</v>
      </c>
      <c r="BJ24" s="39">
        <v>63.79</v>
      </c>
      <c r="BK24" s="39">
        <v>63.95</v>
      </c>
      <c r="BL24" s="39">
        <v>64.150000000000006</v>
      </c>
      <c r="BM24" s="39">
        <v>64.34</v>
      </c>
      <c r="BN24" s="39">
        <v>64.510000000000005</v>
      </c>
      <c r="BO24" s="39">
        <v>64.650000000000006</v>
      </c>
      <c r="BP24" s="39">
        <v>64.84</v>
      </c>
      <c r="BQ24" s="39">
        <v>64.98</v>
      </c>
      <c r="BR24" s="39">
        <v>65.13</v>
      </c>
      <c r="BS24" s="39">
        <v>65.31</v>
      </c>
      <c r="BT24" s="39">
        <v>65.459999999999994</v>
      </c>
      <c r="BU24" s="39">
        <v>65.59</v>
      </c>
      <c r="BV24" s="39">
        <v>65.73</v>
      </c>
      <c r="BW24" s="39">
        <v>65.88</v>
      </c>
      <c r="BX24" s="39">
        <v>66.02</v>
      </c>
      <c r="BY24" s="39">
        <v>66.16</v>
      </c>
      <c r="BZ24" s="39">
        <v>66.3</v>
      </c>
      <c r="CA24" s="39">
        <v>66.42</v>
      </c>
      <c r="CB24" s="39">
        <v>66.58</v>
      </c>
      <c r="CC24" s="39">
        <v>66.709999999999994</v>
      </c>
      <c r="CD24" s="39">
        <v>66.84</v>
      </c>
      <c r="CE24" s="39">
        <v>66.959999999999994</v>
      </c>
      <c r="CF24" s="39">
        <v>67.099999999999994</v>
      </c>
      <c r="CG24" s="39">
        <v>67.22</v>
      </c>
      <c r="CH24" s="39">
        <v>67.36</v>
      </c>
      <c r="CI24" s="39">
        <v>67.489999999999995</v>
      </c>
      <c r="CJ24" s="39">
        <v>67.61</v>
      </c>
      <c r="CK24" s="39">
        <v>67.739999999999995</v>
      </c>
      <c r="CL24" s="39">
        <v>67.87</v>
      </c>
      <c r="CM24" s="39">
        <v>68</v>
      </c>
      <c r="CN24" s="39">
        <v>68.13</v>
      </c>
      <c r="CO24" s="39">
        <v>68.260000000000005</v>
      </c>
      <c r="CP24" s="39">
        <v>68.39</v>
      </c>
      <c r="CQ24" s="39">
        <v>68.5</v>
      </c>
      <c r="CR24" s="39">
        <v>68.63</v>
      </c>
      <c r="CS24" s="39">
        <v>68.760000000000005</v>
      </c>
      <c r="CT24" s="39">
        <v>68.88</v>
      </c>
      <c r="CU24" s="39">
        <v>69</v>
      </c>
      <c r="CV24" s="39">
        <v>69.12</v>
      </c>
      <c r="CW24" s="39">
        <v>69.239999999999995</v>
      </c>
      <c r="CX24" s="39">
        <v>69.349999999999994</v>
      </c>
      <c r="CY24" s="39">
        <v>69.47</v>
      </c>
      <c r="CZ24" s="39">
        <v>69.58</v>
      </c>
      <c r="DA24" s="39">
        <v>69.7</v>
      </c>
      <c r="DB24" s="39">
        <v>69.81</v>
      </c>
      <c r="DC24" s="39">
        <v>69.92</v>
      </c>
      <c r="DD24" s="39">
        <v>70.03</v>
      </c>
      <c r="DE24" s="39">
        <v>70.14</v>
      </c>
      <c r="DF24" s="39">
        <v>70.25</v>
      </c>
      <c r="DG24" s="39">
        <v>70.36</v>
      </c>
      <c r="DH24" s="39">
        <v>70.47</v>
      </c>
      <c r="DI24" s="39">
        <v>70.58</v>
      </c>
      <c r="DJ24" s="39">
        <v>70.680000000000007</v>
      </c>
      <c r="DK24" s="39">
        <v>70.790000000000006</v>
      </c>
      <c r="DL24" s="39">
        <v>70.89</v>
      </c>
      <c r="DM24" s="39">
        <v>70.989999999999995</v>
      </c>
      <c r="DN24" s="39">
        <v>71.09</v>
      </c>
      <c r="DO24" s="39">
        <v>71.19</v>
      </c>
      <c r="DP24" s="39">
        <v>71.290000000000006</v>
      </c>
      <c r="DQ24" s="39">
        <v>71.39</v>
      </c>
      <c r="DR24" s="39">
        <v>71.489999999999995</v>
      </c>
    </row>
    <row r="25" spans="1:122">
      <c r="A25" s="44">
        <v>23</v>
      </c>
      <c r="B25" s="45"/>
      <c r="C25" s="45"/>
      <c r="D25" s="45"/>
      <c r="E25" s="45"/>
      <c r="F25" s="45"/>
      <c r="G25" s="45"/>
      <c r="H25" s="45"/>
      <c r="I25" s="45"/>
      <c r="J25" s="45"/>
      <c r="K25" s="45"/>
      <c r="L25" s="45"/>
      <c r="M25" s="45"/>
      <c r="N25" s="45"/>
      <c r="O25" s="45"/>
      <c r="P25" s="45"/>
      <c r="Q25" s="45"/>
      <c r="R25" s="45"/>
      <c r="S25" s="45"/>
      <c r="T25" s="45"/>
      <c r="U25" s="45"/>
      <c r="V25" s="39"/>
      <c r="W25" s="39">
        <v>55.66</v>
      </c>
      <c r="X25" s="39">
        <v>55.95</v>
      </c>
      <c r="Y25" s="39">
        <v>56.32</v>
      </c>
      <c r="Z25" s="39">
        <v>56.65</v>
      </c>
      <c r="AA25" s="39">
        <v>56.9</v>
      </c>
      <c r="AB25" s="39">
        <v>57.18</v>
      </c>
      <c r="AC25" s="39">
        <v>57.44</v>
      </c>
      <c r="AD25" s="39">
        <v>57.59</v>
      </c>
      <c r="AE25" s="39">
        <v>57.84</v>
      </c>
      <c r="AF25" s="39">
        <v>58.08</v>
      </c>
      <c r="AG25" s="39">
        <v>58.27</v>
      </c>
      <c r="AH25" s="39">
        <v>58.47</v>
      </c>
      <c r="AI25" s="39">
        <v>58.68</v>
      </c>
      <c r="AJ25" s="39">
        <v>58.96</v>
      </c>
      <c r="AK25" s="39">
        <v>59.24</v>
      </c>
      <c r="AL25" s="39">
        <v>59.56</v>
      </c>
      <c r="AM25" s="39">
        <v>59.84</v>
      </c>
      <c r="AN25" s="39">
        <v>60.04</v>
      </c>
      <c r="AO25" s="39">
        <v>60.22</v>
      </c>
      <c r="AP25" s="39">
        <v>60.37</v>
      </c>
      <c r="AQ25" s="39">
        <v>60.43</v>
      </c>
      <c r="AR25" s="39">
        <v>60.5</v>
      </c>
      <c r="AS25" s="39">
        <v>60.56</v>
      </c>
      <c r="AT25" s="39">
        <v>60.56</v>
      </c>
      <c r="AU25" s="39">
        <v>60.64</v>
      </c>
      <c r="AV25" s="39">
        <v>60.71</v>
      </c>
      <c r="AW25" s="39">
        <v>60.97</v>
      </c>
      <c r="AX25" s="39">
        <v>61.04</v>
      </c>
      <c r="AY25" s="39">
        <v>61.19</v>
      </c>
      <c r="AZ25" s="39">
        <v>61.33</v>
      </c>
      <c r="BA25" s="39">
        <v>61.48</v>
      </c>
      <c r="BB25" s="39">
        <v>61.61</v>
      </c>
      <c r="BC25" s="39">
        <v>61.73</v>
      </c>
      <c r="BD25" s="39">
        <v>61.86</v>
      </c>
      <c r="BE25" s="39">
        <v>61.99</v>
      </c>
      <c r="BF25" s="39">
        <v>62.16</v>
      </c>
      <c r="BG25" s="39">
        <v>62.32</v>
      </c>
      <c r="BH25" s="39">
        <v>62.52</v>
      </c>
      <c r="BI25" s="39">
        <v>62.65</v>
      </c>
      <c r="BJ25" s="39">
        <v>62.82</v>
      </c>
      <c r="BK25" s="39">
        <v>62.98</v>
      </c>
      <c r="BL25" s="39">
        <v>63.17</v>
      </c>
      <c r="BM25" s="39">
        <v>63.37</v>
      </c>
      <c r="BN25" s="39">
        <v>63.54</v>
      </c>
      <c r="BO25" s="39">
        <v>63.68</v>
      </c>
      <c r="BP25" s="39">
        <v>63.86</v>
      </c>
      <c r="BQ25" s="39">
        <v>64.010000000000005</v>
      </c>
      <c r="BR25" s="39">
        <v>64.16</v>
      </c>
      <c r="BS25" s="39">
        <v>64.33</v>
      </c>
      <c r="BT25" s="39">
        <v>64.48</v>
      </c>
      <c r="BU25" s="39">
        <v>64.62</v>
      </c>
      <c r="BV25" s="39">
        <v>64.75</v>
      </c>
      <c r="BW25" s="39">
        <v>64.91</v>
      </c>
      <c r="BX25" s="39">
        <v>65.040000000000006</v>
      </c>
      <c r="BY25" s="39">
        <v>65.180000000000007</v>
      </c>
      <c r="BZ25" s="39">
        <v>65.319999999999993</v>
      </c>
      <c r="CA25" s="39">
        <v>65.44</v>
      </c>
      <c r="CB25" s="39">
        <v>65.59</v>
      </c>
      <c r="CC25" s="39">
        <v>65.73</v>
      </c>
      <c r="CD25" s="39">
        <v>65.86</v>
      </c>
      <c r="CE25" s="39">
        <v>65.98</v>
      </c>
      <c r="CF25" s="39">
        <v>66.11</v>
      </c>
      <c r="CG25" s="39">
        <v>66.23</v>
      </c>
      <c r="CH25" s="39">
        <v>66.37</v>
      </c>
      <c r="CI25" s="39">
        <v>66.510000000000005</v>
      </c>
      <c r="CJ25" s="39">
        <v>66.62</v>
      </c>
      <c r="CK25" s="39">
        <v>66.760000000000005</v>
      </c>
      <c r="CL25" s="39">
        <v>66.89</v>
      </c>
      <c r="CM25" s="39">
        <v>67.02</v>
      </c>
      <c r="CN25" s="39">
        <v>67.150000000000006</v>
      </c>
      <c r="CO25" s="39">
        <v>67.27</v>
      </c>
      <c r="CP25" s="39">
        <v>67.400000000000006</v>
      </c>
      <c r="CQ25" s="39">
        <v>67.52</v>
      </c>
      <c r="CR25" s="39">
        <v>67.64</v>
      </c>
      <c r="CS25" s="39">
        <v>67.77</v>
      </c>
      <c r="CT25" s="39">
        <v>67.89</v>
      </c>
      <c r="CU25" s="39">
        <v>68.010000000000005</v>
      </c>
      <c r="CV25" s="39">
        <v>68.13</v>
      </c>
      <c r="CW25" s="39">
        <v>68.25</v>
      </c>
      <c r="CX25" s="39">
        <v>68.36</v>
      </c>
      <c r="CY25" s="39">
        <v>68.48</v>
      </c>
      <c r="CZ25" s="39">
        <v>68.59</v>
      </c>
      <c r="DA25" s="39">
        <v>68.709999999999994</v>
      </c>
      <c r="DB25" s="39">
        <v>68.819999999999993</v>
      </c>
      <c r="DC25" s="39">
        <v>68.930000000000007</v>
      </c>
      <c r="DD25" s="39">
        <v>69.040000000000006</v>
      </c>
      <c r="DE25" s="39">
        <v>69.150000000000006</v>
      </c>
      <c r="DF25" s="39">
        <v>69.260000000000005</v>
      </c>
      <c r="DG25" s="39">
        <v>69.37</v>
      </c>
      <c r="DH25" s="39">
        <v>69.48</v>
      </c>
      <c r="DI25" s="39">
        <v>69.58</v>
      </c>
      <c r="DJ25" s="39">
        <v>69.69</v>
      </c>
      <c r="DK25" s="39">
        <v>69.790000000000006</v>
      </c>
      <c r="DL25" s="39">
        <v>69.900000000000006</v>
      </c>
      <c r="DM25" s="39">
        <v>70</v>
      </c>
      <c r="DN25" s="39">
        <v>70.099999999999994</v>
      </c>
      <c r="DO25" s="39">
        <v>70.2</v>
      </c>
      <c r="DP25" s="39">
        <v>70.3</v>
      </c>
      <c r="DQ25" s="39">
        <v>70.400000000000006</v>
      </c>
      <c r="DR25" s="39">
        <v>70.5</v>
      </c>
    </row>
    <row r="26" spans="1:122">
      <c r="A26" s="44">
        <v>24</v>
      </c>
      <c r="B26" s="45"/>
      <c r="C26" s="45"/>
      <c r="D26" s="45"/>
      <c r="E26" s="45"/>
      <c r="F26" s="45"/>
      <c r="G26" s="45"/>
      <c r="H26" s="45"/>
      <c r="I26" s="45"/>
      <c r="J26" s="45"/>
      <c r="K26" s="45"/>
      <c r="L26" s="45"/>
      <c r="M26" s="45"/>
      <c r="N26" s="45"/>
      <c r="O26" s="45"/>
      <c r="P26" s="45"/>
      <c r="Q26" s="45"/>
      <c r="R26" s="45"/>
      <c r="S26" s="45"/>
      <c r="T26" s="45"/>
      <c r="U26" s="45"/>
      <c r="V26" s="39"/>
      <c r="W26" s="39">
        <v>54.81</v>
      </c>
      <c r="X26" s="39">
        <v>55.18</v>
      </c>
      <c r="Y26" s="39">
        <v>55.46</v>
      </c>
      <c r="Z26" s="39">
        <v>55.8</v>
      </c>
      <c r="AA26" s="39">
        <v>56.01</v>
      </c>
      <c r="AB26" s="39">
        <v>56.26</v>
      </c>
      <c r="AC26" s="39">
        <v>56.52</v>
      </c>
      <c r="AD26" s="39">
        <v>56.66</v>
      </c>
      <c r="AE26" s="39">
        <v>56.9</v>
      </c>
      <c r="AF26" s="39">
        <v>57.13</v>
      </c>
      <c r="AG26" s="39">
        <v>57.32</v>
      </c>
      <c r="AH26" s="39">
        <v>57.52</v>
      </c>
      <c r="AI26" s="39">
        <v>57.73</v>
      </c>
      <c r="AJ26" s="39">
        <v>58.01</v>
      </c>
      <c r="AK26" s="39">
        <v>58.29</v>
      </c>
      <c r="AL26" s="39">
        <v>58.6</v>
      </c>
      <c r="AM26" s="39">
        <v>58.88</v>
      </c>
      <c r="AN26" s="39">
        <v>59.09</v>
      </c>
      <c r="AO26" s="39">
        <v>59.26</v>
      </c>
      <c r="AP26" s="39">
        <v>59.41</v>
      </c>
      <c r="AQ26" s="39">
        <v>59.47</v>
      </c>
      <c r="AR26" s="39">
        <v>59.54</v>
      </c>
      <c r="AS26" s="39">
        <v>59.6</v>
      </c>
      <c r="AT26" s="39">
        <v>59.59</v>
      </c>
      <c r="AU26" s="39">
        <v>59.67</v>
      </c>
      <c r="AV26" s="39">
        <v>59.75</v>
      </c>
      <c r="AW26" s="39">
        <v>60</v>
      </c>
      <c r="AX26" s="39">
        <v>60.07</v>
      </c>
      <c r="AY26" s="39">
        <v>60.23</v>
      </c>
      <c r="AZ26" s="39">
        <v>60.37</v>
      </c>
      <c r="BA26" s="39">
        <v>60.51</v>
      </c>
      <c r="BB26" s="39">
        <v>60.65</v>
      </c>
      <c r="BC26" s="39">
        <v>60.76</v>
      </c>
      <c r="BD26" s="39">
        <v>60.89</v>
      </c>
      <c r="BE26" s="39">
        <v>61.02</v>
      </c>
      <c r="BF26" s="39">
        <v>61.19</v>
      </c>
      <c r="BG26" s="39">
        <v>61.35</v>
      </c>
      <c r="BH26" s="39">
        <v>61.54</v>
      </c>
      <c r="BI26" s="39">
        <v>61.68</v>
      </c>
      <c r="BJ26" s="39">
        <v>61.85</v>
      </c>
      <c r="BK26" s="39">
        <v>62.01</v>
      </c>
      <c r="BL26" s="39">
        <v>62.2</v>
      </c>
      <c r="BM26" s="39">
        <v>62.39</v>
      </c>
      <c r="BN26" s="39">
        <v>62.56</v>
      </c>
      <c r="BO26" s="39">
        <v>62.7</v>
      </c>
      <c r="BP26" s="39">
        <v>62.89</v>
      </c>
      <c r="BQ26" s="39">
        <v>63.03</v>
      </c>
      <c r="BR26" s="39">
        <v>63.18</v>
      </c>
      <c r="BS26" s="39">
        <v>63.35</v>
      </c>
      <c r="BT26" s="39">
        <v>63.5</v>
      </c>
      <c r="BU26" s="39">
        <v>63.64</v>
      </c>
      <c r="BV26" s="39">
        <v>63.77</v>
      </c>
      <c r="BW26" s="39">
        <v>63.92</v>
      </c>
      <c r="BX26" s="39">
        <v>64.06</v>
      </c>
      <c r="BY26" s="39">
        <v>64.2</v>
      </c>
      <c r="BZ26" s="39">
        <v>64.34</v>
      </c>
      <c r="CA26" s="39">
        <v>64.459999999999994</v>
      </c>
      <c r="CB26" s="39">
        <v>64.61</v>
      </c>
      <c r="CC26" s="39">
        <v>64.739999999999995</v>
      </c>
      <c r="CD26" s="39">
        <v>64.87</v>
      </c>
      <c r="CE26" s="39">
        <v>65</v>
      </c>
      <c r="CF26" s="39">
        <v>65.13</v>
      </c>
      <c r="CG26" s="39">
        <v>65.25</v>
      </c>
      <c r="CH26" s="39">
        <v>65.39</v>
      </c>
      <c r="CI26" s="39">
        <v>65.52</v>
      </c>
      <c r="CJ26" s="39">
        <v>65.64</v>
      </c>
      <c r="CK26" s="39">
        <v>65.78</v>
      </c>
      <c r="CL26" s="39">
        <v>65.900000000000006</v>
      </c>
      <c r="CM26" s="39">
        <v>66.03</v>
      </c>
      <c r="CN26" s="39">
        <v>66.16</v>
      </c>
      <c r="CO26" s="39">
        <v>66.290000000000006</v>
      </c>
      <c r="CP26" s="39">
        <v>66.41</v>
      </c>
      <c r="CQ26" s="39">
        <v>66.53</v>
      </c>
      <c r="CR26" s="39">
        <v>66.66</v>
      </c>
      <c r="CS26" s="39">
        <v>66.78</v>
      </c>
      <c r="CT26" s="39">
        <v>66.900000000000006</v>
      </c>
      <c r="CU26" s="39">
        <v>67.02</v>
      </c>
      <c r="CV26" s="39">
        <v>67.14</v>
      </c>
      <c r="CW26" s="39">
        <v>67.260000000000005</v>
      </c>
      <c r="CX26" s="39">
        <v>67.37</v>
      </c>
      <c r="CY26" s="39">
        <v>67.489999999999995</v>
      </c>
      <c r="CZ26" s="39">
        <v>67.599999999999994</v>
      </c>
      <c r="DA26" s="39">
        <v>67.72</v>
      </c>
      <c r="DB26" s="39">
        <v>67.83</v>
      </c>
      <c r="DC26" s="39">
        <v>67.94</v>
      </c>
      <c r="DD26" s="39">
        <v>68.05</v>
      </c>
      <c r="DE26" s="39">
        <v>68.16</v>
      </c>
      <c r="DF26" s="39">
        <v>68.27</v>
      </c>
      <c r="DG26" s="39">
        <v>68.38</v>
      </c>
      <c r="DH26" s="39">
        <v>68.48</v>
      </c>
      <c r="DI26" s="39">
        <v>68.59</v>
      </c>
      <c r="DJ26" s="39">
        <v>68.69</v>
      </c>
      <c r="DK26" s="39">
        <v>68.8</v>
      </c>
      <c r="DL26" s="39">
        <v>68.900000000000006</v>
      </c>
      <c r="DM26" s="39">
        <v>69</v>
      </c>
      <c r="DN26" s="39">
        <v>69.11</v>
      </c>
      <c r="DO26" s="39">
        <v>69.209999999999994</v>
      </c>
      <c r="DP26" s="39">
        <v>69.3</v>
      </c>
      <c r="DQ26" s="39">
        <v>69.400000000000006</v>
      </c>
      <c r="DR26" s="39">
        <v>69.5</v>
      </c>
    </row>
    <row r="27" spans="1:122">
      <c r="A27" s="44">
        <v>25</v>
      </c>
      <c r="B27" s="45"/>
      <c r="C27" s="45"/>
      <c r="D27" s="45"/>
      <c r="E27" s="45"/>
      <c r="F27" s="45"/>
      <c r="G27" s="45"/>
      <c r="H27" s="45"/>
      <c r="I27" s="45"/>
      <c r="J27" s="45"/>
      <c r="K27" s="45"/>
      <c r="L27" s="45"/>
      <c r="M27" s="45"/>
      <c r="N27" s="45"/>
      <c r="O27" s="45"/>
      <c r="P27" s="45"/>
      <c r="Q27" s="45"/>
      <c r="R27" s="45"/>
      <c r="S27" s="45"/>
      <c r="T27" s="45"/>
      <c r="U27" s="45"/>
      <c r="V27" s="39"/>
      <c r="W27" s="39">
        <v>54.04</v>
      </c>
      <c r="X27" s="39">
        <v>54.32</v>
      </c>
      <c r="Y27" s="39">
        <v>54.6</v>
      </c>
      <c r="Z27" s="39">
        <v>54.92</v>
      </c>
      <c r="AA27" s="39">
        <v>55.09</v>
      </c>
      <c r="AB27" s="39">
        <v>55.33</v>
      </c>
      <c r="AC27" s="39">
        <v>55.59</v>
      </c>
      <c r="AD27" s="39">
        <v>55.73</v>
      </c>
      <c r="AE27" s="39">
        <v>55.95</v>
      </c>
      <c r="AF27" s="39">
        <v>56.18</v>
      </c>
      <c r="AG27" s="39">
        <v>56.37</v>
      </c>
      <c r="AH27" s="39">
        <v>56.57</v>
      </c>
      <c r="AI27" s="39">
        <v>56.77</v>
      </c>
      <c r="AJ27" s="39">
        <v>57.05</v>
      </c>
      <c r="AK27" s="39">
        <v>57.33</v>
      </c>
      <c r="AL27" s="39">
        <v>57.64</v>
      </c>
      <c r="AM27" s="39">
        <v>57.92</v>
      </c>
      <c r="AN27" s="39">
        <v>58.12</v>
      </c>
      <c r="AO27" s="39">
        <v>58.3</v>
      </c>
      <c r="AP27" s="39">
        <v>58.44</v>
      </c>
      <c r="AQ27" s="39">
        <v>58.51</v>
      </c>
      <c r="AR27" s="39">
        <v>58.58</v>
      </c>
      <c r="AS27" s="39">
        <v>58.64</v>
      </c>
      <c r="AT27" s="39">
        <v>58.63</v>
      </c>
      <c r="AU27" s="39">
        <v>58.71</v>
      </c>
      <c r="AV27" s="39">
        <v>58.79</v>
      </c>
      <c r="AW27" s="39">
        <v>59.04</v>
      </c>
      <c r="AX27" s="39">
        <v>59.11</v>
      </c>
      <c r="AY27" s="39">
        <v>59.26</v>
      </c>
      <c r="AZ27" s="39">
        <v>59.4</v>
      </c>
      <c r="BA27" s="39">
        <v>59.55</v>
      </c>
      <c r="BB27" s="39">
        <v>59.68</v>
      </c>
      <c r="BC27" s="39">
        <v>59.8</v>
      </c>
      <c r="BD27" s="39">
        <v>59.93</v>
      </c>
      <c r="BE27" s="39">
        <v>60.05</v>
      </c>
      <c r="BF27" s="39">
        <v>60.22</v>
      </c>
      <c r="BG27" s="39">
        <v>60.38</v>
      </c>
      <c r="BH27" s="39">
        <v>60.57</v>
      </c>
      <c r="BI27" s="39">
        <v>60.71</v>
      </c>
      <c r="BJ27" s="39">
        <v>60.87</v>
      </c>
      <c r="BK27" s="39">
        <v>61.04</v>
      </c>
      <c r="BL27" s="39">
        <v>61.22</v>
      </c>
      <c r="BM27" s="39">
        <v>61.42</v>
      </c>
      <c r="BN27" s="39">
        <v>61.58</v>
      </c>
      <c r="BO27" s="39">
        <v>61.73</v>
      </c>
      <c r="BP27" s="39">
        <v>61.91</v>
      </c>
      <c r="BQ27" s="39">
        <v>62.06</v>
      </c>
      <c r="BR27" s="39">
        <v>62.2</v>
      </c>
      <c r="BS27" s="39">
        <v>62.37</v>
      </c>
      <c r="BT27" s="39">
        <v>62.52</v>
      </c>
      <c r="BU27" s="39">
        <v>62.66</v>
      </c>
      <c r="BV27" s="39">
        <v>62.79</v>
      </c>
      <c r="BW27" s="39">
        <v>62.94</v>
      </c>
      <c r="BX27" s="39">
        <v>63.08</v>
      </c>
      <c r="BY27" s="39">
        <v>63.22</v>
      </c>
      <c r="BZ27" s="39">
        <v>63.35</v>
      </c>
      <c r="CA27" s="39">
        <v>63.48</v>
      </c>
      <c r="CB27" s="39">
        <v>63.62</v>
      </c>
      <c r="CC27" s="39">
        <v>63.76</v>
      </c>
      <c r="CD27" s="39">
        <v>63.89</v>
      </c>
      <c r="CE27" s="39">
        <v>64.010000000000005</v>
      </c>
      <c r="CF27" s="39">
        <v>64.14</v>
      </c>
      <c r="CG27" s="39">
        <v>64.260000000000005</v>
      </c>
      <c r="CH27" s="39">
        <v>64.400000000000006</v>
      </c>
      <c r="CI27" s="39">
        <v>64.540000000000006</v>
      </c>
      <c r="CJ27" s="39">
        <v>64.650000000000006</v>
      </c>
      <c r="CK27" s="39">
        <v>64.790000000000006</v>
      </c>
      <c r="CL27" s="39">
        <v>64.92</v>
      </c>
      <c r="CM27" s="39">
        <v>65.040000000000006</v>
      </c>
      <c r="CN27" s="39">
        <v>65.17</v>
      </c>
      <c r="CO27" s="39">
        <v>65.3</v>
      </c>
      <c r="CP27" s="39">
        <v>65.42</v>
      </c>
      <c r="CQ27" s="39">
        <v>65.540000000000006</v>
      </c>
      <c r="CR27" s="39">
        <v>65.67</v>
      </c>
      <c r="CS27" s="39">
        <v>65.790000000000006</v>
      </c>
      <c r="CT27" s="39">
        <v>65.91</v>
      </c>
      <c r="CU27" s="39">
        <v>66.03</v>
      </c>
      <c r="CV27" s="39">
        <v>66.150000000000006</v>
      </c>
      <c r="CW27" s="39">
        <v>66.27</v>
      </c>
      <c r="CX27" s="39">
        <v>66.38</v>
      </c>
      <c r="CY27" s="39">
        <v>66.5</v>
      </c>
      <c r="CZ27" s="39">
        <v>66.61</v>
      </c>
      <c r="DA27" s="39">
        <v>66.73</v>
      </c>
      <c r="DB27" s="39">
        <v>66.84</v>
      </c>
      <c r="DC27" s="39">
        <v>66.95</v>
      </c>
      <c r="DD27" s="39">
        <v>67.06</v>
      </c>
      <c r="DE27" s="39">
        <v>67.17</v>
      </c>
      <c r="DF27" s="39">
        <v>67.28</v>
      </c>
      <c r="DG27" s="39">
        <v>67.38</v>
      </c>
      <c r="DH27" s="39">
        <v>67.489999999999995</v>
      </c>
      <c r="DI27" s="39">
        <v>67.599999999999994</v>
      </c>
      <c r="DJ27" s="39">
        <v>67.7</v>
      </c>
      <c r="DK27" s="39">
        <v>67.81</v>
      </c>
      <c r="DL27" s="39">
        <v>67.91</v>
      </c>
      <c r="DM27" s="39">
        <v>68.010000000000005</v>
      </c>
      <c r="DN27" s="39">
        <v>68.11</v>
      </c>
      <c r="DO27" s="39">
        <v>68.209999999999994</v>
      </c>
      <c r="DP27" s="39">
        <v>68.31</v>
      </c>
      <c r="DQ27" s="39">
        <v>68.41</v>
      </c>
      <c r="DR27" s="39">
        <v>68.510000000000005</v>
      </c>
    </row>
    <row r="28" spans="1:122">
      <c r="A28" s="44">
        <v>26</v>
      </c>
      <c r="B28" s="45"/>
      <c r="C28" s="45"/>
      <c r="D28" s="45"/>
      <c r="E28" s="45"/>
      <c r="F28" s="45"/>
      <c r="G28" s="45"/>
      <c r="H28" s="45"/>
      <c r="I28" s="45"/>
      <c r="J28" s="45"/>
      <c r="K28" s="45"/>
      <c r="L28" s="45"/>
      <c r="M28" s="45"/>
      <c r="N28" s="45"/>
      <c r="O28" s="45"/>
      <c r="P28" s="45"/>
      <c r="Q28" s="45"/>
      <c r="R28" s="45"/>
      <c r="S28" s="45"/>
      <c r="T28" s="45"/>
      <c r="U28" s="45"/>
      <c r="V28" s="39"/>
      <c r="W28" s="39">
        <v>53.18</v>
      </c>
      <c r="X28" s="39">
        <v>53.46</v>
      </c>
      <c r="Y28" s="39">
        <v>53.72</v>
      </c>
      <c r="Z28" s="39">
        <v>53.99</v>
      </c>
      <c r="AA28" s="39">
        <v>54.16</v>
      </c>
      <c r="AB28" s="39">
        <v>54.4</v>
      </c>
      <c r="AC28" s="39">
        <v>54.65</v>
      </c>
      <c r="AD28" s="39">
        <v>54.78</v>
      </c>
      <c r="AE28" s="39">
        <v>55</v>
      </c>
      <c r="AF28" s="39">
        <v>55.23</v>
      </c>
      <c r="AG28" s="39">
        <v>55.42</v>
      </c>
      <c r="AH28" s="39">
        <v>55.62</v>
      </c>
      <c r="AI28" s="39">
        <v>55.81</v>
      </c>
      <c r="AJ28" s="39">
        <v>56.1</v>
      </c>
      <c r="AK28" s="39">
        <v>56.37</v>
      </c>
      <c r="AL28" s="39">
        <v>56.68</v>
      </c>
      <c r="AM28" s="39">
        <v>56.96</v>
      </c>
      <c r="AN28" s="39">
        <v>57.16</v>
      </c>
      <c r="AO28" s="39">
        <v>57.33</v>
      </c>
      <c r="AP28" s="39">
        <v>57.48</v>
      </c>
      <c r="AQ28" s="39">
        <v>57.54</v>
      </c>
      <c r="AR28" s="39">
        <v>57.62</v>
      </c>
      <c r="AS28" s="39">
        <v>57.67</v>
      </c>
      <c r="AT28" s="39">
        <v>57.66</v>
      </c>
      <c r="AU28" s="39">
        <v>57.74</v>
      </c>
      <c r="AV28" s="39">
        <v>57.82</v>
      </c>
      <c r="AW28" s="39">
        <v>58.07</v>
      </c>
      <c r="AX28" s="39">
        <v>58.15</v>
      </c>
      <c r="AY28" s="39">
        <v>58.3</v>
      </c>
      <c r="AZ28" s="39">
        <v>58.43</v>
      </c>
      <c r="BA28" s="39">
        <v>58.58</v>
      </c>
      <c r="BB28" s="39">
        <v>58.72</v>
      </c>
      <c r="BC28" s="39">
        <v>58.83</v>
      </c>
      <c r="BD28" s="39">
        <v>58.96</v>
      </c>
      <c r="BE28" s="39">
        <v>59.08</v>
      </c>
      <c r="BF28" s="39">
        <v>59.24</v>
      </c>
      <c r="BG28" s="39">
        <v>59.41</v>
      </c>
      <c r="BH28" s="39">
        <v>59.6</v>
      </c>
      <c r="BI28" s="39">
        <v>59.74</v>
      </c>
      <c r="BJ28" s="39">
        <v>59.9</v>
      </c>
      <c r="BK28" s="39">
        <v>60.06</v>
      </c>
      <c r="BL28" s="39">
        <v>60.25</v>
      </c>
      <c r="BM28" s="39">
        <v>60.44</v>
      </c>
      <c r="BN28" s="39">
        <v>60.61</v>
      </c>
      <c r="BO28" s="39">
        <v>60.76</v>
      </c>
      <c r="BP28" s="39">
        <v>60.93</v>
      </c>
      <c r="BQ28" s="39">
        <v>61.08</v>
      </c>
      <c r="BR28" s="39">
        <v>61.23</v>
      </c>
      <c r="BS28" s="39">
        <v>61.39</v>
      </c>
      <c r="BT28" s="39">
        <v>61.54</v>
      </c>
      <c r="BU28" s="39">
        <v>61.68</v>
      </c>
      <c r="BV28" s="39">
        <v>61.81</v>
      </c>
      <c r="BW28" s="39">
        <v>61.97</v>
      </c>
      <c r="BX28" s="39">
        <v>62.09</v>
      </c>
      <c r="BY28" s="39">
        <v>62.24</v>
      </c>
      <c r="BZ28" s="39">
        <v>62.37</v>
      </c>
      <c r="CA28" s="39">
        <v>62.5</v>
      </c>
      <c r="CB28" s="39">
        <v>62.64</v>
      </c>
      <c r="CC28" s="39">
        <v>62.77</v>
      </c>
      <c r="CD28" s="39">
        <v>62.9</v>
      </c>
      <c r="CE28" s="39">
        <v>63.03</v>
      </c>
      <c r="CF28" s="39">
        <v>63.16</v>
      </c>
      <c r="CG28" s="39">
        <v>63.28</v>
      </c>
      <c r="CH28" s="39">
        <v>63.42</v>
      </c>
      <c r="CI28" s="39">
        <v>63.55</v>
      </c>
      <c r="CJ28" s="39">
        <v>63.67</v>
      </c>
      <c r="CK28" s="39">
        <v>63.8</v>
      </c>
      <c r="CL28" s="39">
        <v>63.93</v>
      </c>
      <c r="CM28" s="39">
        <v>64.06</v>
      </c>
      <c r="CN28" s="39">
        <v>64.180000000000007</v>
      </c>
      <c r="CO28" s="39">
        <v>64.31</v>
      </c>
      <c r="CP28" s="39">
        <v>64.44</v>
      </c>
      <c r="CQ28" s="39">
        <v>64.56</v>
      </c>
      <c r="CR28" s="39">
        <v>64.680000000000007</v>
      </c>
      <c r="CS28" s="39">
        <v>64.8</v>
      </c>
      <c r="CT28" s="39">
        <v>64.92</v>
      </c>
      <c r="CU28" s="39">
        <v>65.040000000000006</v>
      </c>
      <c r="CV28" s="39">
        <v>65.16</v>
      </c>
      <c r="CW28" s="39">
        <v>65.28</v>
      </c>
      <c r="CX28" s="39">
        <v>65.39</v>
      </c>
      <c r="CY28" s="39">
        <v>65.510000000000005</v>
      </c>
      <c r="CZ28" s="39">
        <v>65.62</v>
      </c>
      <c r="DA28" s="39">
        <v>65.73</v>
      </c>
      <c r="DB28" s="39">
        <v>65.849999999999994</v>
      </c>
      <c r="DC28" s="39">
        <v>65.959999999999994</v>
      </c>
      <c r="DD28" s="39">
        <v>66.069999999999993</v>
      </c>
      <c r="DE28" s="39">
        <v>66.180000000000007</v>
      </c>
      <c r="DF28" s="39">
        <v>66.290000000000006</v>
      </c>
      <c r="DG28" s="39">
        <v>66.39</v>
      </c>
      <c r="DH28" s="39">
        <v>66.5</v>
      </c>
      <c r="DI28" s="39">
        <v>66.599999999999994</v>
      </c>
      <c r="DJ28" s="39">
        <v>66.709999999999994</v>
      </c>
      <c r="DK28" s="39">
        <v>66.81</v>
      </c>
      <c r="DL28" s="39">
        <v>66.92</v>
      </c>
      <c r="DM28" s="39">
        <v>67.02</v>
      </c>
      <c r="DN28" s="39">
        <v>67.12</v>
      </c>
      <c r="DO28" s="39">
        <v>67.22</v>
      </c>
      <c r="DP28" s="39">
        <v>67.319999999999993</v>
      </c>
      <c r="DQ28" s="39">
        <v>67.41</v>
      </c>
      <c r="DR28" s="39">
        <v>67.510000000000005</v>
      </c>
    </row>
    <row r="29" spans="1:122">
      <c r="A29" s="44">
        <v>27</v>
      </c>
      <c r="B29" s="45"/>
      <c r="C29" s="45"/>
      <c r="D29" s="45"/>
      <c r="E29" s="45"/>
      <c r="F29" s="45"/>
      <c r="G29" s="45"/>
      <c r="H29" s="45"/>
      <c r="I29" s="45"/>
      <c r="J29" s="45"/>
      <c r="K29" s="45"/>
      <c r="L29" s="45"/>
      <c r="M29" s="45"/>
      <c r="N29" s="45"/>
      <c r="O29" s="45"/>
      <c r="P29" s="45"/>
      <c r="Q29" s="45"/>
      <c r="R29" s="45"/>
      <c r="S29" s="45"/>
      <c r="T29" s="45"/>
      <c r="U29" s="45"/>
      <c r="V29" s="39"/>
      <c r="W29" s="39">
        <v>52.31</v>
      </c>
      <c r="X29" s="39">
        <v>52.57</v>
      </c>
      <c r="Y29" s="39">
        <v>52.79</v>
      </c>
      <c r="Z29" s="39">
        <v>53.06</v>
      </c>
      <c r="AA29" s="39">
        <v>53.23</v>
      </c>
      <c r="AB29" s="39">
        <v>53.46</v>
      </c>
      <c r="AC29" s="39">
        <v>53.71</v>
      </c>
      <c r="AD29" s="39">
        <v>53.84</v>
      </c>
      <c r="AE29" s="39">
        <v>54.06</v>
      </c>
      <c r="AF29" s="39">
        <v>54.28</v>
      </c>
      <c r="AG29" s="39">
        <v>54.47</v>
      </c>
      <c r="AH29" s="39">
        <v>54.66</v>
      </c>
      <c r="AI29" s="39">
        <v>54.86</v>
      </c>
      <c r="AJ29" s="39">
        <v>55.14</v>
      </c>
      <c r="AK29" s="39">
        <v>55.42</v>
      </c>
      <c r="AL29" s="39">
        <v>55.72</v>
      </c>
      <c r="AM29" s="39">
        <v>55.99</v>
      </c>
      <c r="AN29" s="39">
        <v>56.2</v>
      </c>
      <c r="AO29" s="39">
        <v>56.37</v>
      </c>
      <c r="AP29" s="39">
        <v>56.52</v>
      </c>
      <c r="AQ29" s="39">
        <v>56.58</v>
      </c>
      <c r="AR29" s="39">
        <v>56.66</v>
      </c>
      <c r="AS29" s="39">
        <v>56.71</v>
      </c>
      <c r="AT29" s="39">
        <v>56.7</v>
      </c>
      <c r="AU29" s="39">
        <v>56.78</v>
      </c>
      <c r="AV29" s="39">
        <v>56.86</v>
      </c>
      <c r="AW29" s="39">
        <v>57.11</v>
      </c>
      <c r="AX29" s="39">
        <v>57.18</v>
      </c>
      <c r="AY29" s="39">
        <v>57.33</v>
      </c>
      <c r="AZ29" s="39">
        <v>57.47</v>
      </c>
      <c r="BA29" s="39">
        <v>57.61</v>
      </c>
      <c r="BB29" s="39">
        <v>57.75</v>
      </c>
      <c r="BC29" s="39">
        <v>57.86</v>
      </c>
      <c r="BD29" s="39">
        <v>58</v>
      </c>
      <c r="BE29" s="39">
        <v>58.12</v>
      </c>
      <c r="BF29" s="39">
        <v>58.27</v>
      </c>
      <c r="BG29" s="39">
        <v>58.44</v>
      </c>
      <c r="BH29" s="39">
        <v>58.63</v>
      </c>
      <c r="BI29" s="39">
        <v>58.76</v>
      </c>
      <c r="BJ29" s="39">
        <v>58.92</v>
      </c>
      <c r="BK29" s="39">
        <v>59.08</v>
      </c>
      <c r="BL29" s="39">
        <v>59.27</v>
      </c>
      <c r="BM29" s="39">
        <v>59.46</v>
      </c>
      <c r="BN29" s="39">
        <v>59.63</v>
      </c>
      <c r="BO29" s="39">
        <v>59.78</v>
      </c>
      <c r="BP29" s="39">
        <v>59.95</v>
      </c>
      <c r="BQ29" s="39">
        <v>60.11</v>
      </c>
      <c r="BR29" s="39">
        <v>60.25</v>
      </c>
      <c r="BS29" s="39">
        <v>60.41</v>
      </c>
      <c r="BT29" s="39">
        <v>60.56</v>
      </c>
      <c r="BU29" s="39">
        <v>60.7</v>
      </c>
      <c r="BV29" s="39">
        <v>60.83</v>
      </c>
      <c r="BW29" s="39">
        <v>60.98</v>
      </c>
      <c r="BX29" s="39">
        <v>61.11</v>
      </c>
      <c r="BY29" s="39">
        <v>61.25</v>
      </c>
      <c r="BZ29" s="39">
        <v>61.39</v>
      </c>
      <c r="CA29" s="39">
        <v>61.52</v>
      </c>
      <c r="CB29" s="39">
        <v>61.65</v>
      </c>
      <c r="CC29" s="39">
        <v>61.79</v>
      </c>
      <c r="CD29" s="39">
        <v>61.92</v>
      </c>
      <c r="CE29" s="39">
        <v>62.04</v>
      </c>
      <c r="CF29" s="39">
        <v>62.18</v>
      </c>
      <c r="CG29" s="39">
        <v>62.29</v>
      </c>
      <c r="CH29" s="39">
        <v>62.43</v>
      </c>
      <c r="CI29" s="39">
        <v>62.56</v>
      </c>
      <c r="CJ29" s="39">
        <v>62.68</v>
      </c>
      <c r="CK29" s="39">
        <v>62.81</v>
      </c>
      <c r="CL29" s="39">
        <v>62.94</v>
      </c>
      <c r="CM29" s="39">
        <v>63.07</v>
      </c>
      <c r="CN29" s="39">
        <v>63.2</v>
      </c>
      <c r="CO29" s="39">
        <v>63.32</v>
      </c>
      <c r="CP29" s="39">
        <v>63.45</v>
      </c>
      <c r="CQ29" s="39">
        <v>63.57</v>
      </c>
      <c r="CR29" s="39">
        <v>63.69</v>
      </c>
      <c r="CS29" s="39">
        <v>63.81</v>
      </c>
      <c r="CT29" s="39">
        <v>63.93</v>
      </c>
      <c r="CU29" s="39">
        <v>64.05</v>
      </c>
      <c r="CV29" s="39">
        <v>64.17</v>
      </c>
      <c r="CW29" s="39">
        <v>64.290000000000006</v>
      </c>
      <c r="CX29" s="39">
        <v>64.400000000000006</v>
      </c>
      <c r="CY29" s="39">
        <v>64.52</v>
      </c>
      <c r="CZ29" s="39">
        <v>64.63</v>
      </c>
      <c r="DA29" s="39">
        <v>64.739999999999995</v>
      </c>
      <c r="DB29" s="39">
        <v>64.849999999999994</v>
      </c>
      <c r="DC29" s="39">
        <v>64.97</v>
      </c>
      <c r="DD29" s="39">
        <v>65.08</v>
      </c>
      <c r="DE29" s="39">
        <v>65.180000000000007</v>
      </c>
      <c r="DF29" s="39">
        <v>65.290000000000006</v>
      </c>
      <c r="DG29" s="39">
        <v>65.400000000000006</v>
      </c>
      <c r="DH29" s="39">
        <v>65.510000000000005</v>
      </c>
      <c r="DI29" s="39">
        <v>65.61</v>
      </c>
      <c r="DJ29" s="39">
        <v>65.72</v>
      </c>
      <c r="DK29" s="39">
        <v>65.819999999999993</v>
      </c>
      <c r="DL29" s="39">
        <v>65.92</v>
      </c>
      <c r="DM29" s="39">
        <v>66.02</v>
      </c>
      <c r="DN29" s="39">
        <v>66.12</v>
      </c>
      <c r="DO29" s="39">
        <v>66.22</v>
      </c>
      <c r="DP29" s="39">
        <v>66.319999999999993</v>
      </c>
      <c r="DQ29" s="39">
        <v>66.42</v>
      </c>
      <c r="DR29" s="39">
        <v>66.52</v>
      </c>
    </row>
    <row r="30" spans="1:122">
      <c r="A30" s="44">
        <v>28</v>
      </c>
      <c r="B30" s="45"/>
      <c r="C30" s="45"/>
      <c r="D30" s="45"/>
      <c r="E30" s="45"/>
      <c r="F30" s="45"/>
      <c r="G30" s="45"/>
      <c r="H30" s="45"/>
      <c r="I30" s="45"/>
      <c r="J30" s="45"/>
      <c r="K30" s="45"/>
      <c r="L30" s="45"/>
      <c r="M30" s="45"/>
      <c r="N30" s="45"/>
      <c r="O30" s="45"/>
      <c r="P30" s="45"/>
      <c r="Q30" s="45"/>
      <c r="R30" s="45"/>
      <c r="S30" s="45"/>
      <c r="T30" s="45"/>
      <c r="U30" s="45"/>
      <c r="V30" s="39"/>
      <c r="W30" s="39">
        <v>51.42</v>
      </c>
      <c r="X30" s="39">
        <v>51.65</v>
      </c>
      <c r="Y30" s="39">
        <v>51.87</v>
      </c>
      <c r="Z30" s="39">
        <v>52.14</v>
      </c>
      <c r="AA30" s="39">
        <v>52.3</v>
      </c>
      <c r="AB30" s="39">
        <v>52.52</v>
      </c>
      <c r="AC30" s="39">
        <v>52.76</v>
      </c>
      <c r="AD30" s="39">
        <v>52.89</v>
      </c>
      <c r="AE30" s="39">
        <v>53.11</v>
      </c>
      <c r="AF30" s="39">
        <v>53.33</v>
      </c>
      <c r="AG30" s="39">
        <v>53.52</v>
      </c>
      <c r="AH30" s="39">
        <v>53.71</v>
      </c>
      <c r="AI30" s="39">
        <v>53.9</v>
      </c>
      <c r="AJ30" s="39">
        <v>54.19</v>
      </c>
      <c r="AK30" s="39">
        <v>54.46</v>
      </c>
      <c r="AL30" s="39">
        <v>54.76</v>
      </c>
      <c r="AM30" s="39">
        <v>55.03</v>
      </c>
      <c r="AN30" s="39">
        <v>55.24</v>
      </c>
      <c r="AO30" s="39">
        <v>55.41</v>
      </c>
      <c r="AP30" s="39">
        <v>55.56</v>
      </c>
      <c r="AQ30" s="39">
        <v>55.62</v>
      </c>
      <c r="AR30" s="39">
        <v>55.7</v>
      </c>
      <c r="AS30" s="39">
        <v>55.75</v>
      </c>
      <c r="AT30" s="39">
        <v>55.74</v>
      </c>
      <c r="AU30" s="39">
        <v>55.81</v>
      </c>
      <c r="AV30" s="39">
        <v>55.9</v>
      </c>
      <c r="AW30" s="39">
        <v>56.14</v>
      </c>
      <c r="AX30" s="39">
        <v>56.21</v>
      </c>
      <c r="AY30" s="39">
        <v>56.37</v>
      </c>
      <c r="AZ30" s="39">
        <v>56.51</v>
      </c>
      <c r="BA30" s="39">
        <v>56.65</v>
      </c>
      <c r="BB30" s="39">
        <v>56.78</v>
      </c>
      <c r="BC30" s="39">
        <v>56.9</v>
      </c>
      <c r="BD30" s="39">
        <v>57.03</v>
      </c>
      <c r="BE30" s="39">
        <v>57.15</v>
      </c>
      <c r="BF30" s="39">
        <v>57.3</v>
      </c>
      <c r="BG30" s="39">
        <v>57.47</v>
      </c>
      <c r="BH30" s="39">
        <v>57.65</v>
      </c>
      <c r="BI30" s="39">
        <v>57.79</v>
      </c>
      <c r="BJ30" s="39">
        <v>57.95</v>
      </c>
      <c r="BK30" s="39">
        <v>58.11</v>
      </c>
      <c r="BL30" s="39">
        <v>58.3</v>
      </c>
      <c r="BM30" s="39">
        <v>58.49</v>
      </c>
      <c r="BN30" s="39">
        <v>58.65</v>
      </c>
      <c r="BO30" s="39">
        <v>58.81</v>
      </c>
      <c r="BP30" s="39">
        <v>58.97</v>
      </c>
      <c r="BQ30" s="39">
        <v>59.13</v>
      </c>
      <c r="BR30" s="39">
        <v>59.27</v>
      </c>
      <c r="BS30" s="39">
        <v>59.43</v>
      </c>
      <c r="BT30" s="39">
        <v>59.58</v>
      </c>
      <c r="BU30" s="39">
        <v>59.72</v>
      </c>
      <c r="BV30" s="39">
        <v>59.85</v>
      </c>
      <c r="BW30" s="39">
        <v>60</v>
      </c>
      <c r="BX30" s="39">
        <v>60.13</v>
      </c>
      <c r="BY30" s="39">
        <v>60.27</v>
      </c>
      <c r="BZ30" s="39">
        <v>60.4</v>
      </c>
      <c r="CA30" s="39">
        <v>60.53</v>
      </c>
      <c r="CB30" s="39">
        <v>60.67</v>
      </c>
      <c r="CC30" s="39">
        <v>60.81</v>
      </c>
      <c r="CD30" s="39">
        <v>60.93</v>
      </c>
      <c r="CE30" s="39">
        <v>61.06</v>
      </c>
      <c r="CF30" s="39">
        <v>61.19</v>
      </c>
      <c r="CG30" s="39">
        <v>61.31</v>
      </c>
      <c r="CH30" s="39">
        <v>61.45</v>
      </c>
      <c r="CI30" s="39">
        <v>61.58</v>
      </c>
      <c r="CJ30" s="39">
        <v>61.69</v>
      </c>
      <c r="CK30" s="39">
        <v>61.83</v>
      </c>
      <c r="CL30" s="39">
        <v>61.96</v>
      </c>
      <c r="CM30" s="39">
        <v>62.08</v>
      </c>
      <c r="CN30" s="39">
        <v>62.21</v>
      </c>
      <c r="CO30" s="39">
        <v>62.33</v>
      </c>
      <c r="CP30" s="39">
        <v>62.46</v>
      </c>
      <c r="CQ30" s="39">
        <v>62.58</v>
      </c>
      <c r="CR30" s="39">
        <v>62.7</v>
      </c>
      <c r="CS30" s="39">
        <v>62.82</v>
      </c>
      <c r="CT30" s="39">
        <v>62.94</v>
      </c>
      <c r="CU30" s="39">
        <v>63.06</v>
      </c>
      <c r="CV30" s="39">
        <v>63.18</v>
      </c>
      <c r="CW30" s="39">
        <v>63.3</v>
      </c>
      <c r="CX30" s="39">
        <v>63.41</v>
      </c>
      <c r="CY30" s="39">
        <v>63.53</v>
      </c>
      <c r="CZ30" s="39">
        <v>63.64</v>
      </c>
      <c r="DA30" s="39">
        <v>63.75</v>
      </c>
      <c r="DB30" s="39">
        <v>63.86</v>
      </c>
      <c r="DC30" s="39">
        <v>63.97</v>
      </c>
      <c r="DD30" s="39">
        <v>64.08</v>
      </c>
      <c r="DE30" s="39">
        <v>64.19</v>
      </c>
      <c r="DF30" s="39">
        <v>64.3</v>
      </c>
      <c r="DG30" s="39">
        <v>64.41</v>
      </c>
      <c r="DH30" s="39">
        <v>64.510000000000005</v>
      </c>
      <c r="DI30" s="39">
        <v>64.62</v>
      </c>
      <c r="DJ30" s="39">
        <v>64.72</v>
      </c>
      <c r="DK30" s="39">
        <v>64.83</v>
      </c>
      <c r="DL30" s="39">
        <v>64.930000000000007</v>
      </c>
      <c r="DM30" s="39">
        <v>65.03</v>
      </c>
      <c r="DN30" s="39">
        <v>65.13</v>
      </c>
      <c r="DO30" s="39">
        <v>65.23</v>
      </c>
      <c r="DP30" s="39">
        <v>65.33</v>
      </c>
      <c r="DQ30" s="39">
        <v>65.430000000000007</v>
      </c>
      <c r="DR30" s="39">
        <v>65.52</v>
      </c>
    </row>
    <row r="31" spans="1:122">
      <c r="A31" s="44">
        <v>29</v>
      </c>
      <c r="B31" s="45"/>
      <c r="C31" s="45"/>
      <c r="D31" s="45"/>
      <c r="E31" s="45"/>
      <c r="F31" s="45"/>
      <c r="G31" s="45"/>
      <c r="H31" s="45"/>
      <c r="I31" s="45"/>
      <c r="J31" s="45"/>
      <c r="K31" s="45"/>
      <c r="L31" s="45"/>
      <c r="M31" s="45"/>
      <c r="N31" s="45"/>
      <c r="O31" s="45"/>
      <c r="P31" s="45"/>
      <c r="Q31" s="45"/>
      <c r="R31" s="45"/>
      <c r="S31" s="45"/>
      <c r="T31" s="45"/>
      <c r="U31" s="45"/>
      <c r="V31" s="39"/>
      <c r="W31" s="39">
        <v>50.5</v>
      </c>
      <c r="X31" s="39">
        <v>50.73</v>
      </c>
      <c r="Y31" s="39">
        <v>50.95</v>
      </c>
      <c r="Z31" s="39">
        <v>51.2</v>
      </c>
      <c r="AA31" s="39">
        <v>51.36</v>
      </c>
      <c r="AB31" s="39">
        <v>51.58</v>
      </c>
      <c r="AC31" s="39">
        <v>51.82</v>
      </c>
      <c r="AD31" s="39">
        <v>51.95</v>
      </c>
      <c r="AE31" s="39">
        <v>52.17</v>
      </c>
      <c r="AF31" s="39">
        <v>52.38</v>
      </c>
      <c r="AG31" s="39">
        <v>52.58</v>
      </c>
      <c r="AH31" s="39">
        <v>52.77</v>
      </c>
      <c r="AI31" s="39">
        <v>52.95</v>
      </c>
      <c r="AJ31" s="39">
        <v>53.23</v>
      </c>
      <c r="AK31" s="39">
        <v>53.5</v>
      </c>
      <c r="AL31" s="39">
        <v>53.8</v>
      </c>
      <c r="AM31" s="39">
        <v>54.07</v>
      </c>
      <c r="AN31" s="39">
        <v>54.28</v>
      </c>
      <c r="AO31" s="39">
        <v>54.45</v>
      </c>
      <c r="AP31" s="39">
        <v>54.59</v>
      </c>
      <c r="AQ31" s="39">
        <v>54.66</v>
      </c>
      <c r="AR31" s="39">
        <v>54.73</v>
      </c>
      <c r="AS31" s="39">
        <v>54.78</v>
      </c>
      <c r="AT31" s="39">
        <v>54.78</v>
      </c>
      <c r="AU31" s="39">
        <v>54.85</v>
      </c>
      <c r="AV31" s="39">
        <v>54.93</v>
      </c>
      <c r="AW31" s="39">
        <v>55.18</v>
      </c>
      <c r="AX31" s="39">
        <v>55.24</v>
      </c>
      <c r="AY31" s="39">
        <v>55.4</v>
      </c>
      <c r="AZ31" s="39">
        <v>55.54</v>
      </c>
      <c r="BA31" s="39">
        <v>55.68</v>
      </c>
      <c r="BB31" s="39">
        <v>55.82</v>
      </c>
      <c r="BC31" s="39">
        <v>55.93</v>
      </c>
      <c r="BD31" s="39">
        <v>56.06</v>
      </c>
      <c r="BE31" s="39">
        <v>56.18</v>
      </c>
      <c r="BF31" s="39">
        <v>56.33</v>
      </c>
      <c r="BG31" s="39">
        <v>56.5</v>
      </c>
      <c r="BH31" s="39">
        <v>56.68</v>
      </c>
      <c r="BI31" s="39">
        <v>56.82</v>
      </c>
      <c r="BJ31" s="39">
        <v>56.97</v>
      </c>
      <c r="BK31" s="39">
        <v>57.13</v>
      </c>
      <c r="BL31" s="39">
        <v>57.32</v>
      </c>
      <c r="BM31" s="39">
        <v>57.52</v>
      </c>
      <c r="BN31" s="39">
        <v>57.68</v>
      </c>
      <c r="BO31" s="39">
        <v>57.83</v>
      </c>
      <c r="BP31" s="39">
        <v>58</v>
      </c>
      <c r="BQ31" s="39">
        <v>58.15</v>
      </c>
      <c r="BR31" s="39">
        <v>58.29</v>
      </c>
      <c r="BS31" s="39">
        <v>58.46</v>
      </c>
      <c r="BT31" s="39">
        <v>58.6</v>
      </c>
      <c r="BU31" s="39">
        <v>58.74</v>
      </c>
      <c r="BV31" s="39">
        <v>58.87</v>
      </c>
      <c r="BW31" s="39">
        <v>59.02</v>
      </c>
      <c r="BX31" s="39">
        <v>59.15</v>
      </c>
      <c r="BY31" s="39">
        <v>59.29</v>
      </c>
      <c r="BZ31" s="39">
        <v>59.42</v>
      </c>
      <c r="CA31" s="39">
        <v>59.55</v>
      </c>
      <c r="CB31" s="39">
        <v>59.68</v>
      </c>
      <c r="CC31" s="39">
        <v>59.82</v>
      </c>
      <c r="CD31" s="39">
        <v>59.95</v>
      </c>
      <c r="CE31" s="39">
        <v>60.07</v>
      </c>
      <c r="CF31" s="39">
        <v>60.21</v>
      </c>
      <c r="CG31" s="39">
        <v>60.33</v>
      </c>
      <c r="CH31" s="39">
        <v>60.46</v>
      </c>
      <c r="CI31" s="39">
        <v>60.59</v>
      </c>
      <c r="CJ31" s="39">
        <v>60.71</v>
      </c>
      <c r="CK31" s="39">
        <v>60.84</v>
      </c>
      <c r="CL31" s="39">
        <v>60.97</v>
      </c>
      <c r="CM31" s="39">
        <v>61.1</v>
      </c>
      <c r="CN31" s="39">
        <v>61.22</v>
      </c>
      <c r="CO31" s="39">
        <v>61.35</v>
      </c>
      <c r="CP31" s="39">
        <v>61.47</v>
      </c>
      <c r="CQ31" s="39">
        <v>61.59</v>
      </c>
      <c r="CR31" s="39">
        <v>61.72</v>
      </c>
      <c r="CS31" s="39">
        <v>61.84</v>
      </c>
      <c r="CT31" s="39">
        <v>61.96</v>
      </c>
      <c r="CU31" s="39">
        <v>62.07</v>
      </c>
      <c r="CV31" s="39">
        <v>62.19</v>
      </c>
      <c r="CW31" s="39">
        <v>62.31</v>
      </c>
      <c r="CX31" s="39">
        <v>62.42</v>
      </c>
      <c r="CY31" s="39">
        <v>62.54</v>
      </c>
      <c r="CZ31" s="39">
        <v>62.65</v>
      </c>
      <c r="DA31" s="39">
        <v>62.76</v>
      </c>
      <c r="DB31" s="39">
        <v>62.87</v>
      </c>
      <c r="DC31" s="39">
        <v>62.98</v>
      </c>
      <c r="DD31" s="39">
        <v>63.09</v>
      </c>
      <c r="DE31" s="39">
        <v>63.2</v>
      </c>
      <c r="DF31" s="39">
        <v>63.31</v>
      </c>
      <c r="DG31" s="39">
        <v>63.42</v>
      </c>
      <c r="DH31" s="39">
        <v>63.52</v>
      </c>
      <c r="DI31" s="39">
        <v>63.63</v>
      </c>
      <c r="DJ31" s="39">
        <v>63.73</v>
      </c>
      <c r="DK31" s="39">
        <v>63.83</v>
      </c>
      <c r="DL31" s="39">
        <v>63.94</v>
      </c>
      <c r="DM31" s="39">
        <v>64.040000000000006</v>
      </c>
      <c r="DN31" s="39">
        <v>64.14</v>
      </c>
      <c r="DO31" s="39">
        <v>64.239999999999995</v>
      </c>
      <c r="DP31" s="39">
        <v>64.34</v>
      </c>
      <c r="DQ31" s="39">
        <v>64.430000000000007</v>
      </c>
      <c r="DR31" s="39">
        <v>64.53</v>
      </c>
    </row>
    <row r="32" spans="1:122">
      <c r="A32" s="44">
        <v>30</v>
      </c>
      <c r="B32" s="45"/>
      <c r="C32" s="45"/>
      <c r="D32" s="45"/>
      <c r="E32" s="45"/>
      <c r="F32" s="45"/>
      <c r="G32" s="45"/>
      <c r="H32" s="45"/>
      <c r="I32" s="45"/>
      <c r="J32" s="45"/>
      <c r="K32" s="45"/>
      <c r="L32" s="45"/>
      <c r="M32" s="45"/>
      <c r="N32" s="45"/>
      <c r="O32" s="45"/>
      <c r="P32" s="45"/>
      <c r="Q32" s="45"/>
      <c r="R32" s="45"/>
      <c r="S32" s="45"/>
      <c r="T32" s="45"/>
      <c r="U32" s="45"/>
      <c r="V32" s="39"/>
      <c r="W32" s="39">
        <v>49.58</v>
      </c>
      <c r="X32" s="39">
        <v>49.8</v>
      </c>
      <c r="Y32" s="39">
        <v>50.01</v>
      </c>
      <c r="Z32" s="39">
        <v>50.26</v>
      </c>
      <c r="AA32" s="39">
        <v>50.42</v>
      </c>
      <c r="AB32" s="39">
        <v>50.64</v>
      </c>
      <c r="AC32" s="39">
        <v>50.87</v>
      </c>
      <c r="AD32" s="39">
        <v>51</v>
      </c>
      <c r="AE32" s="39">
        <v>51.23</v>
      </c>
      <c r="AF32" s="39">
        <v>51.44</v>
      </c>
      <c r="AG32" s="39">
        <v>51.63</v>
      </c>
      <c r="AH32" s="39">
        <v>51.82</v>
      </c>
      <c r="AI32" s="39">
        <v>52</v>
      </c>
      <c r="AJ32" s="39">
        <v>52.28</v>
      </c>
      <c r="AK32" s="39">
        <v>52.55</v>
      </c>
      <c r="AL32" s="39">
        <v>52.85</v>
      </c>
      <c r="AM32" s="39">
        <v>53.11</v>
      </c>
      <c r="AN32" s="39">
        <v>53.32</v>
      </c>
      <c r="AO32" s="39">
        <v>53.49</v>
      </c>
      <c r="AP32" s="39">
        <v>53.63</v>
      </c>
      <c r="AQ32" s="39">
        <v>53.7</v>
      </c>
      <c r="AR32" s="39">
        <v>53.77</v>
      </c>
      <c r="AS32" s="39">
        <v>53.82</v>
      </c>
      <c r="AT32" s="39">
        <v>53.81</v>
      </c>
      <c r="AU32" s="39">
        <v>53.89</v>
      </c>
      <c r="AV32" s="39">
        <v>53.97</v>
      </c>
      <c r="AW32" s="39">
        <v>54.21</v>
      </c>
      <c r="AX32" s="39">
        <v>54.28</v>
      </c>
      <c r="AY32" s="39">
        <v>54.45</v>
      </c>
      <c r="AZ32" s="39">
        <v>54.58</v>
      </c>
      <c r="BA32" s="39">
        <v>54.71</v>
      </c>
      <c r="BB32" s="39">
        <v>54.85</v>
      </c>
      <c r="BC32" s="39">
        <v>54.96</v>
      </c>
      <c r="BD32" s="39">
        <v>55.09</v>
      </c>
      <c r="BE32" s="39">
        <v>55.22</v>
      </c>
      <c r="BF32" s="39">
        <v>55.36</v>
      </c>
      <c r="BG32" s="39">
        <v>55.52</v>
      </c>
      <c r="BH32" s="39">
        <v>55.71</v>
      </c>
      <c r="BI32" s="39">
        <v>55.85</v>
      </c>
      <c r="BJ32" s="39">
        <v>56</v>
      </c>
      <c r="BK32" s="39">
        <v>56.16</v>
      </c>
      <c r="BL32" s="39">
        <v>56.35</v>
      </c>
      <c r="BM32" s="39">
        <v>56.54</v>
      </c>
      <c r="BN32" s="39">
        <v>56.71</v>
      </c>
      <c r="BO32" s="39">
        <v>56.85</v>
      </c>
      <c r="BP32" s="39">
        <v>57.02</v>
      </c>
      <c r="BQ32" s="39">
        <v>57.17</v>
      </c>
      <c r="BR32" s="39">
        <v>57.31</v>
      </c>
      <c r="BS32" s="39">
        <v>57.48</v>
      </c>
      <c r="BT32" s="39">
        <v>57.62</v>
      </c>
      <c r="BU32" s="39">
        <v>57.76</v>
      </c>
      <c r="BV32" s="39">
        <v>57.89</v>
      </c>
      <c r="BW32" s="39">
        <v>58.04</v>
      </c>
      <c r="BX32" s="39">
        <v>58.17</v>
      </c>
      <c r="BY32" s="39">
        <v>58.3</v>
      </c>
      <c r="BZ32" s="39">
        <v>58.43</v>
      </c>
      <c r="CA32" s="39">
        <v>58.57</v>
      </c>
      <c r="CB32" s="39">
        <v>58.7</v>
      </c>
      <c r="CC32" s="39">
        <v>58.83</v>
      </c>
      <c r="CD32" s="39">
        <v>58.97</v>
      </c>
      <c r="CE32" s="39">
        <v>59.09</v>
      </c>
      <c r="CF32" s="39">
        <v>59.22</v>
      </c>
      <c r="CG32" s="39">
        <v>59.35</v>
      </c>
      <c r="CH32" s="39">
        <v>59.48</v>
      </c>
      <c r="CI32" s="39">
        <v>59.61</v>
      </c>
      <c r="CJ32" s="39">
        <v>59.73</v>
      </c>
      <c r="CK32" s="39">
        <v>59.86</v>
      </c>
      <c r="CL32" s="39">
        <v>59.99</v>
      </c>
      <c r="CM32" s="39">
        <v>60.11</v>
      </c>
      <c r="CN32" s="39">
        <v>60.24</v>
      </c>
      <c r="CO32" s="39">
        <v>60.36</v>
      </c>
      <c r="CP32" s="39">
        <v>60.49</v>
      </c>
      <c r="CQ32" s="39">
        <v>60.61</v>
      </c>
      <c r="CR32" s="39">
        <v>60.73</v>
      </c>
      <c r="CS32" s="39">
        <v>60.85</v>
      </c>
      <c r="CT32" s="39">
        <v>60.97</v>
      </c>
      <c r="CU32" s="39">
        <v>61.09</v>
      </c>
      <c r="CV32" s="39">
        <v>61.2</v>
      </c>
      <c r="CW32" s="39">
        <v>61.32</v>
      </c>
      <c r="CX32" s="39">
        <v>61.43</v>
      </c>
      <c r="CY32" s="39">
        <v>61.55</v>
      </c>
      <c r="CZ32" s="39">
        <v>61.66</v>
      </c>
      <c r="DA32" s="39">
        <v>61.77</v>
      </c>
      <c r="DB32" s="39">
        <v>61.88</v>
      </c>
      <c r="DC32" s="39">
        <v>61.99</v>
      </c>
      <c r="DD32" s="39">
        <v>62.1</v>
      </c>
      <c r="DE32" s="39">
        <v>62.21</v>
      </c>
      <c r="DF32" s="39">
        <v>62.32</v>
      </c>
      <c r="DG32" s="39">
        <v>62.43</v>
      </c>
      <c r="DH32" s="39">
        <v>62.53</v>
      </c>
      <c r="DI32" s="39">
        <v>62.64</v>
      </c>
      <c r="DJ32" s="39">
        <v>62.74</v>
      </c>
      <c r="DK32" s="39">
        <v>62.84</v>
      </c>
      <c r="DL32" s="39">
        <v>62.94</v>
      </c>
      <c r="DM32" s="39">
        <v>63.05</v>
      </c>
      <c r="DN32" s="39">
        <v>63.15</v>
      </c>
      <c r="DO32" s="39">
        <v>63.25</v>
      </c>
      <c r="DP32" s="39">
        <v>63.34</v>
      </c>
      <c r="DQ32" s="39">
        <v>63.44</v>
      </c>
      <c r="DR32" s="39">
        <v>63.54</v>
      </c>
    </row>
    <row r="33" spans="1:122">
      <c r="A33" s="44">
        <v>31</v>
      </c>
      <c r="B33" s="45"/>
      <c r="C33" s="45"/>
      <c r="D33" s="45"/>
      <c r="E33" s="45"/>
      <c r="F33" s="45"/>
      <c r="G33" s="45"/>
      <c r="H33" s="45"/>
      <c r="I33" s="45"/>
      <c r="J33" s="45"/>
      <c r="K33" s="45"/>
      <c r="L33" s="45"/>
      <c r="M33" s="45"/>
      <c r="N33" s="45"/>
      <c r="O33" s="45"/>
      <c r="P33" s="45"/>
      <c r="Q33" s="45"/>
      <c r="R33" s="45"/>
      <c r="S33" s="45"/>
      <c r="T33" s="45"/>
      <c r="U33" s="45"/>
      <c r="V33" s="39"/>
      <c r="W33" s="39">
        <v>48.66</v>
      </c>
      <c r="X33" s="39">
        <v>48.87</v>
      </c>
      <c r="Y33" s="39">
        <v>49.08</v>
      </c>
      <c r="Z33" s="39">
        <v>49.33</v>
      </c>
      <c r="AA33" s="39">
        <v>49.48</v>
      </c>
      <c r="AB33" s="39">
        <v>49.7</v>
      </c>
      <c r="AC33" s="39">
        <v>49.94</v>
      </c>
      <c r="AD33" s="39">
        <v>50.05</v>
      </c>
      <c r="AE33" s="39">
        <v>50.28</v>
      </c>
      <c r="AF33" s="39">
        <v>50.49</v>
      </c>
      <c r="AG33" s="39">
        <v>50.68</v>
      </c>
      <c r="AH33" s="39">
        <v>50.86</v>
      </c>
      <c r="AI33" s="39">
        <v>51.05</v>
      </c>
      <c r="AJ33" s="39">
        <v>51.33</v>
      </c>
      <c r="AK33" s="39">
        <v>51.6</v>
      </c>
      <c r="AL33" s="39">
        <v>51.89</v>
      </c>
      <c r="AM33" s="39">
        <v>52.16</v>
      </c>
      <c r="AN33" s="39">
        <v>52.37</v>
      </c>
      <c r="AO33" s="39">
        <v>52.54</v>
      </c>
      <c r="AP33" s="39">
        <v>52.68</v>
      </c>
      <c r="AQ33" s="39">
        <v>52.74</v>
      </c>
      <c r="AR33" s="39">
        <v>52.81</v>
      </c>
      <c r="AS33" s="39">
        <v>52.86</v>
      </c>
      <c r="AT33" s="39">
        <v>52.86</v>
      </c>
      <c r="AU33" s="39">
        <v>52.93</v>
      </c>
      <c r="AV33" s="39">
        <v>53.01</v>
      </c>
      <c r="AW33" s="39">
        <v>53.25</v>
      </c>
      <c r="AX33" s="39">
        <v>53.32</v>
      </c>
      <c r="AY33" s="39">
        <v>53.48</v>
      </c>
      <c r="AZ33" s="39">
        <v>53.61</v>
      </c>
      <c r="BA33" s="39">
        <v>53.75</v>
      </c>
      <c r="BB33" s="39">
        <v>53.88</v>
      </c>
      <c r="BC33" s="39">
        <v>53.99</v>
      </c>
      <c r="BD33" s="39">
        <v>54.12</v>
      </c>
      <c r="BE33" s="39">
        <v>54.25</v>
      </c>
      <c r="BF33" s="39">
        <v>54.39</v>
      </c>
      <c r="BG33" s="39">
        <v>54.55</v>
      </c>
      <c r="BH33" s="39">
        <v>54.74</v>
      </c>
      <c r="BI33" s="39">
        <v>54.88</v>
      </c>
      <c r="BJ33" s="39">
        <v>55.03</v>
      </c>
      <c r="BK33" s="39">
        <v>55.19</v>
      </c>
      <c r="BL33" s="39">
        <v>55.38</v>
      </c>
      <c r="BM33" s="39">
        <v>55.57</v>
      </c>
      <c r="BN33" s="39">
        <v>55.73</v>
      </c>
      <c r="BO33" s="39">
        <v>55.88</v>
      </c>
      <c r="BP33" s="39">
        <v>56.05</v>
      </c>
      <c r="BQ33" s="39">
        <v>56.2</v>
      </c>
      <c r="BR33" s="39">
        <v>56.33</v>
      </c>
      <c r="BS33" s="39">
        <v>56.5</v>
      </c>
      <c r="BT33" s="39">
        <v>56.64</v>
      </c>
      <c r="BU33" s="39">
        <v>56.78</v>
      </c>
      <c r="BV33" s="39">
        <v>56.91</v>
      </c>
      <c r="BW33" s="39">
        <v>57.06</v>
      </c>
      <c r="BX33" s="39">
        <v>57.19</v>
      </c>
      <c r="BY33" s="39">
        <v>57.32</v>
      </c>
      <c r="BZ33" s="39">
        <v>57.45</v>
      </c>
      <c r="CA33" s="39">
        <v>57.58</v>
      </c>
      <c r="CB33" s="39">
        <v>57.72</v>
      </c>
      <c r="CC33" s="39">
        <v>57.85</v>
      </c>
      <c r="CD33" s="39">
        <v>57.98</v>
      </c>
      <c r="CE33" s="39">
        <v>58.11</v>
      </c>
      <c r="CF33" s="39">
        <v>58.24</v>
      </c>
      <c r="CG33" s="39">
        <v>58.36</v>
      </c>
      <c r="CH33" s="39">
        <v>58.49</v>
      </c>
      <c r="CI33" s="39">
        <v>58.62</v>
      </c>
      <c r="CJ33" s="39">
        <v>58.75</v>
      </c>
      <c r="CK33" s="39">
        <v>58.88</v>
      </c>
      <c r="CL33" s="39">
        <v>59</v>
      </c>
      <c r="CM33" s="39">
        <v>59.13</v>
      </c>
      <c r="CN33" s="39">
        <v>59.25</v>
      </c>
      <c r="CO33" s="39">
        <v>59.38</v>
      </c>
      <c r="CP33" s="39">
        <v>59.5</v>
      </c>
      <c r="CQ33" s="39">
        <v>59.62</v>
      </c>
      <c r="CR33" s="39">
        <v>59.74</v>
      </c>
      <c r="CS33" s="39">
        <v>59.86</v>
      </c>
      <c r="CT33" s="39">
        <v>59.98</v>
      </c>
      <c r="CU33" s="39">
        <v>60.1</v>
      </c>
      <c r="CV33" s="39">
        <v>60.22</v>
      </c>
      <c r="CW33" s="39">
        <v>60.33</v>
      </c>
      <c r="CX33" s="39">
        <v>60.45</v>
      </c>
      <c r="CY33" s="39">
        <v>60.56</v>
      </c>
      <c r="CZ33" s="39">
        <v>60.67</v>
      </c>
      <c r="DA33" s="39">
        <v>60.78</v>
      </c>
      <c r="DB33" s="39">
        <v>60.9</v>
      </c>
      <c r="DC33" s="39">
        <v>61.01</v>
      </c>
      <c r="DD33" s="39">
        <v>61.11</v>
      </c>
      <c r="DE33" s="39">
        <v>61.22</v>
      </c>
      <c r="DF33" s="39">
        <v>61.33</v>
      </c>
      <c r="DG33" s="39">
        <v>61.44</v>
      </c>
      <c r="DH33" s="39">
        <v>61.54</v>
      </c>
      <c r="DI33" s="39">
        <v>61.65</v>
      </c>
      <c r="DJ33" s="39">
        <v>61.75</v>
      </c>
      <c r="DK33" s="39">
        <v>61.85</v>
      </c>
      <c r="DL33" s="39">
        <v>61.95</v>
      </c>
      <c r="DM33" s="39">
        <v>62.05</v>
      </c>
      <c r="DN33" s="39">
        <v>62.15</v>
      </c>
      <c r="DO33" s="39">
        <v>62.25</v>
      </c>
      <c r="DP33" s="39">
        <v>62.35</v>
      </c>
      <c r="DQ33" s="39">
        <v>62.45</v>
      </c>
      <c r="DR33" s="39">
        <v>62.54</v>
      </c>
    </row>
    <row r="34" spans="1:122">
      <c r="A34" s="44">
        <v>32</v>
      </c>
      <c r="B34" s="45"/>
      <c r="C34" s="45"/>
      <c r="D34" s="45"/>
      <c r="E34" s="45"/>
      <c r="F34" s="45"/>
      <c r="G34" s="45"/>
      <c r="H34" s="45"/>
      <c r="I34" s="45"/>
      <c r="J34" s="45"/>
      <c r="K34" s="45"/>
      <c r="L34" s="45"/>
      <c r="M34" s="45"/>
      <c r="N34" s="45"/>
      <c r="O34" s="45"/>
      <c r="P34" s="45"/>
      <c r="Q34" s="45"/>
      <c r="R34" s="45"/>
      <c r="S34" s="45"/>
      <c r="T34" s="45"/>
      <c r="U34" s="45"/>
      <c r="V34" s="39"/>
      <c r="W34" s="39">
        <v>47.73</v>
      </c>
      <c r="X34" s="39">
        <v>47.93</v>
      </c>
      <c r="Y34" s="39">
        <v>48.14</v>
      </c>
      <c r="Z34" s="39">
        <v>48.39</v>
      </c>
      <c r="AA34" s="39">
        <v>48.54</v>
      </c>
      <c r="AB34" s="39">
        <v>48.75</v>
      </c>
      <c r="AC34" s="39">
        <v>48.99</v>
      </c>
      <c r="AD34" s="39">
        <v>49.11</v>
      </c>
      <c r="AE34" s="39">
        <v>49.34</v>
      </c>
      <c r="AF34" s="39">
        <v>49.54</v>
      </c>
      <c r="AG34" s="39">
        <v>49.73</v>
      </c>
      <c r="AH34" s="39">
        <v>49.91</v>
      </c>
      <c r="AI34" s="39">
        <v>50.1</v>
      </c>
      <c r="AJ34" s="39">
        <v>50.38</v>
      </c>
      <c r="AK34" s="39">
        <v>50.64</v>
      </c>
      <c r="AL34" s="39">
        <v>50.93</v>
      </c>
      <c r="AM34" s="39">
        <v>51.2</v>
      </c>
      <c r="AN34" s="39">
        <v>51.41</v>
      </c>
      <c r="AO34" s="39">
        <v>51.58</v>
      </c>
      <c r="AP34" s="39">
        <v>51.72</v>
      </c>
      <c r="AQ34" s="39">
        <v>51.78</v>
      </c>
      <c r="AR34" s="39">
        <v>51.85</v>
      </c>
      <c r="AS34" s="39">
        <v>51.91</v>
      </c>
      <c r="AT34" s="39">
        <v>51.9</v>
      </c>
      <c r="AU34" s="39">
        <v>51.98</v>
      </c>
      <c r="AV34" s="39">
        <v>52.05</v>
      </c>
      <c r="AW34" s="39">
        <v>52.29</v>
      </c>
      <c r="AX34" s="39">
        <v>52.35</v>
      </c>
      <c r="AY34" s="39">
        <v>52.52</v>
      </c>
      <c r="AZ34" s="39">
        <v>52.65</v>
      </c>
      <c r="BA34" s="39">
        <v>52.79</v>
      </c>
      <c r="BB34" s="39">
        <v>52.92</v>
      </c>
      <c r="BC34" s="39">
        <v>53.03</v>
      </c>
      <c r="BD34" s="39">
        <v>53.15</v>
      </c>
      <c r="BE34" s="39">
        <v>53.28</v>
      </c>
      <c r="BF34" s="39">
        <v>53.42</v>
      </c>
      <c r="BG34" s="39">
        <v>53.58</v>
      </c>
      <c r="BH34" s="39">
        <v>53.77</v>
      </c>
      <c r="BI34" s="39">
        <v>53.91</v>
      </c>
      <c r="BJ34" s="39">
        <v>54.06</v>
      </c>
      <c r="BK34" s="39">
        <v>54.22</v>
      </c>
      <c r="BL34" s="39">
        <v>54.4</v>
      </c>
      <c r="BM34" s="39">
        <v>54.6</v>
      </c>
      <c r="BN34" s="39">
        <v>54.76</v>
      </c>
      <c r="BO34" s="39">
        <v>54.9</v>
      </c>
      <c r="BP34" s="39">
        <v>55.07</v>
      </c>
      <c r="BQ34" s="39">
        <v>55.22</v>
      </c>
      <c r="BR34" s="39">
        <v>55.36</v>
      </c>
      <c r="BS34" s="39">
        <v>55.52</v>
      </c>
      <c r="BT34" s="39">
        <v>55.66</v>
      </c>
      <c r="BU34" s="39">
        <v>55.8</v>
      </c>
      <c r="BV34" s="39">
        <v>55.93</v>
      </c>
      <c r="BW34" s="39">
        <v>56.08</v>
      </c>
      <c r="BX34" s="39">
        <v>56.2</v>
      </c>
      <c r="BY34" s="39">
        <v>56.34</v>
      </c>
      <c r="BZ34" s="39">
        <v>56.47</v>
      </c>
      <c r="CA34" s="39">
        <v>56.6</v>
      </c>
      <c r="CB34" s="39">
        <v>56.74</v>
      </c>
      <c r="CC34" s="39">
        <v>56.87</v>
      </c>
      <c r="CD34" s="39">
        <v>57</v>
      </c>
      <c r="CE34" s="39">
        <v>57.13</v>
      </c>
      <c r="CF34" s="39">
        <v>57.25</v>
      </c>
      <c r="CG34" s="39">
        <v>57.38</v>
      </c>
      <c r="CH34" s="39">
        <v>57.51</v>
      </c>
      <c r="CI34" s="39">
        <v>57.64</v>
      </c>
      <c r="CJ34" s="39">
        <v>57.77</v>
      </c>
      <c r="CK34" s="39">
        <v>57.9</v>
      </c>
      <c r="CL34" s="39">
        <v>58.02</v>
      </c>
      <c r="CM34" s="39">
        <v>58.15</v>
      </c>
      <c r="CN34" s="39">
        <v>58.27</v>
      </c>
      <c r="CO34" s="39">
        <v>58.39</v>
      </c>
      <c r="CP34" s="39">
        <v>58.52</v>
      </c>
      <c r="CQ34" s="39">
        <v>58.64</v>
      </c>
      <c r="CR34" s="39">
        <v>58.76</v>
      </c>
      <c r="CS34" s="39">
        <v>58.88</v>
      </c>
      <c r="CT34" s="39">
        <v>59</v>
      </c>
      <c r="CU34" s="39">
        <v>59.11</v>
      </c>
      <c r="CV34" s="39">
        <v>59.23</v>
      </c>
      <c r="CW34" s="39">
        <v>59.35</v>
      </c>
      <c r="CX34" s="39">
        <v>59.46</v>
      </c>
      <c r="CY34" s="39">
        <v>59.57</v>
      </c>
      <c r="CZ34" s="39">
        <v>59.69</v>
      </c>
      <c r="DA34" s="39">
        <v>59.8</v>
      </c>
      <c r="DB34" s="39">
        <v>59.91</v>
      </c>
      <c r="DC34" s="39">
        <v>60.02</v>
      </c>
      <c r="DD34" s="39">
        <v>60.13</v>
      </c>
      <c r="DE34" s="39">
        <v>60.23</v>
      </c>
      <c r="DF34" s="39">
        <v>60.34</v>
      </c>
      <c r="DG34" s="39">
        <v>60.45</v>
      </c>
      <c r="DH34" s="39">
        <v>60.55</v>
      </c>
      <c r="DI34" s="39">
        <v>60.66</v>
      </c>
      <c r="DJ34" s="39">
        <v>60.76</v>
      </c>
      <c r="DK34" s="39">
        <v>60.86</v>
      </c>
      <c r="DL34" s="39">
        <v>60.96</v>
      </c>
      <c r="DM34" s="39">
        <v>61.06</v>
      </c>
      <c r="DN34" s="39">
        <v>61.16</v>
      </c>
      <c r="DO34" s="39">
        <v>61.26</v>
      </c>
      <c r="DP34" s="39">
        <v>61.36</v>
      </c>
      <c r="DQ34" s="39">
        <v>61.46</v>
      </c>
      <c r="DR34" s="39">
        <v>61.55</v>
      </c>
    </row>
    <row r="35" spans="1:122">
      <c r="A35" s="44">
        <v>33</v>
      </c>
      <c r="B35" s="45"/>
      <c r="C35" s="45"/>
      <c r="D35" s="45"/>
      <c r="E35" s="45"/>
      <c r="F35" s="45"/>
      <c r="G35" s="45"/>
      <c r="H35" s="45"/>
      <c r="I35" s="45"/>
      <c r="J35" s="45"/>
      <c r="K35" s="45"/>
      <c r="L35" s="45"/>
      <c r="M35" s="45"/>
      <c r="N35" s="45"/>
      <c r="O35" s="45"/>
      <c r="P35" s="45"/>
      <c r="Q35" s="45"/>
      <c r="R35" s="45"/>
      <c r="S35" s="45"/>
      <c r="T35" s="45"/>
      <c r="U35" s="45"/>
      <c r="V35" s="39"/>
      <c r="W35" s="39">
        <v>46.8</v>
      </c>
      <c r="X35" s="39">
        <v>47</v>
      </c>
      <c r="Y35" s="39">
        <v>47.21</v>
      </c>
      <c r="Z35" s="39">
        <v>47.45</v>
      </c>
      <c r="AA35" s="39">
        <v>47.6</v>
      </c>
      <c r="AB35" s="39">
        <v>47.81</v>
      </c>
      <c r="AC35" s="39">
        <v>48.04</v>
      </c>
      <c r="AD35" s="39">
        <v>48.16</v>
      </c>
      <c r="AE35" s="39">
        <v>48.39</v>
      </c>
      <c r="AF35" s="39">
        <v>48.59</v>
      </c>
      <c r="AG35" s="39">
        <v>48.78</v>
      </c>
      <c r="AH35" s="39">
        <v>48.96</v>
      </c>
      <c r="AI35" s="39">
        <v>49.15</v>
      </c>
      <c r="AJ35" s="39">
        <v>49.43</v>
      </c>
      <c r="AK35" s="39">
        <v>49.69</v>
      </c>
      <c r="AL35" s="39">
        <v>49.98</v>
      </c>
      <c r="AM35" s="39">
        <v>50.25</v>
      </c>
      <c r="AN35" s="39">
        <v>50.45</v>
      </c>
      <c r="AO35" s="39">
        <v>50.62</v>
      </c>
      <c r="AP35" s="39">
        <v>50.76</v>
      </c>
      <c r="AQ35" s="39">
        <v>50.83</v>
      </c>
      <c r="AR35" s="39">
        <v>50.9</v>
      </c>
      <c r="AS35" s="39">
        <v>50.95</v>
      </c>
      <c r="AT35" s="39">
        <v>50.94</v>
      </c>
      <c r="AU35" s="39">
        <v>51.02</v>
      </c>
      <c r="AV35" s="39">
        <v>51.09</v>
      </c>
      <c r="AW35" s="39">
        <v>51.33</v>
      </c>
      <c r="AX35" s="39">
        <v>51.4</v>
      </c>
      <c r="AY35" s="39">
        <v>51.56</v>
      </c>
      <c r="AZ35" s="39">
        <v>51.69</v>
      </c>
      <c r="BA35" s="39">
        <v>51.82</v>
      </c>
      <c r="BB35" s="39">
        <v>51.95</v>
      </c>
      <c r="BC35" s="39">
        <v>52.06</v>
      </c>
      <c r="BD35" s="39">
        <v>52.18</v>
      </c>
      <c r="BE35" s="39">
        <v>52.31</v>
      </c>
      <c r="BF35" s="39">
        <v>52.46</v>
      </c>
      <c r="BG35" s="39">
        <v>52.62</v>
      </c>
      <c r="BH35" s="39">
        <v>52.8</v>
      </c>
      <c r="BI35" s="39">
        <v>52.94</v>
      </c>
      <c r="BJ35" s="39">
        <v>53.09</v>
      </c>
      <c r="BK35" s="39">
        <v>53.26</v>
      </c>
      <c r="BL35" s="39">
        <v>53.43</v>
      </c>
      <c r="BM35" s="39">
        <v>53.63</v>
      </c>
      <c r="BN35" s="39">
        <v>53.79</v>
      </c>
      <c r="BO35" s="39">
        <v>53.93</v>
      </c>
      <c r="BP35" s="39">
        <v>54.09</v>
      </c>
      <c r="BQ35" s="39">
        <v>54.24</v>
      </c>
      <c r="BR35" s="39">
        <v>54.38</v>
      </c>
      <c r="BS35" s="39">
        <v>54.54</v>
      </c>
      <c r="BT35" s="39">
        <v>54.68</v>
      </c>
      <c r="BU35" s="39">
        <v>54.82</v>
      </c>
      <c r="BV35" s="39">
        <v>54.95</v>
      </c>
      <c r="BW35" s="39">
        <v>55.1</v>
      </c>
      <c r="BX35" s="39">
        <v>55.22</v>
      </c>
      <c r="BY35" s="39">
        <v>55.36</v>
      </c>
      <c r="BZ35" s="39">
        <v>55.49</v>
      </c>
      <c r="CA35" s="39">
        <v>55.62</v>
      </c>
      <c r="CB35" s="39">
        <v>55.76</v>
      </c>
      <c r="CC35" s="39">
        <v>55.89</v>
      </c>
      <c r="CD35" s="39">
        <v>56.02</v>
      </c>
      <c r="CE35" s="39">
        <v>56.15</v>
      </c>
      <c r="CF35" s="39">
        <v>56.27</v>
      </c>
      <c r="CG35" s="39">
        <v>56.4</v>
      </c>
      <c r="CH35" s="39">
        <v>56.53</v>
      </c>
      <c r="CI35" s="39">
        <v>56.66</v>
      </c>
      <c r="CJ35" s="39">
        <v>56.79</v>
      </c>
      <c r="CK35" s="39">
        <v>56.91</v>
      </c>
      <c r="CL35" s="39">
        <v>57.04</v>
      </c>
      <c r="CM35" s="39">
        <v>57.16</v>
      </c>
      <c r="CN35" s="39">
        <v>57.29</v>
      </c>
      <c r="CO35" s="39">
        <v>57.41</v>
      </c>
      <c r="CP35" s="39">
        <v>57.53</v>
      </c>
      <c r="CQ35" s="39">
        <v>57.65</v>
      </c>
      <c r="CR35" s="39">
        <v>57.77</v>
      </c>
      <c r="CS35" s="39">
        <v>57.89</v>
      </c>
      <c r="CT35" s="39">
        <v>58.01</v>
      </c>
      <c r="CU35" s="39">
        <v>58.13</v>
      </c>
      <c r="CV35" s="39">
        <v>58.24</v>
      </c>
      <c r="CW35" s="39">
        <v>58.36</v>
      </c>
      <c r="CX35" s="39">
        <v>58.47</v>
      </c>
      <c r="CY35" s="39">
        <v>58.59</v>
      </c>
      <c r="CZ35" s="39">
        <v>58.7</v>
      </c>
      <c r="DA35" s="39">
        <v>58.81</v>
      </c>
      <c r="DB35" s="39">
        <v>58.92</v>
      </c>
      <c r="DC35" s="39">
        <v>59.03</v>
      </c>
      <c r="DD35" s="39">
        <v>59.14</v>
      </c>
      <c r="DE35" s="39">
        <v>59.25</v>
      </c>
      <c r="DF35" s="39">
        <v>59.35</v>
      </c>
      <c r="DG35" s="39">
        <v>59.46</v>
      </c>
      <c r="DH35" s="39">
        <v>59.56</v>
      </c>
      <c r="DI35" s="39">
        <v>59.67</v>
      </c>
      <c r="DJ35" s="39">
        <v>59.77</v>
      </c>
      <c r="DK35" s="39">
        <v>59.87</v>
      </c>
      <c r="DL35" s="39">
        <v>59.97</v>
      </c>
      <c r="DM35" s="39">
        <v>60.07</v>
      </c>
      <c r="DN35" s="39">
        <v>60.17</v>
      </c>
      <c r="DO35" s="39">
        <v>60.27</v>
      </c>
      <c r="DP35" s="39">
        <v>60.37</v>
      </c>
      <c r="DQ35" s="39">
        <v>60.47</v>
      </c>
      <c r="DR35" s="39">
        <v>60.56</v>
      </c>
    </row>
    <row r="36" spans="1:122">
      <c r="A36" s="44">
        <v>34</v>
      </c>
      <c r="B36" s="45"/>
      <c r="C36" s="45"/>
      <c r="D36" s="45"/>
      <c r="E36" s="45"/>
      <c r="F36" s="45"/>
      <c r="G36" s="45"/>
      <c r="H36" s="45"/>
      <c r="I36" s="45"/>
      <c r="J36" s="45"/>
      <c r="K36" s="45"/>
      <c r="L36" s="45"/>
      <c r="M36" s="45"/>
      <c r="N36" s="45"/>
      <c r="O36" s="45"/>
      <c r="P36" s="45"/>
      <c r="Q36" s="45"/>
      <c r="R36" s="45"/>
      <c r="S36" s="45"/>
      <c r="T36" s="45"/>
      <c r="U36" s="45"/>
      <c r="V36" s="39"/>
      <c r="W36" s="39">
        <v>45.86</v>
      </c>
      <c r="X36" s="39">
        <v>46.07</v>
      </c>
      <c r="Y36" s="39">
        <v>46.27</v>
      </c>
      <c r="Z36" s="39">
        <v>46.51</v>
      </c>
      <c r="AA36" s="39">
        <v>46.66</v>
      </c>
      <c r="AB36" s="39">
        <v>46.87</v>
      </c>
      <c r="AC36" s="39">
        <v>47.1</v>
      </c>
      <c r="AD36" s="39">
        <v>47.22</v>
      </c>
      <c r="AE36" s="39">
        <v>47.45</v>
      </c>
      <c r="AF36" s="39">
        <v>47.64</v>
      </c>
      <c r="AG36" s="39">
        <v>47.83</v>
      </c>
      <c r="AH36" s="39">
        <v>48.01</v>
      </c>
      <c r="AI36" s="39">
        <v>48.21</v>
      </c>
      <c r="AJ36" s="39">
        <v>48.48</v>
      </c>
      <c r="AK36" s="39">
        <v>48.74</v>
      </c>
      <c r="AL36" s="39">
        <v>49.03</v>
      </c>
      <c r="AM36" s="39">
        <v>49.3</v>
      </c>
      <c r="AN36" s="39">
        <v>49.5</v>
      </c>
      <c r="AO36" s="39">
        <v>49.67</v>
      </c>
      <c r="AP36" s="39">
        <v>49.81</v>
      </c>
      <c r="AQ36" s="39">
        <v>49.87</v>
      </c>
      <c r="AR36" s="39">
        <v>49.94</v>
      </c>
      <c r="AS36" s="39">
        <v>49.99</v>
      </c>
      <c r="AT36" s="39">
        <v>49.99</v>
      </c>
      <c r="AU36" s="39">
        <v>50.07</v>
      </c>
      <c r="AV36" s="39">
        <v>50.14</v>
      </c>
      <c r="AW36" s="39">
        <v>50.37</v>
      </c>
      <c r="AX36" s="39">
        <v>50.43</v>
      </c>
      <c r="AY36" s="39">
        <v>50.6</v>
      </c>
      <c r="AZ36" s="39">
        <v>50.73</v>
      </c>
      <c r="BA36" s="39">
        <v>50.86</v>
      </c>
      <c r="BB36" s="39">
        <v>50.99</v>
      </c>
      <c r="BC36" s="39">
        <v>51.1</v>
      </c>
      <c r="BD36" s="39">
        <v>51.22</v>
      </c>
      <c r="BE36" s="39">
        <v>51.35</v>
      </c>
      <c r="BF36" s="39">
        <v>51.49</v>
      </c>
      <c r="BG36" s="39">
        <v>51.66</v>
      </c>
      <c r="BH36" s="39">
        <v>51.84</v>
      </c>
      <c r="BI36" s="39">
        <v>51.98</v>
      </c>
      <c r="BJ36" s="39">
        <v>52.13</v>
      </c>
      <c r="BK36" s="39">
        <v>52.29</v>
      </c>
      <c r="BL36" s="39">
        <v>52.46</v>
      </c>
      <c r="BM36" s="39">
        <v>52.65</v>
      </c>
      <c r="BN36" s="39">
        <v>52.82</v>
      </c>
      <c r="BO36" s="39">
        <v>52.95</v>
      </c>
      <c r="BP36" s="39">
        <v>53.12</v>
      </c>
      <c r="BQ36" s="39">
        <v>53.27</v>
      </c>
      <c r="BR36" s="39">
        <v>53.4</v>
      </c>
      <c r="BS36" s="39">
        <v>53.56</v>
      </c>
      <c r="BT36" s="39">
        <v>53.7</v>
      </c>
      <c r="BU36" s="39">
        <v>53.84</v>
      </c>
      <c r="BV36" s="39">
        <v>53.97</v>
      </c>
      <c r="BW36" s="39">
        <v>54.12</v>
      </c>
      <c r="BX36" s="39">
        <v>54.24</v>
      </c>
      <c r="BY36" s="39">
        <v>54.38</v>
      </c>
      <c r="BZ36" s="39">
        <v>54.51</v>
      </c>
      <c r="CA36" s="39">
        <v>54.64</v>
      </c>
      <c r="CB36" s="39">
        <v>54.78</v>
      </c>
      <c r="CC36" s="39">
        <v>54.91</v>
      </c>
      <c r="CD36" s="39">
        <v>55.04</v>
      </c>
      <c r="CE36" s="39">
        <v>55.17</v>
      </c>
      <c r="CF36" s="39">
        <v>55.29</v>
      </c>
      <c r="CG36" s="39">
        <v>55.42</v>
      </c>
      <c r="CH36" s="39">
        <v>55.55</v>
      </c>
      <c r="CI36" s="39">
        <v>55.68</v>
      </c>
      <c r="CJ36" s="39">
        <v>55.81</v>
      </c>
      <c r="CK36" s="39">
        <v>55.93</v>
      </c>
      <c r="CL36" s="39">
        <v>56.06</v>
      </c>
      <c r="CM36" s="39">
        <v>56.18</v>
      </c>
      <c r="CN36" s="39">
        <v>56.31</v>
      </c>
      <c r="CO36" s="39">
        <v>56.43</v>
      </c>
      <c r="CP36" s="39">
        <v>56.55</v>
      </c>
      <c r="CQ36" s="39">
        <v>56.67</v>
      </c>
      <c r="CR36" s="39">
        <v>56.79</v>
      </c>
      <c r="CS36" s="39">
        <v>56.91</v>
      </c>
      <c r="CT36" s="39">
        <v>57.03</v>
      </c>
      <c r="CU36" s="39">
        <v>57.14</v>
      </c>
      <c r="CV36" s="39">
        <v>57.26</v>
      </c>
      <c r="CW36" s="39">
        <v>57.37</v>
      </c>
      <c r="CX36" s="39">
        <v>57.49</v>
      </c>
      <c r="CY36" s="39">
        <v>57.6</v>
      </c>
      <c r="CZ36" s="39">
        <v>57.71</v>
      </c>
      <c r="DA36" s="39">
        <v>57.82</v>
      </c>
      <c r="DB36" s="39">
        <v>57.93</v>
      </c>
      <c r="DC36" s="39">
        <v>58.04</v>
      </c>
      <c r="DD36" s="39">
        <v>58.15</v>
      </c>
      <c r="DE36" s="39">
        <v>58.26</v>
      </c>
      <c r="DF36" s="39">
        <v>58.36</v>
      </c>
      <c r="DG36" s="39">
        <v>58.47</v>
      </c>
      <c r="DH36" s="39">
        <v>58.57</v>
      </c>
      <c r="DI36" s="39">
        <v>58.68</v>
      </c>
      <c r="DJ36" s="39">
        <v>58.78</v>
      </c>
      <c r="DK36" s="39">
        <v>58.88</v>
      </c>
      <c r="DL36" s="39">
        <v>58.98</v>
      </c>
      <c r="DM36" s="39">
        <v>59.08</v>
      </c>
      <c r="DN36" s="39">
        <v>59.18</v>
      </c>
      <c r="DO36" s="39">
        <v>59.28</v>
      </c>
      <c r="DP36" s="39">
        <v>59.38</v>
      </c>
      <c r="DQ36" s="39">
        <v>59.48</v>
      </c>
      <c r="DR36" s="39">
        <v>59.57</v>
      </c>
    </row>
    <row r="37" spans="1:122">
      <c r="A37" s="44">
        <v>35</v>
      </c>
      <c r="B37" s="45"/>
      <c r="C37" s="45"/>
      <c r="D37" s="45"/>
      <c r="E37" s="45"/>
      <c r="F37" s="45"/>
      <c r="G37" s="45"/>
      <c r="H37" s="45"/>
      <c r="I37" s="45"/>
      <c r="J37" s="45"/>
      <c r="K37" s="45"/>
      <c r="L37" s="45"/>
      <c r="M37" s="45"/>
      <c r="N37" s="45"/>
      <c r="O37" s="45"/>
      <c r="P37" s="45"/>
      <c r="Q37" s="45"/>
      <c r="R37" s="45"/>
      <c r="S37" s="45"/>
      <c r="T37" s="45"/>
      <c r="U37" s="45"/>
      <c r="V37" s="39"/>
      <c r="W37" s="39">
        <v>44.94</v>
      </c>
      <c r="X37" s="39">
        <v>45.13</v>
      </c>
      <c r="Y37" s="39">
        <v>45.34</v>
      </c>
      <c r="Z37" s="39">
        <v>45.58</v>
      </c>
      <c r="AA37" s="39">
        <v>45.72</v>
      </c>
      <c r="AB37" s="39">
        <v>45.93</v>
      </c>
      <c r="AC37" s="39">
        <v>46.16</v>
      </c>
      <c r="AD37" s="39">
        <v>46.27</v>
      </c>
      <c r="AE37" s="39">
        <v>46.51</v>
      </c>
      <c r="AF37" s="39">
        <v>46.7</v>
      </c>
      <c r="AG37" s="39">
        <v>46.89</v>
      </c>
      <c r="AH37" s="39">
        <v>47.07</v>
      </c>
      <c r="AI37" s="39">
        <v>47.26</v>
      </c>
      <c r="AJ37" s="39">
        <v>47.53</v>
      </c>
      <c r="AK37" s="39">
        <v>47.79</v>
      </c>
      <c r="AL37" s="39">
        <v>48.08</v>
      </c>
      <c r="AM37" s="39">
        <v>48.35</v>
      </c>
      <c r="AN37" s="39">
        <v>48.55</v>
      </c>
      <c r="AO37" s="39">
        <v>48.72</v>
      </c>
      <c r="AP37" s="39">
        <v>48.86</v>
      </c>
      <c r="AQ37" s="39">
        <v>48.92</v>
      </c>
      <c r="AR37" s="39">
        <v>48.99</v>
      </c>
      <c r="AS37" s="39">
        <v>49.04</v>
      </c>
      <c r="AT37" s="39">
        <v>49.04</v>
      </c>
      <c r="AU37" s="39">
        <v>49.11</v>
      </c>
      <c r="AV37" s="39">
        <v>49.18</v>
      </c>
      <c r="AW37" s="39">
        <v>49.41</v>
      </c>
      <c r="AX37" s="39">
        <v>49.47</v>
      </c>
      <c r="AY37" s="39">
        <v>49.64</v>
      </c>
      <c r="AZ37" s="39">
        <v>49.76</v>
      </c>
      <c r="BA37" s="39">
        <v>49.9</v>
      </c>
      <c r="BB37" s="39">
        <v>50.02</v>
      </c>
      <c r="BC37" s="39">
        <v>50.14</v>
      </c>
      <c r="BD37" s="39">
        <v>50.25</v>
      </c>
      <c r="BE37" s="39">
        <v>50.39</v>
      </c>
      <c r="BF37" s="39">
        <v>50.53</v>
      </c>
      <c r="BG37" s="39">
        <v>50.7</v>
      </c>
      <c r="BH37" s="39">
        <v>50.88</v>
      </c>
      <c r="BI37" s="39">
        <v>51.01</v>
      </c>
      <c r="BJ37" s="39">
        <v>51.17</v>
      </c>
      <c r="BK37" s="39">
        <v>51.32</v>
      </c>
      <c r="BL37" s="39">
        <v>51.5</v>
      </c>
      <c r="BM37" s="39">
        <v>51.68</v>
      </c>
      <c r="BN37" s="39">
        <v>51.84</v>
      </c>
      <c r="BO37" s="39">
        <v>51.98</v>
      </c>
      <c r="BP37" s="39">
        <v>52.15</v>
      </c>
      <c r="BQ37" s="39">
        <v>52.29</v>
      </c>
      <c r="BR37" s="39">
        <v>52.43</v>
      </c>
      <c r="BS37" s="39">
        <v>52.59</v>
      </c>
      <c r="BT37" s="39">
        <v>52.72</v>
      </c>
      <c r="BU37" s="39">
        <v>52.86</v>
      </c>
      <c r="BV37" s="39">
        <v>52.99</v>
      </c>
      <c r="BW37" s="39">
        <v>53.14</v>
      </c>
      <c r="BX37" s="39">
        <v>53.27</v>
      </c>
      <c r="BY37" s="39">
        <v>53.4</v>
      </c>
      <c r="BZ37" s="39">
        <v>53.53</v>
      </c>
      <c r="CA37" s="39">
        <v>53.67</v>
      </c>
      <c r="CB37" s="39">
        <v>53.8</v>
      </c>
      <c r="CC37" s="39">
        <v>53.93</v>
      </c>
      <c r="CD37" s="39">
        <v>54.06</v>
      </c>
      <c r="CE37" s="39">
        <v>54.19</v>
      </c>
      <c r="CF37" s="39">
        <v>54.31</v>
      </c>
      <c r="CG37" s="39">
        <v>54.44</v>
      </c>
      <c r="CH37" s="39">
        <v>54.57</v>
      </c>
      <c r="CI37" s="39">
        <v>54.7</v>
      </c>
      <c r="CJ37" s="39">
        <v>54.83</v>
      </c>
      <c r="CK37" s="39">
        <v>54.95</v>
      </c>
      <c r="CL37" s="39">
        <v>55.08</v>
      </c>
      <c r="CM37" s="39">
        <v>55.2</v>
      </c>
      <c r="CN37" s="39">
        <v>55.33</v>
      </c>
      <c r="CO37" s="39">
        <v>55.45</v>
      </c>
      <c r="CP37" s="39">
        <v>55.57</v>
      </c>
      <c r="CQ37" s="39">
        <v>55.69</v>
      </c>
      <c r="CR37" s="39">
        <v>55.81</v>
      </c>
      <c r="CS37" s="39">
        <v>55.93</v>
      </c>
      <c r="CT37" s="39">
        <v>56.04</v>
      </c>
      <c r="CU37" s="39">
        <v>56.16</v>
      </c>
      <c r="CV37" s="39">
        <v>56.28</v>
      </c>
      <c r="CW37" s="39">
        <v>56.39</v>
      </c>
      <c r="CX37" s="39">
        <v>56.5</v>
      </c>
      <c r="CY37" s="39">
        <v>56.62</v>
      </c>
      <c r="CZ37" s="39">
        <v>56.73</v>
      </c>
      <c r="DA37" s="39">
        <v>56.84</v>
      </c>
      <c r="DB37" s="39">
        <v>56.95</v>
      </c>
      <c r="DC37" s="39">
        <v>57.06</v>
      </c>
      <c r="DD37" s="39">
        <v>57.16</v>
      </c>
      <c r="DE37" s="39">
        <v>57.27</v>
      </c>
      <c r="DF37" s="39">
        <v>57.38</v>
      </c>
      <c r="DG37" s="39">
        <v>57.48</v>
      </c>
      <c r="DH37" s="39">
        <v>57.59</v>
      </c>
      <c r="DI37" s="39">
        <v>57.69</v>
      </c>
      <c r="DJ37" s="39">
        <v>57.79</v>
      </c>
      <c r="DK37" s="39">
        <v>57.89</v>
      </c>
      <c r="DL37" s="39">
        <v>58</v>
      </c>
      <c r="DM37" s="39">
        <v>58.09</v>
      </c>
      <c r="DN37" s="39">
        <v>58.19</v>
      </c>
      <c r="DO37" s="39">
        <v>58.29</v>
      </c>
      <c r="DP37" s="39">
        <v>58.39</v>
      </c>
      <c r="DQ37" s="39">
        <v>58.49</v>
      </c>
      <c r="DR37" s="39">
        <v>58.58</v>
      </c>
    </row>
    <row r="38" spans="1:122">
      <c r="A38" s="44">
        <v>36</v>
      </c>
      <c r="B38" s="45"/>
      <c r="C38" s="45"/>
      <c r="D38" s="45"/>
      <c r="E38" s="45"/>
      <c r="F38" s="45"/>
      <c r="G38" s="45"/>
      <c r="H38" s="45"/>
      <c r="I38" s="45"/>
      <c r="J38" s="45"/>
      <c r="K38" s="45"/>
      <c r="L38" s="45"/>
      <c r="M38" s="45"/>
      <c r="N38" s="45"/>
      <c r="O38" s="45"/>
      <c r="P38" s="45"/>
      <c r="Q38" s="45"/>
      <c r="R38" s="45"/>
      <c r="S38" s="45"/>
      <c r="T38" s="45"/>
      <c r="U38" s="45"/>
      <c r="V38" s="39"/>
      <c r="W38" s="39">
        <v>44</v>
      </c>
      <c r="X38" s="39">
        <v>44.2</v>
      </c>
      <c r="Y38" s="39">
        <v>44.4</v>
      </c>
      <c r="Z38" s="39">
        <v>44.64</v>
      </c>
      <c r="AA38" s="39">
        <v>44.79</v>
      </c>
      <c r="AB38" s="39">
        <v>45</v>
      </c>
      <c r="AC38" s="39">
        <v>45.22</v>
      </c>
      <c r="AD38" s="39">
        <v>45.33</v>
      </c>
      <c r="AE38" s="39">
        <v>45.57</v>
      </c>
      <c r="AF38" s="39">
        <v>45.76</v>
      </c>
      <c r="AG38" s="39">
        <v>45.94</v>
      </c>
      <c r="AH38" s="39">
        <v>46.13</v>
      </c>
      <c r="AI38" s="39">
        <v>46.31</v>
      </c>
      <c r="AJ38" s="39">
        <v>46.59</v>
      </c>
      <c r="AK38" s="39">
        <v>46.85</v>
      </c>
      <c r="AL38" s="39">
        <v>47.13</v>
      </c>
      <c r="AM38" s="39">
        <v>47.39</v>
      </c>
      <c r="AN38" s="39">
        <v>47.6</v>
      </c>
      <c r="AO38" s="39">
        <v>47.77</v>
      </c>
      <c r="AP38" s="39">
        <v>47.91</v>
      </c>
      <c r="AQ38" s="39">
        <v>47.97</v>
      </c>
      <c r="AR38" s="39">
        <v>48.04</v>
      </c>
      <c r="AS38" s="39">
        <v>48.09</v>
      </c>
      <c r="AT38" s="39">
        <v>48.09</v>
      </c>
      <c r="AU38" s="39">
        <v>48.16</v>
      </c>
      <c r="AV38" s="39">
        <v>48.23</v>
      </c>
      <c r="AW38" s="39">
        <v>48.46</v>
      </c>
      <c r="AX38" s="39">
        <v>48.52</v>
      </c>
      <c r="AY38" s="39">
        <v>48.69</v>
      </c>
      <c r="AZ38" s="39">
        <v>48.8</v>
      </c>
      <c r="BA38" s="39">
        <v>48.94</v>
      </c>
      <c r="BB38" s="39">
        <v>49.06</v>
      </c>
      <c r="BC38" s="39">
        <v>49.18</v>
      </c>
      <c r="BD38" s="39">
        <v>49.29</v>
      </c>
      <c r="BE38" s="39">
        <v>49.43</v>
      </c>
      <c r="BF38" s="39">
        <v>49.57</v>
      </c>
      <c r="BG38" s="39">
        <v>49.74</v>
      </c>
      <c r="BH38" s="39">
        <v>49.91</v>
      </c>
      <c r="BI38" s="39">
        <v>50.05</v>
      </c>
      <c r="BJ38" s="39">
        <v>50.21</v>
      </c>
      <c r="BK38" s="39">
        <v>50.36</v>
      </c>
      <c r="BL38" s="39">
        <v>50.53</v>
      </c>
      <c r="BM38" s="39">
        <v>50.72</v>
      </c>
      <c r="BN38" s="39">
        <v>50.87</v>
      </c>
      <c r="BO38" s="39">
        <v>51.01</v>
      </c>
      <c r="BP38" s="39">
        <v>51.18</v>
      </c>
      <c r="BQ38" s="39">
        <v>51.32</v>
      </c>
      <c r="BR38" s="39">
        <v>51.45</v>
      </c>
      <c r="BS38" s="39">
        <v>51.61</v>
      </c>
      <c r="BT38" s="39">
        <v>51.75</v>
      </c>
      <c r="BU38" s="39">
        <v>51.88</v>
      </c>
      <c r="BV38" s="39">
        <v>52.01</v>
      </c>
      <c r="BW38" s="39">
        <v>52.16</v>
      </c>
      <c r="BX38" s="39">
        <v>52.29</v>
      </c>
      <c r="BY38" s="39">
        <v>52.42</v>
      </c>
      <c r="BZ38" s="39">
        <v>52.56</v>
      </c>
      <c r="CA38" s="39">
        <v>52.69</v>
      </c>
      <c r="CB38" s="39">
        <v>52.82</v>
      </c>
      <c r="CC38" s="39">
        <v>52.95</v>
      </c>
      <c r="CD38" s="39">
        <v>53.08</v>
      </c>
      <c r="CE38" s="39">
        <v>53.21</v>
      </c>
      <c r="CF38" s="39">
        <v>53.34</v>
      </c>
      <c r="CG38" s="39">
        <v>53.47</v>
      </c>
      <c r="CH38" s="39">
        <v>53.6</v>
      </c>
      <c r="CI38" s="39">
        <v>53.72</v>
      </c>
      <c r="CJ38" s="39">
        <v>53.85</v>
      </c>
      <c r="CK38" s="39">
        <v>53.98</v>
      </c>
      <c r="CL38" s="39">
        <v>54.1</v>
      </c>
      <c r="CM38" s="39">
        <v>54.22</v>
      </c>
      <c r="CN38" s="39">
        <v>54.35</v>
      </c>
      <c r="CO38" s="39">
        <v>54.47</v>
      </c>
      <c r="CP38" s="39">
        <v>54.59</v>
      </c>
      <c r="CQ38" s="39">
        <v>54.71</v>
      </c>
      <c r="CR38" s="39">
        <v>54.83</v>
      </c>
      <c r="CS38" s="39">
        <v>54.95</v>
      </c>
      <c r="CT38" s="39">
        <v>55.06</v>
      </c>
      <c r="CU38" s="39">
        <v>55.18</v>
      </c>
      <c r="CV38" s="39">
        <v>55.29</v>
      </c>
      <c r="CW38" s="39">
        <v>55.41</v>
      </c>
      <c r="CX38" s="39">
        <v>55.52</v>
      </c>
      <c r="CY38" s="39">
        <v>55.63</v>
      </c>
      <c r="CZ38" s="39">
        <v>55.74</v>
      </c>
      <c r="DA38" s="39">
        <v>55.85</v>
      </c>
      <c r="DB38" s="39">
        <v>55.96</v>
      </c>
      <c r="DC38" s="39">
        <v>56.07</v>
      </c>
      <c r="DD38" s="39">
        <v>56.18</v>
      </c>
      <c r="DE38" s="39">
        <v>56.29</v>
      </c>
      <c r="DF38" s="39">
        <v>56.39</v>
      </c>
      <c r="DG38" s="39">
        <v>56.5</v>
      </c>
      <c r="DH38" s="39">
        <v>56.6</v>
      </c>
      <c r="DI38" s="39">
        <v>56.7</v>
      </c>
      <c r="DJ38" s="39">
        <v>56.81</v>
      </c>
      <c r="DK38" s="39">
        <v>56.91</v>
      </c>
      <c r="DL38" s="39">
        <v>57.01</v>
      </c>
      <c r="DM38" s="39">
        <v>57.11</v>
      </c>
      <c r="DN38" s="39">
        <v>57.21</v>
      </c>
      <c r="DO38" s="39">
        <v>57.3</v>
      </c>
      <c r="DP38" s="39">
        <v>57.4</v>
      </c>
      <c r="DQ38" s="39">
        <v>57.5</v>
      </c>
      <c r="DR38" s="39">
        <v>57.59</v>
      </c>
    </row>
    <row r="39" spans="1:122">
      <c r="A39" s="44">
        <v>37</v>
      </c>
      <c r="B39" s="45"/>
      <c r="C39" s="45"/>
      <c r="D39" s="45"/>
      <c r="E39" s="45"/>
      <c r="F39" s="45"/>
      <c r="G39" s="45"/>
      <c r="H39" s="45"/>
      <c r="I39" s="45"/>
      <c r="J39" s="45"/>
      <c r="K39" s="45"/>
      <c r="L39" s="45"/>
      <c r="M39" s="45"/>
      <c r="N39" s="45"/>
      <c r="O39" s="45"/>
      <c r="P39" s="45"/>
      <c r="Q39" s="45"/>
      <c r="R39" s="45"/>
      <c r="S39" s="45"/>
      <c r="T39" s="45"/>
      <c r="U39" s="45"/>
      <c r="V39" s="39"/>
      <c r="W39" s="39">
        <v>43.07</v>
      </c>
      <c r="X39" s="39">
        <v>43.27</v>
      </c>
      <c r="Y39" s="39">
        <v>43.47</v>
      </c>
      <c r="Z39" s="39">
        <v>43.71</v>
      </c>
      <c r="AA39" s="39">
        <v>43.85</v>
      </c>
      <c r="AB39" s="39">
        <v>44.06</v>
      </c>
      <c r="AC39" s="39">
        <v>44.28</v>
      </c>
      <c r="AD39" s="39">
        <v>44.4</v>
      </c>
      <c r="AE39" s="39">
        <v>44.62</v>
      </c>
      <c r="AF39" s="39">
        <v>44.82</v>
      </c>
      <c r="AG39" s="39">
        <v>45</v>
      </c>
      <c r="AH39" s="39">
        <v>45.18</v>
      </c>
      <c r="AI39" s="39">
        <v>45.38</v>
      </c>
      <c r="AJ39" s="39">
        <v>45.65</v>
      </c>
      <c r="AK39" s="39">
        <v>45.9</v>
      </c>
      <c r="AL39" s="39">
        <v>46.19</v>
      </c>
      <c r="AM39" s="39">
        <v>46.45</v>
      </c>
      <c r="AN39" s="39">
        <v>46.66</v>
      </c>
      <c r="AO39" s="39">
        <v>46.83</v>
      </c>
      <c r="AP39" s="39">
        <v>46.96</v>
      </c>
      <c r="AQ39" s="39">
        <v>47.02</v>
      </c>
      <c r="AR39" s="39">
        <v>47.09</v>
      </c>
      <c r="AS39" s="39">
        <v>47.14</v>
      </c>
      <c r="AT39" s="39">
        <v>47.14</v>
      </c>
      <c r="AU39" s="39">
        <v>47.21</v>
      </c>
      <c r="AV39" s="39">
        <v>47.28</v>
      </c>
      <c r="AW39" s="39">
        <v>47.51</v>
      </c>
      <c r="AX39" s="39">
        <v>47.57</v>
      </c>
      <c r="AY39" s="39">
        <v>47.73</v>
      </c>
      <c r="AZ39" s="39">
        <v>47.84</v>
      </c>
      <c r="BA39" s="39">
        <v>47.98</v>
      </c>
      <c r="BB39" s="39">
        <v>48.11</v>
      </c>
      <c r="BC39" s="39">
        <v>48.22</v>
      </c>
      <c r="BD39" s="39">
        <v>48.34</v>
      </c>
      <c r="BE39" s="39">
        <v>48.48</v>
      </c>
      <c r="BF39" s="39">
        <v>48.61</v>
      </c>
      <c r="BG39" s="39">
        <v>48.78</v>
      </c>
      <c r="BH39" s="39">
        <v>48.95</v>
      </c>
      <c r="BI39" s="39">
        <v>49.09</v>
      </c>
      <c r="BJ39" s="39">
        <v>49.24</v>
      </c>
      <c r="BK39" s="39">
        <v>49.4</v>
      </c>
      <c r="BL39" s="39">
        <v>49.57</v>
      </c>
      <c r="BM39" s="39">
        <v>49.75</v>
      </c>
      <c r="BN39" s="39">
        <v>49.91</v>
      </c>
      <c r="BO39" s="39">
        <v>50.04</v>
      </c>
      <c r="BP39" s="39">
        <v>50.21</v>
      </c>
      <c r="BQ39" s="39">
        <v>50.35</v>
      </c>
      <c r="BR39" s="39">
        <v>50.48</v>
      </c>
      <c r="BS39" s="39">
        <v>50.64</v>
      </c>
      <c r="BT39" s="39">
        <v>50.77</v>
      </c>
      <c r="BU39" s="39">
        <v>50.91</v>
      </c>
      <c r="BV39" s="39">
        <v>51.04</v>
      </c>
      <c r="BW39" s="39">
        <v>51.19</v>
      </c>
      <c r="BX39" s="39">
        <v>51.31</v>
      </c>
      <c r="BY39" s="39">
        <v>51.44</v>
      </c>
      <c r="BZ39" s="39">
        <v>51.58</v>
      </c>
      <c r="CA39" s="39">
        <v>51.71</v>
      </c>
      <c r="CB39" s="39">
        <v>51.84</v>
      </c>
      <c r="CC39" s="39">
        <v>51.97</v>
      </c>
      <c r="CD39" s="39">
        <v>52.11</v>
      </c>
      <c r="CE39" s="39">
        <v>52.23</v>
      </c>
      <c r="CF39" s="39">
        <v>52.36</v>
      </c>
      <c r="CG39" s="39">
        <v>52.49</v>
      </c>
      <c r="CH39" s="39">
        <v>52.62</v>
      </c>
      <c r="CI39" s="39">
        <v>52.75</v>
      </c>
      <c r="CJ39" s="39">
        <v>52.87</v>
      </c>
      <c r="CK39" s="39">
        <v>53</v>
      </c>
      <c r="CL39" s="39">
        <v>53.12</v>
      </c>
      <c r="CM39" s="39">
        <v>53.25</v>
      </c>
      <c r="CN39" s="39">
        <v>53.37</v>
      </c>
      <c r="CO39" s="39">
        <v>53.49</v>
      </c>
      <c r="CP39" s="39">
        <v>53.61</v>
      </c>
      <c r="CQ39" s="39">
        <v>53.73</v>
      </c>
      <c r="CR39" s="39">
        <v>53.85</v>
      </c>
      <c r="CS39" s="39">
        <v>53.96</v>
      </c>
      <c r="CT39" s="39">
        <v>54.08</v>
      </c>
      <c r="CU39" s="39">
        <v>54.2</v>
      </c>
      <c r="CV39" s="39">
        <v>54.31</v>
      </c>
      <c r="CW39" s="39">
        <v>54.42</v>
      </c>
      <c r="CX39" s="39">
        <v>54.54</v>
      </c>
      <c r="CY39" s="39">
        <v>54.65</v>
      </c>
      <c r="CZ39" s="39">
        <v>54.76</v>
      </c>
      <c r="DA39" s="39">
        <v>54.87</v>
      </c>
      <c r="DB39" s="39">
        <v>54.98</v>
      </c>
      <c r="DC39" s="39">
        <v>55.09</v>
      </c>
      <c r="DD39" s="39">
        <v>55.19</v>
      </c>
      <c r="DE39" s="39">
        <v>55.3</v>
      </c>
      <c r="DF39" s="39">
        <v>55.41</v>
      </c>
      <c r="DG39" s="39">
        <v>55.51</v>
      </c>
      <c r="DH39" s="39">
        <v>55.61</v>
      </c>
      <c r="DI39" s="39">
        <v>55.72</v>
      </c>
      <c r="DJ39" s="39">
        <v>55.82</v>
      </c>
      <c r="DK39" s="39">
        <v>55.92</v>
      </c>
      <c r="DL39" s="39">
        <v>56.02</v>
      </c>
      <c r="DM39" s="39">
        <v>56.12</v>
      </c>
      <c r="DN39" s="39">
        <v>56.22</v>
      </c>
      <c r="DO39" s="39">
        <v>56.31</v>
      </c>
      <c r="DP39" s="39">
        <v>56.41</v>
      </c>
      <c r="DQ39" s="39">
        <v>56.51</v>
      </c>
      <c r="DR39" s="39">
        <v>56.6</v>
      </c>
    </row>
    <row r="40" spans="1:122">
      <c r="A40" s="44">
        <v>38</v>
      </c>
      <c r="B40" s="45"/>
      <c r="C40" s="45"/>
      <c r="D40" s="45"/>
      <c r="E40" s="45"/>
      <c r="F40" s="45"/>
      <c r="G40" s="45"/>
      <c r="H40" s="45"/>
      <c r="I40" s="45"/>
      <c r="J40" s="45"/>
      <c r="K40" s="45"/>
      <c r="L40" s="45"/>
      <c r="M40" s="45"/>
      <c r="N40" s="45"/>
      <c r="O40" s="45"/>
      <c r="P40" s="45"/>
      <c r="Q40" s="45"/>
      <c r="R40" s="45"/>
      <c r="S40" s="45"/>
      <c r="T40" s="45"/>
      <c r="U40" s="45"/>
      <c r="V40" s="39"/>
      <c r="W40" s="39">
        <v>42.15</v>
      </c>
      <c r="X40" s="39">
        <v>42.34</v>
      </c>
      <c r="Y40" s="39">
        <v>42.55</v>
      </c>
      <c r="Z40" s="39">
        <v>42.78</v>
      </c>
      <c r="AA40" s="39">
        <v>42.92</v>
      </c>
      <c r="AB40" s="39">
        <v>43.12</v>
      </c>
      <c r="AC40" s="39">
        <v>43.35</v>
      </c>
      <c r="AD40" s="39">
        <v>43.47</v>
      </c>
      <c r="AE40" s="39">
        <v>43.69</v>
      </c>
      <c r="AF40" s="39">
        <v>43.88</v>
      </c>
      <c r="AG40" s="39">
        <v>44.07</v>
      </c>
      <c r="AH40" s="39">
        <v>44.25</v>
      </c>
      <c r="AI40" s="39">
        <v>44.44</v>
      </c>
      <c r="AJ40" s="39">
        <v>44.71</v>
      </c>
      <c r="AK40" s="39">
        <v>44.97</v>
      </c>
      <c r="AL40" s="39">
        <v>45.25</v>
      </c>
      <c r="AM40" s="39">
        <v>45.5</v>
      </c>
      <c r="AN40" s="39">
        <v>45.71</v>
      </c>
      <c r="AO40" s="39">
        <v>45.88</v>
      </c>
      <c r="AP40" s="39">
        <v>46.01</v>
      </c>
      <c r="AQ40" s="39">
        <v>46.07</v>
      </c>
      <c r="AR40" s="39">
        <v>46.15</v>
      </c>
      <c r="AS40" s="39">
        <v>46.2</v>
      </c>
      <c r="AT40" s="39">
        <v>46.19</v>
      </c>
      <c r="AU40" s="39">
        <v>46.26</v>
      </c>
      <c r="AV40" s="39">
        <v>46.33</v>
      </c>
      <c r="AW40" s="39">
        <v>46.56</v>
      </c>
      <c r="AX40" s="39">
        <v>46.61</v>
      </c>
      <c r="AY40" s="39">
        <v>46.78</v>
      </c>
      <c r="AZ40" s="39">
        <v>46.89</v>
      </c>
      <c r="BA40" s="39">
        <v>47.03</v>
      </c>
      <c r="BB40" s="39">
        <v>47.15</v>
      </c>
      <c r="BC40" s="39">
        <v>47.27</v>
      </c>
      <c r="BD40" s="39">
        <v>47.39</v>
      </c>
      <c r="BE40" s="39">
        <v>47.52</v>
      </c>
      <c r="BF40" s="39">
        <v>47.66</v>
      </c>
      <c r="BG40" s="39">
        <v>47.82</v>
      </c>
      <c r="BH40" s="39">
        <v>47.99</v>
      </c>
      <c r="BI40" s="39">
        <v>48.13</v>
      </c>
      <c r="BJ40" s="39">
        <v>48.28</v>
      </c>
      <c r="BK40" s="39">
        <v>48.44</v>
      </c>
      <c r="BL40" s="39">
        <v>48.6</v>
      </c>
      <c r="BM40" s="39">
        <v>48.78</v>
      </c>
      <c r="BN40" s="39">
        <v>48.94</v>
      </c>
      <c r="BO40" s="39">
        <v>49.07</v>
      </c>
      <c r="BP40" s="39">
        <v>49.24</v>
      </c>
      <c r="BQ40" s="39">
        <v>49.38</v>
      </c>
      <c r="BR40" s="39">
        <v>49.51</v>
      </c>
      <c r="BS40" s="39">
        <v>49.67</v>
      </c>
      <c r="BT40" s="39">
        <v>49.8</v>
      </c>
      <c r="BU40" s="39">
        <v>49.93</v>
      </c>
      <c r="BV40" s="39">
        <v>50.06</v>
      </c>
      <c r="BW40" s="39">
        <v>50.21</v>
      </c>
      <c r="BX40" s="39">
        <v>50.34</v>
      </c>
      <c r="BY40" s="39">
        <v>50.47</v>
      </c>
      <c r="BZ40" s="39">
        <v>50.6</v>
      </c>
      <c r="CA40" s="39">
        <v>50.74</v>
      </c>
      <c r="CB40" s="39">
        <v>50.87</v>
      </c>
      <c r="CC40" s="39">
        <v>51</v>
      </c>
      <c r="CD40" s="39">
        <v>51.13</v>
      </c>
      <c r="CE40" s="39">
        <v>51.26</v>
      </c>
      <c r="CF40" s="39">
        <v>51.39</v>
      </c>
      <c r="CG40" s="39">
        <v>51.52</v>
      </c>
      <c r="CH40" s="39">
        <v>51.65</v>
      </c>
      <c r="CI40" s="39">
        <v>51.77</v>
      </c>
      <c r="CJ40" s="39">
        <v>51.9</v>
      </c>
      <c r="CK40" s="39">
        <v>52.02</v>
      </c>
      <c r="CL40" s="39">
        <v>52.15</v>
      </c>
      <c r="CM40" s="39">
        <v>52.27</v>
      </c>
      <c r="CN40" s="39">
        <v>52.39</v>
      </c>
      <c r="CO40" s="39">
        <v>52.51</v>
      </c>
      <c r="CP40" s="39">
        <v>52.63</v>
      </c>
      <c r="CQ40" s="39">
        <v>52.75</v>
      </c>
      <c r="CR40" s="39">
        <v>52.87</v>
      </c>
      <c r="CS40" s="39">
        <v>52.98</v>
      </c>
      <c r="CT40" s="39">
        <v>53.1</v>
      </c>
      <c r="CU40" s="39">
        <v>53.22</v>
      </c>
      <c r="CV40" s="39">
        <v>53.33</v>
      </c>
      <c r="CW40" s="39">
        <v>53.44</v>
      </c>
      <c r="CX40" s="39">
        <v>53.56</v>
      </c>
      <c r="CY40" s="39">
        <v>53.67</v>
      </c>
      <c r="CZ40" s="39">
        <v>53.78</v>
      </c>
      <c r="DA40" s="39">
        <v>53.89</v>
      </c>
      <c r="DB40" s="39">
        <v>54</v>
      </c>
      <c r="DC40" s="39">
        <v>54.1</v>
      </c>
      <c r="DD40" s="39">
        <v>54.21</v>
      </c>
      <c r="DE40" s="39">
        <v>54.32</v>
      </c>
      <c r="DF40" s="39">
        <v>54.42</v>
      </c>
      <c r="DG40" s="39">
        <v>54.53</v>
      </c>
      <c r="DH40" s="39">
        <v>54.63</v>
      </c>
      <c r="DI40" s="39">
        <v>54.73</v>
      </c>
      <c r="DJ40" s="39">
        <v>54.83</v>
      </c>
      <c r="DK40" s="39">
        <v>54.93</v>
      </c>
      <c r="DL40" s="39">
        <v>55.03</v>
      </c>
      <c r="DM40" s="39">
        <v>55.13</v>
      </c>
      <c r="DN40" s="39">
        <v>55.23</v>
      </c>
      <c r="DO40" s="39">
        <v>55.33</v>
      </c>
      <c r="DP40" s="39">
        <v>55.42</v>
      </c>
      <c r="DQ40" s="39">
        <v>55.52</v>
      </c>
      <c r="DR40" s="39">
        <v>55.61</v>
      </c>
    </row>
    <row r="41" spans="1:122">
      <c r="A41" s="44">
        <v>39</v>
      </c>
      <c r="B41" s="45"/>
      <c r="C41" s="45"/>
      <c r="D41" s="45"/>
      <c r="E41" s="45"/>
      <c r="F41" s="45"/>
      <c r="G41" s="45"/>
      <c r="H41" s="45"/>
      <c r="I41" s="45"/>
      <c r="J41" s="45"/>
      <c r="K41" s="45"/>
      <c r="L41" s="45"/>
      <c r="M41" s="45"/>
      <c r="N41" s="45"/>
      <c r="O41" s="45"/>
      <c r="P41" s="45"/>
      <c r="Q41" s="45"/>
      <c r="R41" s="45"/>
      <c r="S41" s="45"/>
      <c r="T41" s="45"/>
      <c r="U41" s="45"/>
      <c r="V41" s="39"/>
      <c r="W41" s="39">
        <v>41.22</v>
      </c>
      <c r="X41" s="39">
        <v>41.42</v>
      </c>
      <c r="Y41" s="39">
        <v>41.61</v>
      </c>
      <c r="Z41" s="39">
        <v>41.85</v>
      </c>
      <c r="AA41" s="39">
        <v>41.99</v>
      </c>
      <c r="AB41" s="39">
        <v>42.19</v>
      </c>
      <c r="AC41" s="39">
        <v>42.42</v>
      </c>
      <c r="AD41" s="39">
        <v>42.54</v>
      </c>
      <c r="AE41" s="39">
        <v>42.76</v>
      </c>
      <c r="AF41" s="39">
        <v>42.95</v>
      </c>
      <c r="AG41" s="39">
        <v>43.14</v>
      </c>
      <c r="AH41" s="39">
        <v>43.32</v>
      </c>
      <c r="AI41" s="39">
        <v>43.51</v>
      </c>
      <c r="AJ41" s="39">
        <v>43.78</v>
      </c>
      <c r="AK41" s="39">
        <v>44.03</v>
      </c>
      <c r="AL41" s="39">
        <v>44.31</v>
      </c>
      <c r="AM41" s="39">
        <v>44.57</v>
      </c>
      <c r="AN41" s="39">
        <v>44.77</v>
      </c>
      <c r="AO41" s="39">
        <v>44.94</v>
      </c>
      <c r="AP41" s="39">
        <v>45.06</v>
      </c>
      <c r="AQ41" s="39">
        <v>45.13</v>
      </c>
      <c r="AR41" s="39">
        <v>45.2</v>
      </c>
      <c r="AS41" s="39">
        <v>45.25</v>
      </c>
      <c r="AT41" s="39">
        <v>45.25</v>
      </c>
      <c r="AU41" s="39">
        <v>45.31</v>
      </c>
      <c r="AV41" s="39">
        <v>45.38</v>
      </c>
      <c r="AW41" s="39">
        <v>45.61</v>
      </c>
      <c r="AX41" s="39">
        <v>45.66</v>
      </c>
      <c r="AY41" s="39">
        <v>45.83</v>
      </c>
      <c r="AZ41" s="39">
        <v>45.94</v>
      </c>
      <c r="BA41" s="39">
        <v>46.08</v>
      </c>
      <c r="BB41" s="39">
        <v>46.2</v>
      </c>
      <c r="BC41" s="39">
        <v>46.32</v>
      </c>
      <c r="BD41" s="39">
        <v>46.44</v>
      </c>
      <c r="BE41" s="39">
        <v>46.57</v>
      </c>
      <c r="BF41" s="39">
        <v>46.7</v>
      </c>
      <c r="BG41" s="39">
        <v>46.87</v>
      </c>
      <c r="BH41" s="39">
        <v>47.04</v>
      </c>
      <c r="BI41" s="39">
        <v>47.17</v>
      </c>
      <c r="BJ41" s="39">
        <v>47.32</v>
      </c>
      <c r="BK41" s="39">
        <v>47.48</v>
      </c>
      <c r="BL41" s="39">
        <v>47.64</v>
      </c>
      <c r="BM41" s="39">
        <v>47.82</v>
      </c>
      <c r="BN41" s="39">
        <v>47.98</v>
      </c>
      <c r="BO41" s="39">
        <v>48.11</v>
      </c>
      <c r="BP41" s="39">
        <v>48.27</v>
      </c>
      <c r="BQ41" s="39">
        <v>48.41</v>
      </c>
      <c r="BR41" s="39">
        <v>48.54</v>
      </c>
      <c r="BS41" s="39">
        <v>48.7</v>
      </c>
      <c r="BT41" s="39">
        <v>48.83</v>
      </c>
      <c r="BU41" s="39">
        <v>48.96</v>
      </c>
      <c r="BV41" s="39">
        <v>49.09</v>
      </c>
      <c r="BW41" s="39">
        <v>49.24</v>
      </c>
      <c r="BX41" s="39">
        <v>49.37</v>
      </c>
      <c r="BY41" s="39">
        <v>49.5</v>
      </c>
      <c r="BZ41" s="39">
        <v>49.63</v>
      </c>
      <c r="CA41" s="39">
        <v>49.77</v>
      </c>
      <c r="CB41" s="39">
        <v>49.9</v>
      </c>
      <c r="CC41" s="39">
        <v>50.03</v>
      </c>
      <c r="CD41" s="39">
        <v>50.16</v>
      </c>
      <c r="CE41" s="39">
        <v>50.29</v>
      </c>
      <c r="CF41" s="39">
        <v>50.42</v>
      </c>
      <c r="CG41" s="39">
        <v>50.55</v>
      </c>
      <c r="CH41" s="39">
        <v>50.67</v>
      </c>
      <c r="CI41" s="39">
        <v>50.8</v>
      </c>
      <c r="CJ41" s="39">
        <v>50.92</v>
      </c>
      <c r="CK41" s="39">
        <v>51.05</v>
      </c>
      <c r="CL41" s="39">
        <v>51.17</v>
      </c>
      <c r="CM41" s="39">
        <v>51.29</v>
      </c>
      <c r="CN41" s="39">
        <v>51.41</v>
      </c>
      <c r="CO41" s="39">
        <v>51.53</v>
      </c>
      <c r="CP41" s="39">
        <v>51.65</v>
      </c>
      <c r="CQ41" s="39">
        <v>51.77</v>
      </c>
      <c r="CR41" s="39">
        <v>51.89</v>
      </c>
      <c r="CS41" s="39">
        <v>52.01</v>
      </c>
      <c r="CT41" s="39">
        <v>52.12</v>
      </c>
      <c r="CU41" s="39">
        <v>52.24</v>
      </c>
      <c r="CV41" s="39">
        <v>52.35</v>
      </c>
      <c r="CW41" s="39">
        <v>52.46</v>
      </c>
      <c r="CX41" s="39">
        <v>52.57</v>
      </c>
      <c r="CY41" s="39">
        <v>52.68</v>
      </c>
      <c r="CZ41" s="39">
        <v>52.79</v>
      </c>
      <c r="DA41" s="39">
        <v>52.9</v>
      </c>
      <c r="DB41" s="39">
        <v>53.01</v>
      </c>
      <c r="DC41" s="39">
        <v>53.12</v>
      </c>
      <c r="DD41" s="39">
        <v>53.23</v>
      </c>
      <c r="DE41" s="39">
        <v>53.33</v>
      </c>
      <c r="DF41" s="39">
        <v>53.44</v>
      </c>
      <c r="DG41" s="39">
        <v>53.54</v>
      </c>
      <c r="DH41" s="39">
        <v>53.64</v>
      </c>
      <c r="DI41" s="39">
        <v>53.75</v>
      </c>
      <c r="DJ41" s="39">
        <v>53.85</v>
      </c>
      <c r="DK41" s="39">
        <v>53.95</v>
      </c>
      <c r="DL41" s="39">
        <v>54.05</v>
      </c>
      <c r="DM41" s="39">
        <v>54.15</v>
      </c>
      <c r="DN41" s="39">
        <v>54.24</v>
      </c>
      <c r="DO41" s="39">
        <v>54.34</v>
      </c>
      <c r="DP41" s="39">
        <v>54.44</v>
      </c>
      <c r="DQ41" s="39">
        <v>54.53</v>
      </c>
      <c r="DR41" s="39">
        <v>54.63</v>
      </c>
    </row>
    <row r="42" spans="1:122">
      <c r="A42" s="44">
        <v>40</v>
      </c>
      <c r="B42" s="45"/>
      <c r="C42" s="45"/>
      <c r="D42" s="45"/>
      <c r="E42" s="45"/>
      <c r="F42" s="45"/>
      <c r="G42" s="45"/>
      <c r="H42" s="45"/>
      <c r="I42" s="45"/>
      <c r="J42" s="45"/>
      <c r="K42" s="45"/>
      <c r="L42" s="45"/>
      <c r="M42" s="45"/>
      <c r="N42" s="45"/>
      <c r="O42" s="45"/>
      <c r="P42" s="45"/>
      <c r="Q42" s="45"/>
      <c r="R42" s="45"/>
      <c r="S42" s="45"/>
      <c r="T42" s="45"/>
      <c r="U42" s="45"/>
      <c r="V42" s="39"/>
      <c r="W42" s="39">
        <v>40.299999999999997</v>
      </c>
      <c r="X42" s="39">
        <v>40.5</v>
      </c>
      <c r="Y42" s="39">
        <v>40.69</v>
      </c>
      <c r="Z42" s="39">
        <v>40.92</v>
      </c>
      <c r="AA42" s="39">
        <v>41.07</v>
      </c>
      <c r="AB42" s="39">
        <v>41.26</v>
      </c>
      <c r="AC42" s="39">
        <v>41.49</v>
      </c>
      <c r="AD42" s="39">
        <v>41.61</v>
      </c>
      <c r="AE42" s="39">
        <v>41.83</v>
      </c>
      <c r="AF42" s="39">
        <v>42.02</v>
      </c>
      <c r="AG42" s="39">
        <v>42.21</v>
      </c>
      <c r="AH42" s="39">
        <v>42.39</v>
      </c>
      <c r="AI42" s="39">
        <v>42.58</v>
      </c>
      <c r="AJ42" s="39">
        <v>42.84</v>
      </c>
      <c r="AK42" s="39">
        <v>43.09</v>
      </c>
      <c r="AL42" s="39">
        <v>43.37</v>
      </c>
      <c r="AM42" s="39">
        <v>43.63</v>
      </c>
      <c r="AN42" s="39">
        <v>43.83</v>
      </c>
      <c r="AO42" s="39">
        <v>44</v>
      </c>
      <c r="AP42" s="39">
        <v>44.13</v>
      </c>
      <c r="AQ42" s="39">
        <v>44.19</v>
      </c>
      <c r="AR42" s="39">
        <v>44.26</v>
      </c>
      <c r="AS42" s="39">
        <v>44.31</v>
      </c>
      <c r="AT42" s="39">
        <v>44.3</v>
      </c>
      <c r="AU42" s="39">
        <v>44.37</v>
      </c>
      <c r="AV42" s="39">
        <v>44.44</v>
      </c>
      <c r="AW42" s="39">
        <v>44.66</v>
      </c>
      <c r="AX42" s="39">
        <v>44.71</v>
      </c>
      <c r="AY42" s="39">
        <v>44.88</v>
      </c>
      <c r="AZ42" s="39">
        <v>45</v>
      </c>
      <c r="BA42" s="39">
        <v>45.13</v>
      </c>
      <c r="BB42" s="39">
        <v>45.26</v>
      </c>
      <c r="BC42" s="39">
        <v>45.37</v>
      </c>
      <c r="BD42" s="39">
        <v>45.49</v>
      </c>
      <c r="BE42" s="39">
        <v>45.62</v>
      </c>
      <c r="BF42" s="39">
        <v>45.75</v>
      </c>
      <c r="BG42" s="39">
        <v>45.91</v>
      </c>
      <c r="BH42" s="39">
        <v>46.08</v>
      </c>
      <c r="BI42" s="39">
        <v>46.22</v>
      </c>
      <c r="BJ42" s="39">
        <v>46.37</v>
      </c>
      <c r="BK42" s="39">
        <v>46.52</v>
      </c>
      <c r="BL42" s="39">
        <v>46.68</v>
      </c>
      <c r="BM42" s="39">
        <v>46.86</v>
      </c>
      <c r="BN42" s="39">
        <v>47.01</v>
      </c>
      <c r="BO42" s="39">
        <v>47.14</v>
      </c>
      <c r="BP42" s="39">
        <v>47.3</v>
      </c>
      <c r="BQ42" s="39">
        <v>47.44</v>
      </c>
      <c r="BR42" s="39">
        <v>47.57</v>
      </c>
      <c r="BS42" s="39">
        <v>47.73</v>
      </c>
      <c r="BT42" s="39">
        <v>47.86</v>
      </c>
      <c r="BU42" s="39">
        <v>47.99</v>
      </c>
      <c r="BV42" s="39">
        <v>48.12</v>
      </c>
      <c r="BW42" s="39">
        <v>48.27</v>
      </c>
      <c r="BX42" s="39">
        <v>48.4</v>
      </c>
      <c r="BY42" s="39">
        <v>48.53</v>
      </c>
      <c r="BZ42" s="39">
        <v>48.66</v>
      </c>
      <c r="CA42" s="39">
        <v>48.8</v>
      </c>
      <c r="CB42" s="39">
        <v>48.93</v>
      </c>
      <c r="CC42" s="39">
        <v>49.06</v>
      </c>
      <c r="CD42" s="39">
        <v>49.19</v>
      </c>
      <c r="CE42" s="39">
        <v>49.32</v>
      </c>
      <c r="CF42" s="39">
        <v>49.45</v>
      </c>
      <c r="CG42" s="39">
        <v>49.57</v>
      </c>
      <c r="CH42" s="39">
        <v>49.7</v>
      </c>
      <c r="CI42" s="39">
        <v>49.82</v>
      </c>
      <c r="CJ42" s="39">
        <v>49.95</v>
      </c>
      <c r="CK42" s="39">
        <v>50.07</v>
      </c>
      <c r="CL42" s="39">
        <v>50.2</v>
      </c>
      <c r="CM42" s="39">
        <v>50.32</v>
      </c>
      <c r="CN42" s="39">
        <v>50.44</v>
      </c>
      <c r="CO42" s="39">
        <v>50.56</v>
      </c>
      <c r="CP42" s="39">
        <v>50.68</v>
      </c>
      <c r="CQ42" s="39">
        <v>50.79</v>
      </c>
      <c r="CR42" s="39">
        <v>50.91</v>
      </c>
      <c r="CS42" s="39">
        <v>51.03</v>
      </c>
      <c r="CT42" s="39">
        <v>51.14</v>
      </c>
      <c r="CU42" s="39">
        <v>51.26</v>
      </c>
      <c r="CV42" s="39">
        <v>51.37</v>
      </c>
      <c r="CW42" s="39">
        <v>51.48</v>
      </c>
      <c r="CX42" s="39">
        <v>51.59</v>
      </c>
      <c r="CY42" s="39">
        <v>51.7</v>
      </c>
      <c r="CZ42" s="39">
        <v>51.81</v>
      </c>
      <c r="DA42" s="39">
        <v>51.92</v>
      </c>
      <c r="DB42" s="39">
        <v>52.03</v>
      </c>
      <c r="DC42" s="39">
        <v>52.14</v>
      </c>
      <c r="DD42" s="39">
        <v>52.24</v>
      </c>
      <c r="DE42" s="39">
        <v>52.35</v>
      </c>
      <c r="DF42" s="39">
        <v>52.45</v>
      </c>
      <c r="DG42" s="39">
        <v>52.56</v>
      </c>
      <c r="DH42" s="39">
        <v>52.66</v>
      </c>
      <c r="DI42" s="39">
        <v>52.76</v>
      </c>
      <c r="DJ42" s="39">
        <v>52.86</v>
      </c>
      <c r="DK42" s="39">
        <v>52.96</v>
      </c>
      <c r="DL42" s="39">
        <v>53.06</v>
      </c>
      <c r="DM42" s="39">
        <v>53.16</v>
      </c>
      <c r="DN42" s="39">
        <v>53.26</v>
      </c>
      <c r="DO42" s="39">
        <v>53.35</v>
      </c>
      <c r="DP42" s="39">
        <v>53.45</v>
      </c>
      <c r="DQ42" s="39">
        <v>53.55</v>
      </c>
      <c r="DR42" s="39">
        <v>53.64</v>
      </c>
    </row>
    <row r="43" spans="1:122">
      <c r="A43" s="44">
        <v>41</v>
      </c>
      <c r="B43" s="45"/>
      <c r="C43" s="45"/>
      <c r="D43" s="45"/>
      <c r="E43" s="45"/>
      <c r="F43" s="45"/>
      <c r="G43" s="45"/>
      <c r="H43" s="45"/>
      <c r="I43" s="45"/>
      <c r="J43" s="45"/>
      <c r="K43" s="45"/>
      <c r="L43" s="45"/>
      <c r="M43" s="45"/>
      <c r="N43" s="45"/>
      <c r="O43" s="45"/>
      <c r="P43" s="45"/>
      <c r="Q43" s="45"/>
      <c r="R43" s="45"/>
      <c r="S43" s="45"/>
      <c r="T43" s="45"/>
      <c r="U43" s="45"/>
      <c r="V43" s="39"/>
      <c r="W43" s="39">
        <v>39.380000000000003</v>
      </c>
      <c r="X43" s="39">
        <v>39.58</v>
      </c>
      <c r="Y43" s="39">
        <v>39.770000000000003</v>
      </c>
      <c r="Z43" s="39">
        <v>40</v>
      </c>
      <c r="AA43" s="39">
        <v>40.14</v>
      </c>
      <c r="AB43" s="39">
        <v>40.340000000000003</v>
      </c>
      <c r="AC43" s="39">
        <v>40.56</v>
      </c>
      <c r="AD43" s="39">
        <v>40.68</v>
      </c>
      <c r="AE43" s="39">
        <v>40.909999999999997</v>
      </c>
      <c r="AF43" s="39">
        <v>41.1</v>
      </c>
      <c r="AG43" s="39">
        <v>41.28</v>
      </c>
      <c r="AH43" s="39">
        <v>41.46</v>
      </c>
      <c r="AI43" s="39">
        <v>41.65</v>
      </c>
      <c r="AJ43" s="39">
        <v>41.91</v>
      </c>
      <c r="AK43" s="39">
        <v>42.17</v>
      </c>
      <c r="AL43" s="39">
        <v>42.44</v>
      </c>
      <c r="AM43" s="39">
        <v>42.69</v>
      </c>
      <c r="AN43" s="39">
        <v>42.9</v>
      </c>
      <c r="AO43" s="39">
        <v>43.06</v>
      </c>
      <c r="AP43" s="39">
        <v>43.19</v>
      </c>
      <c r="AQ43" s="39">
        <v>43.25</v>
      </c>
      <c r="AR43" s="39">
        <v>43.32</v>
      </c>
      <c r="AS43" s="39">
        <v>43.37</v>
      </c>
      <c r="AT43" s="39">
        <v>43.36</v>
      </c>
      <c r="AU43" s="39">
        <v>43.43</v>
      </c>
      <c r="AV43" s="39">
        <v>43.49</v>
      </c>
      <c r="AW43" s="39">
        <v>43.72</v>
      </c>
      <c r="AX43" s="39">
        <v>43.77</v>
      </c>
      <c r="AY43" s="39">
        <v>43.93</v>
      </c>
      <c r="AZ43" s="39">
        <v>44.06</v>
      </c>
      <c r="BA43" s="39">
        <v>44.18</v>
      </c>
      <c r="BB43" s="39">
        <v>44.31</v>
      </c>
      <c r="BC43" s="39">
        <v>44.43</v>
      </c>
      <c r="BD43" s="39">
        <v>44.54</v>
      </c>
      <c r="BE43" s="39">
        <v>44.67</v>
      </c>
      <c r="BF43" s="39">
        <v>44.81</v>
      </c>
      <c r="BG43" s="39">
        <v>44.96</v>
      </c>
      <c r="BH43" s="39">
        <v>45.13</v>
      </c>
      <c r="BI43" s="39">
        <v>45.26</v>
      </c>
      <c r="BJ43" s="39">
        <v>45.41</v>
      </c>
      <c r="BK43" s="39">
        <v>45.56</v>
      </c>
      <c r="BL43" s="39">
        <v>45.72</v>
      </c>
      <c r="BM43" s="39">
        <v>45.9</v>
      </c>
      <c r="BN43" s="39">
        <v>46.05</v>
      </c>
      <c r="BO43" s="39">
        <v>46.18</v>
      </c>
      <c r="BP43" s="39">
        <v>46.34</v>
      </c>
      <c r="BQ43" s="39">
        <v>46.47</v>
      </c>
      <c r="BR43" s="39">
        <v>46.6</v>
      </c>
      <c r="BS43" s="39">
        <v>46.76</v>
      </c>
      <c r="BT43" s="39">
        <v>46.89</v>
      </c>
      <c r="BU43" s="39">
        <v>47.03</v>
      </c>
      <c r="BV43" s="39">
        <v>47.16</v>
      </c>
      <c r="BW43" s="39">
        <v>47.3</v>
      </c>
      <c r="BX43" s="39">
        <v>47.43</v>
      </c>
      <c r="BY43" s="39">
        <v>47.56</v>
      </c>
      <c r="BZ43" s="39">
        <v>47.69</v>
      </c>
      <c r="CA43" s="39">
        <v>47.83</v>
      </c>
      <c r="CB43" s="39">
        <v>47.96</v>
      </c>
      <c r="CC43" s="39">
        <v>48.09</v>
      </c>
      <c r="CD43" s="39">
        <v>48.22</v>
      </c>
      <c r="CE43" s="39">
        <v>48.35</v>
      </c>
      <c r="CF43" s="39">
        <v>48.48</v>
      </c>
      <c r="CG43" s="39">
        <v>48.6</v>
      </c>
      <c r="CH43" s="39">
        <v>48.73</v>
      </c>
      <c r="CI43" s="39">
        <v>48.85</v>
      </c>
      <c r="CJ43" s="39">
        <v>48.98</v>
      </c>
      <c r="CK43" s="39">
        <v>49.1</v>
      </c>
      <c r="CL43" s="39">
        <v>49.22</v>
      </c>
      <c r="CM43" s="39">
        <v>49.34</v>
      </c>
      <c r="CN43" s="39">
        <v>49.46</v>
      </c>
      <c r="CO43" s="39">
        <v>49.58</v>
      </c>
      <c r="CP43" s="39">
        <v>49.7</v>
      </c>
      <c r="CQ43" s="39">
        <v>49.82</v>
      </c>
      <c r="CR43" s="39">
        <v>49.93</v>
      </c>
      <c r="CS43" s="39">
        <v>50.05</v>
      </c>
      <c r="CT43" s="39">
        <v>50.16</v>
      </c>
      <c r="CU43" s="39">
        <v>50.28</v>
      </c>
      <c r="CV43" s="39">
        <v>50.39</v>
      </c>
      <c r="CW43" s="39">
        <v>50.5</v>
      </c>
      <c r="CX43" s="39">
        <v>50.61</v>
      </c>
      <c r="CY43" s="39">
        <v>50.72</v>
      </c>
      <c r="CZ43" s="39">
        <v>50.83</v>
      </c>
      <c r="DA43" s="39">
        <v>50.94</v>
      </c>
      <c r="DB43" s="39">
        <v>51.05</v>
      </c>
      <c r="DC43" s="39">
        <v>51.16</v>
      </c>
      <c r="DD43" s="39">
        <v>51.26</v>
      </c>
      <c r="DE43" s="39">
        <v>51.37</v>
      </c>
      <c r="DF43" s="39">
        <v>51.47</v>
      </c>
      <c r="DG43" s="39">
        <v>51.57</v>
      </c>
      <c r="DH43" s="39">
        <v>51.68</v>
      </c>
      <c r="DI43" s="39">
        <v>51.78</v>
      </c>
      <c r="DJ43" s="39">
        <v>51.88</v>
      </c>
      <c r="DK43" s="39">
        <v>51.98</v>
      </c>
      <c r="DL43" s="39">
        <v>52.08</v>
      </c>
      <c r="DM43" s="39">
        <v>52.18</v>
      </c>
      <c r="DN43" s="39">
        <v>52.27</v>
      </c>
      <c r="DO43" s="39">
        <v>52.37</v>
      </c>
      <c r="DP43" s="39">
        <v>52.46</v>
      </c>
      <c r="DQ43" s="39">
        <v>52.56</v>
      </c>
      <c r="DR43" s="39">
        <v>52.65</v>
      </c>
    </row>
    <row r="44" spans="1:122">
      <c r="A44" s="44">
        <v>42</v>
      </c>
      <c r="B44" s="45"/>
      <c r="C44" s="45"/>
      <c r="D44" s="45"/>
      <c r="E44" s="45"/>
      <c r="F44" s="45"/>
      <c r="G44" s="45"/>
      <c r="H44" s="45"/>
      <c r="I44" s="45"/>
      <c r="J44" s="45"/>
      <c r="K44" s="45"/>
      <c r="L44" s="45"/>
      <c r="M44" s="45"/>
      <c r="N44" s="45"/>
      <c r="O44" s="45"/>
      <c r="P44" s="45"/>
      <c r="Q44" s="45"/>
      <c r="R44" s="45"/>
      <c r="S44" s="45"/>
      <c r="T44" s="45"/>
      <c r="U44" s="45"/>
      <c r="V44" s="39"/>
      <c r="W44" s="39">
        <v>38.46</v>
      </c>
      <c r="X44" s="39">
        <v>38.659999999999997</v>
      </c>
      <c r="Y44" s="39">
        <v>38.85</v>
      </c>
      <c r="Z44" s="39">
        <v>39.08</v>
      </c>
      <c r="AA44" s="39">
        <v>39.22</v>
      </c>
      <c r="AB44" s="39">
        <v>39.42</v>
      </c>
      <c r="AC44" s="39">
        <v>39.64</v>
      </c>
      <c r="AD44" s="39">
        <v>39.76</v>
      </c>
      <c r="AE44" s="39">
        <v>39.99</v>
      </c>
      <c r="AF44" s="39">
        <v>40.17</v>
      </c>
      <c r="AG44" s="39">
        <v>40.35</v>
      </c>
      <c r="AH44" s="39">
        <v>40.53</v>
      </c>
      <c r="AI44" s="39">
        <v>40.729999999999997</v>
      </c>
      <c r="AJ44" s="39">
        <v>40.99</v>
      </c>
      <c r="AK44" s="39">
        <v>41.24</v>
      </c>
      <c r="AL44" s="39">
        <v>41.51</v>
      </c>
      <c r="AM44" s="39">
        <v>41.76</v>
      </c>
      <c r="AN44" s="39">
        <v>41.97</v>
      </c>
      <c r="AO44" s="39">
        <v>42.12</v>
      </c>
      <c r="AP44" s="39">
        <v>42.25</v>
      </c>
      <c r="AQ44" s="39">
        <v>42.31</v>
      </c>
      <c r="AR44" s="39">
        <v>42.38</v>
      </c>
      <c r="AS44" s="39">
        <v>42.44</v>
      </c>
      <c r="AT44" s="39">
        <v>42.42</v>
      </c>
      <c r="AU44" s="39">
        <v>42.49</v>
      </c>
      <c r="AV44" s="39">
        <v>42.55</v>
      </c>
      <c r="AW44" s="39">
        <v>42.78</v>
      </c>
      <c r="AX44" s="39">
        <v>42.83</v>
      </c>
      <c r="AY44" s="39">
        <v>42.99</v>
      </c>
      <c r="AZ44" s="39">
        <v>43.12</v>
      </c>
      <c r="BA44" s="39">
        <v>43.24</v>
      </c>
      <c r="BB44" s="39">
        <v>43.37</v>
      </c>
      <c r="BC44" s="39">
        <v>43.49</v>
      </c>
      <c r="BD44" s="39">
        <v>43.6</v>
      </c>
      <c r="BE44" s="39">
        <v>43.73</v>
      </c>
      <c r="BF44" s="39">
        <v>43.86</v>
      </c>
      <c r="BG44" s="39">
        <v>44.01</v>
      </c>
      <c r="BH44" s="39">
        <v>44.18</v>
      </c>
      <c r="BI44" s="39">
        <v>44.31</v>
      </c>
      <c r="BJ44" s="39">
        <v>44.46</v>
      </c>
      <c r="BK44" s="39">
        <v>44.61</v>
      </c>
      <c r="BL44" s="39">
        <v>44.77</v>
      </c>
      <c r="BM44" s="39">
        <v>44.94</v>
      </c>
      <c r="BN44" s="39">
        <v>45.09</v>
      </c>
      <c r="BO44" s="39">
        <v>45.22</v>
      </c>
      <c r="BP44" s="39">
        <v>45.38</v>
      </c>
      <c r="BQ44" s="39">
        <v>45.51</v>
      </c>
      <c r="BR44" s="39">
        <v>45.64</v>
      </c>
      <c r="BS44" s="39">
        <v>45.8</v>
      </c>
      <c r="BT44" s="39">
        <v>45.93</v>
      </c>
      <c r="BU44" s="39">
        <v>46.06</v>
      </c>
      <c r="BV44" s="39">
        <v>46.19</v>
      </c>
      <c r="BW44" s="39">
        <v>46.34</v>
      </c>
      <c r="BX44" s="39">
        <v>46.46</v>
      </c>
      <c r="BY44" s="39">
        <v>46.6</v>
      </c>
      <c r="BZ44" s="39">
        <v>46.73</v>
      </c>
      <c r="CA44" s="39">
        <v>46.86</v>
      </c>
      <c r="CB44" s="39">
        <v>46.99</v>
      </c>
      <c r="CC44" s="39">
        <v>47.12</v>
      </c>
      <c r="CD44" s="39">
        <v>47.25</v>
      </c>
      <c r="CE44" s="39">
        <v>47.38</v>
      </c>
      <c r="CF44" s="39">
        <v>47.51</v>
      </c>
      <c r="CG44" s="39">
        <v>47.63</v>
      </c>
      <c r="CH44" s="39">
        <v>47.76</v>
      </c>
      <c r="CI44" s="39">
        <v>47.88</v>
      </c>
      <c r="CJ44" s="39">
        <v>48</v>
      </c>
      <c r="CK44" s="39">
        <v>48.13</v>
      </c>
      <c r="CL44" s="39">
        <v>48.25</v>
      </c>
      <c r="CM44" s="39">
        <v>48.37</v>
      </c>
      <c r="CN44" s="39">
        <v>48.49</v>
      </c>
      <c r="CO44" s="39">
        <v>48.61</v>
      </c>
      <c r="CP44" s="39">
        <v>48.73</v>
      </c>
      <c r="CQ44" s="39">
        <v>48.84</v>
      </c>
      <c r="CR44" s="39">
        <v>48.96</v>
      </c>
      <c r="CS44" s="39">
        <v>49.07</v>
      </c>
      <c r="CT44" s="39">
        <v>49.19</v>
      </c>
      <c r="CU44" s="39">
        <v>49.3</v>
      </c>
      <c r="CV44" s="39">
        <v>49.41</v>
      </c>
      <c r="CW44" s="39">
        <v>49.53</v>
      </c>
      <c r="CX44" s="39">
        <v>49.64</v>
      </c>
      <c r="CY44" s="39">
        <v>49.75</v>
      </c>
      <c r="CZ44" s="39">
        <v>49.85</v>
      </c>
      <c r="DA44" s="39">
        <v>49.96</v>
      </c>
      <c r="DB44" s="39">
        <v>50.07</v>
      </c>
      <c r="DC44" s="39">
        <v>50.18</v>
      </c>
      <c r="DD44" s="39">
        <v>50.28</v>
      </c>
      <c r="DE44" s="39">
        <v>50.39</v>
      </c>
      <c r="DF44" s="39">
        <v>50.49</v>
      </c>
      <c r="DG44" s="39">
        <v>50.59</v>
      </c>
      <c r="DH44" s="39">
        <v>50.69</v>
      </c>
      <c r="DI44" s="39">
        <v>50.8</v>
      </c>
      <c r="DJ44" s="39">
        <v>50.9</v>
      </c>
      <c r="DK44" s="39">
        <v>50.99</v>
      </c>
      <c r="DL44" s="39">
        <v>51.09</v>
      </c>
      <c r="DM44" s="39">
        <v>51.19</v>
      </c>
      <c r="DN44" s="39">
        <v>51.29</v>
      </c>
      <c r="DO44" s="39">
        <v>51.38</v>
      </c>
      <c r="DP44" s="39">
        <v>51.48</v>
      </c>
      <c r="DQ44" s="39">
        <v>51.57</v>
      </c>
      <c r="DR44" s="39">
        <v>51.67</v>
      </c>
    </row>
    <row r="45" spans="1:122">
      <c r="A45" s="44">
        <v>43</v>
      </c>
      <c r="B45" s="45"/>
      <c r="C45" s="45"/>
      <c r="D45" s="45"/>
      <c r="E45" s="45"/>
      <c r="F45" s="45"/>
      <c r="G45" s="45"/>
      <c r="H45" s="45"/>
      <c r="I45" s="45"/>
      <c r="J45" s="45"/>
      <c r="K45" s="45"/>
      <c r="L45" s="45"/>
      <c r="M45" s="45"/>
      <c r="N45" s="45"/>
      <c r="O45" s="45"/>
      <c r="P45" s="45"/>
      <c r="Q45" s="45"/>
      <c r="R45" s="45"/>
      <c r="S45" s="45"/>
      <c r="T45" s="45"/>
      <c r="U45" s="45"/>
      <c r="V45" s="39"/>
      <c r="W45" s="39">
        <v>37.549999999999997</v>
      </c>
      <c r="X45" s="39">
        <v>37.75</v>
      </c>
      <c r="Y45" s="39">
        <v>37.94</v>
      </c>
      <c r="Z45" s="39">
        <v>38.17</v>
      </c>
      <c r="AA45" s="39">
        <v>38.31</v>
      </c>
      <c r="AB45" s="39">
        <v>38.5</v>
      </c>
      <c r="AC45" s="39">
        <v>38.729999999999997</v>
      </c>
      <c r="AD45" s="39">
        <v>38.85</v>
      </c>
      <c r="AE45" s="39">
        <v>39.08</v>
      </c>
      <c r="AF45" s="39">
        <v>39.26</v>
      </c>
      <c r="AG45" s="39">
        <v>39.44</v>
      </c>
      <c r="AH45" s="39">
        <v>39.61</v>
      </c>
      <c r="AI45" s="39">
        <v>39.799999999999997</v>
      </c>
      <c r="AJ45" s="39">
        <v>40.07</v>
      </c>
      <c r="AK45" s="39">
        <v>40.31</v>
      </c>
      <c r="AL45" s="39">
        <v>40.58</v>
      </c>
      <c r="AM45" s="39">
        <v>40.840000000000003</v>
      </c>
      <c r="AN45" s="39">
        <v>41.03</v>
      </c>
      <c r="AO45" s="39">
        <v>41.2</v>
      </c>
      <c r="AP45" s="39">
        <v>41.32</v>
      </c>
      <c r="AQ45" s="39">
        <v>41.38</v>
      </c>
      <c r="AR45" s="39">
        <v>41.45</v>
      </c>
      <c r="AS45" s="39">
        <v>41.5</v>
      </c>
      <c r="AT45" s="39">
        <v>41.49</v>
      </c>
      <c r="AU45" s="39">
        <v>41.55</v>
      </c>
      <c r="AV45" s="39">
        <v>41.62</v>
      </c>
      <c r="AW45" s="39">
        <v>41.84</v>
      </c>
      <c r="AX45" s="39">
        <v>41.9</v>
      </c>
      <c r="AY45" s="39">
        <v>42.06</v>
      </c>
      <c r="AZ45" s="39">
        <v>42.18</v>
      </c>
      <c r="BA45" s="39">
        <v>42.31</v>
      </c>
      <c r="BB45" s="39">
        <v>42.43</v>
      </c>
      <c r="BC45" s="39">
        <v>42.55</v>
      </c>
      <c r="BD45" s="39">
        <v>42.66</v>
      </c>
      <c r="BE45" s="39">
        <v>42.78</v>
      </c>
      <c r="BF45" s="39">
        <v>42.92</v>
      </c>
      <c r="BG45" s="39">
        <v>43.07</v>
      </c>
      <c r="BH45" s="39">
        <v>43.24</v>
      </c>
      <c r="BI45" s="39">
        <v>43.36</v>
      </c>
      <c r="BJ45" s="39">
        <v>43.51</v>
      </c>
      <c r="BK45" s="39">
        <v>43.66</v>
      </c>
      <c r="BL45" s="39">
        <v>43.82</v>
      </c>
      <c r="BM45" s="39">
        <v>43.98</v>
      </c>
      <c r="BN45" s="39">
        <v>44.13</v>
      </c>
      <c r="BO45" s="39">
        <v>44.27</v>
      </c>
      <c r="BP45" s="39">
        <v>44.42</v>
      </c>
      <c r="BQ45" s="39">
        <v>44.55</v>
      </c>
      <c r="BR45" s="39">
        <v>44.68</v>
      </c>
      <c r="BS45" s="39">
        <v>44.84</v>
      </c>
      <c r="BT45" s="39">
        <v>44.97</v>
      </c>
      <c r="BU45" s="39">
        <v>45.1</v>
      </c>
      <c r="BV45" s="39">
        <v>45.23</v>
      </c>
      <c r="BW45" s="39">
        <v>45.38</v>
      </c>
      <c r="BX45" s="39">
        <v>45.5</v>
      </c>
      <c r="BY45" s="39">
        <v>45.63</v>
      </c>
      <c r="BZ45" s="39">
        <v>45.77</v>
      </c>
      <c r="CA45" s="39">
        <v>45.9</v>
      </c>
      <c r="CB45" s="39">
        <v>46.03</v>
      </c>
      <c r="CC45" s="39">
        <v>46.16</v>
      </c>
      <c r="CD45" s="39">
        <v>46.28</v>
      </c>
      <c r="CE45" s="39">
        <v>46.41</v>
      </c>
      <c r="CF45" s="39">
        <v>46.54</v>
      </c>
      <c r="CG45" s="39">
        <v>46.66</v>
      </c>
      <c r="CH45" s="39">
        <v>46.79</v>
      </c>
      <c r="CI45" s="39">
        <v>46.91</v>
      </c>
      <c r="CJ45" s="39">
        <v>47.03</v>
      </c>
      <c r="CK45" s="39">
        <v>47.16</v>
      </c>
      <c r="CL45" s="39">
        <v>47.28</v>
      </c>
      <c r="CM45" s="39">
        <v>47.4</v>
      </c>
      <c r="CN45" s="39">
        <v>47.52</v>
      </c>
      <c r="CO45" s="39">
        <v>47.64</v>
      </c>
      <c r="CP45" s="39">
        <v>47.75</v>
      </c>
      <c r="CQ45" s="39">
        <v>47.87</v>
      </c>
      <c r="CR45" s="39">
        <v>47.98</v>
      </c>
      <c r="CS45" s="39">
        <v>48.1</v>
      </c>
      <c r="CT45" s="39">
        <v>48.21</v>
      </c>
      <c r="CU45" s="39">
        <v>48.33</v>
      </c>
      <c r="CV45" s="39">
        <v>48.44</v>
      </c>
      <c r="CW45" s="39">
        <v>48.55</v>
      </c>
      <c r="CX45" s="39">
        <v>48.66</v>
      </c>
      <c r="CY45" s="39">
        <v>48.77</v>
      </c>
      <c r="CZ45" s="39">
        <v>48.88</v>
      </c>
      <c r="DA45" s="39">
        <v>48.98</v>
      </c>
      <c r="DB45" s="39">
        <v>49.09</v>
      </c>
      <c r="DC45" s="39">
        <v>49.2</v>
      </c>
      <c r="DD45" s="39">
        <v>49.3</v>
      </c>
      <c r="DE45" s="39">
        <v>49.41</v>
      </c>
      <c r="DF45" s="39">
        <v>49.51</v>
      </c>
      <c r="DG45" s="39">
        <v>49.61</v>
      </c>
      <c r="DH45" s="39">
        <v>49.71</v>
      </c>
      <c r="DI45" s="39">
        <v>49.81</v>
      </c>
      <c r="DJ45" s="39">
        <v>49.91</v>
      </c>
      <c r="DK45" s="39">
        <v>50.01</v>
      </c>
      <c r="DL45" s="39">
        <v>50.11</v>
      </c>
      <c r="DM45" s="39">
        <v>50.21</v>
      </c>
      <c r="DN45" s="39">
        <v>50.31</v>
      </c>
      <c r="DO45" s="39">
        <v>50.4</v>
      </c>
      <c r="DP45" s="39">
        <v>50.5</v>
      </c>
      <c r="DQ45" s="39">
        <v>50.59</v>
      </c>
      <c r="DR45" s="39">
        <v>50.68</v>
      </c>
    </row>
    <row r="46" spans="1:122">
      <c r="A46" s="44">
        <v>44</v>
      </c>
      <c r="B46" s="45"/>
      <c r="C46" s="45"/>
      <c r="D46" s="45"/>
      <c r="E46" s="45"/>
      <c r="F46" s="45"/>
      <c r="G46" s="45"/>
      <c r="H46" s="45"/>
      <c r="I46" s="45"/>
      <c r="J46" s="45"/>
      <c r="K46" s="45"/>
      <c r="L46" s="45"/>
      <c r="M46" s="45"/>
      <c r="N46" s="45"/>
      <c r="O46" s="45"/>
      <c r="P46" s="45"/>
      <c r="Q46" s="45"/>
      <c r="R46" s="45"/>
      <c r="S46" s="45"/>
      <c r="T46" s="45"/>
      <c r="U46" s="45"/>
      <c r="V46" s="39"/>
      <c r="W46" s="39">
        <v>36.64</v>
      </c>
      <c r="X46" s="39">
        <v>36.840000000000003</v>
      </c>
      <c r="Y46" s="39">
        <v>37.03</v>
      </c>
      <c r="Z46" s="39">
        <v>37.26</v>
      </c>
      <c r="AA46" s="39">
        <v>37.4</v>
      </c>
      <c r="AB46" s="39">
        <v>37.6</v>
      </c>
      <c r="AC46" s="39">
        <v>37.83</v>
      </c>
      <c r="AD46" s="39">
        <v>37.93</v>
      </c>
      <c r="AE46" s="39">
        <v>38.17</v>
      </c>
      <c r="AF46" s="39">
        <v>38.35</v>
      </c>
      <c r="AG46" s="39">
        <v>38.53</v>
      </c>
      <c r="AH46" s="39">
        <v>38.700000000000003</v>
      </c>
      <c r="AI46" s="39">
        <v>38.89</v>
      </c>
      <c r="AJ46" s="39">
        <v>39.15</v>
      </c>
      <c r="AK46" s="39">
        <v>39.4</v>
      </c>
      <c r="AL46" s="39">
        <v>39.659999999999997</v>
      </c>
      <c r="AM46" s="39">
        <v>39.909999999999997</v>
      </c>
      <c r="AN46" s="39">
        <v>40.11</v>
      </c>
      <c r="AO46" s="39">
        <v>40.270000000000003</v>
      </c>
      <c r="AP46" s="39">
        <v>40.39</v>
      </c>
      <c r="AQ46" s="39">
        <v>40.450000000000003</v>
      </c>
      <c r="AR46" s="39">
        <v>40.51</v>
      </c>
      <c r="AS46" s="39">
        <v>40.57</v>
      </c>
      <c r="AT46" s="39">
        <v>40.56</v>
      </c>
      <c r="AU46" s="39">
        <v>40.619999999999997</v>
      </c>
      <c r="AV46" s="39">
        <v>40.68</v>
      </c>
      <c r="AW46" s="39">
        <v>40.909999999999997</v>
      </c>
      <c r="AX46" s="39">
        <v>40.97</v>
      </c>
      <c r="AY46" s="39">
        <v>41.13</v>
      </c>
      <c r="AZ46" s="39">
        <v>41.25</v>
      </c>
      <c r="BA46" s="39">
        <v>41.37</v>
      </c>
      <c r="BB46" s="39">
        <v>41.49</v>
      </c>
      <c r="BC46" s="39">
        <v>41.62</v>
      </c>
      <c r="BD46" s="39">
        <v>41.73</v>
      </c>
      <c r="BE46" s="39">
        <v>41.85</v>
      </c>
      <c r="BF46" s="39">
        <v>41.98</v>
      </c>
      <c r="BG46" s="39">
        <v>42.13</v>
      </c>
      <c r="BH46" s="39">
        <v>42.29</v>
      </c>
      <c r="BI46" s="39">
        <v>42.42</v>
      </c>
      <c r="BJ46" s="39">
        <v>42.57</v>
      </c>
      <c r="BK46" s="39">
        <v>42.71</v>
      </c>
      <c r="BL46" s="39">
        <v>42.87</v>
      </c>
      <c r="BM46" s="39">
        <v>43.03</v>
      </c>
      <c r="BN46" s="39">
        <v>43.18</v>
      </c>
      <c r="BO46" s="39">
        <v>43.31</v>
      </c>
      <c r="BP46" s="39">
        <v>43.46</v>
      </c>
      <c r="BQ46" s="39">
        <v>43.59</v>
      </c>
      <c r="BR46" s="39">
        <v>43.73</v>
      </c>
      <c r="BS46" s="39">
        <v>43.88</v>
      </c>
      <c r="BT46" s="39">
        <v>44.01</v>
      </c>
      <c r="BU46" s="39">
        <v>44.14</v>
      </c>
      <c r="BV46" s="39">
        <v>44.27</v>
      </c>
      <c r="BW46" s="39">
        <v>44.41</v>
      </c>
      <c r="BX46" s="39">
        <v>44.54</v>
      </c>
      <c r="BY46" s="39">
        <v>44.67</v>
      </c>
      <c r="BZ46" s="39">
        <v>44.81</v>
      </c>
      <c r="CA46" s="39">
        <v>44.94</v>
      </c>
      <c r="CB46" s="39">
        <v>45.06</v>
      </c>
      <c r="CC46" s="39">
        <v>45.19</v>
      </c>
      <c r="CD46" s="39">
        <v>45.32</v>
      </c>
      <c r="CE46" s="39">
        <v>45.45</v>
      </c>
      <c r="CF46" s="39">
        <v>45.57</v>
      </c>
      <c r="CG46" s="39">
        <v>45.7</v>
      </c>
      <c r="CH46" s="39">
        <v>45.82</v>
      </c>
      <c r="CI46" s="39">
        <v>45.94</v>
      </c>
      <c r="CJ46" s="39">
        <v>46.07</v>
      </c>
      <c r="CK46" s="39">
        <v>46.19</v>
      </c>
      <c r="CL46" s="39">
        <v>46.31</v>
      </c>
      <c r="CM46" s="39">
        <v>46.43</v>
      </c>
      <c r="CN46" s="39">
        <v>46.55</v>
      </c>
      <c r="CO46" s="39">
        <v>46.66</v>
      </c>
      <c r="CP46" s="39">
        <v>46.78</v>
      </c>
      <c r="CQ46" s="39">
        <v>46.9</v>
      </c>
      <c r="CR46" s="39">
        <v>47.01</v>
      </c>
      <c r="CS46" s="39">
        <v>47.13</v>
      </c>
      <c r="CT46" s="39">
        <v>47.24</v>
      </c>
      <c r="CU46" s="39">
        <v>47.35</v>
      </c>
      <c r="CV46" s="39">
        <v>47.46</v>
      </c>
      <c r="CW46" s="39">
        <v>47.57</v>
      </c>
      <c r="CX46" s="39">
        <v>47.68</v>
      </c>
      <c r="CY46" s="39">
        <v>47.79</v>
      </c>
      <c r="CZ46" s="39">
        <v>47.9</v>
      </c>
      <c r="DA46" s="39">
        <v>48.01</v>
      </c>
      <c r="DB46" s="39">
        <v>48.11</v>
      </c>
      <c r="DC46" s="39">
        <v>48.22</v>
      </c>
      <c r="DD46" s="39">
        <v>48.32</v>
      </c>
      <c r="DE46" s="39">
        <v>48.43</v>
      </c>
      <c r="DF46" s="39">
        <v>48.53</v>
      </c>
      <c r="DG46" s="39">
        <v>48.63</v>
      </c>
      <c r="DH46" s="39">
        <v>48.73</v>
      </c>
      <c r="DI46" s="39">
        <v>48.83</v>
      </c>
      <c r="DJ46" s="39">
        <v>48.93</v>
      </c>
      <c r="DK46" s="39">
        <v>49.03</v>
      </c>
      <c r="DL46" s="39">
        <v>49.13</v>
      </c>
      <c r="DM46" s="39">
        <v>49.23</v>
      </c>
      <c r="DN46" s="39">
        <v>49.32</v>
      </c>
      <c r="DO46" s="39">
        <v>49.42</v>
      </c>
      <c r="DP46" s="39">
        <v>49.51</v>
      </c>
      <c r="DQ46" s="39">
        <v>49.61</v>
      </c>
      <c r="DR46" s="39">
        <v>49.7</v>
      </c>
    </row>
    <row r="47" spans="1:122">
      <c r="A47" s="44">
        <v>45</v>
      </c>
      <c r="B47" s="45"/>
      <c r="C47" s="45"/>
      <c r="D47" s="45"/>
      <c r="E47" s="45"/>
      <c r="F47" s="45"/>
      <c r="G47" s="45"/>
      <c r="H47" s="45"/>
      <c r="I47" s="45"/>
      <c r="J47" s="45"/>
      <c r="K47" s="45"/>
      <c r="L47" s="45"/>
      <c r="M47" s="45"/>
      <c r="N47" s="45"/>
      <c r="O47" s="45"/>
      <c r="P47" s="45"/>
      <c r="Q47" s="45"/>
      <c r="R47" s="45"/>
      <c r="S47" s="45"/>
      <c r="T47" s="45"/>
      <c r="U47" s="45"/>
      <c r="V47" s="39"/>
      <c r="W47" s="39">
        <v>35.74</v>
      </c>
      <c r="X47" s="39">
        <v>35.94</v>
      </c>
      <c r="Y47" s="39">
        <v>36.130000000000003</v>
      </c>
      <c r="Z47" s="39">
        <v>36.36</v>
      </c>
      <c r="AA47" s="39">
        <v>36.5</v>
      </c>
      <c r="AB47" s="39">
        <v>36.69</v>
      </c>
      <c r="AC47" s="39">
        <v>36.92</v>
      </c>
      <c r="AD47" s="39">
        <v>37.03</v>
      </c>
      <c r="AE47" s="39">
        <v>37.270000000000003</v>
      </c>
      <c r="AF47" s="39">
        <v>37.44</v>
      </c>
      <c r="AG47" s="39">
        <v>37.619999999999997</v>
      </c>
      <c r="AH47" s="39">
        <v>37.79</v>
      </c>
      <c r="AI47" s="39">
        <v>37.979999999999997</v>
      </c>
      <c r="AJ47" s="39">
        <v>38.24</v>
      </c>
      <c r="AK47" s="39">
        <v>38.479999999999997</v>
      </c>
      <c r="AL47" s="39">
        <v>38.74</v>
      </c>
      <c r="AM47" s="39">
        <v>38.99</v>
      </c>
      <c r="AN47" s="39">
        <v>39.19</v>
      </c>
      <c r="AO47" s="39">
        <v>39.35</v>
      </c>
      <c r="AP47" s="39">
        <v>39.47</v>
      </c>
      <c r="AQ47" s="39">
        <v>39.53</v>
      </c>
      <c r="AR47" s="39">
        <v>39.590000000000003</v>
      </c>
      <c r="AS47" s="39">
        <v>39.65</v>
      </c>
      <c r="AT47" s="39">
        <v>39.630000000000003</v>
      </c>
      <c r="AU47" s="39">
        <v>39.69</v>
      </c>
      <c r="AV47" s="39">
        <v>39.76</v>
      </c>
      <c r="AW47" s="39">
        <v>39.979999999999997</v>
      </c>
      <c r="AX47" s="39">
        <v>40.04</v>
      </c>
      <c r="AY47" s="39">
        <v>40.200000000000003</v>
      </c>
      <c r="AZ47" s="39">
        <v>40.33</v>
      </c>
      <c r="BA47" s="39">
        <v>40.450000000000003</v>
      </c>
      <c r="BB47" s="39">
        <v>40.56</v>
      </c>
      <c r="BC47" s="39">
        <v>40.69</v>
      </c>
      <c r="BD47" s="39">
        <v>40.79</v>
      </c>
      <c r="BE47" s="39">
        <v>40.909999999999997</v>
      </c>
      <c r="BF47" s="39">
        <v>41.04</v>
      </c>
      <c r="BG47" s="39">
        <v>41.19</v>
      </c>
      <c r="BH47" s="39">
        <v>41.36</v>
      </c>
      <c r="BI47" s="39">
        <v>41.48</v>
      </c>
      <c r="BJ47" s="39">
        <v>41.62</v>
      </c>
      <c r="BK47" s="39">
        <v>41.76</v>
      </c>
      <c r="BL47" s="39">
        <v>41.92</v>
      </c>
      <c r="BM47" s="39">
        <v>42.08</v>
      </c>
      <c r="BN47" s="39">
        <v>42.23</v>
      </c>
      <c r="BO47" s="39">
        <v>42.36</v>
      </c>
      <c r="BP47" s="39">
        <v>42.51</v>
      </c>
      <c r="BQ47" s="39">
        <v>42.64</v>
      </c>
      <c r="BR47" s="39">
        <v>42.77</v>
      </c>
      <c r="BS47" s="39">
        <v>42.93</v>
      </c>
      <c r="BT47" s="39">
        <v>43.06</v>
      </c>
      <c r="BU47" s="39">
        <v>43.19</v>
      </c>
      <c r="BV47" s="39">
        <v>43.32</v>
      </c>
      <c r="BW47" s="39">
        <v>43.46</v>
      </c>
      <c r="BX47" s="39">
        <v>43.58</v>
      </c>
      <c r="BY47" s="39">
        <v>43.72</v>
      </c>
      <c r="BZ47" s="39">
        <v>43.85</v>
      </c>
      <c r="CA47" s="39">
        <v>43.98</v>
      </c>
      <c r="CB47" s="39">
        <v>44.1</v>
      </c>
      <c r="CC47" s="39">
        <v>44.23</v>
      </c>
      <c r="CD47" s="39">
        <v>44.36</v>
      </c>
      <c r="CE47" s="39">
        <v>44.48</v>
      </c>
      <c r="CF47" s="39">
        <v>44.61</v>
      </c>
      <c r="CG47" s="39">
        <v>44.73</v>
      </c>
      <c r="CH47" s="39">
        <v>44.86</v>
      </c>
      <c r="CI47" s="39">
        <v>44.98</v>
      </c>
      <c r="CJ47" s="39">
        <v>45.1</v>
      </c>
      <c r="CK47" s="39">
        <v>45.22</v>
      </c>
      <c r="CL47" s="39">
        <v>45.34</v>
      </c>
      <c r="CM47" s="39">
        <v>45.46</v>
      </c>
      <c r="CN47" s="39">
        <v>45.58</v>
      </c>
      <c r="CO47" s="39">
        <v>45.7</v>
      </c>
      <c r="CP47" s="39">
        <v>45.81</v>
      </c>
      <c r="CQ47" s="39">
        <v>45.93</v>
      </c>
      <c r="CR47" s="39">
        <v>46.04</v>
      </c>
      <c r="CS47" s="39">
        <v>46.16</v>
      </c>
      <c r="CT47" s="39">
        <v>46.27</v>
      </c>
      <c r="CU47" s="39">
        <v>46.38</v>
      </c>
      <c r="CV47" s="39">
        <v>46.49</v>
      </c>
      <c r="CW47" s="39">
        <v>46.6</v>
      </c>
      <c r="CX47" s="39">
        <v>46.71</v>
      </c>
      <c r="CY47" s="39">
        <v>46.82</v>
      </c>
      <c r="CZ47" s="39">
        <v>46.93</v>
      </c>
      <c r="DA47" s="39">
        <v>47.03</v>
      </c>
      <c r="DB47" s="39">
        <v>47.14</v>
      </c>
      <c r="DC47" s="39">
        <v>47.24</v>
      </c>
      <c r="DD47" s="39">
        <v>47.35</v>
      </c>
      <c r="DE47" s="39">
        <v>47.45</v>
      </c>
      <c r="DF47" s="39">
        <v>47.55</v>
      </c>
      <c r="DG47" s="39">
        <v>47.65</v>
      </c>
      <c r="DH47" s="39">
        <v>47.76</v>
      </c>
      <c r="DI47" s="39">
        <v>47.86</v>
      </c>
      <c r="DJ47" s="39">
        <v>47.95</v>
      </c>
      <c r="DK47" s="39">
        <v>48.05</v>
      </c>
      <c r="DL47" s="39">
        <v>48.15</v>
      </c>
      <c r="DM47" s="39">
        <v>48.25</v>
      </c>
      <c r="DN47" s="39">
        <v>48.34</v>
      </c>
      <c r="DO47" s="39">
        <v>48.44</v>
      </c>
      <c r="DP47" s="39">
        <v>48.53</v>
      </c>
      <c r="DQ47" s="39">
        <v>48.63</v>
      </c>
      <c r="DR47" s="39">
        <v>48.72</v>
      </c>
    </row>
    <row r="48" spans="1:122">
      <c r="A48" s="44">
        <v>46</v>
      </c>
      <c r="B48" s="45"/>
      <c r="C48" s="45"/>
      <c r="D48" s="45"/>
      <c r="E48" s="45"/>
      <c r="F48" s="45"/>
      <c r="G48" s="45"/>
      <c r="H48" s="45"/>
      <c r="I48" s="45"/>
      <c r="J48" s="45"/>
      <c r="K48" s="45"/>
      <c r="L48" s="45"/>
      <c r="M48" s="45"/>
      <c r="N48" s="45"/>
      <c r="O48" s="45"/>
      <c r="P48" s="45"/>
      <c r="Q48" s="45"/>
      <c r="R48" s="45"/>
      <c r="S48" s="45"/>
      <c r="T48" s="45"/>
      <c r="U48" s="45"/>
      <c r="V48" s="39"/>
      <c r="W48" s="39">
        <v>34.840000000000003</v>
      </c>
      <c r="X48" s="39">
        <v>35.04</v>
      </c>
      <c r="Y48" s="39">
        <v>35.229999999999997</v>
      </c>
      <c r="Z48" s="39">
        <v>35.46</v>
      </c>
      <c r="AA48" s="39">
        <v>35.6</v>
      </c>
      <c r="AB48" s="39">
        <v>35.79</v>
      </c>
      <c r="AC48" s="39">
        <v>36.020000000000003</v>
      </c>
      <c r="AD48" s="39">
        <v>36.130000000000003</v>
      </c>
      <c r="AE48" s="39">
        <v>36.36</v>
      </c>
      <c r="AF48" s="39">
        <v>36.53</v>
      </c>
      <c r="AG48" s="39">
        <v>36.71</v>
      </c>
      <c r="AH48" s="39">
        <v>36.89</v>
      </c>
      <c r="AI48" s="39">
        <v>37.08</v>
      </c>
      <c r="AJ48" s="39">
        <v>37.33</v>
      </c>
      <c r="AK48" s="39">
        <v>37.57</v>
      </c>
      <c r="AL48" s="39">
        <v>37.83</v>
      </c>
      <c r="AM48" s="39">
        <v>38.08</v>
      </c>
      <c r="AN48" s="39">
        <v>38.270000000000003</v>
      </c>
      <c r="AO48" s="39">
        <v>38.43</v>
      </c>
      <c r="AP48" s="39">
        <v>38.54</v>
      </c>
      <c r="AQ48" s="39">
        <v>38.61</v>
      </c>
      <c r="AR48" s="39">
        <v>38.67</v>
      </c>
      <c r="AS48" s="39">
        <v>38.72</v>
      </c>
      <c r="AT48" s="39">
        <v>38.71</v>
      </c>
      <c r="AU48" s="39">
        <v>38.78</v>
      </c>
      <c r="AV48" s="39">
        <v>38.840000000000003</v>
      </c>
      <c r="AW48" s="39">
        <v>39.06</v>
      </c>
      <c r="AX48" s="39">
        <v>39.119999999999997</v>
      </c>
      <c r="AY48" s="39">
        <v>39.28</v>
      </c>
      <c r="AZ48" s="39">
        <v>39.4</v>
      </c>
      <c r="BA48" s="39">
        <v>39.520000000000003</v>
      </c>
      <c r="BB48" s="39">
        <v>39.630000000000003</v>
      </c>
      <c r="BC48" s="39">
        <v>39.76</v>
      </c>
      <c r="BD48" s="39">
        <v>39.86</v>
      </c>
      <c r="BE48" s="39">
        <v>39.979999999999997</v>
      </c>
      <c r="BF48" s="39">
        <v>40.11</v>
      </c>
      <c r="BG48" s="39">
        <v>40.26</v>
      </c>
      <c r="BH48" s="39">
        <v>40.42</v>
      </c>
      <c r="BI48" s="39">
        <v>40.54</v>
      </c>
      <c r="BJ48" s="39">
        <v>40.68</v>
      </c>
      <c r="BK48" s="39">
        <v>40.82</v>
      </c>
      <c r="BL48" s="39">
        <v>40.98</v>
      </c>
      <c r="BM48" s="39">
        <v>41.13</v>
      </c>
      <c r="BN48" s="39">
        <v>41.28</v>
      </c>
      <c r="BO48" s="39">
        <v>41.41</v>
      </c>
      <c r="BP48" s="39">
        <v>41.56</v>
      </c>
      <c r="BQ48" s="39">
        <v>41.69</v>
      </c>
      <c r="BR48" s="39">
        <v>41.82</v>
      </c>
      <c r="BS48" s="39">
        <v>41.97</v>
      </c>
      <c r="BT48" s="39">
        <v>42.1</v>
      </c>
      <c r="BU48" s="39">
        <v>42.23</v>
      </c>
      <c r="BV48" s="39">
        <v>42.37</v>
      </c>
      <c r="BW48" s="39">
        <v>42.5</v>
      </c>
      <c r="BX48" s="39">
        <v>42.63</v>
      </c>
      <c r="BY48" s="39">
        <v>42.76</v>
      </c>
      <c r="BZ48" s="39">
        <v>42.89</v>
      </c>
      <c r="CA48" s="39">
        <v>43.02</v>
      </c>
      <c r="CB48" s="39">
        <v>43.15</v>
      </c>
      <c r="CC48" s="39">
        <v>43.27</v>
      </c>
      <c r="CD48" s="39">
        <v>43.4</v>
      </c>
      <c r="CE48" s="39">
        <v>43.53</v>
      </c>
      <c r="CF48" s="39">
        <v>43.65</v>
      </c>
      <c r="CG48" s="39">
        <v>43.77</v>
      </c>
      <c r="CH48" s="39">
        <v>43.9</v>
      </c>
      <c r="CI48" s="39">
        <v>44.02</v>
      </c>
      <c r="CJ48" s="39">
        <v>44.14</v>
      </c>
      <c r="CK48" s="39">
        <v>44.26</v>
      </c>
      <c r="CL48" s="39">
        <v>44.38</v>
      </c>
      <c r="CM48" s="39">
        <v>44.5</v>
      </c>
      <c r="CN48" s="39">
        <v>44.61</v>
      </c>
      <c r="CO48" s="39">
        <v>44.73</v>
      </c>
      <c r="CP48" s="39">
        <v>44.85</v>
      </c>
      <c r="CQ48" s="39">
        <v>44.96</v>
      </c>
      <c r="CR48" s="39">
        <v>45.07</v>
      </c>
      <c r="CS48" s="39">
        <v>45.19</v>
      </c>
      <c r="CT48" s="39">
        <v>45.3</v>
      </c>
      <c r="CU48" s="39">
        <v>45.41</v>
      </c>
      <c r="CV48" s="39">
        <v>45.52</v>
      </c>
      <c r="CW48" s="39">
        <v>45.63</v>
      </c>
      <c r="CX48" s="39">
        <v>45.74</v>
      </c>
      <c r="CY48" s="39">
        <v>45.85</v>
      </c>
      <c r="CZ48" s="39">
        <v>45.95</v>
      </c>
      <c r="DA48" s="39">
        <v>46.06</v>
      </c>
      <c r="DB48" s="39">
        <v>46.17</v>
      </c>
      <c r="DC48" s="39">
        <v>46.27</v>
      </c>
      <c r="DD48" s="39">
        <v>46.37</v>
      </c>
      <c r="DE48" s="39">
        <v>46.48</v>
      </c>
      <c r="DF48" s="39">
        <v>46.58</v>
      </c>
      <c r="DG48" s="39">
        <v>46.68</v>
      </c>
      <c r="DH48" s="39">
        <v>46.78</v>
      </c>
      <c r="DI48" s="39">
        <v>46.88</v>
      </c>
      <c r="DJ48" s="39">
        <v>46.98</v>
      </c>
      <c r="DK48" s="39">
        <v>47.08</v>
      </c>
      <c r="DL48" s="39">
        <v>47.17</v>
      </c>
      <c r="DM48" s="39">
        <v>47.27</v>
      </c>
      <c r="DN48" s="39">
        <v>47.36</v>
      </c>
      <c r="DO48" s="39">
        <v>47.46</v>
      </c>
      <c r="DP48" s="39">
        <v>47.55</v>
      </c>
      <c r="DQ48" s="39">
        <v>47.65</v>
      </c>
      <c r="DR48" s="39">
        <v>47.74</v>
      </c>
    </row>
    <row r="49" spans="1:122">
      <c r="A49" s="44">
        <v>47</v>
      </c>
      <c r="B49" s="45"/>
      <c r="C49" s="45"/>
      <c r="D49" s="45"/>
      <c r="E49" s="45"/>
      <c r="F49" s="45"/>
      <c r="G49" s="45"/>
      <c r="H49" s="45"/>
      <c r="I49" s="45"/>
      <c r="J49" s="45"/>
      <c r="K49" s="45"/>
      <c r="L49" s="45"/>
      <c r="M49" s="45"/>
      <c r="N49" s="45"/>
      <c r="O49" s="45"/>
      <c r="P49" s="45"/>
      <c r="Q49" s="45"/>
      <c r="R49" s="45"/>
      <c r="S49" s="45"/>
      <c r="T49" s="45"/>
      <c r="U49" s="45"/>
      <c r="V49" s="39"/>
      <c r="W49" s="39">
        <v>33.950000000000003</v>
      </c>
      <c r="X49" s="39">
        <v>34.15</v>
      </c>
      <c r="Y49" s="39">
        <v>34.35</v>
      </c>
      <c r="Z49" s="39">
        <v>34.57</v>
      </c>
      <c r="AA49" s="39">
        <v>34.71</v>
      </c>
      <c r="AB49" s="39">
        <v>34.9</v>
      </c>
      <c r="AC49" s="39">
        <v>35.119999999999997</v>
      </c>
      <c r="AD49" s="39">
        <v>35.24</v>
      </c>
      <c r="AE49" s="39">
        <v>35.47</v>
      </c>
      <c r="AF49" s="39">
        <v>35.630000000000003</v>
      </c>
      <c r="AG49" s="39">
        <v>35.81</v>
      </c>
      <c r="AH49" s="39">
        <v>35.99</v>
      </c>
      <c r="AI49" s="39">
        <v>36.17</v>
      </c>
      <c r="AJ49" s="39">
        <v>36.43</v>
      </c>
      <c r="AK49" s="39">
        <v>36.659999999999997</v>
      </c>
      <c r="AL49" s="39">
        <v>36.92</v>
      </c>
      <c r="AM49" s="39">
        <v>37.159999999999997</v>
      </c>
      <c r="AN49" s="39">
        <v>37.36</v>
      </c>
      <c r="AO49" s="39">
        <v>37.51</v>
      </c>
      <c r="AP49" s="39">
        <v>37.630000000000003</v>
      </c>
      <c r="AQ49" s="39">
        <v>37.69</v>
      </c>
      <c r="AR49" s="39">
        <v>37.75</v>
      </c>
      <c r="AS49" s="39">
        <v>37.799999999999997</v>
      </c>
      <c r="AT49" s="39">
        <v>37.799999999999997</v>
      </c>
      <c r="AU49" s="39">
        <v>37.86</v>
      </c>
      <c r="AV49" s="39">
        <v>37.92</v>
      </c>
      <c r="AW49" s="39">
        <v>38.14</v>
      </c>
      <c r="AX49" s="39">
        <v>38.200000000000003</v>
      </c>
      <c r="AY49" s="39">
        <v>38.36</v>
      </c>
      <c r="AZ49" s="39">
        <v>38.479999999999997</v>
      </c>
      <c r="BA49" s="39">
        <v>38.6</v>
      </c>
      <c r="BB49" s="39">
        <v>38.71</v>
      </c>
      <c r="BC49" s="39">
        <v>38.83</v>
      </c>
      <c r="BD49" s="39">
        <v>38.94</v>
      </c>
      <c r="BE49" s="39">
        <v>39.049999999999997</v>
      </c>
      <c r="BF49" s="39">
        <v>39.18</v>
      </c>
      <c r="BG49" s="39">
        <v>39.33</v>
      </c>
      <c r="BH49" s="39">
        <v>39.49</v>
      </c>
      <c r="BI49" s="39">
        <v>39.61</v>
      </c>
      <c r="BJ49" s="39">
        <v>39.75</v>
      </c>
      <c r="BK49" s="39">
        <v>39.880000000000003</v>
      </c>
      <c r="BL49" s="39">
        <v>40.04</v>
      </c>
      <c r="BM49" s="39">
        <v>40.19</v>
      </c>
      <c r="BN49" s="39">
        <v>40.340000000000003</v>
      </c>
      <c r="BO49" s="39">
        <v>40.47</v>
      </c>
      <c r="BP49" s="39">
        <v>40.61</v>
      </c>
      <c r="BQ49" s="39">
        <v>40.74</v>
      </c>
      <c r="BR49" s="39">
        <v>40.880000000000003</v>
      </c>
      <c r="BS49" s="39">
        <v>41.02</v>
      </c>
      <c r="BT49" s="39">
        <v>41.16</v>
      </c>
      <c r="BU49" s="39">
        <v>41.28</v>
      </c>
      <c r="BV49" s="39">
        <v>41.42</v>
      </c>
      <c r="BW49" s="39">
        <v>41.55</v>
      </c>
      <c r="BX49" s="39">
        <v>41.68</v>
      </c>
      <c r="BY49" s="39">
        <v>41.81</v>
      </c>
      <c r="BZ49" s="39">
        <v>41.94</v>
      </c>
      <c r="CA49" s="39">
        <v>42.07</v>
      </c>
      <c r="CB49" s="39">
        <v>42.19</v>
      </c>
      <c r="CC49" s="39">
        <v>42.32</v>
      </c>
      <c r="CD49" s="39">
        <v>42.44</v>
      </c>
      <c r="CE49" s="39">
        <v>42.57</v>
      </c>
      <c r="CF49" s="39">
        <v>42.69</v>
      </c>
      <c r="CG49" s="39">
        <v>42.82</v>
      </c>
      <c r="CH49" s="39">
        <v>42.94</v>
      </c>
      <c r="CI49" s="39">
        <v>43.06</v>
      </c>
      <c r="CJ49" s="39">
        <v>43.18</v>
      </c>
      <c r="CK49" s="39">
        <v>43.3</v>
      </c>
      <c r="CL49" s="39">
        <v>43.42</v>
      </c>
      <c r="CM49" s="39">
        <v>43.53</v>
      </c>
      <c r="CN49" s="39">
        <v>43.65</v>
      </c>
      <c r="CO49" s="39">
        <v>43.77</v>
      </c>
      <c r="CP49" s="39">
        <v>43.88</v>
      </c>
      <c r="CQ49" s="39">
        <v>44</v>
      </c>
      <c r="CR49" s="39">
        <v>44.11</v>
      </c>
      <c r="CS49" s="39">
        <v>44.22</v>
      </c>
      <c r="CT49" s="39">
        <v>44.33</v>
      </c>
      <c r="CU49" s="39">
        <v>44.44</v>
      </c>
      <c r="CV49" s="39">
        <v>44.55</v>
      </c>
      <c r="CW49" s="39">
        <v>44.66</v>
      </c>
      <c r="CX49" s="39">
        <v>44.77</v>
      </c>
      <c r="CY49" s="39">
        <v>44.88</v>
      </c>
      <c r="CZ49" s="39">
        <v>44.98</v>
      </c>
      <c r="DA49" s="39">
        <v>45.09</v>
      </c>
      <c r="DB49" s="39">
        <v>45.19</v>
      </c>
      <c r="DC49" s="39">
        <v>45.3</v>
      </c>
      <c r="DD49" s="39">
        <v>45.4</v>
      </c>
      <c r="DE49" s="39">
        <v>45.5</v>
      </c>
      <c r="DF49" s="39">
        <v>45.6</v>
      </c>
      <c r="DG49" s="39">
        <v>45.71</v>
      </c>
      <c r="DH49" s="39">
        <v>45.81</v>
      </c>
      <c r="DI49" s="39">
        <v>45.9</v>
      </c>
      <c r="DJ49" s="39">
        <v>46</v>
      </c>
      <c r="DK49" s="39">
        <v>46.1</v>
      </c>
      <c r="DL49" s="39">
        <v>46.2</v>
      </c>
      <c r="DM49" s="39">
        <v>46.29</v>
      </c>
      <c r="DN49" s="39">
        <v>46.39</v>
      </c>
      <c r="DO49" s="39">
        <v>46.48</v>
      </c>
      <c r="DP49" s="39">
        <v>46.58</v>
      </c>
      <c r="DQ49" s="39">
        <v>46.67</v>
      </c>
      <c r="DR49" s="39">
        <v>46.76</v>
      </c>
    </row>
    <row r="50" spans="1:122">
      <c r="A50" s="44">
        <v>48</v>
      </c>
      <c r="B50" s="45"/>
      <c r="C50" s="45"/>
      <c r="D50" s="45"/>
      <c r="E50" s="45"/>
      <c r="F50" s="45"/>
      <c r="G50" s="45"/>
      <c r="H50" s="45"/>
      <c r="I50" s="45"/>
      <c r="J50" s="45"/>
      <c r="K50" s="45"/>
      <c r="L50" s="45"/>
      <c r="M50" s="45"/>
      <c r="N50" s="45"/>
      <c r="O50" s="45"/>
      <c r="P50" s="45"/>
      <c r="Q50" s="45"/>
      <c r="R50" s="45"/>
      <c r="S50" s="45"/>
      <c r="T50" s="45"/>
      <c r="U50" s="45"/>
      <c r="V50" s="39"/>
      <c r="W50" s="39">
        <v>33.07</v>
      </c>
      <c r="X50" s="39">
        <v>33.270000000000003</v>
      </c>
      <c r="Y50" s="39">
        <v>33.46</v>
      </c>
      <c r="Z50" s="39">
        <v>33.68</v>
      </c>
      <c r="AA50" s="39">
        <v>33.82</v>
      </c>
      <c r="AB50" s="39">
        <v>34.01</v>
      </c>
      <c r="AC50" s="39">
        <v>34.229999999999997</v>
      </c>
      <c r="AD50" s="39">
        <v>34.35</v>
      </c>
      <c r="AE50" s="39">
        <v>34.58</v>
      </c>
      <c r="AF50" s="39">
        <v>34.74</v>
      </c>
      <c r="AG50" s="39">
        <v>34.92</v>
      </c>
      <c r="AH50" s="39">
        <v>35.090000000000003</v>
      </c>
      <c r="AI50" s="39">
        <v>35.28</v>
      </c>
      <c r="AJ50" s="39">
        <v>35.53</v>
      </c>
      <c r="AK50" s="39">
        <v>35.76</v>
      </c>
      <c r="AL50" s="39">
        <v>36.01</v>
      </c>
      <c r="AM50" s="39">
        <v>36.25</v>
      </c>
      <c r="AN50" s="39">
        <v>36.450000000000003</v>
      </c>
      <c r="AO50" s="39">
        <v>36.6</v>
      </c>
      <c r="AP50" s="39">
        <v>36.71</v>
      </c>
      <c r="AQ50" s="39">
        <v>36.78</v>
      </c>
      <c r="AR50" s="39">
        <v>36.840000000000003</v>
      </c>
      <c r="AS50" s="39">
        <v>36.89</v>
      </c>
      <c r="AT50" s="39">
        <v>36.89</v>
      </c>
      <c r="AU50" s="39">
        <v>36.950000000000003</v>
      </c>
      <c r="AV50" s="39">
        <v>37.01</v>
      </c>
      <c r="AW50" s="39">
        <v>37.22</v>
      </c>
      <c r="AX50" s="39">
        <v>37.28</v>
      </c>
      <c r="AY50" s="39">
        <v>37.44</v>
      </c>
      <c r="AZ50" s="39">
        <v>37.56</v>
      </c>
      <c r="BA50" s="39">
        <v>37.67</v>
      </c>
      <c r="BB50" s="39">
        <v>37.79</v>
      </c>
      <c r="BC50" s="39">
        <v>37.909999999999997</v>
      </c>
      <c r="BD50" s="39">
        <v>38.01</v>
      </c>
      <c r="BE50" s="39">
        <v>38.130000000000003</v>
      </c>
      <c r="BF50" s="39">
        <v>38.26</v>
      </c>
      <c r="BG50" s="39">
        <v>38.4</v>
      </c>
      <c r="BH50" s="39">
        <v>38.56</v>
      </c>
      <c r="BI50" s="39">
        <v>38.68</v>
      </c>
      <c r="BJ50" s="39">
        <v>38.82</v>
      </c>
      <c r="BK50" s="39">
        <v>38.950000000000003</v>
      </c>
      <c r="BL50" s="39">
        <v>39.11</v>
      </c>
      <c r="BM50" s="39">
        <v>39.26</v>
      </c>
      <c r="BN50" s="39">
        <v>39.4</v>
      </c>
      <c r="BO50" s="39">
        <v>39.53</v>
      </c>
      <c r="BP50" s="39">
        <v>39.67</v>
      </c>
      <c r="BQ50" s="39">
        <v>39.799999999999997</v>
      </c>
      <c r="BR50" s="39">
        <v>39.93</v>
      </c>
      <c r="BS50" s="39">
        <v>40.08</v>
      </c>
      <c r="BT50" s="39">
        <v>40.21</v>
      </c>
      <c r="BU50" s="39">
        <v>40.340000000000003</v>
      </c>
      <c r="BV50" s="39">
        <v>40.47</v>
      </c>
      <c r="BW50" s="39">
        <v>40.6</v>
      </c>
      <c r="BX50" s="39">
        <v>40.729999999999997</v>
      </c>
      <c r="BY50" s="39">
        <v>40.86</v>
      </c>
      <c r="BZ50" s="39">
        <v>40.99</v>
      </c>
      <c r="CA50" s="39">
        <v>41.12</v>
      </c>
      <c r="CB50" s="39">
        <v>41.24</v>
      </c>
      <c r="CC50" s="39">
        <v>41.37</v>
      </c>
      <c r="CD50" s="39">
        <v>41.49</v>
      </c>
      <c r="CE50" s="39">
        <v>41.61</v>
      </c>
      <c r="CF50" s="39">
        <v>41.74</v>
      </c>
      <c r="CG50" s="39">
        <v>41.86</v>
      </c>
      <c r="CH50" s="39">
        <v>41.98</v>
      </c>
      <c r="CI50" s="39">
        <v>42.1</v>
      </c>
      <c r="CJ50" s="39">
        <v>42.22</v>
      </c>
      <c r="CK50" s="39">
        <v>42.34</v>
      </c>
      <c r="CL50" s="39">
        <v>42.46</v>
      </c>
      <c r="CM50" s="39">
        <v>42.57</v>
      </c>
      <c r="CN50" s="39">
        <v>42.69</v>
      </c>
      <c r="CO50" s="39">
        <v>42.8</v>
      </c>
      <c r="CP50" s="39">
        <v>42.92</v>
      </c>
      <c r="CQ50" s="39">
        <v>43.03</v>
      </c>
      <c r="CR50" s="39">
        <v>43.15</v>
      </c>
      <c r="CS50" s="39">
        <v>43.26</v>
      </c>
      <c r="CT50" s="39">
        <v>43.37</v>
      </c>
      <c r="CU50" s="39">
        <v>43.48</v>
      </c>
      <c r="CV50" s="39">
        <v>43.59</v>
      </c>
      <c r="CW50" s="39">
        <v>43.7</v>
      </c>
      <c r="CX50" s="39">
        <v>43.8</v>
      </c>
      <c r="CY50" s="39">
        <v>43.91</v>
      </c>
      <c r="CZ50" s="39">
        <v>44.02</v>
      </c>
      <c r="DA50" s="39">
        <v>44.12</v>
      </c>
      <c r="DB50" s="39">
        <v>44.22</v>
      </c>
      <c r="DC50" s="39">
        <v>44.33</v>
      </c>
      <c r="DD50" s="39">
        <v>44.43</v>
      </c>
      <c r="DE50" s="39">
        <v>44.53</v>
      </c>
      <c r="DF50" s="39">
        <v>44.63</v>
      </c>
      <c r="DG50" s="39">
        <v>44.73</v>
      </c>
      <c r="DH50" s="39">
        <v>44.83</v>
      </c>
      <c r="DI50" s="39">
        <v>44.93</v>
      </c>
      <c r="DJ50" s="39">
        <v>45.03</v>
      </c>
      <c r="DK50" s="39">
        <v>45.13</v>
      </c>
      <c r="DL50" s="39">
        <v>45.22</v>
      </c>
      <c r="DM50" s="39">
        <v>45.32</v>
      </c>
      <c r="DN50" s="39">
        <v>45.41</v>
      </c>
      <c r="DO50" s="39">
        <v>45.51</v>
      </c>
      <c r="DP50" s="39">
        <v>45.6</v>
      </c>
      <c r="DQ50" s="39">
        <v>45.69</v>
      </c>
      <c r="DR50" s="39">
        <v>45.78</v>
      </c>
    </row>
    <row r="51" spans="1:122">
      <c r="A51" s="44">
        <v>49</v>
      </c>
      <c r="B51" s="45"/>
      <c r="C51" s="45"/>
      <c r="D51" s="45"/>
      <c r="E51" s="45"/>
      <c r="F51" s="45"/>
      <c r="G51" s="45"/>
      <c r="H51" s="45"/>
      <c r="I51" s="45"/>
      <c r="J51" s="45"/>
      <c r="K51" s="45"/>
      <c r="L51" s="45"/>
      <c r="M51" s="45"/>
      <c r="N51" s="45"/>
      <c r="O51" s="45"/>
      <c r="P51" s="45"/>
      <c r="Q51" s="45"/>
      <c r="R51" s="45"/>
      <c r="S51" s="45"/>
      <c r="T51" s="45"/>
      <c r="U51" s="45"/>
      <c r="V51" s="39"/>
      <c r="W51" s="39">
        <v>32.200000000000003</v>
      </c>
      <c r="X51" s="39">
        <v>32.4</v>
      </c>
      <c r="Y51" s="39">
        <v>32.590000000000003</v>
      </c>
      <c r="Z51" s="39">
        <v>32.799999999999997</v>
      </c>
      <c r="AA51" s="39">
        <v>32.94</v>
      </c>
      <c r="AB51" s="39">
        <v>33.130000000000003</v>
      </c>
      <c r="AC51" s="39">
        <v>33.35</v>
      </c>
      <c r="AD51" s="39">
        <v>33.46</v>
      </c>
      <c r="AE51" s="39">
        <v>33.69</v>
      </c>
      <c r="AF51" s="39">
        <v>33.86</v>
      </c>
      <c r="AG51" s="39">
        <v>34.03</v>
      </c>
      <c r="AH51" s="39">
        <v>34.21</v>
      </c>
      <c r="AI51" s="39">
        <v>34.380000000000003</v>
      </c>
      <c r="AJ51" s="39">
        <v>34.630000000000003</v>
      </c>
      <c r="AK51" s="39">
        <v>34.86</v>
      </c>
      <c r="AL51" s="39">
        <v>35.11</v>
      </c>
      <c r="AM51" s="39">
        <v>35.340000000000003</v>
      </c>
      <c r="AN51" s="39">
        <v>35.54</v>
      </c>
      <c r="AO51" s="39">
        <v>35.69</v>
      </c>
      <c r="AP51" s="39">
        <v>35.81</v>
      </c>
      <c r="AQ51" s="39">
        <v>35.869999999999997</v>
      </c>
      <c r="AR51" s="39">
        <v>35.93</v>
      </c>
      <c r="AS51" s="39">
        <v>35.979999999999997</v>
      </c>
      <c r="AT51" s="39">
        <v>35.979999999999997</v>
      </c>
      <c r="AU51" s="39">
        <v>36.049999999999997</v>
      </c>
      <c r="AV51" s="39">
        <v>36.1</v>
      </c>
      <c r="AW51" s="39">
        <v>36.32</v>
      </c>
      <c r="AX51" s="39">
        <v>36.369999999999997</v>
      </c>
      <c r="AY51" s="39">
        <v>36.520000000000003</v>
      </c>
      <c r="AZ51" s="39">
        <v>36.64</v>
      </c>
      <c r="BA51" s="39">
        <v>36.76</v>
      </c>
      <c r="BB51" s="39">
        <v>36.869999999999997</v>
      </c>
      <c r="BC51" s="39">
        <v>36.99</v>
      </c>
      <c r="BD51" s="39">
        <v>37.090000000000003</v>
      </c>
      <c r="BE51" s="39">
        <v>37.21</v>
      </c>
      <c r="BF51" s="39">
        <v>37.33</v>
      </c>
      <c r="BG51" s="39">
        <v>37.479999999999997</v>
      </c>
      <c r="BH51" s="39">
        <v>37.630000000000003</v>
      </c>
      <c r="BI51" s="39">
        <v>37.75</v>
      </c>
      <c r="BJ51" s="39">
        <v>37.89</v>
      </c>
      <c r="BK51" s="39">
        <v>38.020000000000003</v>
      </c>
      <c r="BL51" s="39">
        <v>38.17</v>
      </c>
      <c r="BM51" s="39">
        <v>38.32</v>
      </c>
      <c r="BN51" s="39">
        <v>38.47</v>
      </c>
      <c r="BO51" s="39">
        <v>38.6</v>
      </c>
      <c r="BP51" s="39">
        <v>38.729999999999997</v>
      </c>
      <c r="BQ51" s="39">
        <v>38.869999999999997</v>
      </c>
      <c r="BR51" s="39">
        <v>39</v>
      </c>
      <c r="BS51" s="39">
        <v>39.14</v>
      </c>
      <c r="BT51" s="39">
        <v>39.270000000000003</v>
      </c>
      <c r="BU51" s="39">
        <v>39.4</v>
      </c>
      <c r="BV51" s="39">
        <v>39.53</v>
      </c>
      <c r="BW51" s="39">
        <v>39.659999999999997</v>
      </c>
      <c r="BX51" s="39">
        <v>39.79</v>
      </c>
      <c r="BY51" s="39">
        <v>39.909999999999997</v>
      </c>
      <c r="BZ51" s="39">
        <v>40.04</v>
      </c>
      <c r="CA51" s="39">
        <v>40.17</v>
      </c>
      <c r="CB51" s="39">
        <v>40.29</v>
      </c>
      <c r="CC51" s="39">
        <v>40.42</v>
      </c>
      <c r="CD51" s="39">
        <v>40.54</v>
      </c>
      <c r="CE51" s="39">
        <v>40.659999999999997</v>
      </c>
      <c r="CF51" s="39">
        <v>40.79</v>
      </c>
      <c r="CG51" s="39">
        <v>40.909999999999997</v>
      </c>
      <c r="CH51" s="39">
        <v>41.03</v>
      </c>
      <c r="CI51" s="39">
        <v>41.15</v>
      </c>
      <c r="CJ51" s="39">
        <v>41.27</v>
      </c>
      <c r="CK51" s="39">
        <v>41.38</v>
      </c>
      <c r="CL51" s="39">
        <v>41.5</v>
      </c>
      <c r="CM51" s="39">
        <v>41.62</v>
      </c>
      <c r="CN51" s="39">
        <v>41.73</v>
      </c>
      <c r="CO51" s="39">
        <v>41.85</v>
      </c>
      <c r="CP51" s="39">
        <v>41.96</v>
      </c>
      <c r="CQ51" s="39">
        <v>42.07</v>
      </c>
      <c r="CR51" s="39">
        <v>42.18</v>
      </c>
      <c r="CS51" s="39">
        <v>42.3</v>
      </c>
      <c r="CT51" s="39">
        <v>42.41</v>
      </c>
      <c r="CU51" s="39">
        <v>42.52</v>
      </c>
      <c r="CV51" s="39">
        <v>42.62</v>
      </c>
      <c r="CW51" s="39">
        <v>42.73</v>
      </c>
      <c r="CX51" s="39">
        <v>42.84</v>
      </c>
      <c r="CY51" s="39">
        <v>42.94</v>
      </c>
      <c r="CZ51" s="39">
        <v>43.05</v>
      </c>
      <c r="DA51" s="39">
        <v>43.15</v>
      </c>
      <c r="DB51" s="39">
        <v>43.26</v>
      </c>
      <c r="DC51" s="39">
        <v>43.36</v>
      </c>
      <c r="DD51" s="39">
        <v>43.46</v>
      </c>
      <c r="DE51" s="39">
        <v>43.56</v>
      </c>
      <c r="DF51" s="39">
        <v>43.66</v>
      </c>
      <c r="DG51" s="39">
        <v>43.76</v>
      </c>
      <c r="DH51" s="39">
        <v>43.86</v>
      </c>
      <c r="DI51" s="39">
        <v>43.96</v>
      </c>
      <c r="DJ51" s="39">
        <v>44.06</v>
      </c>
      <c r="DK51" s="39">
        <v>44.15</v>
      </c>
      <c r="DL51" s="39">
        <v>44.25</v>
      </c>
      <c r="DM51" s="39">
        <v>44.35</v>
      </c>
      <c r="DN51" s="39">
        <v>44.44</v>
      </c>
      <c r="DO51" s="39">
        <v>44.53</v>
      </c>
      <c r="DP51" s="39">
        <v>44.63</v>
      </c>
      <c r="DQ51" s="39">
        <v>44.72</v>
      </c>
      <c r="DR51" s="39">
        <v>44.81</v>
      </c>
    </row>
    <row r="52" spans="1:122">
      <c r="A52" s="44">
        <v>50</v>
      </c>
      <c r="B52" s="45"/>
      <c r="C52" s="45"/>
      <c r="D52" s="45"/>
      <c r="E52" s="45"/>
      <c r="F52" s="45"/>
      <c r="G52" s="45"/>
      <c r="H52" s="45"/>
      <c r="I52" s="45"/>
      <c r="J52" s="45"/>
      <c r="K52" s="45"/>
      <c r="L52" s="45"/>
      <c r="M52" s="45"/>
      <c r="N52" s="45"/>
      <c r="O52" s="45"/>
      <c r="P52" s="45"/>
      <c r="Q52" s="45"/>
      <c r="R52" s="45"/>
      <c r="S52" s="45"/>
      <c r="T52" s="45"/>
      <c r="U52" s="45"/>
      <c r="V52" s="39"/>
      <c r="W52" s="39">
        <v>31.33</v>
      </c>
      <c r="X52" s="39">
        <v>31.53</v>
      </c>
      <c r="Y52" s="39">
        <v>31.72</v>
      </c>
      <c r="Z52" s="39">
        <v>31.93</v>
      </c>
      <c r="AA52" s="39">
        <v>32.07</v>
      </c>
      <c r="AB52" s="39">
        <v>32.26</v>
      </c>
      <c r="AC52" s="39">
        <v>32.47</v>
      </c>
      <c r="AD52" s="39">
        <v>32.58</v>
      </c>
      <c r="AE52" s="39">
        <v>32.81</v>
      </c>
      <c r="AF52" s="39">
        <v>32.97</v>
      </c>
      <c r="AG52" s="39">
        <v>33.14</v>
      </c>
      <c r="AH52" s="39">
        <v>33.32</v>
      </c>
      <c r="AI52" s="39">
        <v>33.49</v>
      </c>
      <c r="AJ52" s="39">
        <v>33.74</v>
      </c>
      <c r="AK52" s="39">
        <v>33.96</v>
      </c>
      <c r="AL52" s="39">
        <v>34.21</v>
      </c>
      <c r="AM52" s="39">
        <v>34.44</v>
      </c>
      <c r="AN52" s="39">
        <v>34.64</v>
      </c>
      <c r="AO52" s="39">
        <v>34.79</v>
      </c>
      <c r="AP52" s="39">
        <v>34.9</v>
      </c>
      <c r="AQ52" s="39">
        <v>34.97</v>
      </c>
      <c r="AR52" s="39">
        <v>35.03</v>
      </c>
      <c r="AS52" s="39">
        <v>35.08</v>
      </c>
      <c r="AT52" s="39">
        <v>35.08</v>
      </c>
      <c r="AU52" s="39">
        <v>35.14</v>
      </c>
      <c r="AV52" s="39">
        <v>35.200000000000003</v>
      </c>
      <c r="AW52" s="39">
        <v>35.409999999999997</v>
      </c>
      <c r="AX52" s="39">
        <v>35.46</v>
      </c>
      <c r="AY52" s="39">
        <v>35.61</v>
      </c>
      <c r="AZ52" s="39">
        <v>35.729999999999997</v>
      </c>
      <c r="BA52" s="39">
        <v>35.840000000000003</v>
      </c>
      <c r="BB52" s="39">
        <v>35.96</v>
      </c>
      <c r="BC52" s="39">
        <v>36.08</v>
      </c>
      <c r="BD52" s="39">
        <v>36.18</v>
      </c>
      <c r="BE52" s="39">
        <v>36.29</v>
      </c>
      <c r="BF52" s="39">
        <v>36.42</v>
      </c>
      <c r="BG52" s="39">
        <v>36.56</v>
      </c>
      <c r="BH52" s="39">
        <v>36.700000000000003</v>
      </c>
      <c r="BI52" s="39">
        <v>36.83</v>
      </c>
      <c r="BJ52" s="39">
        <v>36.96</v>
      </c>
      <c r="BK52" s="39">
        <v>37.1</v>
      </c>
      <c r="BL52" s="39">
        <v>37.25</v>
      </c>
      <c r="BM52" s="39">
        <v>37.39</v>
      </c>
      <c r="BN52" s="39">
        <v>37.54</v>
      </c>
      <c r="BO52" s="39">
        <v>37.67</v>
      </c>
      <c r="BP52" s="39">
        <v>37.799999999999997</v>
      </c>
      <c r="BQ52" s="39">
        <v>37.93</v>
      </c>
      <c r="BR52" s="39">
        <v>38.07</v>
      </c>
      <c r="BS52" s="39">
        <v>38.200000000000003</v>
      </c>
      <c r="BT52" s="39">
        <v>38.33</v>
      </c>
      <c r="BU52" s="39">
        <v>38.46</v>
      </c>
      <c r="BV52" s="39">
        <v>38.590000000000003</v>
      </c>
      <c r="BW52" s="39">
        <v>38.72</v>
      </c>
      <c r="BX52" s="39">
        <v>38.85</v>
      </c>
      <c r="BY52" s="39">
        <v>38.97</v>
      </c>
      <c r="BZ52" s="39">
        <v>39.1</v>
      </c>
      <c r="CA52" s="39">
        <v>39.22</v>
      </c>
      <c r="CB52" s="39">
        <v>39.35</v>
      </c>
      <c r="CC52" s="39">
        <v>39.47</v>
      </c>
      <c r="CD52" s="39">
        <v>39.6</v>
      </c>
      <c r="CE52" s="39">
        <v>39.72</v>
      </c>
      <c r="CF52" s="39">
        <v>39.840000000000003</v>
      </c>
      <c r="CG52" s="39">
        <v>39.96</v>
      </c>
      <c r="CH52" s="39">
        <v>40.08</v>
      </c>
      <c r="CI52" s="39">
        <v>40.200000000000003</v>
      </c>
      <c r="CJ52" s="39">
        <v>40.31</v>
      </c>
      <c r="CK52" s="39">
        <v>40.43</v>
      </c>
      <c r="CL52" s="39">
        <v>40.549999999999997</v>
      </c>
      <c r="CM52" s="39">
        <v>40.659999999999997</v>
      </c>
      <c r="CN52" s="39">
        <v>40.78</v>
      </c>
      <c r="CO52" s="39">
        <v>40.89</v>
      </c>
      <c r="CP52" s="39">
        <v>41</v>
      </c>
      <c r="CQ52" s="39">
        <v>41.12</v>
      </c>
      <c r="CR52" s="39">
        <v>41.23</v>
      </c>
      <c r="CS52" s="39">
        <v>41.34</v>
      </c>
      <c r="CT52" s="39">
        <v>41.45</v>
      </c>
      <c r="CU52" s="39">
        <v>41.56</v>
      </c>
      <c r="CV52" s="39">
        <v>41.66</v>
      </c>
      <c r="CW52" s="39">
        <v>41.77</v>
      </c>
      <c r="CX52" s="39">
        <v>41.88</v>
      </c>
      <c r="CY52" s="39">
        <v>41.98</v>
      </c>
      <c r="CZ52" s="39">
        <v>42.09</v>
      </c>
      <c r="DA52" s="39">
        <v>42.19</v>
      </c>
      <c r="DB52" s="39">
        <v>42.29</v>
      </c>
      <c r="DC52" s="39">
        <v>42.4</v>
      </c>
      <c r="DD52" s="39">
        <v>42.5</v>
      </c>
      <c r="DE52" s="39">
        <v>42.6</v>
      </c>
      <c r="DF52" s="39">
        <v>42.7</v>
      </c>
      <c r="DG52" s="39">
        <v>42.8</v>
      </c>
      <c r="DH52" s="39">
        <v>42.9</v>
      </c>
      <c r="DI52" s="39">
        <v>42.99</v>
      </c>
      <c r="DJ52" s="39">
        <v>43.09</v>
      </c>
      <c r="DK52" s="39">
        <v>43.19</v>
      </c>
      <c r="DL52" s="39">
        <v>43.28</v>
      </c>
      <c r="DM52" s="39">
        <v>43.37</v>
      </c>
      <c r="DN52" s="39">
        <v>43.47</v>
      </c>
      <c r="DO52" s="39">
        <v>43.56</v>
      </c>
      <c r="DP52" s="39">
        <v>43.65</v>
      </c>
      <c r="DQ52" s="39">
        <v>43.74</v>
      </c>
      <c r="DR52" s="39">
        <v>43.83</v>
      </c>
    </row>
    <row r="53" spans="1:122">
      <c r="A53" s="44">
        <v>51</v>
      </c>
      <c r="B53" s="45"/>
      <c r="C53" s="45"/>
      <c r="D53" s="45"/>
      <c r="E53" s="45"/>
      <c r="F53" s="45"/>
      <c r="G53" s="45"/>
      <c r="H53" s="45"/>
      <c r="I53" s="45"/>
      <c r="J53" s="45"/>
      <c r="K53" s="45"/>
      <c r="L53" s="45"/>
      <c r="M53" s="45"/>
      <c r="N53" s="45"/>
      <c r="O53" s="45"/>
      <c r="P53" s="45"/>
      <c r="Q53" s="45"/>
      <c r="R53" s="45"/>
      <c r="S53" s="45"/>
      <c r="T53" s="45"/>
      <c r="U53" s="45"/>
      <c r="V53" s="39"/>
      <c r="W53" s="39">
        <v>30.47</v>
      </c>
      <c r="X53" s="39">
        <v>30.66</v>
      </c>
      <c r="Y53" s="39">
        <v>30.85</v>
      </c>
      <c r="Z53" s="39">
        <v>31.05</v>
      </c>
      <c r="AA53" s="39">
        <v>31.2</v>
      </c>
      <c r="AB53" s="39">
        <v>31.39</v>
      </c>
      <c r="AC53" s="39">
        <v>31.6</v>
      </c>
      <c r="AD53" s="39">
        <v>31.71</v>
      </c>
      <c r="AE53" s="39">
        <v>31.93</v>
      </c>
      <c r="AF53" s="39">
        <v>32.090000000000003</v>
      </c>
      <c r="AG53" s="39">
        <v>32.26</v>
      </c>
      <c r="AH53" s="39">
        <v>32.44</v>
      </c>
      <c r="AI53" s="39">
        <v>32.61</v>
      </c>
      <c r="AJ53" s="39">
        <v>32.85</v>
      </c>
      <c r="AK53" s="39">
        <v>33.07</v>
      </c>
      <c r="AL53" s="39">
        <v>33.32</v>
      </c>
      <c r="AM53" s="39">
        <v>33.549999999999997</v>
      </c>
      <c r="AN53" s="39">
        <v>33.75</v>
      </c>
      <c r="AO53" s="39">
        <v>33.89</v>
      </c>
      <c r="AP53" s="39">
        <v>34.01</v>
      </c>
      <c r="AQ53" s="39">
        <v>34.07</v>
      </c>
      <c r="AR53" s="39">
        <v>34.130000000000003</v>
      </c>
      <c r="AS53" s="39">
        <v>34.19</v>
      </c>
      <c r="AT53" s="39">
        <v>34.18</v>
      </c>
      <c r="AU53" s="39">
        <v>34.24</v>
      </c>
      <c r="AV53" s="39">
        <v>34.299999999999997</v>
      </c>
      <c r="AW53" s="39">
        <v>34.5</v>
      </c>
      <c r="AX53" s="39">
        <v>34.549999999999997</v>
      </c>
      <c r="AY53" s="39">
        <v>34.700000000000003</v>
      </c>
      <c r="AZ53" s="39">
        <v>34.82</v>
      </c>
      <c r="BA53" s="39">
        <v>34.94</v>
      </c>
      <c r="BB53" s="39">
        <v>35.049999999999997</v>
      </c>
      <c r="BC53" s="39">
        <v>35.17</v>
      </c>
      <c r="BD53" s="39">
        <v>35.26</v>
      </c>
      <c r="BE53" s="39">
        <v>35.380000000000003</v>
      </c>
      <c r="BF53" s="39">
        <v>35.51</v>
      </c>
      <c r="BG53" s="39">
        <v>35.64</v>
      </c>
      <c r="BH53" s="39">
        <v>35.79</v>
      </c>
      <c r="BI53" s="39">
        <v>35.909999999999997</v>
      </c>
      <c r="BJ53" s="39">
        <v>36.04</v>
      </c>
      <c r="BK53" s="39">
        <v>36.18</v>
      </c>
      <c r="BL53" s="39">
        <v>36.33</v>
      </c>
      <c r="BM53" s="39">
        <v>36.47</v>
      </c>
      <c r="BN53" s="39">
        <v>36.61</v>
      </c>
      <c r="BO53" s="39">
        <v>36.74</v>
      </c>
      <c r="BP53" s="39">
        <v>36.869999999999997</v>
      </c>
      <c r="BQ53" s="39">
        <v>37</v>
      </c>
      <c r="BR53" s="39">
        <v>37.14</v>
      </c>
      <c r="BS53" s="39">
        <v>37.270000000000003</v>
      </c>
      <c r="BT53" s="39">
        <v>37.4</v>
      </c>
      <c r="BU53" s="39">
        <v>37.53</v>
      </c>
      <c r="BV53" s="39">
        <v>37.65</v>
      </c>
      <c r="BW53" s="39">
        <v>37.78</v>
      </c>
      <c r="BX53" s="39">
        <v>37.909999999999997</v>
      </c>
      <c r="BY53" s="39">
        <v>38.03</v>
      </c>
      <c r="BZ53" s="39">
        <v>38.159999999999997</v>
      </c>
      <c r="CA53" s="39">
        <v>38.28</v>
      </c>
      <c r="CB53" s="39">
        <v>38.409999999999997</v>
      </c>
      <c r="CC53" s="39">
        <v>38.53</v>
      </c>
      <c r="CD53" s="39">
        <v>38.65</v>
      </c>
      <c r="CE53" s="39">
        <v>38.770000000000003</v>
      </c>
      <c r="CF53" s="39">
        <v>38.89</v>
      </c>
      <c r="CG53" s="39">
        <v>39.01</v>
      </c>
      <c r="CH53" s="39">
        <v>39.130000000000003</v>
      </c>
      <c r="CI53" s="39">
        <v>39.25</v>
      </c>
      <c r="CJ53" s="39">
        <v>39.369999999999997</v>
      </c>
      <c r="CK53" s="39">
        <v>39.479999999999997</v>
      </c>
      <c r="CL53" s="39">
        <v>39.6</v>
      </c>
      <c r="CM53" s="39">
        <v>39.71</v>
      </c>
      <c r="CN53" s="39">
        <v>39.83</v>
      </c>
      <c r="CO53" s="39">
        <v>39.94</v>
      </c>
      <c r="CP53" s="39">
        <v>40.049999999999997</v>
      </c>
      <c r="CQ53" s="39">
        <v>40.159999999999997</v>
      </c>
      <c r="CR53" s="39">
        <v>40.270000000000003</v>
      </c>
      <c r="CS53" s="39">
        <v>40.380000000000003</v>
      </c>
      <c r="CT53" s="39">
        <v>40.49</v>
      </c>
      <c r="CU53" s="39">
        <v>40.6</v>
      </c>
      <c r="CV53" s="39">
        <v>40.71</v>
      </c>
      <c r="CW53" s="39">
        <v>40.81</v>
      </c>
      <c r="CX53" s="39">
        <v>40.92</v>
      </c>
      <c r="CY53" s="39">
        <v>41.02</v>
      </c>
      <c r="CZ53" s="39">
        <v>41.13</v>
      </c>
      <c r="DA53" s="39">
        <v>41.23</v>
      </c>
      <c r="DB53" s="39">
        <v>41.33</v>
      </c>
      <c r="DC53" s="39">
        <v>41.43</v>
      </c>
      <c r="DD53" s="39">
        <v>41.53</v>
      </c>
      <c r="DE53" s="39">
        <v>41.63</v>
      </c>
      <c r="DF53" s="39">
        <v>41.73</v>
      </c>
      <c r="DG53" s="39">
        <v>41.83</v>
      </c>
      <c r="DH53" s="39">
        <v>41.93</v>
      </c>
      <c r="DI53" s="39">
        <v>42.03</v>
      </c>
      <c r="DJ53" s="39">
        <v>42.12</v>
      </c>
      <c r="DK53" s="39">
        <v>42.22</v>
      </c>
      <c r="DL53" s="39">
        <v>42.31</v>
      </c>
      <c r="DM53" s="39">
        <v>42.41</v>
      </c>
      <c r="DN53" s="39">
        <v>42.5</v>
      </c>
      <c r="DO53" s="39">
        <v>42.59</v>
      </c>
      <c r="DP53" s="39">
        <v>42.68</v>
      </c>
      <c r="DQ53" s="39">
        <v>42.77</v>
      </c>
      <c r="DR53" s="39">
        <v>42.86</v>
      </c>
    </row>
    <row r="54" spans="1:122">
      <c r="A54" s="44">
        <v>52</v>
      </c>
      <c r="B54" s="45"/>
      <c r="C54" s="45"/>
      <c r="D54" s="45"/>
      <c r="E54" s="45"/>
      <c r="F54" s="45"/>
      <c r="G54" s="45"/>
      <c r="H54" s="45"/>
      <c r="I54" s="45"/>
      <c r="J54" s="45"/>
      <c r="K54" s="45"/>
      <c r="L54" s="45"/>
      <c r="M54" s="45"/>
      <c r="N54" s="45"/>
      <c r="O54" s="45"/>
      <c r="P54" s="45"/>
      <c r="Q54" s="45"/>
      <c r="R54" s="45"/>
      <c r="S54" s="45"/>
      <c r="T54" s="45"/>
      <c r="U54" s="45"/>
      <c r="V54" s="39"/>
      <c r="W54" s="39">
        <v>29.62</v>
      </c>
      <c r="X54" s="39">
        <v>29.8</v>
      </c>
      <c r="Y54" s="39">
        <v>29.99</v>
      </c>
      <c r="Z54" s="39">
        <v>30.19</v>
      </c>
      <c r="AA54" s="39">
        <v>30.34</v>
      </c>
      <c r="AB54" s="39">
        <v>30.51</v>
      </c>
      <c r="AC54" s="39">
        <v>30.73</v>
      </c>
      <c r="AD54" s="39">
        <v>30.84</v>
      </c>
      <c r="AE54" s="39">
        <v>31.06</v>
      </c>
      <c r="AF54" s="39">
        <v>31.22</v>
      </c>
      <c r="AG54" s="39">
        <v>31.38</v>
      </c>
      <c r="AH54" s="39">
        <v>31.55</v>
      </c>
      <c r="AI54" s="39">
        <v>31.73</v>
      </c>
      <c r="AJ54" s="39">
        <v>31.96</v>
      </c>
      <c r="AK54" s="39">
        <v>32.18</v>
      </c>
      <c r="AL54" s="39">
        <v>32.43</v>
      </c>
      <c r="AM54" s="39">
        <v>32.659999999999997</v>
      </c>
      <c r="AN54" s="39">
        <v>32.85</v>
      </c>
      <c r="AO54" s="39">
        <v>33</v>
      </c>
      <c r="AP54" s="39">
        <v>33.119999999999997</v>
      </c>
      <c r="AQ54" s="39">
        <v>33.17</v>
      </c>
      <c r="AR54" s="39">
        <v>33.24</v>
      </c>
      <c r="AS54" s="39">
        <v>33.299999999999997</v>
      </c>
      <c r="AT54" s="39">
        <v>33.29</v>
      </c>
      <c r="AU54" s="39">
        <v>33.340000000000003</v>
      </c>
      <c r="AV54" s="39">
        <v>33.4</v>
      </c>
      <c r="AW54" s="39">
        <v>33.6</v>
      </c>
      <c r="AX54" s="39">
        <v>33.65</v>
      </c>
      <c r="AY54" s="39">
        <v>33.799999999999997</v>
      </c>
      <c r="AZ54" s="39">
        <v>33.92</v>
      </c>
      <c r="BA54" s="39">
        <v>34.03</v>
      </c>
      <c r="BB54" s="39">
        <v>34.14</v>
      </c>
      <c r="BC54" s="39">
        <v>34.26</v>
      </c>
      <c r="BD54" s="39">
        <v>34.35</v>
      </c>
      <c r="BE54" s="39">
        <v>34.47</v>
      </c>
      <c r="BF54" s="39">
        <v>34.6</v>
      </c>
      <c r="BG54" s="39">
        <v>34.729999999999997</v>
      </c>
      <c r="BH54" s="39">
        <v>34.869999999999997</v>
      </c>
      <c r="BI54" s="39">
        <v>35</v>
      </c>
      <c r="BJ54" s="39">
        <v>35.130000000000003</v>
      </c>
      <c r="BK54" s="39">
        <v>35.26</v>
      </c>
      <c r="BL54" s="39">
        <v>35.409999999999997</v>
      </c>
      <c r="BM54" s="39">
        <v>35.549999999999997</v>
      </c>
      <c r="BN54" s="39">
        <v>35.69</v>
      </c>
      <c r="BO54" s="39">
        <v>35.82</v>
      </c>
      <c r="BP54" s="39">
        <v>35.950000000000003</v>
      </c>
      <c r="BQ54" s="39">
        <v>36.08</v>
      </c>
      <c r="BR54" s="39">
        <v>36.21</v>
      </c>
      <c r="BS54" s="39">
        <v>36.340000000000003</v>
      </c>
      <c r="BT54" s="39">
        <v>36.47</v>
      </c>
      <c r="BU54" s="39">
        <v>36.6</v>
      </c>
      <c r="BV54" s="39">
        <v>36.72</v>
      </c>
      <c r="BW54" s="39">
        <v>36.85</v>
      </c>
      <c r="BX54" s="39">
        <v>36.979999999999997</v>
      </c>
      <c r="BY54" s="39">
        <v>37.1</v>
      </c>
      <c r="BZ54" s="39">
        <v>37.22</v>
      </c>
      <c r="CA54" s="39">
        <v>37.35</v>
      </c>
      <c r="CB54" s="39">
        <v>37.47</v>
      </c>
      <c r="CC54" s="39">
        <v>37.590000000000003</v>
      </c>
      <c r="CD54" s="39">
        <v>37.71</v>
      </c>
      <c r="CE54" s="39">
        <v>37.83</v>
      </c>
      <c r="CF54" s="39">
        <v>37.950000000000003</v>
      </c>
      <c r="CG54" s="39">
        <v>38.07</v>
      </c>
      <c r="CH54" s="39">
        <v>38.19</v>
      </c>
      <c r="CI54" s="39">
        <v>38.31</v>
      </c>
      <c r="CJ54" s="39">
        <v>38.42</v>
      </c>
      <c r="CK54" s="39">
        <v>38.54</v>
      </c>
      <c r="CL54" s="39">
        <v>38.65</v>
      </c>
      <c r="CM54" s="39">
        <v>38.76</v>
      </c>
      <c r="CN54" s="39">
        <v>38.880000000000003</v>
      </c>
      <c r="CO54" s="39">
        <v>38.99</v>
      </c>
      <c r="CP54" s="39">
        <v>39.1</v>
      </c>
      <c r="CQ54" s="39">
        <v>39.21</v>
      </c>
      <c r="CR54" s="39">
        <v>39.32</v>
      </c>
      <c r="CS54" s="39">
        <v>39.43</v>
      </c>
      <c r="CT54" s="39">
        <v>39.54</v>
      </c>
      <c r="CU54" s="39">
        <v>39.64</v>
      </c>
      <c r="CV54" s="39">
        <v>39.75</v>
      </c>
      <c r="CW54" s="39">
        <v>39.86</v>
      </c>
      <c r="CX54" s="39">
        <v>39.96</v>
      </c>
      <c r="CY54" s="39">
        <v>40.07</v>
      </c>
      <c r="CZ54" s="39">
        <v>40.17</v>
      </c>
      <c r="DA54" s="39">
        <v>40.270000000000003</v>
      </c>
      <c r="DB54" s="39">
        <v>40.369999999999997</v>
      </c>
      <c r="DC54" s="39">
        <v>40.47</v>
      </c>
      <c r="DD54" s="39">
        <v>40.57</v>
      </c>
      <c r="DE54" s="39">
        <v>40.67</v>
      </c>
      <c r="DF54" s="39">
        <v>40.770000000000003</v>
      </c>
      <c r="DG54" s="39">
        <v>40.869999999999997</v>
      </c>
      <c r="DH54" s="39">
        <v>40.97</v>
      </c>
      <c r="DI54" s="39">
        <v>41.06</v>
      </c>
      <c r="DJ54" s="39">
        <v>41.16</v>
      </c>
      <c r="DK54" s="39">
        <v>41.25</v>
      </c>
      <c r="DL54" s="39">
        <v>41.35</v>
      </c>
      <c r="DM54" s="39">
        <v>41.44</v>
      </c>
      <c r="DN54" s="39">
        <v>41.53</v>
      </c>
      <c r="DO54" s="39">
        <v>41.62</v>
      </c>
      <c r="DP54" s="39">
        <v>41.72</v>
      </c>
      <c r="DQ54" s="39">
        <v>41.81</v>
      </c>
      <c r="DR54" s="39">
        <v>41.89</v>
      </c>
    </row>
    <row r="55" spans="1:122">
      <c r="A55" s="44">
        <v>53</v>
      </c>
      <c r="B55" s="45"/>
      <c r="C55" s="45"/>
      <c r="D55" s="45"/>
      <c r="E55" s="45"/>
      <c r="F55" s="45"/>
      <c r="G55" s="45"/>
      <c r="H55" s="45"/>
      <c r="I55" s="45"/>
      <c r="J55" s="45"/>
      <c r="K55" s="45"/>
      <c r="L55" s="45"/>
      <c r="M55" s="45"/>
      <c r="N55" s="45"/>
      <c r="O55" s="45"/>
      <c r="P55" s="45"/>
      <c r="Q55" s="45"/>
      <c r="R55" s="45"/>
      <c r="S55" s="45"/>
      <c r="T55" s="45"/>
      <c r="U55" s="45"/>
      <c r="V55" s="39"/>
      <c r="W55" s="39">
        <v>28.76</v>
      </c>
      <c r="X55" s="39">
        <v>28.95</v>
      </c>
      <c r="Y55" s="39">
        <v>29.13</v>
      </c>
      <c r="Z55" s="39">
        <v>29.33</v>
      </c>
      <c r="AA55" s="39">
        <v>29.47</v>
      </c>
      <c r="AB55" s="39">
        <v>29.65</v>
      </c>
      <c r="AC55" s="39">
        <v>29.86</v>
      </c>
      <c r="AD55" s="39">
        <v>29.97</v>
      </c>
      <c r="AE55" s="39">
        <v>30.19</v>
      </c>
      <c r="AF55" s="39">
        <v>30.35</v>
      </c>
      <c r="AG55" s="39">
        <v>30.51</v>
      </c>
      <c r="AH55" s="39">
        <v>30.68</v>
      </c>
      <c r="AI55" s="39">
        <v>30.85</v>
      </c>
      <c r="AJ55" s="39">
        <v>31.08</v>
      </c>
      <c r="AK55" s="39">
        <v>31.3</v>
      </c>
      <c r="AL55" s="39">
        <v>31.55</v>
      </c>
      <c r="AM55" s="39">
        <v>31.77</v>
      </c>
      <c r="AN55" s="39">
        <v>31.97</v>
      </c>
      <c r="AO55" s="39">
        <v>32.11</v>
      </c>
      <c r="AP55" s="39">
        <v>32.229999999999997</v>
      </c>
      <c r="AQ55" s="39">
        <v>32.29</v>
      </c>
      <c r="AR55" s="39">
        <v>32.35</v>
      </c>
      <c r="AS55" s="39">
        <v>32.409999999999997</v>
      </c>
      <c r="AT55" s="39">
        <v>32.4</v>
      </c>
      <c r="AU55" s="39">
        <v>32.450000000000003</v>
      </c>
      <c r="AV55" s="39">
        <v>32.51</v>
      </c>
      <c r="AW55" s="39">
        <v>32.700000000000003</v>
      </c>
      <c r="AX55" s="39">
        <v>32.76</v>
      </c>
      <c r="AY55" s="39">
        <v>32.9</v>
      </c>
      <c r="AZ55" s="39">
        <v>33.020000000000003</v>
      </c>
      <c r="BA55" s="39">
        <v>33.130000000000003</v>
      </c>
      <c r="BB55" s="39">
        <v>33.24</v>
      </c>
      <c r="BC55" s="39">
        <v>33.36</v>
      </c>
      <c r="BD55" s="39">
        <v>33.450000000000003</v>
      </c>
      <c r="BE55" s="39">
        <v>33.57</v>
      </c>
      <c r="BF55" s="39">
        <v>33.69</v>
      </c>
      <c r="BG55" s="39">
        <v>33.82</v>
      </c>
      <c r="BH55" s="39">
        <v>33.97</v>
      </c>
      <c r="BI55" s="39">
        <v>34.090000000000003</v>
      </c>
      <c r="BJ55" s="39">
        <v>34.22</v>
      </c>
      <c r="BK55" s="39">
        <v>34.35</v>
      </c>
      <c r="BL55" s="39">
        <v>34.5</v>
      </c>
      <c r="BM55" s="39">
        <v>34.630000000000003</v>
      </c>
      <c r="BN55" s="39">
        <v>34.770000000000003</v>
      </c>
      <c r="BO55" s="39">
        <v>34.9</v>
      </c>
      <c r="BP55" s="39">
        <v>35.03</v>
      </c>
      <c r="BQ55" s="39">
        <v>35.159999999999997</v>
      </c>
      <c r="BR55" s="39">
        <v>35.29</v>
      </c>
      <c r="BS55" s="39">
        <v>35.42</v>
      </c>
      <c r="BT55" s="39">
        <v>35.54</v>
      </c>
      <c r="BU55" s="39">
        <v>35.67</v>
      </c>
      <c r="BV55" s="39">
        <v>35.799999999999997</v>
      </c>
      <c r="BW55" s="39">
        <v>35.92</v>
      </c>
      <c r="BX55" s="39">
        <v>36.049999999999997</v>
      </c>
      <c r="BY55" s="39">
        <v>36.17</v>
      </c>
      <c r="BZ55" s="39">
        <v>36.29</v>
      </c>
      <c r="CA55" s="39">
        <v>36.42</v>
      </c>
      <c r="CB55" s="39">
        <v>36.54</v>
      </c>
      <c r="CC55" s="39">
        <v>36.659999999999997</v>
      </c>
      <c r="CD55" s="39">
        <v>36.78</v>
      </c>
      <c r="CE55" s="39">
        <v>36.9</v>
      </c>
      <c r="CF55" s="39">
        <v>37.01</v>
      </c>
      <c r="CG55" s="39">
        <v>37.130000000000003</v>
      </c>
      <c r="CH55" s="39">
        <v>37.25</v>
      </c>
      <c r="CI55" s="39">
        <v>37.36</v>
      </c>
      <c r="CJ55" s="39">
        <v>37.479999999999997</v>
      </c>
      <c r="CK55" s="39">
        <v>37.590000000000003</v>
      </c>
      <c r="CL55" s="39">
        <v>37.71</v>
      </c>
      <c r="CM55" s="39">
        <v>37.82</v>
      </c>
      <c r="CN55" s="39">
        <v>37.93</v>
      </c>
      <c r="CO55" s="39">
        <v>38.04</v>
      </c>
      <c r="CP55" s="39">
        <v>38.15</v>
      </c>
      <c r="CQ55" s="39">
        <v>38.26</v>
      </c>
      <c r="CR55" s="39">
        <v>38.369999999999997</v>
      </c>
      <c r="CS55" s="39">
        <v>38.479999999999997</v>
      </c>
      <c r="CT55" s="39">
        <v>38.590000000000003</v>
      </c>
      <c r="CU55" s="39">
        <v>38.69</v>
      </c>
      <c r="CV55" s="39">
        <v>38.799999999999997</v>
      </c>
      <c r="CW55" s="39">
        <v>38.9</v>
      </c>
      <c r="CX55" s="39">
        <v>39.01</v>
      </c>
      <c r="CY55" s="39">
        <v>39.11</v>
      </c>
      <c r="CZ55" s="39">
        <v>39.21</v>
      </c>
      <c r="DA55" s="39">
        <v>39.32</v>
      </c>
      <c r="DB55" s="39">
        <v>39.42</v>
      </c>
      <c r="DC55" s="39">
        <v>39.520000000000003</v>
      </c>
      <c r="DD55" s="39">
        <v>39.619999999999997</v>
      </c>
      <c r="DE55" s="39">
        <v>39.71</v>
      </c>
      <c r="DF55" s="39">
        <v>39.81</v>
      </c>
      <c r="DG55" s="39">
        <v>39.909999999999997</v>
      </c>
      <c r="DH55" s="39">
        <v>40.01</v>
      </c>
      <c r="DI55" s="39">
        <v>40.1</v>
      </c>
      <c r="DJ55" s="39">
        <v>40.200000000000003</v>
      </c>
      <c r="DK55" s="39">
        <v>40.29</v>
      </c>
      <c r="DL55" s="39">
        <v>40.380000000000003</v>
      </c>
      <c r="DM55" s="39">
        <v>40.479999999999997</v>
      </c>
      <c r="DN55" s="39">
        <v>40.57</v>
      </c>
      <c r="DO55" s="39">
        <v>40.659999999999997</v>
      </c>
      <c r="DP55" s="39">
        <v>40.75</v>
      </c>
      <c r="DQ55" s="39">
        <v>40.840000000000003</v>
      </c>
      <c r="DR55" s="39">
        <v>40.93</v>
      </c>
    </row>
    <row r="56" spans="1:122">
      <c r="A56" s="44">
        <v>54</v>
      </c>
      <c r="B56" s="45"/>
      <c r="C56" s="45"/>
      <c r="D56" s="45"/>
      <c r="E56" s="45"/>
      <c r="F56" s="45"/>
      <c r="G56" s="45"/>
      <c r="H56" s="45"/>
      <c r="I56" s="45"/>
      <c r="J56" s="45"/>
      <c r="K56" s="45"/>
      <c r="L56" s="45"/>
      <c r="M56" s="45"/>
      <c r="N56" s="45"/>
      <c r="O56" s="45"/>
      <c r="P56" s="45"/>
      <c r="Q56" s="45"/>
      <c r="R56" s="45"/>
      <c r="S56" s="45"/>
      <c r="T56" s="45"/>
      <c r="U56" s="45"/>
      <c r="V56" s="39"/>
      <c r="W56" s="39">
        <v>27.91</v>
      </c>
      <c r="X56" s="39">
        <v>28.1</v>
      </c>
      <c r="Y56" s="39">
        <v>28.28</v>
      </c>
      <c r="Z56" s="39">
        <v>28.48</v>
      </c>
      <c r="AA56" s="39">
        <v>28.62</v>
      </c>
      <c r="AB56" s="39">
        <v>28.79</v>
      </c>
      <c r="AC56" s="39">
        <v>29</v>
      </c>
      <c r="AD56" s="39">
        <v>29.11</v>
      </c>
      <c r="AE56" s="39">
        <v>29.33</v>
      </c>
      <c r="AF56" s="39">
        <v>29.48</v>
      </c>
      <c r="AG56" s="39">
        <v>29.64</v>
      </c>
      <c r="AH56" s="39">
        <v>29.81</v>
      </c>
      <c r="AI56" s="39">
        <v>29.97</v>
      </c>
      <c r="AJ56" s="39">
        <v>30.21</v>
      </c>
      <c r="AK56" s="39">
        <v>30.42</v>
      </c>
      <c r="AL56" s="39">
        <v>30.67</v>
      </c>
      <c r="AM56" s="39">
        <v>30.89</v>
      </c>
      <c r="AN56" s="39">
        <v>31.09</v>
      </c>
      <c r="AO56" s="39">
        <v>31.23</v>
      </c>
      <c r="AP56" s="39">
        <v>31.33</v>
      </c>
      <c r="AQ56" s="39">
        <v>31.4</v>
      </c>
      <c r="AR56" s="39">
        <v>31.46</v>
      </c>
      <c r="AS56" s="39">
        <v>31.52</v>
      </c>
      <c r="AT56" s="39">
        <v>31.51</v>
      </c>
      <c r="AU56" s="39">
        <v>31.56</v>
      </c>
      <c r="AV56" s="39">
        <v>31.62</v>
      </c>
      <c r="AW56" s="39">
        <v>31.81</v>
      </c>
      <c r="AX56" s="39">
        <v>31.87</v>
      </c>
      <c r="AY56" s="39">
        <v>32</v>
      </c>
      <c r="AZ56" s="39">
        <v>32.119999999999997</v>
      </c>
      <c r="BA56" s="39">
        <v>32.24</v>
      </c>
      <c r="BB56" s="39">
        <v>32.340000000000003</v>
      </c>
      <c r="BC56" s="39">
        <v>32.46</v>
      </c>
      <c r="BD56" s="39">
        <v>32.549999999999997</v>
      </c>
      <c r="BE56" s="39">
        <v>32.67</v>
      </c>
      <c r="BF56" s="39">
        <v>32.79</v>
      </c>
      <c r="BG56" s="39">
        <v>32.92</v>
      </c>
      <c r="BH56" s="39">
        <v>33.07</v>
      </c>
      <c r="BI56" s="39">
        <v>33.19</v>
      </c>
      <c r="BJ56" s="39">
        <v>33.32</v>
      </c>
      <c r="BK56" s="39">
        <v>33.450000000000003</v>
      </c>
      <c r="BL56" s="39">
        <v>33.590000000000003</v>
      </c>
      <c r="BM56" s="39">
        <v>33.72</v>
      </c>
      <c r="BN56" s="39">
        <v>33.86</v>
      </c>
      <c r="BO56" s="39">
        <v>33.979999999999997</v>
      </c>
      <c r="BP56" s="39">
        <v>34.11</v>
      </c>
      <c r="BQ56" s="39">
        <v>34.24</v>
      </c>
      <c r="BR56" s="39">
        <v>34.369999999999997</v>
      </c>
      <c r="BS56" s="39">
        <v>34.5</v>
      </c>
      <c r="BT56" s="39">
        <v>34.619999999999997</v>
      </c>
      <c r="BU56" s="39">
        <v>34.75</v>
      </c>
      <c r="BV56" s="39">
        <v>34.869999999999997</v>
      </c>
      <c r="BW56" s="39">
        <v>35</v>
      </c>
      <c r="BX56" s="39">
        <v>35.119999999999997</v>
      </c>
      <c r="BY56" s="39">
        <v>35.24</v>
      </c>
      <c r="BZ56" s="39">
        <v>35.369999999999997</v>
      </c>
      <c r="CA56" s="39">
        <v>35.49</v>
      </c>
      <c r="CB56" s="39">
        <v>35.61</v>
      </c>
      <c r="CC56" s="39">
        <v>35.729999999999997</v>
      </c>
      <c r="CD56" s="39">
        <v>35.85</v>
      </c>
      <c r="CE56" s="39">
        <v>35.96</v>
      </c>
      <c r="CF56" s="39">
        <v>36.08</v>
      </c>
      <c r="CG56" s="39">
        <v>36.200000000000003</v>
      </c>
      <c r="CH56" s="39">
        <v>36.31</v>
      </c>
      <c r="CI56" s="39">
        <v>36.43</v>
      </c>
      <c r="CJ56" s="39">
        <v>36.54</v>
      </c>
      <c r="CK56" s="39">
        <v>36.659999999999997</v>
      </c>
      <c r="CL56" s="39">
        <v>36.770000000000003</v>
      </c>
      <c r="CM56" s="39">
        <v>36.880000000000003</v>
      </c>
      <c r="CN56" s="39">
        <v>36.99</v>
      </c>
      <c r="CO56" s="39">
        <v>37.1</v>
      </c>
      <c r="CP56" s="39">
        <v>37.21</v>
      </c>
      <c r="CQ56" s="39">
        <v>37.32</v>
      </c>
      <c r="CR56" s="39">
        <v>37.43</v>
      </c>
      <c r="CS56" s="39">
        <v>37.53</v>
      </c>
      <c r="CT56" s="39">
        <v>37.64</v>
      </c>
      <c r="CU56" s="39">
        <v>37.75</v>
      </c>
      <c r="CV56" s="39">
        <v>37.85</v>
      </c>
      <c r="CW56" s="39">
        <v>37.950000000000003</v>
      </c>
      <c r="CX56" s="39">
        <v>38.06</v>
      </c>
      <c r="CY56" s="39">
        <v>38.159999999999997</v>
      </c>
      <c r="CZ56" s="39">
        <v>38.26</v>
      </c>
      <c r="DA56" s="39">
        <v>38.36</v>
      </c>
      <c r="DB56" s="39">
        <v>38.46</v>
      </c>
      <c r="DC56" s="39">
        <v>38.56</v>
      </c>
      <c r="DD56" s="39">
        <v>38.659999999999997</v>
      </c>
      <c r="DE56" s="39">
        <v>38.76</v>
      </c>
      <c r="DF56" s="39">
        <v>38.86</v>
      </c>
      <c r="DG56" s="39">
        <v>38.950000000000003</v>
      </c>
      <c r="DH56" s="39">
        <v>39.049999999999997</v>
      </c>
      <c r="DI56" s="39">
        <v>39.14</v>
      </c>
      <c r="DJ56" s="39">
        <v>39.24</v>
      </c>
      <c r="DK56" s="39">
        <v>39.33</v>
      </c>
      <c r="DL56" s="39">
        <v>39.42</v>
      </c>
      <c r="DM56" s="39">
        <v>39.51</v>
      </c>
      <c r="DN56" s="39">
        <v>39.61</v>
      </c>
      <c r="DO56" s="39">
        <v>39.700000000000003</v>
      </c>
      <c r="DP56" s="39">
        <v>39.79</v>
      </c>
      <c r="DQ56" s="39">
        <v>39.880000000000003</v>
      </c>
      <c r="DR56" s="39">
        <v>39.96</v>
      </c>
    </row>
    <row r="57" spans="1:122">
      <c r="A57" s="44">
        <v>55</v>
      </c>
      <c r="B57" s="45"/>
      <c r="C57" s="45"/>
      <c r="D57" s="45"/>
      <c r="E57" s="45"/>
      <c r="F57" s="45"/>
      <c r="G57" s="45"/>
      <c r="H57" s="45"/>
      <c r="I57" s="45"/>
      <c r="J57" s="45"/>
      <c r="K57" s="45"/>
      <c r="L57" s="45"/>
      <c r="M57" s="45"/>
      <c r="N57" s="45"/>
      <c r="O57" s="45"/>
      <c r="P57" s="45"/>
      <c r="Q57" s="45"/>
      <c r="R57" s="45"/>
      <c r="S57" s="45"/>
      <c r="T57" s="45"/>
      <c r="U57" s="45"/>
      <c r="V57" s="39"/>
      <c r="W57" s="39">
        <v>27.07</v>
      </c>
      <c r="X57" s="39">
        <v>27.25</v>
      </c>
      <c r="Y57" s="39">
        <v>27.43</v>
      </c>
      <c r="Z57" s="39">
        <v>27.62</v>
      </c>
      <c r="AA57" s="39">
        <v>27.76</v>
      </c>
      <c r="AB57" s="39">
        <v>27.94</v>
      </c>
      <c r="AC57" s="39">
        <v>28.14</v>
      </c>
      <c r="AD57" s="39">
        <v>28.25</v>
      </c>
      <c r="AE57" s="39">
        <v>28.46</v>
      </c>
      <c r="AF57" s="39">
        <v>28.61</v>
      </c>
      <c r="AG57" s="39">
        <v>28.78</v>
      </c>
      <c r="AH57" s="39">
        <v>28.94</v>
      </c>
      <c r="AI57" s="39">
        <v>29.1</v>
      </c>
      <c r="AJ57" s="39">
        <v>29.34</v>
      </c>
      <c r="AK57" s="39">
        <v>29.55</v>
      </c>
      <c r="AL57" s="39">
        <v>29.8</v>
      </c>
      <c r="AM57" s="39">
        <v>30.02</v>
      </c>
      <c r="AN57" s="39">
        <v>30.21</v>
      </c>
      <c r="AO57" s="39">
        <v>30.35</v>
      </c>
      <c r="AP57" s="39">
        <v>30.45</v>
      </c>
      <c r="AQ57" s="39">
        <v>30.52</v>
      </c>
      <c r="AR57" s="39">
        <v>30.58</v>
      </c>
      <c r="AS57" s="39">
        <v>30.63</v>
      </c>
      <c r="AT57" s="39">
        <v>30.63</v>
      </c>
      <c r="AU57" s="39">
        <v>30.68</v>
      </c>
      <c r="AV57" s="39">
        <v>30.73</v>
      </c>
      <c r="AW57" s="39">
        <v>30.93</v>
      </c>
      <c r="AX57" s="39">
        <v>30.98</v>
      </c>
      <c r="AY57" s="39">
        <v>31.11</v>
      </c>
      <c r="AZ57" s="39">
        <v>31.23</v>
      </c>
      <c r="BA57" s="39">
        <v>31.34</v>
      </c>
      <c r="BB57" s="39">
        <v>31.44</v>
      </c>
      <c r="BC57" s="39">
        <v>31.55</v>
      </c>
      <c r="BD57" s="39">
        <v>31.65</v>
      </c>
      <c r="BE57" s="39">
        <v>31.77</v>
      </c>
      <c r="BF57" s="39">
        <v>31.9</v>
      </c>
      <c r="BG57" s="39">
        <v>32.020000000000003</v>
      </c>
      <c r="BH57" s="39">
        <v>32.17</v>
      </c>
      <c r="BI57" s="39">
        <v>32.29</v>
      </c>
      <c r="BJ57" s="39">
        <v>32.42</v>
      </c>
      <c r="BK57" s="39">
        <v>32.549999999999997</v>
      </c>
      <c r="BL57" s="39">
        <v>32.68</v>
      </c>
      <c r="BM57" s="39">
        <v>32.82</v>
      </c>
      <c r="BN57" s="39">
        <v>32.950000000000003</v>
      </c>
      <c r="BO57" s="39">
        <v>33.08</v>
      </c>
      <c r="BP57" s="39">
        <v>33.200000000000003</v>
      </c>
      <c r="BQ57" s="39">
        <v>33.33</v>
      </c>
      <c r="BR57" s="39">
        <v>33.46</v>
      </c>
      <c r="BS57" s="39">
        <v>33.58</v>
      </c>
      <c r="BT57" s="39">
        <v>33.71</v>
      </c>
      <c r="BU57" s="39">
        <v>33.83</v>
      </c>
      <c r="BV57" s="39">
        <v>33.96</v>
      </c>
      <c r="BW57" s="39">
        <v>34.08</v>
      </c>
      <c r="BX57" s="39">
        <v>34.200000000000003</v>
      </c>
      <c r="BY57" s="39">
        <v>34.32</v>
      </c>
      <c r="BZ57" s="39">
        <v>34.44</v>
      </c>
      <c r="CA57" s="39">
        <v>34.56</v>
      </c>
      <c r="CB57" s="39">
        <v>34.68</v>
      </c>
      <c r="CC57" s="39">
        <v>34.799999999999997</v>
      </c>
      <c r="CD57" s="39">
        <v>34.92</v>
      </c>
      <c r="CE57" s="39">
        <v>35.04</v>
      </c>
      <c r="CF57" s="39">
        <v>35.15</v>
      </c>
      <c r="CG57" s="39">
        <v>35.270000000000003</v>
      </c>
      <c r="CH57" s="39">
        <v>35.380000000000003</v>
      </c>
      <c r="CI57" s="39">
        <v>35.5</v>
      </c>
      <c r="CJ57" s="39">
        <v>35.61</v>
      </c>
      <c r="CK57" s="39">
        <v>35.72</v>
      </c>
      <c r="CL57" s="39">
        <v>35.83</v>
      </c>
      <c r="CM57" s="39">
        <v>35.94</v>
      </c>
      <c r="CN57" s="39">
        <v>36.049999999999997</v>
      </c>
      <c r="CO57" s="39">
        <v>36.159999999999997</v>
      </c>
      <c r="CP57" s="39">
        <v>36.270000000000003</v>
      </c>
      <c r="CQ57" s="39">
        <v>36.380000000000003</v>
      </c>
      <c r="CR57" s="39">
        <v>36.479999999999997</v>
      </c>
      <c r="CS57" s="39">
        <v>36.590000000000003</v>
      </c>
      <c r="CT57" s="39">
        <v>36.700000000000003</v>
      </c>
      <c r="CU57" s="39">
        <v>36.799999999999997</v>
      </c>
      <c r="CV57" s="39">
        <v>36.9</v>
      </c>
      <c r="CW57" s="39">
        <v>37.01</v>
      </c>
      <c r="CX57" s="39">
        <v>37.11</v>
      </c>
      <c r="CY57" s="39">
        <v>37.21</v>
      </c>
      <c r="CZ57" s="39">
        <v>37.31</v>
      </c>
      <c r="DA57" s="39">
        <v>37.409999999999997</v>
      </c>
      <c r="DB57" s="39">
        <v>37.51</v>
      </c>
      <c r="DC57" s="39">
        <v>37.61</v>
      </c>
      <c r="DD57" s="39">
        <v>37.71</v>
      </c>
      <c r="DE57" s="39">
        <v>37.81</v>
      </c>
      <c r="DF57" s="39">
        <v>37.9</v>
      </c>
      <c r="DG57" s="39">
        <v>38</v>
      </c>
      <c r="DH57" s="39">
        <v>38.090000000000003</v>
      </c>
      <c r="DI57" s="39">
        <v>38.19</v>
      </c>
      <c r="DJ57" s="39">
        <v>38.28</v>
      </c>
      <c r="DK57" s="39">
        <v>38.369999999999997</v>
      </c>
      <c r="DL57" s="39">
        <v>38.46</v>
      </c>
      <c r="DM57" s="39">
        <v>38.56</v>
      </c>
      <c r="DN57" s="39">
        <v>38.65</v>
      </c>
      <c r="DO57" s="39">
        <v>38.74</v>
      </c>
      <c r="DP57" s="39">
        <v>38.83</v>
      </c>
      <c r="DQ57" s="39">
        <v>38.909999999999997</v>
      </c>
      <c r="DR57" s="39">
        <v>39</v>
      </c>
    </row>
    <row r="58" spans="1:122">
      <c r="A58" s="44">
        <v>56</v>
      </c>
      <c r="B58" s="45"/>
      <c r="C58" s="45"/>
      <c r="D58" s="45"/>
      <c r="E58" s="45"/>
      <c r="F58" s="45"/>
      <c r="G58" s="45"/>
      <c r="H58" s="45"/>
      <c r="I58" s="45"/>
      <c r="J58" s="45"/>
      <c r="K58" s="45"/>
      <c r="L58" s="45"/>
      <c r="M58" s="45"/>
      <c r="N58" s="45"/>
      <c r="O58" s="45"/>
      <c r="P58" s="45"/>
      <c r="Q58" s="45"/>
      <c r="R58" s="45"/>
      <c r="S58" s="45"/>
      <c r="T58" s="45"/>
      <c r="U58" s="45"/>
      <c r="V58" s="39"/>
      <c r="W58" s="39">
        <v>26.23</v>
      </c>
      <c r="X58" s="39">
        <v>26.4</v>
      </c>
      <c r="Y58" s="39">
        <v>26.58</v>
      </c>
      <c r="Z58" s="39">
        <v>26.78</v>
      </c>
      <c r="AA58" s="39">
        <v>26.91</v>
      </c>
      <c r="AB58" s="39">
        <v>27.09</v>
      </c>
      <c r="AC58" s="39">
        <v>27.29</v>
      </c>
      <c r="AD58" s="39">
        <v>27.4</v>
      </c>
      <c r="AE58" s="39">
        <v>27.6</v>
      </c>
      <c r="AF58" s="39">
        <v>27.76</v>
      </c>
      <c r="AG58" s="39">
        <v>27.91</v>
      </c>
      <c r="AH58" s="39">
        <v>28.08</v>
      </c>
      <c r="AI58" s="39">
        <v>28.24</v>
      </c>
      <c r="AJ58" s="39">
        <v>28.48</v>
      </c>
      <c r="AK58" s="39">
        <v>28.69</v>
      </c>
      <c r="AL58" s="39">
        <v>28.93</v>
      </c>
      <c r="AM58" s="39">
        <v>29.15</v>
      </c>
      <c r="AN58" s="39">
        <v>29.33</v>
      </c>
      <c r="AO58" s="39">
        <v>29.47</v>
      </c>
      <c r="AP58" s="39">
        <v>29.57</v>
      </c>
      <c r="AQ58" s="39">
        <v>29.64</v>
      </c>
      <c r="AR58" s="39">
        <v>29.69</v>
      </c>
      <c r="AS58" s="39">
        <v>29.75</v>
      </c>
      <c r="AT58" s="39">
        <v>29.75</v>
      </c>
      <c r="AU58" s="39">
        <v>29.79</v>
      </c>
      <c r="AV58" s="39">
        <v>29.85</v>
      </c>
      <c r="AW58" s="39">
        <v>30.04</v>
      </c>
      <c r="AX58" s="39">
        <v>30.09</v>
      </c>
      <c r="AY58" s="39">
        <v>30.23</v>
      </c>
      <c r="AZ58" s="39">
        <v>30.34</v>
      </c>
      <c r="BA58" s="39">
        <v>30.45</v>
      </c>
      <c r="BB58" s="39">
        <v>30.56</v>
      </c>
      <c r="BC58" s="39">
        <v>30.66</v>
      </c>
      <c r="BD58" s="39">
        <v>30.76</v>
      </c>
      <c r="BE58" s="39">
        <v>30.88</v>
      </c>
      <c r="BF58" s="39">
        <v>31.01</v>
      </c>
      <c r="BG58" s="39">
        <v>31.13</v>
      </c>
      <c r="BH58" s="39">
        <v>31.27</v>
      </c>
      <c r="BI58" s="39">
        <v>31.39</v>
      </c>
      <c r="BJ58" s="39">
        <v>31.53</v>
      </c>
      <c r="BK58" s="39">
        <v>31.65</v>
      </c>
      <c r="BL58" s="39">
        <v>31.79</v>
      </c>
      <c r="BM58" s="39">
        <v>31.92</v>
      </c>
      <c r="BN58" s="39">
        <v>32.049999999999997</v>
      </c>
      <c r="BO58" s="39">
        <v>32.17</v>
      </c>
      <c r="BP58" s="39">
        <v>32.299999999999997</v>
      </c>
      <c r="BQ58" s="39">
        <v>32.42</v>
      </c>
      <c r="BR58" s="39">
        <v>32.549999999999997</v>
      </c>
      <c r="BS58" s="39">
        <v>32.67</v>
      </c>
      <c r="BT58" s="39">
        <v>32.799999999999997</v>
      </c>
      <c r="BU58" s="39">
        <v>32.92</v>
      </c>
      <c r="BV58" s="39">
        <v>33.04</v>
      </c>
      <c r="BW58" s="39">
        <v>33.159999999999997</v>
      </c>
      <c r="BX58" s="39">
        <v>33.29</v>
      </c>
      <c r="BY58" s="39">
        <v>33.409999999999997</v>
      </c>
      <c r="BZ58" s="39">
        <v>33.53</v>
      </c>
      <c r="CA58" s="39">
        <v>33.64</v>
      </c>
      <c r="CB58" s="39">
        <v>33.76</v>
      </c>
      <c r="CC58" s="39">
        <v>33.880000000000003</v>
      </c>
      <c r="CD58" s="39">
        <v>34</v>
      </c>
      <c r="CE58" s="39">
        <v>34.11</v>
      </c>
      <c r="CF58" s="39">
        <v>34.229999999999997</v>
      </c>
      <c r="CG58" s="39">
        <v>34.340000000000003</v>
      </c>
      <c r="CH58" s="39">
        <v>34.450000000000003</v>
      </c>
      <c r="CI58" s="39">
        <v>34.57</v>
      </c>
      <c r="CJ58" s="39">
        <v>34.68</v>
      </c>
      <c r="CK58" s="39">
        <v>34.79</v>
      </c>
      <c r="CL58" s="39">
        <v>34.9</v>
      </c>
      <c r="CM58" s="39">
        <v>35.01</v>
      </c>
      <c r="CN58" s="39">
        <v>35.119999999999997</v>
      </c>
      <c r="CO58" s="39">
        <v>35.229999999999997</v>
      </c>
      <c r="CP58" s="39">
        <v>35.33</v>
      </c>
      <c r="CQ58" s="39">
        <v>35.44</v>
      </c>
      <c r="CR58" s="39">
        <v>35.549999999999997</v>
      </c>
      <c r="CS58" s="39">
        <v>35.65</v>
      </c>
      <c r="CT58" s="39">
        <v>35.76</v>
      </c>
      <c r="CU58" s="39">
        <v>35.86</v>
      </c>
      <c r="CV58" s="39">
        <v>35.96</v>
      </c>
      <c r="CW58" s="39">
        <v>36.06</v>
      </c>
      <c r="CX58" s="39">
        <v>36.17</v>
      </c>
      <c r="CY58" s="39">
        <v>36.270000000000003</v>
      </c>
      <c r="CZ58" s="39">
        <v>36.369999999999997</v>
      </c>
      <c r="DA58" s="39">
        <v>36.47</v>
      </c>
      <c r="DB58" s="39">
        <v>36.56</v>
      </c>
      <c r="DC58" s="39">
        <v>36.659999999999997</v>
      </c>
      <c r="DD58" s="39">
        <v>36.76</v>
      </c>
      <c r="DE58" s="39">
        <v>36.86</v>
      </c>
      <c r="DF58" s="39">
        <v>36.950000000000003</v>
      </c>
      <c r="DG58" s="39">
        <v>37.049999999999997</v>
      </c>
      <c r="DH58" s="39">
        <v>37.14</v>
      </c>
      <c r="DI58" s="39">
        <v>37.229999999999997</v>
      </c>
      <c r="DJ58" s="39">
        <v>37.33</v>
      </c>
      <c r="DK58" s="39">
        <v>37.42</v>
      </c>
      <c r="DL58" s="39">
        <v>37.51</v>
      </c>
      <c r="DM58" s="39">
        <v>37.6</v>
      </c>
      <c r="DN58" s="39">
        <v>37.69</v>
      </c>
      <c r="DO58" s="39">
        <v>37.78</v>
      </c>
      <c r="DP58" s="39">
        <v>37.869999999999997</v>
      </c>
      <c r="DQ58" s="39">
        <v>37.950000000000003</v>
      </c>
      <c r="DR58" s="39">
        <v>38.04</v>
      </c>
    </row>
    <row r="59" spans="1:122">
      <c r="A59" s="44">
        <v>57</v>
      </c>
      <c r="B59" s="45"/>
      <c r="C59" s="45"/>
      <c r="D59" s="45"/>
      <c r="E59" s="45"/>
      <c r="F59" s="45"/>
      <c r="G59" s="45"/>
      <c r="H59" s="45"/>
      <c r="I59" s="45"/>
      <c r="J59" s="45"/>
      <c r="K59" s="45"/>
      <c r="L59" s="45"/>
      <c r="M59" s="45"/>
      <c r="N59" s="45"/>
      <c r="O59" s="45"/>
      <c r="P59" s="45"/>
      <c r="Q59" s="45"/>
      <c r="R59" s="45"/>
      <c r="S59" s="45"/>
      <c r="T59" s="45"/>
      <c r="U59" s="45"/>
      <c r="V59" s="39"/>
      <c r="W59" s="39">
        <v>25.39</v>
      </c>
      <c r="X59" s="39">
        <v>25.57</v>
      </c>
      <c r="Y59" s="39">
        <v>25.75</v>
      </c>
      <c r="Z59" s="39">
        <v>25.94</v>
      </c>
      <c r="AA59" s="39">
        <v>26.08</v>
      </c>
      <c r="AB59" s="39">
        <v>26.25</v>
      </c>
      <c r="AC59" s="39">
        <v>26.45</v>
      </c>
      <c r="AD59" s="39">
        <v>26.55</v>
      </c>
      <c r="AE59" s="39">
        <v>26.75</v>
      </c>
      <c r="AF59" s="39">
        <v>26.91</v>
      </c>
      <c r="AG59" s="39">
        <v>27.06</v>
      </c>
      <c r="AH59" s="39">
        <v>27.23</v>
      </c>
      <c r="AI59" s="39">
        <v>27.39</v>
      </c>
      <c r="AJ59" s="39">
        <v>27.62</v>
      </c>
      <c r="AK59" s="39">
        <v>27.82</v>
      </c>
      <c r="AL59" s="39">
        <v>28.06</v>
      </c>
      <c r="AM59" s="39">
        <v>28.28</v>
      </c>
      <c r="AN59" s="39">
        <v>28.46</v>
      </c>
      <c r="AO59" s="39">
        <v>28.6</v>
      </c>
      <c r="AP59" s="39">
        <v>28.7</v>
      </c>
      <c r="AQ59" s="39">
        <v>28.77</v>
      </c>
      <c r="AR59" s="39">
        <v>28.81</v>
      </c>
      <c r="AS59" s="39">
        <v>28.87</v>
      </c>
      <c r="AT59" s="39">
        <v>28.87</v>
      </c>
      <c r="AU59" s="39">
        <v>28.91</v>
      </c>
      <c r="AV59" s="39">
        <v>28.97</v>
      </c>
      <c r="AW59" s="39">
        <v>29.16</v>
      </c>
      <c r="AX59" s="39">
        <v>29.21</v>
      </c>
      <c r="AY59" s="39">
        <v>29.34</v>
      </c>
      <c r="AZ59" s="39">
        <v>29.46</v>
      </c>
      <c r="BA59" s="39">
        <v>29.57</v>
      </c>
      <c r="BB59" s="39">
        <v>29.67</v>
      </c>
      <c r="BC59" s="39">
        <v>29.77</v>
      </c>
      <c r="BD59" s="39">
        <v>29.88</v>
      </c>
      <c r="BE59" s="39">
        <v>30</v>
      </c>
      <c r="BF59" s="39">
        <v>30.13</v>
      </c>
      <c r="BG59" s="39">
        <v>30.25</v>
      </c>
      <c r="BH59" s="39">
        <v>30.38</v>
      </c>
      <c r="BI59" s="39">
        <v>30.51</v>
      </c>
      <c r="BJ59" s="39">
        <v>30.64</v>
      </c>
      <c r="BK59" s="39">
        <v>30.77</v>
      </c>
      <c r="BL59" s="39">
        <v>30.9</v>
      </c>
      <c r="BM59" s="39">
        <v>31.02</v>
      </c>
      <c r="BN59" s="39">
        <v>31.15</v>
      </c>
      <c r="BO59" s="39">
        <v>31.28</v>
      </c>
      <c r="BP59" s="39">
        <v>31.4</v>
      </c>
      <c r="BQ59" s="39">
        <v>31.52</v>
      </c>
      <c r="BR59" s="39">
        <v>31.65</v>
      </c>
      <c r="BS59" s="39">
        <v>31.77</v>
      </c>
      <c r="BT59" s="39">
        <v>31.89</v>
      </c>
      <c r="BU59" s="39">
        <v>32.020000000000003</v>
      </c>
      <c r="BV59" s="39">
        <v>32.14</v>
      </c>
      <c r="BW59" s="39">
        <v>32.26</v>
      </c>
      <c r="BX59" s="39">
        <v>32.380000000000003</v>
      </c>
      <c r="BY59" s="39">
        <v>32.49</v>
      </c>
      <c r="BZ59" s="39">
        <v>32.61</v>
      </c>
      <c r="CA59" s="39">
        <v>32.729999999999997</v>
      </c>
      <c r="CB59" s="39">
        <v>32.85</v>
      </c>
      <c r="CC59" s="39">
        <v>32.96</v>
      </c>
      <c r="CD59" s="39">
        <v>33.08</v>
      </c>
      <c r="CE59" s="39">
        <v>33.19</v>
      </c>
      <c r="CF59" s="39">
        <v>33.31</v>
      </c>
      <c r="CG59" s="39">
        <v>33.42</v>
      </c>
      <c r="CH59" s="39">
        <v>33.53</v>
      </c>
      <c r="CI59" s="39">
        <v>33.64</v>
      </c>
      <c r="CJ59" s="39">
        <v>33.75</v>
      </c>
      <c r="CK59" s="39">
        <v>33.86</v>
      </c>
      <c r="CL59" s="39">
        <v>33.97</v>
      </c>
      <c r="CM59" s="39">
        <v>34.08</v>
      </c>
      <c r="CN59" s="39">
        <v>34.19</v>
      </c>
      <c r="CO59" s="39">
        <v>34.299999999999997</v>
      </c>
      <c r="CP59" s="39">
        <v>34.4</v>
      </c>
      <c r="CQ59" s="39">
        <v>34.51</v>
      </c>
      <c r="CR59" s="39">
        <v>34.61</v>
      </c>
      <c r="CS59" s="39">
        <v>34.72</v>
      </c>
      <c r="CT59" s="39">
        <v>34.82</v>
      </c>
      <c r="CU59" s="39">
        <v>34.92</v>
      </c>
      <c r="CV59" s="39">
        <v>35.020000000000003</v>
      </c>
      <c r="CW59" s="39">
        <v>35.130000000000003</v>
      </c>
      <c r="CX59" s="39">
        <v>35.229999999999997</v>
      </c>
      <c r="CY59" s="39">
        <v>35.33</v>
      </c>
      <c r="CZ59" s="39">
        <v>35.42</v>
      </c>
      <c r="DA59" s="39">
        <v>35.520000000000003</v>
      </c>
      <c r="DB59" s="39">
        <v>35.619999999999997</v>
      </c>
      <c r="DC59" s="39">
        <v>35.72</v>
      </c>
      <c r="DD59" s="39">
        <v>35.81</v>
      </c>
      <c r="DE59" s="39">
        <v>35.909999999999997</v>
      </c>
      <c r="DF59" s="39">
        <v>36</v>
      </c>
      <c r="DG59" s="39">
        <v>36.1</v>
      </c>
      <c r="DH59" s="39">
        <v>36.19</v>
      </c>
      <c r="DI59" s="39">
        <v>36.28</v>
      </c>
      <c r="DJ59" s="39">
        <v>36.380000000000003</v>
      </c>
      <c r="DK59" s="39">
        <v>36.47</v>
      </c>
      <c r="DL59" s="39">
        <v>36.56</v>
      </c>
      <c r="DM59" s="39">
        <v>36.65</v>
      </c>
      <c r="DN59" s="39">
        <v>36.74</v>
      </c>
      <c r="DO59" s="39">
        <v>36.82</v>
      </c>
      <c r="DP59" s="39">
        <v>36.909999999999997</v>
      </c>
      <c r="DQ59" s="39">
        <v>37</v>
      </c>
      <c r="DR59" s="39">
        <v>37.08</v>
      </c>
    </row>
    <row r="60" spans="1:122">
      <c r="A60" s="44">
        <v>58</v>
      </c>
      <c r="B60" s="45"/>
      <c r="C60" s="45"/>
      <c r="D60" s="45"/>
      <c r="E60" s="45"/>
      <c r="F60" s="45"/>
      <c r="G60" s="45"/>
      <c r="H60" s="45"/>
      <c r="I60" s="45"/>
      <c r="J60" s="45"/>
      <c r="K60" s="45"/>
      <c r="L60" s="45"/>
      <c r="M60" s="45"/>
      <c r="N60" s="45"/>
      <c r="O60" s="45"/>
      <c r="P60" s="45"/>
      <c r="Q60" s="45"/>
      <c r="R60" s="45"/>
      <c r="S60" s="45"/>
      <c r="T60" s="45"/>
      <c r="U60" s="45"/>
      <c r="V60" s="39"/>
      <c r="W60" s="39">
        <v>24.56</v>
      </c>
      <c r="X60" s="39">
        <v>24.74</v>
      </c>
      <c r="Y60" s="39">
        <v>24.91</v>
      </c>
      <c r="Z60" s="39">
        <v>25.11</v>
      </c>
      <c r="AA60" s="39">
        <v>25.24</v>
      </c>
      <c r="AB60" s="39">
        <v>25.4</v>
      </c>
      <c r="AC60" s="39">
        <v>25.61</v>
      </c>
      <c r="AD60" s="39">
        <v>25.71</v>
      </c>
      <c r="AE60" s="39">
        <v>25.91</v>
      </c>
      <c r="AF60" s="39">
        <v>26.06</v>
      </c>
      <c r="AG60" s="39">
        <v>26.21</v>
      </c>
      <c r="AH60" s="39">
        <v>26.38</v>
      </c>
      <c r="AI60" s="39">
        <v>26.54</v>
      </c>
      <c r="AJ60" s="39">
        <v>26.76</v>
      </c>
      <c r="AK60" s="39">
        <v>26.97</v>
      </c>
      <c r="AL60" s="39">
        <v>27.21</v>
      </c>
      <c r="AM60" s="39">
        <v>27.42</v>
      </c>
      <c r="AN60" s="39">
        <v>27.59</v>
      </c>
      <c r="AO60" s="39">
        <v>27.73</v>
      </c>
      <c r="AP60" s="39">
        <v>27.83</v>
      </c>
      <c r="AQ60" s="39">
        <v>27.9</v>
      </c>
      <c r="AR60" s="39">
        <v>27.94</v>
      </c>
      <c r="AS60" s="39">
        <v>28</v>
      </c>
      <c r="AT60" s="39">
        <v>28</v>
      </c>
      <c r="AU60" s="39">
        <v>28.04</v>
      </c>
      <c r="AV60" s="39">
        <v>28.1</v>
      </c>
      <c r="AW60" s="39">
        <v>28.28</v>
      </c>
      <c r="AX60" s="39">
        <v>28.33</v>
      </c>
      <c r="AY60" s="39">
        <v>28.46</v>
      </c>
      <c r="AZ60" s="39">
        <v>28.58</v>
      </c>
      <c r="BA60" s="39">
        <v>28.69</v>
      </c>
      <c r="BB60" s="39">
        <v>28.79</v>
      </c>
      <c r="BC60" s="39">
        <v>28.89</v>
      </c>
      <c r="BD60" s="39">
        <v>29</v>
      </c>
      <c r="BE60" s="39">
        <v>29.12</v>
      </c>
      <c r="BF60" s="39">
        <v>29.25</v>
      </c>
      <c r="BG60" s="39">
        <v>29.37</v>
      </c>
      <c r="BH60" s="39">
        <v>29.5</v>
      </c>
      <c r="BI60" s="39">
        <v>29.63</v>
      </c>
      <c r="BJ60" s="39">
        <v>29.76</v>
      </c>
      <c r="BK60" s="39">
        <v>29.88</v>
      </c>
      <c r="BL60" s="39">
        <v>30.01</v>
      </c>
      <c r="BM60" s="39">
        <v>30.14</v>
      </c>
      <c r="BN60" s="39">
        <v>30.26</v>
      </c>
      <c r="BO60" s="39">
        <v>30.38</v>
      </c>
      <c r="BP60" s="39">
        <v>30.51</v>
      </c>
      <c r="BQ60" s="39">
        <v>30.63</v>
      </c>
      <c r="BR60" s="39">
        <v>30.75</v>
      </c>
      <c r="BS60" s="39">
        <v>30.87</v>
      </c>
      <c r="BT60" s="39">
        <v>30.99</v>
      </c>
      <c r="BU60" s="39">
        <v>31.12</v>
      </c>
      <c r="BV60" s="39">
        <v>31.23</v>
      </c>
      <c r="BW60" s="39">
        <v>31.35</v>
      </c>
      <c r="BX60" s="39">
        <v>31.47</v>
      </c>
      <c r="BY60" s="39">
        <v>31.59</v>
      </c>
      <c r="BZ60" s="39">
        <v>31.71</v>
      </c>
      <c r="CA60" s="39">
        <v>31.82</v>
      </c>
      <c r="CB60" s="39">
        <v>31.94</v>
      </c>
      <c r="CC60" s="39">
        <v>32.049999999999997</v>
      </c>
      <c r="CD60" s="39">
        <v>32.159999999999997</v>
      </c>
      <c r="CE60" s="39">
        <v>32.28</v>
      </c>
      <c r="CF60" s="39">
        <v>32.39</v>
      </c>
      <c r="CG60" s="39">
        <v>32.5</v>
      </c>
      <c r="CH60" s="39">
        <v>32.61</v>
      </c>
      <c r="CI60" s="39">
        <v>32.72</v>
      </c>
      <c r="CJ60" s="39">
        <v>32.83</v>
      </c>
      <c r="CK60" s="39">
        <v>32.94</v>
      </c>
      <c r="CL60" s="39">
        <v>33.049999999999997</v>
      </c>
      <c r="CM60" s="39">
        <v>33.159999999999997</v>
      </c>
      <c r="CN60" s="39">
        <v>33.26</v>
      </c>
      <c r="CO60" s="39">
        <v>33.369999999999997</v>
      </c>
      <c r="CP60" s="39">
        <v>33.47</v>
      </c>
      <c r="CQ60" s="39">
        <v>33.58</v>
      </c>
      <c r="CR60" s="39">
        <v>33.68</v>
      </c>
      <c r="CS60" s="39">
        <v>33.79</v>
      </c>
      <c r="CT60" s="39">
        <v>33.89</v>
      </c>
      <c r="CU60" s="39">
        <v>33.99</v>
      </c>
      <c r="CV60" s="39">
        <v>34.090000000000003</v>
      </c>
      <c r="CW60" s="39">
        <v>34.19</v>
      </c>
      <c r="CX60" s="39">
        <v>34.29</v>
      </c>
      <c r="CY60" s="39">
        <v>34.39</v>
      </c>
      <c r="CZ60" s="39">
        <v>34.49</v>
      </c>
      <c r="DA60" s="39">
        <v>34.58</v>
      </c>
      <c r="DB60" s="39">
        <v>34.68</v>
      </c>
      <c r="DC60" s="39">
        <v>34.78</v>
      </c>
      <c r="DD60" s="39">
        <v>34.869999999999997</v>
      </c>
      <c r="DE60" s="39">
        <v>34.97</v>
      </c>
      <c r="DF60" s="39">
        <v>35.06</v>
      </c>
      <c r="DG60" s="39">
        <v>35.15</v>
      </c>
      <c r="DH60" s="39">
        <v>35.24</v>
      </c>
      <c r="DI60" s="39">
        <v>35.340000000000003</v>
      </c>
      <c r="DJ60" s="39">
        <v>35.43</v>
      </c>
      <c r="DK60" s="39">
        <v>35.520000000000003</v>
      </c>
      <c r="DL60" s="39">
        <v>35.61</v>
      </c>
      <c r="DM60" s="39">
        <v>35.700000000000003</v>
      </c>
      <c r="DN60" s="39">
        <v>35.78</v>
      </c>
      <c r="DO60" s="39">
        <v>35.869999999999997</v>
      </c>
      <c r="DP60" s="39">
        <v>35.96</v>
      </c>
      <c r="DQ60" s="39">
        <v>36.04</v>
      </c>
      <c r="DR60" s="39">
        <v>36.130000000000003</v>
      </c>
    </row>
    <row r="61" spans="1:122">
      <c r="A61" s="44">
        <v>59</v>
      </c>
      <c r="B61" s="45"/>
      <c r="C61" s="45"/>
      <c r="D61" s="45"/>
      <c r="E61" s="45"/>
      <c r="F61" s="45"/>
      <c r="G61" s="45"/>
      <c r="H61" s="45"/>
      <c r="I61" s="45"/>
      <c r="J61" s="45"/>
      <c r="K61" s="45"/>
      <c r="L61" s="45"/>
      <c r="M61" s="45"/>
      <c r="N61" s="45"/>
      <c r="O61" s="45"/>
      <c r="P61" s="45"/>
      <c r="Q61" s="45"/>
      <c r="R61" s="45"/>
      <c r="S61" s="45"/>
      <c r="T61" s="45"/>
      <c r="U61" s="45"/>
      <c r="V61" s="39"/>
      <c r="W61" s="39">
        <v>23.74</v>
      </c>
      <c r="X61" s="39">
        <v>23.91</v>
      </c>
      <c r="Y61" s="39">
        <v>24.09</v>
      </c>
      <c r="Z61" s="39">
        <v>24.28</v>
      </c>
      <c r="AA61" s="39">
        <v>24.41</v>
      </c>
      <c r="AB61" s="39">
        <v>24.58</v>
      </c>
      <c r="AC61" s="39">
        <v>24.77</v>
      </c>
      <c r="AD61" s="39">
        <v>24.87</v>
      </c>
      <c r="AE61" s="39">
        <v>25.07</v>
      </c>
      <c r="AF61" s="39">
        <v>25.22</v>
      </c>
      <c r="AG61" s="39">
        <v>25.37</v>
      </c>
      <c r="AH61" s="39">
        <v>25.54</v>
      </c>
      <c r="AI61" s="39">
        <v>25.7</v>
      </c>
      <c r="AJ61" s="39">
        <v>25.92</v>
      </c>
      <c r="AK61" s="39">
        <v>26.12</v>
      </c>
      <c r="AL61" s="39">
        <v>26.35</v>
      </c>
      <c r="AM61" s="39">
        <v>26.56</v>
      </c>
      <c r="AN61" s="39">
        <v>26.72</v>
      </c>
      <c r="AO61" s="39">
        <v>26.86</v>
      </c>
      <c r="AP61" s="39">
        <v>26.96</v>
      </c>
      <c r="AQ61" s="39">
        <v>27.03</v>
      </c>
      <c r="AR61" s="39">
        <v>27.07</v>
      </c>
      <c r="AS61" s="39">
        <v>27.13</v>
      </c>
      <c r="AT61" s="39">
        <v>27.14</v>
      </c>
      <c r="AU61" s="39">
        <v>27.18</v>
      </c>
      <c r="AV61" s="39">
        <v>27.24</v>
      </c>
      <c r="AW61" s="39">
        <v>27.41</v>
      </c>
      <c r="AX61" s="39">
        <v>27.46</v>
      </c>
      <c r="AY61" s="39">
        <v>27.59</v>
      </c>
      <c r="AZ61" s="39">
        <v>27.71</v>
      </c>
      <c r="BA61" s="39">
        <v>27.81</v>
      </c>
      <c r="BB61" s="39">
        <v>27.92</v>
      </c>
      <c r="BC61" s="39">
        <v>28.02</v>
      </c>
      <c r="BD61" s="39">
        <v>28.12</v>
      </c>
      <c r="BE61" s="39">
        <v>28.24</v>
      </c>
      <c r="BF61" s="39">
        <v>28.37</v>
      </c>
      <c r="BG61" s="39">
        <v>28.5</v>
      </c>
      <c r="BH61" s="39">
        <v>28.63</v>
      </c>
      <c r="BI61" s="39">
        <v>28.76</v>
      </c>
      <c r="BJ61" s="39">
        <v>28.88</v>
      </c>
      <c r="BK61" s="39">
        <v>29.01</v>
      </c>
      <c r="BL61" s="39">
        <v>29.13</v>
      </c>
      <c r="BM61" s="39">
        <v>29.25</v>
      </c>
      <c r="BN61" s="39">
        <v>29.38</v>
      </c>
      <c r="BO61" s="39">
        <v>29.5</v>
      </c>
      <c r="BP61" s="39">
        <v>29.62</v>
      </c>
      <c r="BQ61" s="39">
        <v>29.74</v>
      </c>
      <c r="BR61" s="39">
        <v>29.86</v>
      </c>
      <c r="BS61" s="39">
        <v>29.98</v>
      </c>
      <c r="BT61" s="39">
        <v>30.1</v>
      </c>
      <c r="BU61" s="39">
        <v>30.22</v>
      </c>
      <c r="BV61" s="39">
        <v>30.34</v>
      </c>
      <c r="BW61" s="39">
        <v>30.46</v>
      </c>
      <c r="BX61" s="39">
        <v>30.57</v>
      </c>
      <c r="BY61" s="39">
        <v>30.69</v>
      </c>
      <c r="BZ61" s="39">
        <v>30.8</v>
      </c>
      <c r="CA61" s="39">
        <v>30.92</v>
      </c>
      <c r="CB61" s="39">
        <v>31.03</v>
      </c>
      <c r="CC61" s="39">
        <v>31.14</v>
      </c>
      <c r="CD61" s="39">
        <v>31.26</v>
      </c>
      <c r="CE61" s="39">
        <v>31.37</v>
      </c>
      <c r="CF61" s="39">
        <v>31.48</v>
      </c>
      <c r="CG61" s="39">
        <v>31.59</v>
      </c>
      <c r="CH61" s="39">
        <v>31.7</v>
      </c>
      <c r="CI61" s="39">
        <v>31.81</v>
      </c>
      <c r="CJ61" s="39">
        <v>31.92</v>
      </c>
      <c r="CK61" s="39">
        <v>32.020000000000003</v>
      </c>
      <c r="CL61" s="39">
        <v>32.130000000000003</v>
      </c>
      <c r="CM61" s="39">
        <v>32.24</v>
      </c>
      <c r="CN61" s="39">
        <v>32.340000000000003</v>
      </c>
      <c r="CO61" s="39">
        <v>32.450000000000003</v>
      </c>
      <c r="CP61" s="39">
        <v>32.549999999999997</v>
      </c>
      <c r="CQ61" s="39">
        <v>32.65</v>
      </c>
      <c r="CR61" s="39">
        <v>32.76</v>
      </c>
      <c r="CS61" s="39">
        <v>32.86</v>
      </c>
      <c r="CT61" s="39">
        <v>32.96</v>
      </c>
      <c r="CU61" s="39">
        <v>33.06</v>
      </c>
      <c r="CV61" s="39">
        <v>33.159999999999997</v>
      </c>
      <c r="CW61" s="39">
        <v>33.26</v>
      </c>
      <c r="CX61" s="39">
        <v>33.36</v>
      </c>
      <c r="CY61" s="39">
        <v>33.450000000000003</v>
      </c>
      <c r="CZ61" s="39">
        <v>33.549999999999997</v>
      </c>
      <c r="DA61" s="39">
        <v>33.65</v>
      </c>
      <c r="DB61" s="39">
        <v>33.74</v>
      </c>
      <c r="DC61" s="39">
        <v>33.840000000000003</v>
      </c>
      <c r="DD61" s="39">
        <v>33.93</v>
      </c>
      <c r="DE61" s="39">
        <v>34.03</v>
      </c>
      <c r="DF61" s="39">
        <v>34.119999999999997</v>
      </c>
      <c r="DG61" s="39">
        <v>34.21</v>
      </c>
      <c r="DH61" s="39">
        <v>34.299999999999997</v>
      </c>
      <c r="DI61" s="39">
        <v>34.39</v>
      </c>
      <c r="DJ61" s="39">
        <v>34.479999999999997</v>
      </c>
      <c r="DK61" s="39">
        <v>34.57</v>
      </c>
      <c r="DL61" s="39">
        <v>34.659999999999997</v>
      </c>
      <c r="DM61" s="39">
        <v>34.75</v>
      </c>
      <c r="DN61" s="39">
        <v>34.840000000000003</v>
      </c>
      <c r="DO61" s="39">
        <v>34.92</v>
      </c>
      <c r="DP61" s="39">
        <v>35.01</v>
      </c>
      <c r="DQ61" s="39">
        <v>35.090000000000003</v>
      </c>
      <c r="DR61" s="39">
        <v>35.18</v>
      </c>
    </row>
    <row r="62" spans="1:122">
      <c r="A62" s="44">
        <v>60</v>
      </c>
      <c r="B62" s="45"/>
      <c r="C62" s="45"/>
      <c r="D62" s="45"/>
      <c r="E62" s="45"/>
      <c r="F62" s="45"/>
      <c r="G62" s="45"/>
      <c r="H62" s="45"/>
      <c r="I62" s="45"/>
      <c r="J62" s="45"/>
      <c r="K62" s="45"/>
      <c r="L62" s="45"/>
      <c r="M62" s="45"/>
      <c r="N62" s="45"/>
      <c r="O62" s="45"/>
      <c r="P62" s="45"/>
      <c r="Q62" s="45"/>
      <c r="R62" s="45"/>
      <c r="S62" s="45"/>
      <c r="T62" s="45"/>
      <c r="U62" s="45"/>
      <c r="V62" s="39"/>
      <c r="W62" s="39">
        <v>22.93</v>
      </c>
      <c r="X62" s="39">
        <v>23.1</v>
      </c>
      <c r="Y62" s="39">
        <v>23.27</v>
      </c>
      <c r="Z62" s="39">
        <v>23.45</v>
      </c>
      <c r="AA62" s="39">
        <v>23.58</v>
      </c>
      <c r="AB62" s="39">
        <v>23.75</v>
      </c>
      <c r="AC62" s="39">
        <v>23.94</v>
      </c>
      <c r="AD62" s="39">
        <v>24.04</v>
      </c>
      <c r="AE62" s="39">
        <v>24.24</v>
      </c>
      <c r="AF62" s="39">
        <v>24.39</v>
      </c>
      <c r="AG62" s="39">
        <v>24.53</v>
      </c>
      <c r="AH62" s="39">
        <v>24.7</v>
      </c>
      <c r="AI62" s="39">
        <v>24.86</v>
      </c>
      <c r="AJ62" s="39">
        <v>25.07</v>
      </c>
      <c r="AK62" s="39">
        <v>25.28</v>
      </c>
      <c r="AL62" s="39">
        <v>25.5</v>
      </c>
      <c r="AM62" s="39">
        <v>25.71</v>
      </c>
      <c r="AN62" s="39">
        <v>25.86</v>
      </c>
      <c r="AO62" s="39">
        <v>26</v>
      </c>
      <c r="AP62" s="39">
        <v>26.09</v>
      </c>
      <c r="AQ62" s="39">
        <v>26.16</v>
      </c>
      <c r="AR62" s="39">
        <v>26.21</v>
      </c>
      <c r="AS62" s="39">
        <v>26.26</v>
      </c>
      <c r="AT62" s="39">
        <v>26.27</v>
      </c>
      <c r="AU62" s="39">
        <v>26.32</v>
      </c>
      <c r="AV62" s="39">
        <v>26.38</v>
      </c>
      <c r="AW62" s="39">
        <v>26.54</v>
      </c>
      <c r="AX62" s="39">
        <v>26.59</v>
      </c>
      <c r="AY62" s="39">
        <v>26.72</v>
      </c>
      <c r="AZ62" s="39">
        <v>26.83</v>
      </c>
      <c r="BA62" s="39">
        <v>26.94</v>
      </c>
      <c r="BB62" s="39">
        <v>27.05</v>
      </c>
      <c r="BC62" s="39">
        <v>27.15</v>
      </c>
      <c r="BD62" s="39">
        <v>27.26</v>
      </c>
      <c r="BE62" s="39">
        <v>27.38</v>
      </c>
      <c r="BF62" s="39">
        <v>27.5</v>
      </c>
      <c r="BG62" s="39">
        <v>27.63</v>
      </c>
      <c r="BH62" s="39">
        <v>27.76</v>
      </c>
      <c r="BI62" s="39">
        <v>27.89</v>
      </c>
      <c r="BJ62" s="39">
        <v>28.01</v>
      </c>
      <c r="BK62" s="39">
        <v>28.13</v>
      </c>
      <c r="BL62" s="39">
        <v>28.26</v>
      </c>
      <c r="BM62" s="39">
        <v>28.38</v>
      </c>
      <c r="BN62" s="39">
        <v>28.5</v>
      </c>
      <c r="BO62" s="39">
        <v>28.62</v>
      </c>
      <c r="BP62" s="39">
        <v>28.74</v>
      </c>
      <c r="BQ62" s="39">
        <v>28.86</v>
      </c>
      <c r="BR62" s="39">
        <v>28.98</v>
      </c>
      <c r="BS62" s="39">
        <v>29.1</v>
      </c>
      <c r="BT62" s="39">
        <v>29.21</v>
      </c>
      <c r="BU62" s="39">
        <v>29.33</v>
      </c>
      <c r="BV62" s="39">
        <v>29.45</v>
      </c>
      <c r="BW62" s="39">
        <v>29.56</v>
      </c>
      <c r="BX62" s="39">
        <v>29.68</v>
      </c>
      <c r="BY62" s="39">
        <v>29.79</v>
      </c>
      <c r="BZ62" s="39">
        <v>29.91</v>
      </c>
      <c r="CA62" s="39">
        <v>30.02</v>
      </c>
      <c r="CB62" s="39">
        <v>30.13</v>
      </c>
      <c r="CC62" s="39">
        <v>30.24</v>
      </c>
      <c r="CD62" s="39">
        <v>30.35</v>
      </c>
      <c r="CE62" s="39">
        <v>30.46</v>
      </c>
      <c r="CF62" s="39">
        <v>30.57</v>
      </c>
      <c r="CG62" s="39">
        <v>30.68</v>
      </c>
      <c r="CH62" s="39">
        <v>30.79</v>
      </c>
      <c r="CI62" s="39">
        <v>30.9</v>
      </c>
      <c r="CJ62" s="39">
        <v>31</v>
      </c>
      <c r="CK62" s="39">
        <v>31.11</v>
      </c>
      <c r="CL62" s="39">
        <v>31.22</v>
      </c>
      <c r="CM62" s="39">
        <v>31.32</v>
      </c>
      <c r="CN62" s="39">
        <v>31.42</v>
      </c>
      <c r="CO62" s="39">
        <v>31.53</v>
      </c>
      <c r="CP62" s="39">
        <v>31.63</v>
      </c>
      <c r="CQ62" s="39">
        <v>31.73</v>
      </c>
      <c r="CR62" s="39">
        <v>31.83</v>
      </c>
      <c r="CS62" s="39">
        <v>31.93</v>
      </c>
      <c r="CT62" s="39">
        <v>32.03</v>
      </c>
      <c r="CU62" s="39">
        <v>32.130000000000003</v>
      </c>
      <c r="CV62" s="39">
        <v>32.229999999999997</v>
      </c>
      <c r="CW62" s="39">
        <v>32.33</v>
      </c>
      <c r="CX62" s="39">
        <v>32.43</v>
      </c>
      <c r="CY62" s="39">
        <v>32.520000000000003</v>
      </c>
      <c r="CZ62" s="39">
        <v>32.619999999999997</v>
      </c>
      <c r="DA62" s="39">
        <v>32.71</v>
      </c>
      <c r="DB62" s="39">
        <v>32.81</v>
      </c>
      <c r="DC62" s="39">
        <v>32.9</v>
      </c>
      <c r="DD62" s="39">
        <v>33</v>
      </c>
      <c r="DE62" s="39">
        <v>33.090000000000003</v>
      </c>
      <c r="DF62" s="39">
        <v>33.18</v>
      </c>
      <c r="DG62" s="39">
        <v>33.270000000000003</v>
      </c>
      <c r="DH62" s="39">
        <v>33.36</v>
      </c>
      <c r="DI62" s="39">
        <v>33.450000000000003</v>
      </c>
      <c r="DJ62" s="39">
        <v>33.54</v>
      </c>
      <c r="DK62" s="39">
        <v>33.630000000000003</v>
      </c>
      <c r="DL62" s="39">
        <v>33.72</v>
      </c>
      <c r="DM62" s="39">
        <v>33.799999999999997</v>
      </c>
      <c r="DN62" s="39">
        <v>33.89</v>
      </c>
      <c r="DO62" s="39">
        <v>33.979999999999997</v>
      </c>
      <c r="DP62" s="39">
        <v>34.06</v>
      </c>
      <c r="DQ62" s="39">
        <v>34.15</v>
      </c>
      <c r="DR62" s="39">
        <v>34.229999999999997</v>
      </c>
    </row>
    <row r="63" spans="1:122">
      <c r="A63" s="44">
        <v>61</v>
      </c>
      <c r="B63" s="45"/>
      <c r="C63" s="45"/>
      <c r="D63" s="45"/>
      <c r="E63" s="45"/>
      <c r="F63" s="45"/>
      <c r="G63" s="45"/>
      <c r="H63" s="45"/>
      <c r="I63" s="45"/>
      <c r="J63" s="45"/>
      <c r="K63" s="45"/>
      <c r="L63" s="45"/>
      <c r="M63" s="45"/>
      <c r="N63" s="45"/>
      <c r="O63" s="45"/>
      <c r="P63" s="45"/>
      <c r="Q63" s="45"/>
      <c r="R63" s="45"/>
      <c r="S63" s="45"/>
      <c r="T63" s="45"/>
      <c r="U63" s="45"/>
      <c r="V63" s="39"/>
      <c r="W63" s="39">
        <v>22.12</v>
      </c>
      <c r="X63" s="39">
        <v>22.29</v>
      </c>
      <c r="Y63" s="39">
        <v>22.46</v>
      </c>
      <c r="Z63" s="39">
        <v>22.64</v>
      </c>
      <c r="AA63" s="39">
        <v>22.77</v>
      </c>
      <c r="AB63" s="39">
        <v>22.93</v>
      </c>
      <c r="AC63" s="39">
        <v>23.11</v>
      </c>
      <c r="AD63" s="39">
        <v>23.22</v>
      </c>
      <c r="AE63" s="39">
        <v>23.41</v>
      </c>
      <c r="AF63" s="39">
        <v>23.57</v>
      </c>
      <c r="AG63" s="39">
        <v>23.71</v>
      </c>
      <c r="AH63" s="39">
        <v>23.88</v>
      </c>
      <c r="AI63" s="39">
        <v>24.03</v>
      </c>
      <c r="AJ63" s="39">
        <v>24.24</v>
      </c>
      <c r="AK63" s="39">
        <v>24.44</v>
      </c>
      <c r="AL63" s="39">
        <v>24.65</v>
      </c>
      <c r="AM63" s="39">
        <v>24.86</v>
      </c>
      <c r="AN63" s="39">
        <v>25.01</v>
      </c>
      <c r="AO63" s="39">
        <v>25.15</v>
      </c>
      <c r="AP63" s="39">
        <v>25.23</v>
      </c>
      <c r="AQ63" s="39">
        <v>25.3</v>
      </c>
      <c r="AR63" s="39">
        <v>25.35</v>
      </c>
      <c r="AS63" s="39">
        <v>25.4</v>
      </c>
      <c r="AT63" s="39">
        <v>25.42</v>
      </c>
      <c r="AU63" s="39">
        <v>25.46</v>
      </c>
      <c r="AV63" s="39">
        <v>25.52</v>
      </c>
      <c r="AW63" s="39">
        <v>25.68</v>
      </c>
      <c r="AX63" s="39">
        <v>25.74</v>
      </c>
      <c r="AY63" s="39">
        <v>25.86</v>
      </c>
      <c r="AZ63" s="39">
        <v>25.97</v>
      </c>
      <c r="BA63" s="39">
        <v>26.09</v>
      </c>
      <c r="BB63" s="39">
        <v>26.19</v>
      </c>
      <c r="BC63" s="39">
        <v>26.29</v>
      </c>
      <c r="BD63" s="39">
        <v>26.41</v>
      </c>
      <c r="BE63" s="39">
        <v>26.53</v>
      </c>
      <c r="BF63" s="39">
        <v>26.65</v>
      </c>
      <c r="BG63" s="39">
        <v>26.77</v>
      </c>
      <c r="BH63" s="39">
        <v>26.9</v>
      </c>
      <c r="BI63" s="39">
        <v>27.02</v>
      </c>
      <c r="BJ63" s="39">
        <v>27.14</v>
      </c>
      <c r="BK63" s="39">
        <v>27.27</v>
      </c>
      <c r="BL63" s="39">
        <v>27.39</v>
      </c>
      <c r="BM63" s="39">
        <v>27.51</v>
      </c>
      <c r="BN63" s="39">
        <v>27.63</v>
      </c>
      <c r="BO63" s="39">
        <v>27.75</v>
      </c>
      <c r="BP63" s="39">
        <v>27.86</v>
      </c>
      <c r="BQ63" s="39">
        <v>27.98</v>
      </c>
      <c r="BR63" s="39">
        <v>28.1</v>
      </c>
      <c r="BS63" s="39">
        <v>28.21</v>
      </c>
      <c r="BT63" s="39">
        <v>28.33</v>
      </c>
      <c r="BU63" s="39">
        <v>28.45</v>
      </c>
      <c r="BV63" s="39">
        <v>28.56</v>
      </c>
      <c r="BW63" s="39">
        <v>28.67</v>
      </c>
      <c r="BX63" s="39">
        <v>28.79</v>
      </c>
      <c r="BY63" s="39">
        <v>28.9</v>
      </c>
      <c r="BZ63" s="39">
        <v>29.01</v>
      </c>
      <c r="CA63" s="39">
        <v>29.12</v>
      </c>
      <c r="CB63" s="39">
        <v>29.23</v>
      </c>
      <c r="CC63" s="39">
        <v>29.34</v>
      </c>
      <c r="CD63" s="39">
        <v>29.45</v>
      </c>
      <c r="CE63" s="39">
        <v>29.56</v>
      </c>
      <c r="CF63" s="39">
        <v>29.67</v>
      </c>
      <c r="CG63" s="39">
        <v>29.78</v>
      </c>
      <c r="CH63" s="39">
        <v>29.88</v>
      </c>
      <c r="CI63" s="39">
        <v>29.99</v>
      </c>
      <c r="CJ63" s="39">
        <v>30.09</v>
      </c>
      <c r="CK63" s="39">
        <v>30.2</v>
      </c>
      <c r="CL63" s="39">
        <v>30.3</v>
      </c>
      <c r="CM63" s="39">
        <v>30.41</v>
      </c>
      <c r="CN63" s="39">
        <v>30.51</v>
      </c>
      <c r="CO63" s="39">
        <v>30.61</v>
      </c>
      <c r="CP63" s="39">
        <v>30.71</v>
      </c>
      <c r="CQ63" s="39">
        <v>30.81</v>
      </c>
      <c r="CR63" s="39">
        <v>30.91</v>
      </c>
      <c r="CS63" s="39">
        <v>31.01</v>
      </c>
      <c r="CT63" s="39">
        <v>31.11</v>
      </c>
      <c r="CU63" s="39">
        <v>31.21</v>
      </c>
      <c r="CV63" s="39">
        <v>31.31</v>
      </c>
      <c r="CW63" s="39">
        <v>31.4</v>
      </c>
      <c r="CX63" s="39">
        <v>31.5</v>
      </c>
      <c r="CY63" s="39">
        <v>31.59</v>
      </c>
      <c r="CZ63" s="39">
        <v>31.69</v>
      </c>
      <c r="DA63" s="39">
        <v>31.78</v>
      </c>
      <c r="DB63" s="39">
        <v>31.88</v>
      </c>
      <c r="DC63" s="39">
        <v>31.97</v>
      </c>
      <c r="DD63" s="39">
        <v>32.06</v>
      </c>
      <c r="DE63" s="39">
        <v>32.15</v>
      </c>
      <c r="DF63" s="39">
        <v>32.24</v>
      </c>
      <c r="DG63" s="39">
        <v>32.33</v>
      </c>
      <c r="DH63" s="39">
        <v>32.42</v>
      </c>
      <c r="DI63" s="39">
        <v>32.51</v>
      </c>
      <c r="DJ63" s="39">
        <v>32.6</v>
      </c>
      <c r="DK63" s="39">
        <v>32.69</v>
      </c>
      <c r="DL63" s="39">
        <v>32.770000000000003</v>
      </c>
      <c r="DM63" s="39">
        <v>32.86</v>
      </c>
      <c r="DN63" s="39">
        <v>32.950000000000003</v>
      </c>
      <c r="DO63" s="39">
        <v>33.03</v>
      </c>
      <c r="DP63" s="39">
        <v>33.119999999999997</v>
      </c>
      <c r="DQ63" s="39">
        <v>33.200000000000003</v>
      </c>
      <c r="DR63" s="39">
        <v>33.28</v>
      </c>
    </row>
    <row r="64" spans="1:122">
      <c r="A64" s="44">
        <v>62</v>
      </c>
      <c r="B64" s="45"/>
      <c r="C64" s="45"/>
      <c r="D64" s="45"/>
      <c r="E64" s="45"/>
      <c r="F64" s="45"/>
      <c r="G64" s="45"/>
      <c r="H64" s="45"/>
      <c r="I64" s="45"/>
      <c r="J64" s="45"/>
      <c r="K64" s="45"/>
      <c r="L64" s="45"/>
      <c r="M64" s="45"/>
      <c r="N64" s="45"/>
      <c r="O64" s="45"/>
      <c r="P64" s="45"/>
      <c r="Q64" s="45"/>
      <c r="R64" s="45"/>
      <c r="S64" s="45"/>
      <c r="T64" s="45"/>
      <c r="U64" s="45"/>
      <c r="V64" s="39"/>
      <c r="W64" s="39">
        <v>21.32</v>
      </c>
      <c r="X64" s="39">
        <v>21.48</v>
      </c>
      <c r="Y64" s="39">
        <v>21.66</v>
      </c>
      <c r="Z64" s="39">
        <v>21.84</v>
      </c>
      <c r="AA64" s="39">
        <v>21.96</v>
      </c>
      <c r="AB64" s="39">
        <v>22.12</v>
      </c>
      <c r="AC64" s="39">
        <v>22.3</v>
      </c>
      <c r="AD64" s="39">
        <v>22.42</v>
      </c>
      <c r="AE64" s="39">
        <v>22.6</v>
      </c>
      <c r="AF64" s="39">
        <v>22.76</v>
      </c>
      <c r="AG64" s="39">
        <v>22.89</v>
      </c>
      <c r="AH64" s="39">
        <v>23.06</v>
      </c>
      <c r="AI64" s="39">
        <v>23.21</v>
      </c>
      <c r="AJ64" s="39">
        <v>23.41</v>
      </c>
      <c r="AK64" s="39">
        <v>23.61</v>
      </c>
      <c r="AL64" s="39">
        <v>23.81</v>
      </c>
      <c r="AM64" s="39">
        <v>24.01</v>
      </c>
      <c r="AN64" s="39">
        <v>24.16</v>
      </c>
      <c r="AO64" s="39">
        <v>24.3</v>
      </c>
      <c r="AP64" s="39">
        <v>24.38</v>
      </c>
      <c r="AQ64" s="39">
        <v>24.44</v>
      </c>
      <c r="AR64" s="39">
        <v>24.49</v>
      </c>
      <c r="AS64" s="39">
        <v>24.54</v>
      </c>
      <c r="AT64" s="39">
        <v>24.57</v>
      </c>
      <c r="AU64" s="39">
        <v>24.61</v>
      </c>
      <c r="AV64" s="39">
        <v>24.67</v>
      </c>
      <c r="AW64" s="39">
        <v>24.82</v>
      </c>
      <c r="AX64" s="39">
        <v>24.88</v>
      </c>
      <c r="AY64" s="39">
        <v>25.01</v>
      </c>
      <c r="AZ64" s="39">
        <v>25.12</v>
      </c>
      <c r="BA64" s="39">
        <v>25.23</v>
      </c>
      <c r="BB64" s="39">
        <v>25.33</v>
      </c>
      <c r="BC64" s="39">
        <v>25.44</v>
      </c>
      <c r="BD64" s="39">
        <v>25.56</v>
      </c>
      <c r="BE64" s="39">
        <v>25.67</v>
      </c>
      <c r="BF64" s="39">
        <v>25.8</v>
      </c>
      <c r="BG64" s="39">
        <v>25.92</v>
      </c>
      <c r="BH64" s="39">
        <v>26.04</v>
      </c>
      <c r="BI64" s="39">
        <v>26.17</v>
      </c>
      <c r="BJ64" s="39">
        <v>26.29</v>
      </c>
      <c r="BK64" s="39">
        <v>26.4</v>
      </c>
      <c r="BL64" s="39">
        <v>26.52</v>
      </c>
      <c r="BM64" s="39">
        <v>26.64</v>
      </c>
      <c r="BN64" s="39">
        <v>26.76</v>
      </c>
      <c r="BO64" s="39">
        <v>26.88</v>
      </c>
      <c r="BP64" s="39">
        <v>26.99</v>
      </c>
      <c r="BQ64" s="39">
        <v>27.11</v>
      </c>
      <c r="BR64" s="39">
        <v>27.22</v>
      </c>
      <c r="BS64" s="39">
        <v>27.34</v>
      </c>
      <c r="BT64" s="39">
        <v>27.45</v>
      </c>
      <c r="BU64" s="39">
        <v>27.57</v>
      </c>
      <c r="BV64" s="39">
        <v>27.68</v>
      </c>
      <c r="BW64" s="39">
        <v>27.79</v>
      </c>
      <c r="BX64" s="39">
        <v>27.9</v>
      </c>
      <c r="BY64" s="39">
        <v>28.01</v>
      </c>
      <c r="BZ64" s="39">
        <v>28.12</v>
      </c>
      <c r="CA64" s="39">
        <v>28.23</v>
      </c>
      <c r="CB64" s="39">
        <v>28.34</v>
      </c>
      <c r="CC64" s="39">
        <v>28.45</v>
      </c>
      <c r="CD64" s="39">
        <v>28.56</v>
      </c>
      <c r="CE64" s="39">
        <v>28.66</v>
      </c>
      <c r="CF64" s="39">
        <v>28.77</v>
      </c>
      <c r="CG64" s="39">
        <v>28.88</v>
      </c>
      <c r="CH64" s="39">
        <v>28.98</v>
      </c>
      <c r="CI64" s="39">
        <v>29.09</v>
      </c>
      <c r="CJ64" s="39">
        <v>29.19</v>
      </c>
      <c r="CK64" s="39">
        <v>29.29</v>
      </c>
      <c r="CL64" s="39">
        <v>29.4</v>
      </c>
      <c r="CM64" s="39">
        <v>29.5</v>
      </c>
      <c r="CN64" s="39">
        <v>29.6</v>
      </c>
      <c r="CO64" s="39">
        <v>29.7</v>
      </c>
      <c r="CP64" s="39">
        <v>29.8</v>
      </c>
      <c r="CQ64" s="39">
        <v>29.9</v>
      </c>
      <c r="CR64" s="39">
        <v>30</v>
      </c>
      <c r="CS64" s="39">
        <v>30.1</v>
      </c>
      <c r="CT64" s="39">
        <v>30.19</v>
      </c>
      <c r="CU64" s="39">
        <v>30.29</v>
      </c>
      <c r="CV64" s="39">
        <v>30.39</v>
      </c>
      <c r="CW64" s="39">
        <v>30.48</v>
      </c>
      <c r="CX64" s="39">
        <v>30.58</v>
      </c>
      <c r="CY64" s="39">
        <v>30.67</v>
      </c>
      <c r="CZ64" s="39">
        <v>30.76</v>
      </c>
      <c r="DA64" s="39">
        <v>30.86</v>
      </c>
      <c r="DB64" s="39">
        <v>30.95</v>
      </c>
      <c r="DC64" s="39">
        <v>31.04</v>
      </c>
      <c r="DD64" s="39">
        <v>31.13</v>
      </c>
      <c r="DE64" s="39">
        <v>31.22</v>
      </c>
      <c r="DF64" s="39">
        <v>31.31</v>
      </c>
      <c r="DG64" s="39">
        <v>31.4</v>
      </c>
      <c r="DH64" s="39">
        <v>31.49</v>
      </c>
      <c r="DI64" s="39">
        <v>31.58</v>
      </c>
      <c r="DJ64" s="39">
        <v>31.66</v>
      </c>
      <c r="DK64" s="39">
        <v>31.75</v>
      </c>
      <c r="DL64" s="39">
        <v>31.83</v>
      </c>
      <c r="DM64" s="39">
        <v>31.92</v>
      </c>
      <c r="DN64" s="39">
        <v>32</v>
      </c>
      <c r="DO64" s="39">
        <v>32.090000000000003</v>
      </c>
      <c r="DP64" s="39">
        <v>32.17</v>
      </c>
      <c r="DQ64" s="39">
        <v>32.25</v>
      </c>
      <c r="DR64" s="39">
        <v>32.340000000000003</v>
      </c>
    </row>
    <row r="65" spans="1:122">
      <c r="A65" s="44">
        <v>63</v>
      </c>
      <c r="B65" s="45"/>
      <c r="C65" s="45"/>
      <c r="D65" s="45"/>
      <c r="E65" s="45"/>
      <c r="F65" s="45"/>
      <c r="G65" s="45"/>
      <c r="H65" s="45"/>
      <c r="I65" s="45"/>
      <c r="J65" s="45"/>
      <c r="K65" s="45"/>
      <c r="L65" s="45"/>
      <c r="M65" s="45"/>
      <c r="N65" s="45"/>
      <c r="O65" s="45"/>
      <c r="P65" s="45"/>
      <c r="Q65" s="45"/>
      <c r="R65" s="45"/>
      <c r="S65" s="45"/>
      <c r="T65" s="45"/>
      <c r="U65" s="45"/>
      <c r="V65" s="39"/>
      <c r="W65" s="39">
        <v>20.54</v>
      </c>
      <c r="X65" s="39">
        <v>20.69</v>
      </c>
      <c r="Y65" s="39">
        <v>20.86</v>
      </c>
      <c r="Z65" s="39">
        <v>21.04</v>
      </c>
      <c r="AA65" s="39">
        <v>21.17</v>
      </c>
      <c r="AB65" s="39">
        <v>21.32</v>
      </c>
      <c r="AC65" s="39">
        <v>21.5</v>
      </c>
      <c r="AD65" s="39">
        <v>21.61</v>
      </c>
      <c r="AE65" s="39">
        <v>21.8</v>
      </c>
      <c r="AF65" s="39">
        <v>21.95</v>
      </c>
      <c r="AG65" s="39">
        <v>22.07</v>
      </c>
      <c r="AH65" s="39">
        <v>22.24</v>
      </c>
      <c r="AI65" s="39">
        <v>22.39</v>
      </c>
      <c r="AJ65" s="39">
        <v>22.59</v>
      </c>
      <c r="AK65" s="39">
        <v>22.77</v>
      </c>
      <c r="AL65" s="39">
        <v>22.98</v>
      </c>
      <c r="AM65" s="39">
        <v>23.17</v>
      </c>
      <c r="AN65" s="39">
        <v>23.32</v>
      </c>
      <c r="AO65" s="39">
        <v>23.45</v>
      </c>
      <c r="AP65" s="39">
        <v>23.53</v>
      </c>
      <c r="AQ65" s="39">
        <v>23.59</v>
      </c>
      <c r="AR65" s="39">
        <v>23.64</v>
      </c>
      <c r="AS65" s="39">
        <v>23.69</v>
      </c>
      <c r="AT65" s="39">
        <v>23.72</v>
      </c>
      <c r="AU65" s="39">
        <v>23.77</v>
      </c>
      <c r="AV65" s="39">
        <v>23.83</v>
      </c>
      <c r="AW65" s="39">
        <v>23.97</v>
      </c>
      <c r="AX65" s="39">
        <v>24.04</v>
      </c>
      <c r="AY65" s="39">
        <v>24.16</v>
      </c>
      <c r="AZ65" s="39">
        <v>24.28</v>
      </c>
      <c r="BA65" s="39">
        <v>24.38</v>
      </c>
      <c r="BB65" s="39">
        <v>24.48</v>
      </c>
      <c r="BC65" s="39">
        <v>24.59</v>
      </c>
      <c r="BD65" s="39">
        <v>24.71</v>
      </c>
      <c r="BE65" s="39">
        <v>24.83</v>
      </c>
      <c r="BF65" s="39">
        <v>24.96</v>
      </c>
      <c r="BG65" s="39">
        <v>25.08</v>
      </c>
      <c r="BH65" s="39">
        <v>25.19</v>
      </c>
      <c r="BI65" s="39">
        <v>25.31</v>
      </c>
      <c r="BJ65" s="39">
        <v>25.43</v>
      </c>
      <c r="BK65" s="39">
        <v>25.55</v>
      </c>
      <c r="BL65" s="39">
        <v>25.66</v>
      </c>
      <c r="BM65" s="39">
        <v>25.78</v>
      </c>
      <c r="BN65" s="39">
        <v>25.9</v>
      </c>
      <c r="BO65" s="39">
        <v>26.01</v>
      </c>
      <c r="BP65" s="39">
        <v>26.13</v>
      </c>
      <c r="BQ65" s="39">
        <v>26.24</v>
      </c>
      <c r="BR65" s="39">
        <v>26.35</v>
      </c>
      <c r="BS65" s="39">
        <v>26.47</v>
      </c>
      <c r="BT65" s="39">
        <v>26.58</v>
      </c>
      <c r="BU65" s="39">
        <v>26.69</v>
      </c>
      <c r="BV65" s="39">
        <v>26.8</v>
      </c>
      <c r="BW65" s="39">
        <v>26.91</v>
      </c>
      <c r="BX65" s="39">
        <v>27.02</v>
      </c>
      <c r="BY65" s="39">
        <v>27.13</v>
      </c>
      <c r="BZ65" s="39">
        <v>27.24</v>
      </c>
      <c r="CA65" s="39">
        <v>27.35</v>
      </c>
      <c r="CB65" s="39">
        <v>27.45</v>
      </c>
      <c r="CC65" s="39">
        <v>27.56</v>
      </c>
      <c r="CD65" s="39">
        <v>27.66</v>
      </c>
      <c r="CE65" s="39">
        <v>27.77</v>
      </c>
      <c r="CF65" s="39">
        <v>27.88</v>
      </c>
      <c r="CG65" s="39">
        <v>27.98</v>
      </c>
      <c r="CH65" s="39">
        <v>28.08</v>
      </c>
      <c r="CI65" s="39">
        <v>28.19</v>
      </c>
      <c r="CJ65" s="39">
        <v>28.29</v>
      </c>
      <c r="CK65" s="39">
        <v>28.39</v>
      </c>
      <c r="CL65" s="39">
        <v>28.49</v>
      </c>
      <c r="CM65" s="39">
        <v>28.59</v>
      </c>
      <c r="CN65" s="39">
        <v>28.69</v>
      </c>
      <c r="CO65" s="39">
        <v>28.79</v>
      </c>
      <c r="CP65" s="39">
        <v>28.89</v>
      </c>
      <c r="CQ65" s="39">
        <v>28.99</v>
      </c>
      <c r="CR65" s="39">
        <v>29.08</v>
      </c>
      <c r="CS65" s="39">
        <v>29.18</v>
      </c>
      <c r="CT65" s="39">
        <v>29.28</v>
      </c>
      <c r="CU65" s="39">
        <v>29.37</v>
      </c>
      <c r="CV65" s="39">
        <v>29.47</v>
      </c>
      <c r="CW65" s="39">
        <v>29.56</v>
      </c>
      <c r="CX65" s="39">
        <v>29.65</v>
      </c>
      <c r="CY65" s="39">
        <v>29.75</v>
      </c>
      <c r="CZ65" s="39">
        <v>29.84</v>
      </c>
      <c r="DA65" s="39">
        <v>29.93</v>
      </c>
      <c r="DB65" s="39">
        <v>30.02</v>
      </c>
      <c r="DC65" s="39">
        <v>30.11</v>
      </c>
      <c r="DD65" s="39">
        <v>30.2</v>
      </c>
      <c r="DE65" s="39">
        <v>30.29</v>
      </c>
      <c r="DF65" s="39">
        <v>30.38</v>
      </c>
      <c r="DG65" s="39">
        <v>30.47</v>
      </c>
      <c r="DH65" s="39">
        <v>30.55</v>
      </c>
      <c r="DI65" s="39">
        <v>30.64</v>
      </c>
      <c r="DJ65" s="39">
        <v>30.73</v>
      </c>
      <c r="DK65" s="39">
        <v>30.81</v>
      </c>
      <c r="DL65" s="39">
        <v>30.9</v>
      </c>
      <c r="DM65" s="39">
        <v>30.98</v>
      </c>
      <c r="DN65" s="39">
        <v>31.06</v>
      </c>
      <c r="DO65" s="39">
        <v>31.15</v>
      </c>
      <c r="DP65" s="39">
        <v>31.23</v>
      </c>
      <c r="DQ65" s="39">
        <v>31.31</v>
      </c>
      <c r="DR65" s="39">
        <v>31.39</v>
      </c>
    </row>
    <row r="66" spans="1:122">
      <c r="A66" s="44">
        <v>64</v>
      </c>
      <c r="B66" s="45"/>
      <c r="C66" s="45"/>
      <c r="D66" s="45"/>
      <c r="E66" s="45"/>
      <c r="F66" s="45"/>
      <c r="G66" s="45"/>
      <c r="H66" s="45"/>
      <c r="I66" s="45"/>
      <c r="J66" s="45"/>
      <c r="K66" s="45"/>
      <c r="L66" s="45"/>
      <c r="M66" s="45"/>
      <c r="N66" s="45"/>
      <c r="O66" s="45"/>
      <c r="P66" s="45"/>
      <c r="Q66" s="45"/>
      <c r="R66" s="45"/>
      <c r="S66" s="45"/>
      <c r="T66" s="45"/>
      <c r="U66" s="45"/>
      <c r="V66" s="39"/>
      <c r="W66" s="39">
        <v>19.760000000000002</v>
      </c>
      <c r="X66" s="39">
        <v>19.91</v>
      </c>
      <c r="Y66" s="39">
        <v>20.079999999999998</v>
      </c>
      <c r="Z66" s="39">
        <v>20.25</v>
      </c>
      <c r="AA66" s="39">
        <v>20.37</v>
      </c>
      <c r="AB66" s="39">
        <v>20.53</v>
      </c>
      <c r="AC66" s="39">
        <v>20.7</v>
      </c>
      <c r="AD66" s="39">
        <v>20.82</v>
      </c>
      <c r="AE66" s="39">
        <v>21</v>
      </c>
      <c r="AF66" s="39">
        <v>21.15</v>
      </c>
      <c r="AG66" s="39">
        <v>21.27</v>
      </c>
      <c r="AH66" s="39">
        <v>21.44</v>
      </c>
      <c r="AI66" s="39">
        <v>21.58</v>
      </c>
      <c r="AJ66" s="39">
        <v>21.77</v>
      </c>
      <c r="AK66" s="39">
        <v>21.95</v>
      </c>
      <c r="AL66" s="39">
        <v>22.14</v>
      </c>
      <c r="AM66" s="39">
        <v>22.33</v>
      </c>
      <c r="AN66" s="39">
        <v>22.48</v>
      </c>
      <c r="AO66" s="39">
        <v>22.61</v>
      </c>
      <c r="AP66" s="39">
        <v>22.69</v>
      </c>
      <c r="AQ66" s="39">
        <v>22.75</v>
      </c>
      <c r="AR66" s="39">
        <v>22.79</v>
      </c>
      <c r="AS66" s="39">
        <v>22.85</v>
      </c>
      <c r="AT66" s="39">
        <v>22.87</v>
      </c>
      <c r="AU66" s="39">
        <v>22.93</v>
      </c>
      <c r="AV66" s="39">
        <v>22.99</v>
      </c>
      <c r="AW66" s="39">
        <v>23.14</v>
      </c>
      <c r="AX66" s="39">
        <v>23.2</v>
      </c>
      <c r="AY66" s="39">
        <v>23.32</v>
      </c>
      <c r="AZ66" s="39">
        <v>23.43</v>
      </c>
      <c r="BA66" s="39">
        <v>23.54</v>
      </c>
      <c r="BB66" s="39">
        <v>23.64</v>
      </c>
      <c r="BC66" s="39">
        <v>23.75</v>
      </c>
      <c r="BD66" s="39">
        <v>23.87</v>
      </c>
      <c r="BE66" s="39">
        <v>24</v>
      </c>
      <c r="BF66" s="39">
        <v>24.11</v>
      </c>
      <c r="BG66" s="39">
        <v>24.23</v>
      </c>
      <c r="BH66" s="39">
        <v>24.35</v>
      </c>
      <c r="BI66" s="39">
        <v>24.47</v>
      </c>
      <c r="BJ66" s="39">
        <v>24.58</v>
      </c>
      <c r="BK66" s="39">
        <v>24.7</v>
      </c>
      <c r="BL66" s="39">
        <v>24.81</v>
      </c>
      <c r="BM66" s="39">
        <v>24.93</v>
      </c>
      <c r="BN66" s="39">
        <v>25.04</v>
      </c>
      <c r="BO66" s="39">
        <v>25.15</v>
      </c>
      <c r="BP66" s="39">
        <v>25.26</v>
      </c>
      <c r="BQ66" s="39">
        <v>25.38</v>
      </c>
      <c r="BR66" s="39">
        <v>25.49</v>
      </c>
      <c r="BS66" s="39">
        <v>25.6</v>
      </c>
      <c r="BT66" s="39">
        <v>25.71</v>
      </c>
      <c r="BU66" s="39">
        <v>25.82</v>
      </c>
      <c r="BV66" s="39">
        <v>25.93</v>
      </c>
      <c r="BW66" s="39">
        <v>26.03</v>
      </c>
      <c r="BX66" s="39">
        <v>26.14</v>
      </c>
      <c r="BY66" s="39">
        <v>26.25</v>
      </c>
      <c r="BZ66" s="39">
        <v>26.36</v>
      </c>
      <c r="CA66" s="39">
        <v>26.46</v>
      </c>
      <c r="CB66" s="39">
        <v>26.57</v>
      </c>
      <c r="CC66" s="39">
        <v>26.67</v>
      </c>
      <c r="CD66" s="39">
        <v>26.78</v>
      </c>
      <c r="CE66" s="39">
        <v>26.88</v>
      </c>
      <c r="CF66" s="39">
        <v>26.98</v>
      </c>
      <c r="CG66" s="39">
        <v>27.09</v>
      </c>
      <c r="CH66" s="39">
        <v>27.19</v>
      </c>
      <c r="CI66" s="39">
        <v>27.29</v>
      </c>
      <c r="CJ66" s="39">
        <v>27.39</v>
      </c>
      <c r="CK66" s="39">
        <v>27.49</v>
      </c>
      <c r="CL66" s="39">
        <v>27.59</v>
      </c>
      <c r="CM66" s="39">
        <v>27.69</v>
      </c>
      <c r="CN66" s="39">
        <v>27.79</v>
      </c>
      <c r="CO66" s="39">
        <v>27.88</v>
      </c>
      <c r="CP66" s="39">
        <v>27.98</v>
      </c>
      <c r="CQ66" s="39">
        <v>28.08</v>
      </c>
      <c r="CR66" s="39">
        <v>28.17</v>
      </c>
      <c r="CS66" s="39">
        <v>28.27</v>
      </c>
      <c r="CT66" s="39">
        <v>28.36</v>
      </c>
      <c r="CU66" s="39">
        <v>28.46</v>
      </c>
      <c r="CV66" s="39">
        <v>28.55</v>
      </c>
      <c r="CW66" s="39">
        <v>28.64</v>
      </c>
      <c r="CX66" s="39">
        <v>28.73</v>
      </c>
      <c r="CY66" s="39">
        <v>28.83</v>
      </c>
      <c r="CZ66" s="39">
        <v>28.92</v>
      </c>
      <c r="DA66" s="39">
        <v>29.01</v>
      </c>
      <c r="DB66" s="39">
        <v>29.1</v>
      </c>
      <c r="DC66" s="39">
        <v>29.19</v>
      </c>
      <c r="DD66" s="39">
        <v>29.27</v>
      </c>
      <c r="DE66" s="39">
        <v>29.36</v>
      </c>
      <c r="DF66" s="39">
        <v>29.45</v>
      </c>
      <c r="DG66" s="39">
        <v>29.54</v>
      </c>
      <c r="DH66" s="39">
        <v>29.62</v>
      </c>
      <c r="DI66" s="39">
        <v>29.71</v>
      </c>
      <c r="DJ66" s="39">
        <v>29.79</v>
      </c>
      <c r="DK66" s="39">
        <v>29.88</v>
      </c>
      <c r="DL66" s="39">
        <v>29.96</v>
      </c>
      <c r="DM66" s="39">
        <v>30.04</v>
      </c>
      <c r="DN66" s="39">
        <v>30.13</v>
      </c>
      <c r="DO66" s="39">
        <v>30.21</v>
      </c>
      <c r="DP66" s="39">
        <v>30.29</v>
      </c>
      <c r="DQ66" s="39">
        <v>30.37</v>
      </c>
      <c r="DR66" s="39">
        <v>30.45</v>
      </c>
    </row>
    <row r="67" spans="1:122">
      <c r="A67" s="44">
        <v>65</v>
      </c>
      <c r="B67" s="45"/>
      <c r="C67" s="45"/>
      <c r="D67" s="45"/>
      <c r="E67" s="45"/>
      <c r="F67" s="45"/>
      <c r="G67" s="45"/>
      <c r="H67" s="45"/>
      <c r="I67" s="45"/>
      <c r="J67" s="45"/>
      <c r="K67" s="45"/>
      <c r="L67" s="45"/>
      <c r="M67" s="45"/>
      <c r="N67" s="45"/>
      <c r="O67" s="45"/>
      <c r="P67" s="45"/>
      <c r="Q67" s="45"/>
      <c r="R67" s="45"/>
      <c r="S67" s="45"/>
      <c r="T67" s="45"/>
      <c r="U67" s="45"/>
      <c r="V67" s="39"/>
      <c r="W67" s="39">
        <v>18.98</v>
      </c>
      <c r="X67" s="39">
        <v>19.13</v>
      </c>
      <c r="Y67" s="39">
        <v>19.3</v>
      </c>
      <c r="Z67" s="39">
        <v>19.46</v>
      </c>
      <c r="AA67" s="39">
        <v>19.59</v>
      </c>
      <c r="AB67" s="39">
        <v>19.75</v>
      </c>
      <c r="AC67" s="39">
        <v>19.920000000000002</v>
      </c>
      <c r="AD67" s="39">
        <v>20.03</v>
      </c>
      <c r="AE67" s="39">
        <v>20.2</v>
      </c>
      <c r="AF67" s="39">
        <v>20.36</v>
      </c>
      <c r="AG67" s="39">
        <v>20.47</v>
      </c>
      <c r="AH67" s="39">
        <v>20.63</v>
      </c>
      <c r="AI67" s="39">
        <v>20.77</v>
      </c>
      <c r="AJ67" s="39">
        <v>20.95</v>
      </c>
      <c r="AK67" s="39">
        <v>21.13</v>
      </c>
      <c r="AL67" s="39">
        <v>21.32</v>
      </c>
      <c r="AM67" s="39">
        <v>21.5</v>
      </c>
      <c r="AN67" s="39">
        <v>21.65</v>
      </c>
      <c r="AO67" s="39">
        <v>21.77</v>
      </c>
      <c r="AP67" s="39">
        <v>21.84</v>
      </c>
      <c r="AQ67" s="39">
        <v>21.9</v>
      </c>
      <c r="AR67" s="39">
        <v>21.95</v>
      </c>
      <c r="AS67" s="39">
        <v>22</v>
      </c>
      <c r="AT67" s="39">
        <v>22.04</v>
      </c>
      <c r="AU67" s="39">
        <v>22.1</v>
      </c>
      <c r="AV67" s="39">
        <v>22.16</v>
      </c>
      <c r="AW67" s="39">
        <v>22.3</v>
      </c>
      <c r="AX67" s="39">
        <v>22.38</v>
      </c>
      <c r="AY67" s="39">
        <v>22.49</v>
      </c>
      <c r="AZ67" s="39">
        <v>22.6</v>
      </c>
      <c r="BA67" s="39">
        <v>22.71</v>
      </c>
      <c r="BB67" s="39">
        <v>22.81</v>
      </c>
      <c r="BC67" s="39">
        <v>22.93</v>
      </c>
      <c r="BD67" s="39">
        <v>23.05</v>
      </c>
      <c r="BE67" s="39">
        <v>23.16</v>
      </c>
      <c r="BF67" s="39">
        <v>23.28</v>
      </c>
      <c r="BG67" s="39">
        <v>23.4</v>
      </c>
      <c r="BH67" s="39">
        <v>23.51</v>
      </c>
      <c r="BI67" s="39">
        <v>23.62</v>
      </c>
      <c r="BJ67" s="39">
        <v>23.74</v>
      </c>
      <c r="BK67" s="39">
        <v>23.85</v>
      </c>
      <c r="BL67" s="39">
        <v>23.96</v>
      </c>
      <c r="BM67" s="39">
        <v>24.07</v>
      </c>
      <c r="BN67" s="39">
        <v>24.19</v>
      </c>
      <c r="BO67" s="39">
        <v>24.3</v>
      </c>
      <c r="BP67" s="39">
        <v>24.41</v>
      </c>
      <c r="BQ67" s="39">
        <v>24.52</v>
      </c>
      <c r="BR67" s="39">
        <v>24.62</v>
      </c>
      <c r="BS67" s="39">
        <v>24.73</v>
      </c>
      <c r="BT67" s="39">
        <v>24.84</v>
      </c>
      <c r="BU67" s="39">
        <v>24.95</v>
      </c>
      <c r="BV67" s="39">
        <v>25.06</v>
      </c>
      <c r="BW67" s="39">
        <v>25.16</v>
      </c>
      <c r="BX67" s="39">
        <v>25.27</v>
      </c>
      <c r="BY67" s="39">
        <v>25.37</v>
      </c>
      <c r="BZ67" s="39">
        <v>25.48</v>
      </c>
      <c r="CA67" s="39">
        <v>25.58</v>
      </c>
      <c r="CB67" s="39">
        <v>25.69</v>
      </c>
      <c r="CC67" s="39">
        <v>25.79</v>
      </c>
      <c r="CD67" s="39">
        <v>25.89</v>
      </c>
      <c r="CE67" s="39">
        <v>25.99</v>
      </c>
      <c r="CF67" s="39">
        <v>26.09</v>
      </c>
      <c r="CG67" s="39">
        <v>26.19</v>
      </c>
      <c r="CH67" s="39">
        <v>26.29</v>
      </c>
      <c r="CI67" s="39">
        <v>26.39</v>
      </c>
      <c r="CJ67" s="39">
        <v>26.49</v>
      </c>
      <c r="CK67" s="39">
        <v>26.59</v>
      </c>
      <c r="CL67" s="39">
        <v>26.69</v>
      </c>
      <c r="CM67" s="39">
        <v>26.79</v>
      </c>
      <c r="CN67" s="39">
        <v>26.88</v>
      </c>
      <c r="CO67" s="39">
        <v>26.98</v>
      </c>
      <c r="CP67" s="39">
        <v>27.08</v>
      </c>
      <c r="CQ67" s="39">
        <v>27.17</v>
      </c>
      <c r="CR67" s="39">
        <v>27.26</v>
      </c>
      <c r="CS67" s="39">
        <v>27.36</v>
      </c>
      <c r="CT67" s="39">
        <v>27.45</v>
      </c>
      <c r="CU67" s="39">
        <v>27.54</v>
      </c>
      <c r="CV67" s="39">
        <v>27.64</v>
      </c>
      <c r="CW67" s="39">
        <v>27.73</v>
      </c>
      <c r="CX67" s="39">
        <v>27.82</v>
      </c>
      <c r="CY67" s="39">
        <v>27.91</v>
      </c>
      <c r="CZ67" s="39">
        <v>28</v>
      </c>
      <c r="DA67" s="39">
        <v>28.09</v>
      </c>
      <c r="DB67" s="39">
        <v>28.18</v>
      </c>
      <c r="DC67" s="39">
        <v>28.26</v>
      </c>
      <c r="DD67" s="39">
        <v>28.35</v>
      </c>
      <c r="DE67" s="39">
        <v>28.44</v>
      </c>
      <c r="DF67" s="39">
        <v>28.52</v>
      </c>
      <c r="DG67" s="39">
        <v>28.61</v>
      </c>
      <c r="DH67" s="39">
        <v>28.69</v>
      </c>
      <c r="DI67" s="39">
        <v>28.78</v>
      </c>
      <c r="DJ67" s="39">
        <v>28.86</v>
      </c>
      <c r="DK67" s="39">
        <v>28.94</v>
      </c>
      <c r="DL67" s="39">
        <v>29.03</v>
      </c>
      <c r="DM67" s="39">
        <v>29.11</v>
      </c>
      <c r="DN67" s="39">
        <v>29.19</v>
      </c>
      <c r="DO67" s="39">
        <v>29.27</v>
      </c>
      <c r="DP67" s="39">
        <v>29.35</v>
      </c>
      <c r="DQ67" s="39">
        <v>29.43</v>
      </c>
      <c r="DR67" s="39">
        <v>29.51</v>
      </c>
    </row>
    <row r="68" spans="1:122">
      <c r="A68" s="44">
        <v>66</v>
      </c>
      <c r="B68" s="45"/>
      <c r="C68" s="45"/>
      <c r="D68" s="45"/>
      <c r="E68" s="45"/>
      <c r="F68" s="45"/>
      <c r="G68" s="45"/>
      <c r="H68" s="45"/>
      <c r="I68" s="45"/>
      <c r="J68" s="45"/>
      <c r="K68" s="45"/>
      <c r="L68" s="45"/>
      <c r="M68" s="45"/>
      <c r="N68" s="45"/>
      <c r="O68" s="45"/>
      <c r="P68" s="45"/>
      <c r="Q68" s="45"/>
      <c r="R68" s="45"/>
      <c r="S68" s="45"/>
      <c r="T68" s="45"/>
      <c r="U68" s="45"/>
      <c r="V68" s="39"/>
      <c r="W68" s="39">
        <v>18.23</v>
      </c>
      <c r="X68" s="39">
        <v>18.37</v>
      </c>
      <c r="Y68" s="39">
        <v>18.53</v>
      </c>
      <c r="Z68" s="39">
        <v>18.7</v>
      </c>
      <c r="AA68" s="39">
        <v>18.82</v>
      </c>
      <c r="AB68" s="39">
        <v>18.98</v>
      </c>
      <c r="AC68" s="39">
        <v>19.14</v>
      </c>
      <c r="AD68" s="39">
        <v>19.25</v>
      </c>
      <c r="AE68" s="39">
        <v>19.420000000000002</v>
      </c>
      <c r="AF68" s="39">
        <v>19.579999999999998</v>
      </c>
      <c r="AG68" s="39">
        <v>19.68</v>
      </c>
      <c r="AH68" s="39">
        <v>19.829999999999998</v>
      </c>
      <c r="AI68" s="39">
        <v>19.97</v>
      </c>
      <c r="AJ68" s="39">
        <v>20.14</v>
      </c>
      <c r="AK68" s="39">
        <v>20.309999999999999</v>
      </c>
      <c r="AL68" s="39">
        <v>20.5</v>
      </c>
      <c r="AM68" s="39">
        <v>20.68</v>
      </c>
      <c r="AN68" s="39">
        <v>20.82</v>
      </c>
      <c r="AO68" s="39">
        <v>20.93</v>
      </c>
      <c r="AP68" s="39">
        <v>21</v>
      </c>
      <c r="AQ68" s="39">
        <v>21.07</v>
      </c>
      <c r="AR68" s="39">
        <v>21.11</v>
      </c>
      <c r="AS68" s="39">
        <v>21.18</v>
      </c>
      <c r="AT68" s="39">
        <v>21.21</v>
      </c>
      <c r="AU68" s="39">
        <v>21.27</v>
      </c>
      <c r="AV68" s="39">
        <v>21.34</v>
      </c>
      <c r="AW68" s="39">
        <v>21.48</v>
      </c>
      <c r="AX68" s="39">
        <v>21.55</v>
      </c>
      <c r="AY68" s="39">
        <v>21.66</v>
      </c>
      <c r="AZ68" s="39">
        <v>21.78</v>
      </c>
      <c r="BA68" s="39">
        <v>21.88</v>
      </c>
      <c r="BB68" s="39">
        <v>21.99</v>
      </c>
      <c r="BC68" s="39">
        <v>22.11</v>
      </c>
      <c r="BD68" s="39">
        <v>22.22</v>
      </c>
      <c r="BE68" s="39">
        <v>22.34</v>
      </c>
      <c r="BF68" s="39">
        <v>22.45</v>
      </c>
      <c r="BG68" s="39">
        <v>22.56</v>
      </c>
      <c r="BH68" s="39">
        <v>22.68</v>
      </c>
      <c r="BI68" s="39">
        <v>22.79</v>
      </c>
      <c r="BJ68" s="39">
        <v>22.9</v>
      </c>
      <c r="BK68" s="39">
        <v>23.01</v>
      </c>
      <c r="BL68" s="39">
        <v>23.12</v>
      </c>
      <c r="BM68" s="39">
        <v>23.23</v>
      </c>
      <c r="BN68" s="39">
        <v>23.34</v>
      </c>
      <c r="BO68" s="39">
        <v>23.45</v>
      </c>
      <c r="BP68" s="39">
        <v>23.55</v>
      </c>
      <c r="BQ68" s="39">
        <v>23.66</v>
      </c>
      <c r="BR68" s="39">
        <v>23.77</v>
      </c>
      <c r="BS68" s="39">
        <v>23.87</v>
      </c>
      <c r="BT68" s="39">
        <v>23.98</v>
      </c>
      <c r="BU68" s="39">
        <v>24.09</v>
      </c>
      <c r="BV68" s="39">
        <v>24.19</v>
      </c>
      <c r="BW68" s="39">
        <v>24.29</v>
      </c>
      <c r="BX68" s="39">
        <v>24.4</v>
      </c>
      <c r="BY68" s="39">
        <v>24.5</v>
      </c>
      <c r="BZ68" s="39">
        <v>24.6</v>
      </c>
      <c r="CA68" s="39">
        <v>24.71</v>
      </c>
      <c r="CB68" s="39">
        <v>24.81</v>
      </c>
      <c r="CC68" s="39">
        <v>24.91</v>
      </c>
      <c r="CD68" s="39">
        <v>25.01</v>
      </c>
      <c r="CE68" s="39">
        <v>25.11</v>
      </c>
      <c r="CF68" s="39">
        <v>25.21</v>
      </c>
      <c r="CG68" s="39">
        <v>25.31</v>
      </c>
      <c r="CH68" s="39">
        <v>25.41</v>
      </c>
      <c r="CI68" s="39">
        <v>25.5</v>
      </c>
      <c r="CJ68" s="39">
        <v>25.6</v>
      </c>
      <c r="CK68" s="39">
        <v>25.7</v>
      </c>
      <c r="CL68" s="39">
        <v>25.79</v>
      </c>
      <c r="CM68" s="39">
        <v>25.89</v>
      </c>
      <c r="CN68" s="39">
        <v>25.99</v>
      </c>
      <c r="CO68" s="39">
        <v>26.08</v>
      </c>
      <c r="CP68" s="39">
        <v>26.17</v>
      </c>
      <c r="CQ68" s="39">
        <v>26.27</v>
      </c>
      <c r="CR68" s="39">
        <v>26.36</v>
      </c>
      <c r="CS68" s="39">
        <v>26.45</v>
      </c>
      <c r="CT68" s="39">
        <v>26.54</v>
      </c>
      <c r="CU68" s="39">
        <v>26.63</v>
      </c>
      <c r="CV68" s="39">
        <v>26.73</v>
      </c>
      <c r="CW68" s="39">
        <v>26.82</v>
      </c>
      <c r="CX68" s="39">
        <v>26.9</v>
      </c>
      <c r="CY68" s="39">
        <v>26.99</v>
      </c>
      <c r="CZ68" s="39">
        <v>27.08</v>
      </c>
      <c r="DA68" s="39">
        <v>27.17</v>
      </c>
      <c r="DB68" s="39">
        <v>27.26</v>
      </c>
      <c r="DC68" s="39">
        <v>27.34</v>
      </c>
      <c r="DD68" s="39">
        <v>27.43</v>
      </c>
      <c r="DE68" s="39">
        <v>27.51</v>
      </c>
      <c r="DF68" s="39">
        <v>27.6</v>
      </c>
      <c r="DG68" s="39">
        <v>27.68</v>
      </c>
      <c r="DH68" s="39">
        <v>27.77</v>
      </c>
      <c r="DI68" s="39">
        <v>27.85</v>
      </c>
      <c r="DJ68" s="39">
        <v>27.93</v>
      </c>
      <c r="DK68" s="39">
        <v>28.01</v>
      </c>
      <c r="DL68" s="39">
        <v>28.1</v>
      </c>
      <c r="DM68" s="39">
        <v>28.18</v>
      </c>
      <c r="DN68" s="39">
        <v>28.26</v>
      </c>
      <c r="DO68" s="39">
        <v>28.34</v>
      </c>
      <c r="DP68" s="39">
        <v>28.42</v>
      </c>
      <c r="DQ68" s="39">
        <v>28.49</v>
      </c>
      <c r="DR68" s="39">
        <v>28.57</v>
      </c>
    </row>
    <row r="69" spans="1:122">
      <c r="A69" s="44">
        <v>67</v>
      </c>
      <c r="B69" s="45"/>
      <c r="C69" s="45"/>
      <c r="D69" s="45"/>
      <c r="E69" s="45"/>
      <c r="F69" s="45"/>
      <c r="G69" s="45"/>
      <c r="H69" s="45"/>
      <c r="I69" s="45"/>
      <c r="J69" s="45"/>
      <c r="K69" s="45"/>
      <c r="L69" s="45"/>
      <c r="M69" s="45"/>
      <c r="N69" s="45"/>
      <c r="O69" s="45"/>
      <c r="P69" s="45"/>
      <c r="Q69" s="45"/>
      <c r="R69" s="45"/>
      <c r="S69" s="45"/>
      <c r="T69" s="45"/>
      <c r="U69" s="45"/>
      <c r="V69" s="39"/>
      <c r="W69" s="39">
        <v>17.47</v>
      </c>
      <c r="X69" s="39">
        <v>17.61</v>
      </c>
      <c r="Y69" s="39">
        <v>17.77</v>
      </c>
      <c r="Z69" s="39">
        <v>17.940000000000001</v>
      </c>
      <c r="AA69" s="39">
        <v>18.059999999999999</v>
      </c>
      <c r="AB69" s="39">
        <v>18.21</v>
      </c>
      <c r="AC69" s="39">
        <v>18.36</v>
      </c>
      <c r="AD69" s="39">
        <v>18.48</v>
      </c>
      <c r="AE69" s="39">
        <v>18.649999999999999</v>
      </c>
      <c r="AF69" s="39">
        <v>18.79</v>
      </c>
      <c r="AG69" s="39">
        <v>18.899999999999999</v>
      </c>
      <c r="AH69" s="39">
        <v>19.05</v>
      </c>
      <c r="AI69" s="39">
        <v>19.170000000000002</v>
      </c>
      <c r="AJ69" s="39">
        <v>19.34</v>
      </c>
      <c r="AK69" s="39">
        <v>19.510000000000002</v>
      </c>
      <c r="AL69" s="39">
        <v>19.690000000000001</v>
      </c>
      <c r="AM69" s="39">
        <v>19.86</v>
      </c>
      <c r="AN69" s="39">
        <v>19.989999999999998</v>
      </c>
      <c r="AO69" s="39">
        <v>20.100000000000001</v>
      </c>
      <c r="AP69" s="39">
        <v>20.170000000000002</v>
      </c>
      <c r="AQ69" s="39">
        <v>20.239999999999998</v>
      </c>
      <c r="AR69" s="39">
        <v>20.28</v>
      </c>
      <c r="AS69" s="39">
        <v>20.350000000000001</v>
      </c>
      <c r="AT69" s="39">
        <v>20.39</v>
      </c>
      <c r="AU69" s="39">
        <v>20.45</v>
      </c>
      <c r="AV69" s="39">
        <v>20.53</v>
      </c>
      <c r="AW69" s="39">
        <v>20.66</v>
      </c>
      <c r="AX69" s="39">
        <v>20.74</v>
      </c>
      <c r="AY69" s="39">
        <v>20.85</v>
      </c>
      <c r="AZ69" s="39">
        <v>20.97</v>
      </c>
      <c r="BA69" s="39">
        <v>21.07</v>
      </c>
      <c r="BB69" s="39">
        <v>21.18</v>
      </c>
      <c r="BC69" s="39">
        <v>21.29</v>
      </c>
      <c r="BD69" s="39">
        <v>21.41</v>
      </c>
      <c r="BE69" s="39">
        <v>21.52</v>
      </c>
      <c r="BF69" s="39">
        <v>21.63</v>
      </c>
      <c r="BG69" s="39">
        <v>21.74</v>
      </c>
      <c r="BH69" s="39">
        <v>21.85</v>
      </c>
      <c r="BI69" s="39">
        <v>21.96</v>
      </c>
      <c r="BJ69" s="39">
        <v>22.07</v>
      </c>
      <c r="BK69" s="39">
        <v>22.17</v>
      </c>
      <c r="BL69" s="39">
        <v>22.28</v>
      </c>
      <c r="BM69" s="39">
        <v>22.39</v>
      </c>
      <c r="BN69" s="39">
        <v>22.49</v>
      </c>
      <c r="BO69" s="39">
        <v>22.6</v>
      </c>
      <c r="BP69" s="39">
        <v>22.71</v>
      </c>
      <c r="BQ69" s="39">
        <v>22.81</v>
      </c>
      <c r="BR69" s="39">
        <v>22.92</v>
      </c>
      <c r="BS69" s="39">
        <v>23.02</v>
      </c>
      <c r="BT69" s="39">
        <v>23.12</v>
      </c>
      <c r="BU69" s="39">
        <v>23.23</v>
      </c>
      <c r="BV69" s="39">
        <v>23.33</v>
      </c>
      <c r="BW69" s="39">
        <v>23.43</v>
      </c>
      <c r="BX69" s="39">
        <v>23.53</v>
      </c>
      <c r="BY69" s="39">
        <v>23.63</v>
      </c>
      <c r="BZ69" s="39">
        <v>23.74</v>
      </c>
      <c r="CA69" s="39">
        <v>23.84</v>
      </c>
      <c r="CB69" s="39">
        <v>23.94</v>
      </c>
      <c r="CC69" s="39">
        <v>24.03</v>
      </c>
      <c r="CD69" s="39">
        <v>24.13</v>
      </c>
      <c r="CE69" s="39">
        <v>24.23</v>
      </c>
      <c r="CF69" s="39">
        <v>24.33</v>
      </c>
      <c r="CG69" s="39">
        <v>24.43</v>
      </c>
      <c r="CH69" s="39">
        <v>24.52</v>
      </c>
      <c r="CI69" s="39">
        <v>24.62</v>
      </c>
      <c r="CJ69" s="39">
        <v>24.71</v>
      </c>
      <c r="CK69" s="39">
        <v>24.81</v>
      </c>
      <c r="CL69" s="39">
        <v>24.9</v>
      </c>
      <c r="CM69" s="39">
        <v>25</v>
      </c>
      <c r="CN69" s="39">
        <v>25.09</v>
      </c>
      <c r="CO69" s="39">
        <v>25.18</v>
      </c>
      <c r="CP69" s="39">
        <v>25.28</v>
      </c>
      <c r="CQ69" s="39">
        <v>25.37</v>
      </c>
      <c r="CR69" s="39">
        <v>25.46</v>
      </c>
      <c r="CS69" s="39">
        <v>25.55</v>
      </c>
      <c r="CT69" s="39">
        <v>25.64</v>
      </c>
      <c r="CU69" s="39">
        <v>25.73</v>
      </c>
      <c r="CV69" s="39">
        <v>25.82</v>
      </c>
      <c r="CW69" s="39">
        <v>25.91</v>
      </c>
      <c r="CX69" s="39">
        <v>25.99</v>
      </c>
      <c r="CY69" s="39">
        <v>26.08</v>
      </c>
      <c r="CZ69" s="39">
        <v>26.17</v>
      </c>
      <c r="DA69" s="39">
        <v>26.25</v>
      </c>
      <c r="DB69" s="39">
        <v>26.34</v>
      </c>
      <c r="DC69" s="39">
        <v>26.43</v>
      </c>
      <c r="DD69" s="39">
        <v>26.51</v>
      </c>
      <c r="DE69" s="39">
        <v>26.59</v>
      </c>
      <c r="DF69" s="39">
        <v>26.68</v>
      </c>
      <c r="DG69" s="39">
        <v>26.76</v>
      </c>
      <c r="DH69" s="39">
        <v>26.84</v>
      </c>
      <c r="DI69" s="39">
        <v>26.92</v>
      </c>
      <c r="DJ69" s="39">
        <v>27.01</v>
      </c>
      <c r="DK69" s="39">
        <v>27.09</v>
      </c>
      <c r="DL69" s="39">
        <v>27.17</v>
      </c>
      <c r="DM69" s="39">
        <v>27.25</v>
      </c>
      <c r="DN69" s="39">
        <v>27.33</v>
      </c>
      <c r="DO69" s="39">
        <v>27.4</v>
      </c>
      <c r="DP69" s="39">
        <v>27.48</v>
      </c>
      <c r="DQ69" s="39">
        <v>27.56</v>
      </c>
      <c r="DR69" s="39">
        <v>27.64</v>
      </c>
    </row>
    <row r="70" spans="1:122">
      <c r="A70" s="44">
        <v>68</v>
      </c>
      <c r="B70" s="45"/>
      <c r="C70" s="45"/>
      <c r="D70" s="45"/>
      <c r="E70" s="45"/>
      <c r="F70" s="45"/>
      <c r="G70" s="45"/>
      <c r="H70" s="45"/>
      <c r="I70" s="45"/>
      <c r="J70" s="45"/>
      <c r="K70" s="45"/>
      <c r="L70" s="45"/>
      <c r="M70" s="45"/>
      <c r="N70" s="45"/>
      <c r="O70" s="45"/>
      <c r="P70" s="45"/>
      <c r="Q70" s="45"/>
      <c r="R70" s="45"/>
      <c r="S70" s="45"/>
      <c r="T70" s="45"/>
      <c r="U70" s="45"/>
      <c r="V70" s="39"/>
      <c r="W70" s="39">
        <v>16.73</v>
      </c>
      <c r="X70" s="39">
        <v>16.87</v>
      </c>
      <c r="Y70" s="39">
        <v>17.03</v>
      </c>
      <c r="Z70" s="39">
        <v>17.190000000000001</v>
      </c>
      <c r="AA70" s="39">
        <v>17.309999999999999</v>
      </c>
      <c r="AB70" s="39">
        <v>17.45</v>
      </c>
      <c r="AC70" s="39">
        <v>17.600000000000001</v>
      </c>
      <c r="AD70" s="39">
        <v>17.72</v>
      </c>
      <c r="AE70" s="39">
        <v>17.87</v>
      </c>
      <c r="AF70" s="39">
        <v>18.02</v>
      </c>
      <c r="AG70" s="39">
        <v>18.12</v>
      </c>
      <c r="AH70" s="39">
        <v>18.260000000000002</v>
      </c>
      <c r="AI70" s="39">
        <v>18.38</v>
      </c>
      <c r="AJ70" s="39">
        <v>18.54</v>
      </c>
      <c r="AK70" s="39">
        <v>18.71</v>
      </c>
      <c r="AL70" s="39">
        <v>18.88</v>
      </c>
      <c r="AM70" s="39">
        <v>19.05</v>
      </c>
      <c r="AN70" s="39">
        <v>19.170000000000002</v>
      </c>
      <c r="AO70" s="39">
        <v>19.27</v>
      </c>
      <c r="AP70" s="39">
        <v>19.350000000000001</v>
      </c>
      <c r="AQ70" s="39">
        <v>19.420000000000002</v>
      </c>
      <c r="AR70" s="39">
        <v>19.46</v>
      </c>
      <c r="AS70" s="39">
        <v>19.53</v>
      </c>
      <c r="AT70" s="39">
        <v>19.579999999999998</v>
      </c>
      <c r="AU70" s="39">
        <v>19.64</v>
      </c>
      <c r="AV70" s="39">
        <v>19.72</v>
      </c>
      <c r="AW70" s="39">
        <v>19.86</v>
      </c>
      <c r="AX70" s="39">
        <v>19.940000000000001</v>
      </c>
      <c r="AY70" s="39">
        <v>20.04</v>
      </c>
      <c r="AZ70" s="39">
        <v>20.16</v>
      </c>
      <c r="BA70" s="39">
        <v>20.27</v>
      </c>
      <c r="BB70" s="39">
        <v>20.38</v>
      </c>
      <c r="BC70" s="39">
        <v>20.49</v>
      </c>
      <c r="BD70" s="39">
        <v>20.6</v>
      </c>
      <c r="BE70" s="39">
        <v>20.7</v>
      </c>
      <c r="BF70" s="39">
        <v>20.81</v>
      </c>
      <c r="BG70" s="39">
        <v>20.92</v>
      </c>
      <c r="BH70" s="39">
        <v>21.03</v>
      </c>
      <c r="BI70" s="39">
        <v>21.13</v>
      </c>
      <c r="BJ70" s="39">
        <v>21.24</v>
      </c>
      <c r="BK70" s="39">
        <v>21.34</v>
      </c>
      <c r="BL70" s="39">
        <v>21.45</v>
      </c>
      <c r="BM70" s="39">
        <v>21.55</v>
      </c>
      <c r="BN70" s="39">
        <v>21.66</v>
      </c>
      <c r="BO70" s="39">
        <v>21.76</v>
      </c>
      <c r="BP70" s="39">
        <v>21.86</v>
      </c>
      <c r="BQ70" s="39">
        <v>21.97</v>
      </c>
      <c r="BR70" s="39">
        <v>22.07</v>
      </c>
      <c r="BS70" s="39">
        <v>22.17</v>
      </c>
      <c r="BT70" s="39">
        <v>22.27</v>
      </c>
      <c r="BU70" s="39">
        <v>22.37</v>
      </c>
      <c r="BV70" s="39">
        <v>22.47</v>
      </c>
      <c r="BW70" s="39">
        <v>22.57</v>
      </c>
      <c r="BX70" s="39">
        <v>22.67</v>
      </c>
      <c r="BY70" s="39">
        <v>22.77</v>
      </c>
      <c r="BZ70" s="39">
        <v>22.87</v>
      </c>
      <c r="CA70" s="39">
        <v>22.97</v>
      </c>
      <c r="CB70" s="39">
        <v>23.07</v>
      </c>
      <c r="CC70" s="39">
        <v>23.16</v>
      </c>
      <c r="CD70" s="39">
        <v>23.26</v>
      </c>
      <c r="CE70" s="39">
        <v>23.36</v>
      </c>
      <c r="CF70" s="39">
        <v>23.45</v>
      </c>
      <c r="CG70" s="39">
        <v>23.55</v>
      </c>
      <c r="CH70" s="39">
        <v>23.64</v>
      </c>
      <c r="CI70" s="39">
        <v>23.74</v>
      </c>
      <c r="CJ70" s="39">
        <v>23.83</v>
      </c>
      <c r="CK70" s="39">
        <v>23.92</v>
      </c>
      <c r="CL70" s="39">
        <v>24.02</v>
      </c>
      <c r="CM70" s="39">
        <v>24.11</v>
      </c>
      <c r="CN70" s="39">
        <v>24.2</v>
      </c>
      <c r="CO70" s="39">
        <v>24.29</v>
      </c>
      <c r="CP70" s="39">
        <v>24.38</v>
      </c>
      <c r="CQ70" s="39">
        <v>24.47</v>
      </c>
      <c r="CR70" s="39">
        <v>24.56</v>
      </c>
      <c r="CS70" s="39">
        <v>24.65</v>
      </c>
      <c r="CT70" s="39">
        <v>24.74</v>
      </c>
      <c r="CU70" s="39">
        <v>24.83</v>
      </c>
      <c r="CV70" s="39">
        <v>24.91</v>
      </c>
      <c r="CW70" s="39">
        <v>25</v>
      </c>
      <c r="CX70" s="39">
        <v>25.09</v>
      </c>
      <c r="CY70" s="39">
        <v>25.17</v>
      </c>
      <c r="CZ70" s="39">
        <v>25.26</v>
      </c>
      <c r="DA70" s="39">
        <v>25.34</v>
      </c>
      <c r="DB70" s="39">
        <v>25.43</v>
      </c>
      <c r="DC70" s="39">
        <v>25.51</v>
      </c>
      <c r="DD70" s="39">
        <v>25.59</v>
      </c>
      <c r="DE70" s="39">
        <v>25.68</v>
      </c>
      <c r="DF70" s="39">
        <v>25.76</v>
      </c>
      <c r="DG70" s="39">
        <v>25.84</v>
      </c>
      <c r="DH70" s="39">
        <v>25.92</v>
      </c>
      <c r="DI70" s="39">
        <v>26</v>
      </c>
      <c r="DJ70" s="39">
        <v>26.08</v>
      </c>
      <c r="DK70" s="39">
        <v>26.16</v>
      </c>
      <c r="DL70" s="39">
        <v>26.24</v>
      </c>
      <c r="DM70" s="39">
        <v>26.32</v>
      </c>
      <c r="DN70" s="39">
        <v>26.4</v>
      </c>
      <c r="DO70" s="39">
        <v>26.47</v>
      </c>
      <c r="DP70" s="39">
        <v>26.55</v>
      </c>
      <c r="DQ70" s="39">
        <v>26.63</v>
      </c>
      <c r="DR70" s="39">
        <v>26.7</v>
      </c>
    </row>
    <row r="71" spans="1:122">
      <c r="A71" s="44">
        <v>69</v>
      </c>
      <c r="B71" s="45"/>
      <c r="C71" s="45"/>
      <c r="D71" s="45"/>
      <c r="E71" s="45"/>
      <c r="F71" s="45"/>
      <c r="G71" s="45"/>
      <c r="H71" s="45"/>
      <c r="I71" s="45"/>
      <c r="J71" s="45"/>
      <c r="K71" s="45"/>
      <c r="L71" s="45"/>
      <c r="M71" s="45"/>
      <c r="N71" s="45"/>
      <c r="O71" s="45"/>
      <c r="P71" s="45"/>
      <c r="Q71" s="45"/>
      <c r="R71" s="45"/>
      <c r="S71" s="45"/>
      <c r="T71" s="45"/>
      <c r="U71" s="45"/>
      <c r="V71" s="39"/>
      <c r="W71" s="39">
        <v>16.010000000000002</v>
      </c>
      <c r="X71" s="39">
        <v>16.14</v>
      </c>
      <c r="Y71" s="39">
        <v>16.3</v>
      </c>
      <c r="Z71" s="39">
        <v>16.45</v>
      </c>
      <c r="AA71" s="39">
        <v>16.559999999999999</v>
      </c>
      <c r="AB71" s="39">
        <v>16.7</v>
      </c>
      <c r="AC71" s="39">
        <v>16.86</v>
      </c>
      <c r="AD71" s="39">
        <v>16.96</v>
      </c>
      <c r="AE71" s="39">
        <v>17.11</v>
      </c>
      <c r="AF71" s="39">
        <v>17.25</v>
      </c>
      <c r="AG71" s="39">
        <v>17.350000000000001</v>
      </c>
      <c r="AH71" s="39">
        <v>17.48</v>
      </c>
      <c r="AI71" s="39">
        <v>17.600000000000001</v>
      </c>
      <c r="AJ71" s="39">
        <v>17.760000000000002</v>
      </c>
      <c r="AK71" s="39">
        <v>17.91</v>
      </c>
      <c r="AL71" s="39">
        <v>18.07</v>
      </c>
      <c r="AM71" s="39">
        <v>18.239999999999998</v>
      </c>
      <c r="AN71" s="39">
        <v>18.36</v>
      </c>
      <c r="AO71" s="39">
        <v>18.46</v>
      </c>
      <c r="AP71" s="39">
        <v>18.54</v>
      </c>
      <c r="AQ71" s="39">
        <v>18.600000000000001</v>
      </c>
      <c r="AR71" s="39">
        <v>18.649999999999999</v>
      </c>
      <c r="AS71" s="39">
        <v>18.72</v>
      </c>
      <c r="AT71" s="39">
        <v>18.78</v>
      </c>
      <c r="AU71" s="39">
        <v>18.84</v>
      </c>
      <c r="AV71" s="39">
        <v>18.93</v>
      </c>
      <c r="AW71" s="39">
        <v>19.059999999999999</v>
      </c>
      <c r="AX71" s="39">
        <v>19.149999999999999</v>
      </c>
      <c r="AY71" s="39">
        <v>19.260000000000002</v>
      </c>
      <c r="AZ71" s="39">
        <v>19.36</v>
      </c>
      <c r="BA71" s="39">
        <v>19.47</v>
      </c>
      <c r="BB71" s="39">
        <v>19.579999999999998</v>
      </c>
      <c r="BC71" s="39">
        <v>19.68</v>
      </c>
      <c r="BD71" s="39">
        <v>19.79</v>
      </c>
      <c r="BE71" s="39">
        <v>19.899999999999999</v>
      </c>
      <c r="BF71" s="39">
        <v>20</v>
      </c>
      <c r="BG71" s="39">
        <v>20.11</v>
      </c>
      <c r="BH71" s="39">
        <v>20.21</v>
      </c>
      <c r="BI71" s="39">
        <v>20.309999999999999</v>
      </c>
      <c r="BJ71" s="39">
        <v>20.420000000000002</v>
      </c>
      <c r="BK71" s="39">
        <v>20.52</v>
      </c>
      <c r="BL71" s="39">
        <v>20.62</v>
      </c>
      <c r="BM71" s="39">
        <v>20.72</v>
      </c>
      <c r="BN71" s="39">
        <v>20.83</v>
      </c>
      <c r="BO71" s="39">
        <v>20.93</v>
      </c>
      <c r="BP71" s="39">
        <v>21.03</v>
      </c>
      <c r="BQ71" s="39">
        <v>21.13</v>
      </c>
      <c r="BR71" s="39">
        <v>21.23</v>
      </c>
      <c r="BS71" s="39">
        <v>21.33</v>
      </c>
      <c r="BT71" s="39">
        <v>21.43</v>
      </c>
      <c r="BU71" s="39">
        <v>21.53</v>
      </c>
      <c r="BV71" s="39">
        <v>21.62</v>
      </c>
      <c r="BW71" s="39">
        <v>21.72</v>
      </c>
      <c r="BX71" s="39">
        <v>21.82</v>
      </c>
      <c r="BY71" s="39">
        <v>21.92</v>
      </c>
      <c r="BZ71" s="39">
        <v>22.01</v>
      </c>
      <c r="CA71" s="39">
        <v>22.11</v>
      </c>
      <c r="CB71" s="39">
        <v>22.2</v>
      </c>
      <c r="CC71" s="39">
        <v>22.3</v>
      </c>
      <c r="CD71" s="39">
        <v>22.39</v>
      </c>
      <c r="CE71" s="39">
        <v>22.49</v>
      </c>
      <c r="CF71" s="39">
        <v>22.58</v>
      </c>
      <c r="CG71" s="39">
        <v>22.67</v>
      </c>
      <c r="CH71" s="39">
        <v>22.77</v>
      </c>
      <c r="CI71" s="39">
        <v>22.86</v>
      </c>
      <c r="CJ71" s="39">
        <v>22.95</v>
      </c>
      <c r="CK71" s="39">
        <v>23.04</v>
      </c>
      <c r="CL71" s="39">
        <v>23.13</v>
      </c>
      <c r="CM71" s="39">
        <v>23.22</v>
      </c>
      <c r="CN71" s="39">
        <v>23.31</v>
      </c>
      <c r="CO71" s="39">
        <v>23.4</v>
      </c>
      <c r="CP71" s="39">
        <v>23.49</v>
      </c>
      <c r="CQ71" s="39">
        <v>23.58</v>
      </c>
      <c r="CR71" s="39">
        <v>23.67</v>
      </c>
      <c r="CS71" s="39">
        <v>23.75</v>
      </c>
      <c r="CT71" s="39">
        <v>23.84</v>
      </c>
      <c r="CU71" s="39">
        <v>23.93</v>
      </c>
      <c r="CV71" s="39">
        <v>24.01</v>
      </c>
      <c r="CW71" s="39">
        <v>24.1</v>
      </c>
      <c r="CX71" s="39">
        <v>24.18</v>
      </c>
      <c r="CY71" s="39">
        <v>24.27</v>
      </c>
      <c r="CZ71" s="39">
        <v>24.35</v>
      </c>
      <c r="DA71" s="39">
        <v>24.43</v>
      </c>
      <c r="DB71" s="39">
        <v>24.52</v>
      </c>
      <c r="DC71" s="39">
        <v>24.6</v>
      </c>
      <c r="DD71" s="39">
        <v>24.68</v>
      </c>
      <c r="DE71" s="39">
        <v>24.76</v>
      </c>
      <c r="DF71" s="39">
        <v>24.84</v>
      </c>
      <c r="DG71" s="39">
        <v>24.92</v>
      </c>
      <c r="DH71" s="39">
        <v>25</v>
      </c>
      <c r="DI71" s="39">
        <v>25.08</v>
      </c>
      <c r="DJ71" s="39">
        <v>25.16</v>
      </c>
      <c r="DK71" s="39">
        <v>25.24</v>
      </c>
      <c r="DL71" s="39">
        <v>25.32</v>
      </c>
      <c r="DM71" s="39">
        <v>25.39</v>
      </c>
      <c r="DN71" s="39">
        <v>25.47</v>
      </c>
      <c r="DO71" s="39">
        <v>25.55</v>
      </c>
      <c r="DP71" s="39">
        <v>25.62</v>
      </c>
      <c r="DQ71" s="39">
        <v>25.7</v>
      </c>
      <c r="DR71" s="39">
        <v>25.77</v>
      </c>
    </row>
    <row r="72" spans="1:122">
      <c r="A72" s="44">
        <v>70</v>
      </c>
      <c r="B72" s="45"/>
      <c r="C72" s="45"/>
      <c r="D72" s="45"/>
      <c r="E72" s="45"/>
      <c r="F72" s="45"/>
      <c r="G72" s="45"/>
      <c r="H72" s="45"/>
      <c r="I72" s="45"/>
      <c r="J72" s="45"/>
      <c r="K72" s="45"/>
      <c r="L72" s="45"/>
      <c r="M72" s="45"/>
      <c r="N72" s="45"/>
      <c r="O72" s="45"/>
      <c r="P72" s="45"/>
      <c r="Q72" s="45"/>
      <c r="R72" s="45"/>
      <c r="S72" s="45"/>
      <c r="T72" s="45"/>
      <c r="U72" s="45"/>
      <c r="V72" s="39"/>
      <c r="W72" s="39">
        <v>15.3</v>
      </c>
      <c r="X72" s="39">
        <v>15.42</v>
      </c>
      <c r="Y72" s="39">
        <v>15.57</v>
      </c>
      <c r="Z72" s="39">
        <v>15.72</v>
      </c>
      <c r="AA72" s="39">
        <v>15.83</v>
      </c>
      <c r="AB72" s="39">
        <v>15.97</v>
      </c>
      <c r="AC72" s="39">
        <v>16.12</v>
      </c>
      <c r="AD72" s="39">
        <v>16.21</v>
      </c>
      <c r="AE72" s="39">
        <v>16.36</v>
      </c>
      <c r="AF72" s="39">
        <v>16.489999999999998</v>
      </c>
      <c r="AG72" s="39">
        <v>16.579999999999998</v>
      </c>
      <c r="AH72" s="39">
        <v>16.71</v>
      </c>
      <c r="AI72" s="39">
        <v>16.829999999999998</v>
      </c>
      <c r="AJ72" s="39">
        <v>16.98</v>
      </c>
      <c r="AK72" s="39">
        <v>17.13</v>
      </c>
      <c r="AL72" s="39">
        <v>17.28</v>
      </c>
      <c r="AM72" s="39">
        <v>17.440000000000001</v>
      </c>
      <c r="AN72" s="39">
        <v>17.559999999999999</v>
      </c>
      <c r="AO72" s="39">
        <v>17.66</v>
      </c>
      <c r="AP72" s="39">
        <v>17.73</v>
      </c>
      <c r="AQ72" s="39">
        <v>17.79</v>
      </c>
      <c r="AR72" s="39">
        <v>17.850000000000001</v>
      </c>
      <c r="AS72" s="39">
        <v>17.920000000000002</v>
      </c>
      <c r="AT72" s="39">
        <v>17.98</v>
      </c>
      <c r="AU72" s="39">
        <v>18.04</v>
      </c>
      <c r="AV72" s="39">
        <v>18.14</v>
      </c>
      <c r="AW72" s="39">
        <v>18.27</v>
      </c>
      <c r="AX72" s="39">
        <v>18.37</v>
      </c>
      <c r="AY72" s="39">
        <v>18.47</v>
      </c>
      <c r="AZ72" s="39">
        <v>18.579999999999998</v>
      </c>
      <c r="BA72" s="39">
        <v>18.68</v>
      </c>
      <c r="BB72" s="39">
        <v>18.79</v>
      </c>
      <c r="BC72" s="39">
        <v>18.89</v>
      </c>
      <c r="BD72" s="39">
        <v>18.989999999999998</v>
      </c>
      <c r="BE72" s="39">
        <v>19.100000000000001</v>
      </c>
      <c r="BF72" s="39">
        <v>19.2</v>
      </c>
      <c r="BG72" s="39">
        <v>19.3</v>
      </c>
      <c r="BH72" s="39">
        <v>19.399999999999999</v>
      </c>
      <c r="BI72" s="39">
        <v>19.5</v>
      </c>
      <c r="BJ72" s="39">
        <v>19.600000000000001</v>
      </c>
      <c r="BK72" s="39">
        <v>19.7</v>
      </c>
      <c r="BL72" s="39">
        <v>19.8</v>
      </c>
      <c r="BM72" s="39">
        <v>19.899999999999999</v>
      </c>
      <c r="BN72" s="39">
        <v>20</v>
      </c>
      <c r="BO72" s="39">
        <v>20.100000000000001</v>
      </c>
      <c r="BP72" s="39">
        <v>20.2</v>
      </c>
      <c r="BQ72" s="39">
        <v>20.29</v>
      </c>
      <c r="BR72" s="39">
        <v>20.39</v>
      </c>
      <c r="BS72" s="39">
        <v>20.49</v>
      </c>
      <c r="BT72" s="39">
        <v>20.59</v>
      </c>
      <c r="BU72" s="39">
        <v>20.68</v>
      </c>
      <c r="BV72" s="39">
        <v>20.78</v>
      </c>
      <c r="BW72" s="39">
        <v>20.87</v>
      </c>
      <c r="BX72" s="39">
        <v>20.97</v>
      </c>
      <c r="BY72" s="39">
        <v>21.06</v>
      </c>
      <c r="BZ72" s="39">
        <v>21.16</v>
      </c>
      <c r="CA72" s="39">
        <v>21.25</v>
      </c>
      <c r="CB72" s="39">
        <v>21.34</v>
      </c>
      <c r="CC72" s="39">
        <v>21.44</v>
      </c>
      <c r="CD72" s="39">
        <v>21.53</v>
      </c>
      <c r="CE72" s="39">
        <v>21.62</v>
      </c>
      <c r="CF72" s="39">
        <v>21.71</v>
      </c>
      <c r="CG72" s="39">
        <v>21.8</v>
      </c>
      <c r="CH72" s="39">
        <v>21.89</v>
      </c>
      <c r="CI72" s="39">
        <v>21.98</v>
      </c>
      <c r="CJ72" s="39">
        <v>22.07</v>
      </c>
      <c r="CK72" s="39">
        <v>22.16</v>
      </c>
      <c r="CL72" s="39">
        <v>22.25</v>
      </c>
      <c r="CM72" s="39">
        <v>22.34</v>
      </c>
      <c r="CN72" s="39">
        <v>22.43</v>
      </c>
      <c r="CO72" s="39">
        <v>22.52</v>
      </c>
      <c r="CP72" s="39">
        <v>22.6</v>
      </c>
      <c r="CQ72" s="39">
        <v>22.69</v>
      </c>
      <c r="CR72" s="39">
        <v>22.77</v>
      </c>
      <c r="CS72" s="39">
        <v>22.86</v>
      </c>
      <c r="CT72" s="39">
        <v>22.95</v>
      </c>
      <c r="CU72" s="39">
        <v>23.03</v>
      </c>
      <c r="CV72" s="39">
        <v>23.11</v>
      </c>
      <c r="CW72" s="39">
        <v>23.2</v>
      </c>
      <c r="CX72" s="39">
        <v>23.28</v>
      </c>
      <c r="CY72" s="39">
        <v>23.36</v>
      </c>
      <c r="CZ72" s="39">
        <v>23.45</v>
      </c>
      <c r="DA72" s="39">
        <v>23.53</v>
      </c>
      <c r="DB72" s="39">
        <v>23.61</v>
      </c>
      <c r="DC72" s="39">
        <v>23.69</v>
      </c>
      <c r="DD72" s="39">
        <v>23.77</v>
      </c>
      <c r="DE72" s="39">
        <v>23.85</v>
      </c>
      <c r="DF72" s="39">
        <v>23.93</v>
      </c>
      <c r="DG72" s="39">
        <v>24.01</v>
      </c>
      <c r="DH72" s="39">
        <v>24.09</v>
      </c>
      <c r="DI72" s="39">
        <v>24.16</v>
      </c>
      <c r="DJ72" s="39">
        <v>24.24</v>
      </c>
      <c r="DK72" s="39">
        <v>24.32</v>
      </c>
      <c r="DL72" s="39">
        <v>24.39</v>
      </c>
      <c r="DM72" s="39">
        <v>24.47</v>
      </c>
      <c r="DN72" s="39">
        <v>24.55</v>
      </c>
      <c r="DO72" s="39">
        <v>24.62</v>
      </c>
      <c r="DP72" s="39">
        <v>24.7</v>
      </c>
      <c r="DQ72" s="39">
        <v>24.77</v>
      </c>
      <c r="DR72" s="39">
        <v>24.84</v>
      </c>
    </row>
    <row r="73" spans="1:122">
      <c r="A73" s="44">
        <v>71</v>
      </c>
      <c r="B73" s="45"/>
      <c r="C73" s="45"/>
      <c r="D73" s="45"/>
      <c r="E73" s="45"/>
      <c r="F73" s="45"/>
      <c r="G73" s="45"/>
      <c r="H73" s="45"/>
      <c r="I73" s="45"/>
      <c r="J73" s="45"/>
      <c r="K73" s="45"/>
      <c r="L73" s="45"/>
      <c r="M73" s="45"/>
      <c r="N73" s="45"/>
      <c r="O73" s="45"/>
      <c r="P73" s="45"/>
      <c r="Q73" s="45"/>
      <c r="R73" s="45"/>
      <c r="S73" s="45"/>
      <c r="T73" s="45"/>
      <c r="U73" s="45"/>
      <c r="V73" s="39"/>
      <c r="W73" s="39">
        <v>14.59</v>
      </c>
      <c r="X73" s="39">
        <v>14.71</v>
      </c>
      <c r="Y73" s="39">
        <v>14.86</v>
      </c>
      <c r="Z73" s="39">
        <v>15.01</v>
      </c>
      <c r="AA73" s="39">
        <v>15.11</v>
      </c>
      <c r="AB73" s="39">
        <v>15.24</v>
      </c>
      <c r="AC73" s="39">
        <v>15.38</v>
      </c>
      <c r="AD73" s="39">
        <v>15.47</v>
      </c>
      <c r="AE73" s="39">
        <v>15.61</v>
      </c>
      <c r="AF73" s="39">
        <v>15.74</v>
      </c>
      <c r="AG73" s="39">
        <v>15.82</v>
      </c>
      <c r="AH73" s="39">
        <v>15.95</v>
      </c>
      <c r="AI73" s="39">
        <v>16.059999999999999</v>
      </c>
      <c r="AJ73" s="39">
        <v>16.21</v>
      </c>
      <c r="AK73" s="39">
        <v>16.34</v>
      </c>
      <c r="AL73" s="39">
        <v>16.489999999999998</v>
      </c>
      <c r="AM73" s="39">
        <v>16.64</v>
      </c>
      <c r="AN73" s="39">
        <v>16.760000000000002</v>
      </c>
      <c r="AO73" s="39">
        <v>16.86</v>
      </c>
      <c r="AP73" s="39">
        <v>16.93</v>
      </c>
      <c r="AQ73" s="39">
        <v>17</v>
      </c>
      <c r="AR73" s="39">
        <v>17.059999999999999</v>
      </c>
      <c r="AS73" s="39">
        <v>17.12</v>
      </c>
      <c r="AT73" s="39">
        <v>17.2</v>
      </c>
      <c r="AU73" s="39">
        <v>17.27</v>
      </c>
      <c r="AV73" s="39">
        <v>17.38</v>
      </c>
      <c r="AW73" s="39">
        <v>17.5</v>
      </c>
      <c r="AX73" s="39">
        <v>17.59</v>
      </c>
      <c r="AY73" s="39">
        <v>17.7</v>
      </c>
      <c r="AZ73" s="39">
        <v>17.8</v>
      </c>
      <c r="BA73" s="39">
        <v>17.899999999999999</v>
      </c>
      <c r="BB73" s="39">
        <v>18</v>
      </c>
      <c r="BC73" s="39">
        <v>18.100000000000001</v>
      </c>
      <c r="BD73" s="39">
        <v>18.2</v>
      </c>
      <c r="BE73" s="39">
        <v>18.3</v>
      </c>
      <c r="BF73" s="39">
        <v>18.399999999999999</v>
      </c>
      <c r="BG73" s="39">
        <v>18.5</v>
      </c>
      <c r="BH73" s="39">
        <v>18.600000000000001</v>
      </c>
      <c r="BI73" s="39">
        <v>18.690000000000001</v>
      </c>
      <c r="BJ73" s="39">
        <v>18.79</v>
      </c>
      <c r="BK73" s="39">
        <v>18.89</v>
      </c>
      <c r="BL73" s="39">
        <v>18.989999999999998</v>
      </c>
      <c r="BM73" s="39">
        <v>19.079999999999998</v>
      </c>
      <c r="BN73" s="39">
        <v>19.18</v>
      </c>
      <c r="BO73" s="39">
        <v>19.28</v>
      </c>
      <c r="BP73" s="39">
        <v>19.37</v>
      </c>
      <c r="BQ73" s="39">
        <v>19.47</v>
      </c>
      <c r="BR73" s="39">
        <v>19.559999999999999</v>
      </c>
      <c r="BS73" s="39">
        <v>19.66</v>
      </c>
      <c r="BT73" s="39">
        <v>19.75</v>
      </c>
      <c r="BU73" s="39">
        <v>19.84</v>
      </c>
      <c r="BV73" s="39">
        <v>19.940000000000001</v>
      </c>
      <c r="BW73" s="39">
        <v>20.03</v>
      </c>
      <c r="BX73" s="39">
        <v>20.12</v>
      </c>
      <c r="BY73" s="39">
        <v>20.21</v>
      </c>
      <c r="BZ73" s="39">
        <v>20.309999999999999</v>
      </c>
      <c r="CA73" s="39">
        <v>20.399999999999999</v>
      </c>
      <c r="CB73" s="39">
        <v>20.49</v>
      </c>
      <c r="CC73" s="39">
        <v>20.58</v>
      </c>
      <c r="CD73" s="39">
        <v>20.67</v>
      </c>
      <c r="CE73" s="39">
        <v>20.76</v>
      </c>
      <c r="CF73" s="39">
        <v>20.85</v>
      </c>
      <c r="CG73" s="39">
        <v>20.94</v>
      </c>
      <c r="CH73" s="39">
        <v>21.03</v>
      </c>
      <c r="CI73" s="39">
        <v>21.11</v>
      </c>
      <c r="CJ73" s="39">
        <v>21.2</v>
      </c>
      <c r="CK73" s="39">
        <v>21.29</v>
      </c>
      <c r="CL73" s="39">
        <v>21.38</v>
      </c>
      <c r="CM73" s="39">
        <v>21.46</v>
      </c>
      <c r="CN73" s="39">
        <v>21.55</v>
      </c>
      <c r="CO73" s="39">
        <v>21.63</v>
      </c>
      <c r="CP73" s="39">
        <v>21.72</v>
      </c>
      <c r="CQ73" s="39">
        <v>21.8</v>
      </c>
      <c r="CR73" s="39">
        <v>21.89</v>
      </c>
      <c r="CS73" s="39">
        <v>21.97</v>
      </c>
      <c r="CT73" s="39">
        <v>22.05</v>
      </c>
      <c r="CU73" s="39">
        <v>22.14</v>
      </c>
      <c r="CV73" s="39">
        <v>22.22</v>
      </c>
      <c r="CW73" s="39">
        <v>22.3</v>
      </c>
      <c r="CX73" s="39">
        <v>22.38</v>
      </c>
      <c r="CY73" s="39">
        <v>22.46</v>
      </c>
      <c r="CZ73" s="39">
        <v>22.54</v>
      </c>
      <c r="DA73" s="39">
        <v>22.63</v>
      </c>
      <c r="DB73" s="39">
        <v>22.7</v>
      </c>
      <c r="DC73" s="39">
        <v>22.78</v>
      </c>
      <c r="DD73" s="39">
        <v>22.86</v>
      </c>
      <c r="DE73" s="39">
        <v>22.94</v>
      </c>
      <c r="DF73" s="39">
        <v>23.02</v>
      </c>
      <c r="DG73" s="39">
        <v>23.1</v>
      </c>
      <c r="DH73" s="39">
        <v>23.17</v>
      </c>
      <c r="DI73" s="39">
        <v>23.25</v>
      </c>
      <c r="DJ73" s="39">
        <v>23.33</v>
      </c>
      <c r="DK73" s="39">
        <v>23.4</v>
      </c>
      <c r="DL73" s="39">
        <v>23.48</v>
      </c>
      <c r="DM73" s="39">
        <v>23.55</v>
      </c>
      <c r="DN73" s="39">
        <v>23.62</v>
      </c>
      <c r="DO73" s="39">
        <v>23.7</v>
      </c>
      <c r="DP73" s="39">
        <v>23.77</v>
      </c>
      <c r="DQ73" s="39">
        <v>23.84</v>
      </c>
      <c r="DR73" s="39">
        <v>23.92</v>
      </c>
    </row>
    <row r="74" spans="1:122">
      <c r="A74" s="44">
        <v>72</v>
      </c>
      <c r="B74" s="45"/>
      <c r="C74" s="45"/>
      <c r="D74" s="45"/>
      <c r="E74" s="45"/>
      <c r="F74" s="45"/>
      <c r="G74" s="45"/>
      <c r="H74" s="45"/>
      <c r="I74" s="45"/>
      <c r="J74" s="45"/>
      <c r="K74" s="45"/>
      <c r="L74" s="45"/>
      <c r="M74" s="45"/>
      <c r="N74" s="45"/>
      <c r="O74" s="45"/>
      <c r="P74" s="45"/>
      <c r="Q74" s="45"/>
      <c r="R74" s="45"/>
      <c r="S74" s="45"/>
      <c r="T74" s="45"/>
      <c r="U74" s="45"/>
      <c r="V74" s="39"/>
      <c r="W74" s="39">
        <v>13.9</v>
      </c>
      <c r="X74" s="39">
        <v>14.01</v>
      </c>
      <c r="Y74" s="39">
        <v>14.15</v>
      </c>
      <c r="Z74" s="39">
        <v>14.3</v>
      </c>
      <c r="AA74" s="39">
        <v>14.39</v>
      </c>
      <c r="AB74" s="39">
        <v>14.52</v>
      </c>
      <c r="AC74" s="39">
        <v>14.66</v>
      </c>
      <c r="AD74" s="39">
        <v>14.74</v>
      </c>
      <c r="AE74" s="39">
        <v>14.86</v>
      </c>
      <c r="AF74" s="39">
        <v>15</v>
      </c>
      <c r="AG74" s="39">
        <v>15.08</v>
      </c>
      <c r="AH74" s="39">
        <v>15.2</v>
      </c>
      <c r="AI74" s="39">
        <v>15.3</v>
      </c>
      <c r="AJ74" s="39">
        <v>15.44</v>
      </c>
      <c r="AK74" s="39">
        <v>15.57</v>
      </c>
      <c r="AL74" s="39">
        <v>15.71</v>
      </c>
      <c r="AM74" s="39">
        <v>15.86</v>
      </c>
      <c r="AN74" s="39">
        <v>15.97</v>
      </c>
      <c r="AO74" s="39">
        <v>16.07</v>
      </c>
      <c r="AP74" s="39">
        <v>16.149999999999999</v>
      </c>
      <c r="AQ74" s="39">
        <v>16.21</v>
      </c>
      <c r="AR74" s="39">
        <v>16.27</v>
      </c>
      <c r="AS74" s="39">
        <v>16.350000000000001</v>
      </c>
      <c r="AT74" s="39">
        <v>16.420000000000002</v>
      </c>
      <c r="AU74" s="39">
        <v>16.510000000000002</v>
      </c>
      <c r="AV74" s="39">
        <v>16.62</v>
      </c>
      <c r="AW74" s="39">
        <v>16.72</v>
      </c>
      <c r="AX74" s="39">
        <v>16.82</v>
      </c>
      <c r="AY74" s="39">
        <v>16.920000000000002</v>
      </c>
      <c r="AZ74" s="39">
        <v>17.02</v>
      </c>
      <c r="BA74" s="39">
        <v>17.12</v>
      </c>
      <c r="BB74" s="39">
        <v>17.22</v>
      </c>
      <c r="BC74" s="39">
        <v>17.32</v>
      </c>
      <c r="BD74" s="39">
        <v>17.41</v>
      </c>
      <c r="BE74" s="39">
        <v>17.510000000000002</v>
      </c>
      <c r="BF74" s="39">
        <v>17.61</v>
      </c>
      <c r="BG74" s="39">
        <v>17.7</v>
      </c>
      <c r="BH74" s="39">
        <v>17.8</v>
      </c>
      <c r="BI74" s="39">
        <v>17.89</v>
      </c>
      <c r="BJ74" s="39">
        <v>17.989999999999998</v>
      </c>
      <c r="BK74" s="39">
        <v>18.079999999999998</v>
      </c>
      <c r="BL74" s="39">
        <v>18.18</v>
      </c>
      <c r="BM74" s="39">
        <v>18.27</v>
      </c>
      <c r="BN74" s="39">
        <v>18.36</v>
      </c>
      <c r="BO74" s="39">
        <v>18.46</v>
      </c>
      <c r="BP74" s="39">
        <v>18.55</v>
      </c>
      <c r="BQ74" s="39">
        <v>18.64</v>
      </c>
      <c r="BR74" s="39">
        <v>18.73</v>
      </c>
      <c r="BS74" s="39">
        <v>18.829999999999998</v>
      </c>
      <c r="BT74" s="39">
        <v>18.920000000000002</v>
      </c>
      <c r="BU74" s="39">
        <v>19.010000000000002</v>
      </c>
      <c r="BV74" s="39">
        <v>19.100000000000001</v>
      </c>
      <c r="BW74" s="39">
        <v>19.190000000000001</v>
      </c>
      <c r="BX74" s="39">
        <v>19.28</v>
      </c>
      <c r="BY74" s="39">
        <v>19.37</v>
      </c>
      <c r="BZ74" s="39">
        <v>19.46</v>
      </c>
      <c r="CA74" s="39">
        <v>19.55</v>
      </c>
      <c r="CB74" s="39">
        <v>19.64</v>
      </c>
      <c r="CC74" s="39">
        <v>19.73</v>
      </c>
      <c r="CD74" s="39">
        <v>19.809999999999999</v>
      </c>
      <c r="CE74" s="39">
        <v>19.899999999999999</v>
      </c>
      <c r="CF74" s="39">
        <v>19.989999999999998</v>
      </c>
      <c r="CG74" s="39">
        <v>20.079999999999998</v>
      </c>
      <c r="CH74" s="39">
        <v>20.16</v>
      </c>
      <c r="CI74" s="39">
        <v>20.25</v>
      </c>
      <c r="CJ74" s="39">
        <v>20.329999999999998</v>
      </c>
      <c r="CK74" s="39">
        <v>20.420000000000002</v>
      </c>
      <c r="CL74" s="39">
        <v>20.5</v>
      </c>
      <c r="CM74" s="39">
        <v>20.59</v>
      </c>
      <c r="CN74" s="39">
        <v>20.67</v>
      </c>
      <c r="CO74" s="39">
        <v>20.76</v>
      </c>
      <c r="CP74" s="39">
        <v>20.84</v>
      </c>
      <c r="CQ74" s="39">
        <v>20.92</v>
      </c>
      <c r="CR74" s="39">
        <v>21</v>
      </c>
      <c r="CS74" s="39">
        <v>21.09</v>
      </c>
      <c r="CT74" s="39">
        <v>21.17</v>
      </c>
      <c r="CU74" s="39">
        <v>21.25</v>
      </c>
      <c r="CV74" s="39">
        <v>21.33</v>
      </c>
      <c r="CW74" s="39">
        <v>21.41</v>
      </c>
      <c r="CX74" s="39">
        <v>21.49</v>
      </c>
      <c r="CY74" s="39">
        <v>21.57</v>
      </c>
      <c r="CZ74" s="39">
        <v>21.65</v>
      </c>
      <c r="DA74" s="39">
        <v>21.73</v>
      </c>
      <c r="DB74" s="39">
        <v>21.8</v>
      </c>
      <c r="DC74" s="39">
        <v>21.88</v>
      </c>
      <c r="DD74" s="39">
        <v>21.96</v>
      </c>
      <c r="DE74" s="39">
        <v>22.04</v>
      </c>
      <c r="DF74" s="39">
        <v>22.11</v>
      </c>
      <c r="DG74" s="39">
        <v>22.19</v>
      </c>
      <c r="DH74" s="39">
        <v>22.26</v>
      </c>
      <c r="DI74" s="39">
        <v>22.34</v>
      </c>
      <c r="DJ74" s="39">
        <v>22.41</v>
      </c>
      <c r="DK74" s="39">
        <v>22.49</v>
      </c>
      <c r="DL74" s="39">
        <v>22.56</v>
      </c>
      <c r="DM74" s="39">
        <v>22.63</v>
      </c>
      <c r="DN74" s="39">
        <v>22.71</v>
      </c>
      <c r="DO74" s="39">
        <v>22.78</v>
      </c>
      <c r="DP74" s="39">
        <v>22.85</v>
      </c>
      <c r="DQ74" s="39">
        <v>22.92</v>
      </c>
      <c r="DR74" s="39">
        <v>22.99</v>
      </c>
    </row>
    <row r="75" spans="1:122">
      <c r="A75" s="44">
        <v>73</v>
      </c>
      <c r="B75" s="45"/>
      <c r="C75" s="45"/>
      <c r="D75" s="45"/>
      <c r="E75" s="45"/>
      <c r="F75" s="45"/>
      <c r="G75" s="45"/>
      <c r="H75" s="45"/>
      <c r="I75" s="45"/>
      <c r="J75" s="45"/>
      <c r="K75" s="45"/>
      <c r="L75" s="45"/>
      <c r="M75" s="45"/>
      <c r="N75" s="45"/>
      <c r="O75" s="45"/>
      <c r="P75" s="45"/>
      <c r="Q75" s="45"/>
      <c r="R75" s="45"/>
      <c r="S75" s="45"/>
      <c r="T75" s="45"/>
      <c r="U75" s="45"/>
      <c r="V75" s="39"/>
      <c r="W75" s="39">
        <v>13.23</v>
      </c>
      <c r="X75" s="39">
        <v>13.32</v>
      </c>
      <c r="Y75" s="39">
        <v>13.47</v>
      </c>
      <c r="Z75" s="39">
        <v>13.6</v>
      </c>
      <c r="AA75" s="39">
        <v>13.7</v>
      </c>
      <c r="AB75" s="39">
        <v>13.82</v>
      </c>
      <c r="AC75" s="39">
        <v>13.94</v>
      </c>
      <c r="AD75" s="39">
        <v>14.02</v>
      </c>
      <c r="AE75" s="39">
        <v>14.14</v>
      </c>
      <c r="AF75" s="39">
        <v>14.27</v>
      </c>
      <c r="AG75" s="39">
        <v>14.34</v>
      </c>
      <c r="AH75" s="39">
        <v>14.46</v>
      </c>
      <c r="AI75" s="39">
        <v>14.56</v>
      </c>
      <c r="AJ75" s="39">
        <v>14.68</v>
      </c>
      <c r="AK75" s="39">
        <v>14.81</v>
      </c>
      <c r="AL75" s="39">
        <v>14.94</v>
      </c>
      <c r="AM75" s="39">
        <v>15.09</v>
      </c>
      <c r="AN75" s="39">
        <v>15.2</v>
      </c>
      <c r="AO75" s="39">
        <v>15.29</v>
      </c>
      <c r="AP75" s="39">
        <v>15.37</v>
      </c>
      <c r="AQ75" s="39">
        <v>15.43</v>
      </c>
      <c r="AR75" s="39">
        <v>15.51</v>
      </c>
      <c r="AS75" s="39">
        <v>15.58</v>
      </c>
      <c r="AT75" s="39">
        <v>15.66</v>
      </c>
      <c r="AU75" s="39">
        <v>15.75</v>
      </c>
      <c r="AV75" s="39">
        <v>15.87</v>
      </c>
      <c r="AW75" s="39">
        <v>15.96</v>
      </c>
      <c r="AX75" s="39">
        <v>16.059999999999999</v>
      </c>
      <c r="AY75" s="39">
        <v>16.16</v>
      </c>
      <c r="AZ75" s="39">
        <v>16.25</v>
      </c>
      <c r="BA75" s="39">
        <v>16.350000000000001</v>
      </c>
      <c r="BB75" s="39">
        <v>16.440000000000001</v>
      </c>
      <c r="BC75" s="39">
        <v>16.54</v>
      </c>
      <c r="BD75" s="39">
        <v>16.63</v>
      </c>
      <c r="BE75" s="39">
        <v>16.72</v>
      </c>
      <c r="BF75" s="39">
        <v>16.82</v>
      </c>
      <c r="BG75" s="39">
        <v>16.91</v>
      </c>
      <c r="BH75" s="39">
        <v>17</v>
      </c>
      <c r="BI75" s="39">
        <v>17.09</v>
      </c>
      <c r="BJ75" s="39">
        <v>17.190000000000001</v>
      </c>
      <c r="BK75" s="39">
        <v>17.28</v>
      </c>
      <c r="BL75" s="39">
        <v>17.37</v>
      </c>
      <c r="BM75" s="39">
        <v>17.46</v>
      </c>
      <c r="BN75" s="39">
        <v>17.55</v>
      </c>
      <c r="BO75" s="39">
        <v>17.64</v>
      </c>
      <c r="BP75" s="39">
        <v>17.73</v>
      </c>
      <c r="BQ75" s="39">
        <v>17.82</v>
      </c>
      <c r="BR75" s="39">
        <v>17.91</v>
      </c>
      <c r="BS75" s="39">
        <v>18</v>
      </c>
      <c r="BT75" s="39">
        <v>18.09</v>
      </c>
      <c r="BU75" s="39">
        <v>18.18</v>
      </c>
      <c r="BV75" s="39">
        <v>18.27</v>
      </c>
      <c r="BW75" s="39">
        <v>18.36</v>
      </c>
      <c r="BX75" s="39">
        <v>18.440000000000001</v>
      </c>
      <c r="BY75" s="39">
        <v>18.53</v>
      </c>
      <c r="BZ75" s="39">
        <v>18.62</v>
      </c>
      <c r="CA75" s="39">
        <v>18.7</v>
      </c>
      <c r="CB75" s="39">
        <v>18.79</v>
      </c>
      <c r="CC75" s="39">
        <v>18.88</v>
      </c>
      <c r="CD75" s="39">
        <v>18.96</v>
      </c>
      <c r="CE75" s="39">
        <v>19.05</v>
      </c>
      <c r="CF75" s="39">
        <v>19.13</v>
      </c>
      <c r="CG75" s="39">
        <v>19.22</v>
      </c>
      <c r="CH75" s="39">
        <v>19.3</v>
      </c>
      <c r="CI75" s="39">
        <v>19.39</v>
      </c>
      <c r="CJ75" s="39">
        <v>19.47</v>
      </c>
      <c r="CK75" s="39">
        <v>19.55</v>
      </c>
      <c r="CL75" s="39">
        <v>19.64</v>
      </c>
      <c r="CM75" s="39">
        <v>19.72</v>
      </c>
      <c r="CN75" s="39">
        <v>19.8</v>
      </c>
      <c r="CO75" s="39">
        <v>19.88</v>
      </c>
      <c r="CP75" s="39">
        <v>19.96</v>
      </c>
      <c r="CQ75" s="39">
        <v>20.04</v>
      </c>
      <c r="CR75" s="39">
        <v>20.12</v>
      </c>
      <c r="CS75" s="39">
        <v>20.2</v>
      </c>
      <c r="CT75" s="39">
        <v>20.28</v>
      </c>
      <c r="CU75" s="39">
        <v>20.36</v>
      </c>
      <c r="CV75" s="39">
        <v>20.440000000000001</v>
      </c>
      <c r="CW75" s="39">
        <v>20.52</v>
      </c>
      <c r="CX75" s="39">
        <v>20.6</v>
      </c>
      <c r="CY75" s="39">
        <v>20.68</v>
      </c>
      <c r="CZ75" s="39">
        <v>20.75</v>
      </c>
      <c r="DA75" s="39">
        <v>20.83</v>
      </c>
      <c r="DB75" s="39">
        <v>20.91</v>
      </c>
      <c r="DC75" s="39">
        <v>20.98</v>
      </c>
      <c r="DD75" s="39">
        <v>21.06</v>
      </c>
      <c r="DE75" s="39">
        <v>21.13</v>
      </c>
      <c r="DF75" s="39">
        <v>21.21</v>
      </c>
      <c r="DG75" s="39">
        <v>21.28</v>
      </c>
      <c r="DH75" s="39">
        <v>21.36</v>
      </c>
      <c r="DI75" s="39">
        <v>21.43</v>
      </c>
      <c r="DJ75" s="39">
        <v>21.5</v>
      </c>
      <c r="DK75" s="39">
        <v>21.58</v>
      </c>
      <c r="DL75" s="39">
        <v>21.65</v>
      </c>
      <c r="DM75" s="39">
        <v>21.72</v>
      </c>
      <c r="DN75" s="39">
        <v>21.79</v>
      </c>
      <c r="DO75" s="39">
        <v>21.86</v>
      </c>
      <c r="DP75" s="39">
        <v>21.93</v>
      </c>
      <c r="DQ75" s="39">
        <v>22</v>
      </c>
      <c r="DR75" s="39">
        <v>22.07</v>
      </c>
    </row>
    <row r="76" spans="1:122">
      <c r="A76" s="44">
        <v>74</v>
      </c>
      <c r="B76" s="45"/>
      <c r="C76" s="45"/>
      <c r="D76" s="45"/>
      <c r="E76" s="45"/>
      <c r="F76" s="45"/>
      <c r="G76" s="45"/>
      <c r="H76" s="45"/>
      <c r="I76" s="45"/>
      <c r="J76" s="45"/>
      <c r="K76" s="45"/>
      <c r="L76" s="45"/>
      <c r="M76" s="45"/>
      <c r="N76" s="45"/>
      <c r="O76" s="45"/>
      <c r="P76" s="45"/>
      <c r="Q76" s="45"/>
      <c r="R76" s="45"/>
      <c r="S76" s="45"/>
      <c r="T76" s="45"/>
      <c r="U76" s="45"/>
      <c r="V76" s="39"/>
      <c r="W76" s="39">
        <v>12.56</v>
      </c>
      <c r="X76" s="39">
        <v>12.66</v>
      </c>
      <c r="Y76" s="39">
        <v>12.79</v>
      </c>
      <c r="Z76" s="39">
        <v>12.91</v>
      </c>
      <c r="AA76" s="39">
        <v>13.01</v>
      </c>
      <c r="AB76" s="39">
        <v>13.12</v>
      </c>
      <c r="AC76" s="39">
        <v>13.24</v>
      </c>
      <c r="AD76" s="39">
        <v>13.3</v>
      </c>
      <c r="AE76" s="39">
        <v>13.43</v>
      </c>
      <c r="AF76" s="39">
        <v>13.55</v>
      </c>
      <c r="AG76" s="39">
        <v>13.62</v>
      </c>
      <c r="AH76" s="39">
        <v>13.72</v>
      </c>
      <c r="AI76" s="39">
        <v>13.81</v>
      </c>
      <c r="AJ76" s="39">
        <v>13.94</v>
      </c>
      <c r="AK76" s="39">
        <v>14.07</v>
      </c>
      <c r="AL76" s="39">
        <v>14.18</v>
      </c>
      <c r="AM76" s="39">
        <v>14.32</v>
      </c>
      <c r="AN76" s="39">
        <v>14.43</v>
      </c>
      <c r="AO76" s="39">
        <v>14.53</v>
      </c>
      <c r="AP76" s="39">
        <v>14.6</v>
      </c>
      <c r="AQ76" s="39">
        <v>14.67</v>
      </c>
      <c r="AR76" s="39">
        <v>14.75</v>
      </c>
      <c r="AS76" s="39">
        <v>14.82</v>
      </c>
      <c r="AT76" s="39">
        <v>14.92</v>
      </c>
      <c r="AU76" s="39">
        <v>15.02</v>
      </c>
      <c r="AV76" s="39">
        <v>15.11</v>
      </c>
      <c r="AW76" s="39">
        <v>15.21</v>
      </c>
      <c r="AX76" s="39">
        <v>15.3</v>
      </c>
      <c r="AY76" s="39">
        <v>15.39</v>
      </c>
      <c r="AZ76" s="39">
        <v>15.49</v>
      </c>
      <c r="BA76" s="39">
        <v>15.58</v>
      </c>
      <c r="BB76" s="39">
        <v>15.67</v>
      </c>
      <c r="BC76" s="39">
        <v>15.76</v>
      </c>
      <c r="BD76" s="39">
        <v>15.85</v>
      </c>
      <c r="BE76" s="39">
        <v>15.94</v>
      </c>
      <c r="BF76" s="39">
        <v>16.03</v>
      </c>
      <c r="BG76" s="39">
        <v>16.12</v>
      </c>
      <c r="BH76" s="39">
        <v>16.21</v>
      </c>
      <c r="BI76" s="39">
        <v>16.3</v>
      </c>
      <c r="BJ76" s="39">
        <v>16.39</v>
      </c>
      <c r="BK76" s="39">
        <v>16.48</v>
      </c>
      <c r="BL76" s="39">
        <v>16.57</v>
      </c>
      <c r="BM76" s="39">
        <v>16.66</v>
      </c>
      <c r="BN76" s="39">
        <v>16.739999999999998</v>
      </c>
      <c r="BO76" s="39">
        <v>16.829999999999998</v>
      </c>
      <c r="BP76" s="39">
        <v>16.920000000000002</v>
      </c>
      <c r="BQ76" s="39">
        <v>17.010000000000002</v>
      </c>
      <c r="BR76" s="39">
        <v>17.09</v>
      </c>
      <c r="BS76" s="39">
        <v>17.18</v>
      </c>
      <c r="BT76" s="39">
        <v>17.27</v>
      </c>
      <c r="BU76" s="39">
        <v>17.350000000000001</v>
      </c>
      <c r="BV76" s="39">
        <v>17.440000000000001</v>
      </c>
      <c r="BW76" s="39">
        <v>17.53</v>
      </c>
      <c r="BX76" s="39">
        <v>17.61</v>
      </c>
      <c r="BY76" s="39">
        <v>17.7</v>
      </c>
      <c r="BZ76" s="39">
        <v>17.78</v>
      </c>
      <c r="CA76" s="39">
        <v>17.87</v>
      </c>
      <c r="CB76" s="39">
        <v>17.95</v>
      </c>
      <c r="CC76" s="39">
        <v>18.03</v>
      </c>
      <c r="CD76" s="39">
        <v>18.12</v>
      </c>
      <c r="CE76" s="39">
        <v>18.2</v>
      </c>
      <c r="CF76" s="39">
        <v>18.28</v>
      </c>
      <c r="CG76" s="39">
        <v>18.37</v>
      </c>
      <c r="CH76" s="39">
        <v>18.45</v>
      </c>
      <c r="CI76" s="39">
        <v>18.53</v>
      </c>
      <c r="CJ76" s="39">
        <v>18.61</v>
      </c>
      <c r="CK76" s="39">
        <v>18.690000000000001</v>
      </c>
      <c r="CL76" s="39">
        <v>18.77</v>
      </c>
      <c r="CM76" s="39">
        <v>18.850000000000001</v>
      </c>
      <c r="CN76" s="39">
        <v>18.93</v>
      </c>
      <c r="CO76" s="39">
        <v>19.010000000000002</v>
      </c>
      <c r="CP76" s="39">
        <v>19.09</v>
      </c>
      <c r="CQ76" s="39">
        <v>19.170000000000002</v>
      </c>
      <c r="CR76" s="39">
        <v>19.25</v>
      </c>
      <c r="CS76" s="39">
        <v>19.329999999999998</v>
      </c>
      <c r="CT76" s="39">
        <v>19.41</v>
      </c>
      <c r="CU76" s="39">
        <v>19.48</v>
      </c>
      <c r="CV76" s="39">
        <v>19.559999999999999</v>
      </c>
      <c r="CW76" s="39">
        <v>19.64</v>
      </c>
      <c r="CX76" s="39">
        <v>19.71</v>
      </c>
      <c r="CY76" s="39">
        <v>19.79</v>
      </c>
      <c r="CZ76" s="39">
        <v>19.86</v>
      </c>
      <c r="DA76" s="39">
        <v>19.940000000000001</v>
      </c>
      <c r="DB76" s="39">
        <v>20.010000000000002</v>
      </c>
      <c r="DC76" s="39">
        <v>20.09</v>
      </c>
      <c r="DD76" s="39">
        <v>20.16</v>
      </c>
      <c r="DE76" s="39">
        <v>20.239999999999998</v>
      </c>
      <c r="DF76" s="39">
        <v>20.309999999999999</v>
      </c>
      <c r="DG76" s="39">
        <v>20.38</v>
      </c>
      <c r="DH76" s="39">
        <v>20.45</v>
      </c>
      <c r="DI76" s="39">
        <v>20.53</v>
      </c>
      <c r="DJ76" s="39">
        <v>20.6</v>
      </c>
      <c r="DK76" s="39">
        <v>20.67</v>
      </c>
      <c r="DL76" s="39">
        <v>20.74</v>
      </c>
      <c r="DM76" s="39">
        <v>20.81</v>
      </c>
      <c r="DN76" s="39">
        <v>20.88</v>
      </c>
      <c r="DO76" s="39">
        <v>20.95</v>
      </c>
      <c r="DP76" s="39">
        <v>21.02</v>
      </c>
      <c r="DQ76" s="39">
        <v>21.09</v>
      </c>
      <c r="DR76" s="39">
        <v>21.16</v>
      </c>
    </row>
    <row r="77" spans="1:122">
      <c r="A77" s="44">
        <v>75</v>
      </c>
      <c r="B77" s="45"/>
      <c r="C77" s="45"/>
      <c r="D77" s="45"/>
      <c r="E77" s="45"/>
      <c r="F77" s="45"/>
      <c r="G77" s="45"/>
      <c r="H77" s="45"/>
      <c r="I77" s="45"/>
      <c r="J77" s="45"/>
      <c r="K77" s="45"/>
      <c r="L77" s="45"/>
      <c r="M77" s="45"/>
      <c r="N77" s="45"/>
      <c r="O77" s="45"/>
      <c r="P77" s="45"/>
      <c r="Q77" s="45"/>
      <c r="R77" s="45"/>
      <c r="S77" s="45"/>
      <c r="T77" s="45"/>
      <c r="U77" s="45"/>
      <c r="V77" s="39"/>
      <c r="W77" s="39">
        <v>11.92</v>
      </c>
      <c r="X77" s="39">
        <v>12.01</v>
      </c>
      <c r="Y77" s="39">
        <v>12.12</v>
      </c>
      <c r="Z77" s="39">
        <v>12.24</v>
      </c>
      <c r="AA77" s="39">
        <v>12.32</v>
      </c>
      <c r="AB77" s="39">
        <v>12.42</v>
      </c>
      <c r="AC77" s="39">
        <v>12.54</v>
      </c>
      <c r="AD77" s="39">
        <v>12.61</v>
      </c>
      <c r="AE77" s="39">
        <v>12.72</v>
      </c>
      <c r="AF77" s="39">
        <v>12.84</v>
      </c>
      <c r="AG77" s="39">
        <v>12.9</v>
      </c>
      <c r="AH77" s="39">
        <v>12.99</v>
      </c>
      <c r="AI77" s="39">
        <v>13.08</v>
      </c>
      <c r="AJ77" s="39">
        <v>13.2</v>
      </c>
      <c r="AK77" s="39">
        <v>13.33</v>
      </c>
      <c r="AL77" s="39">
        <v>13.44</v>
      </c>
      <c r="AM77" s="39">
        <v>13.58</v>
      </c>
      <c r="AN77" s="39">
        <v>13.68</v>
      </c>
      <c r="AO77" s="39">
        <v>13.77</v>
      </c>
      <c r="AP77" s="39">
        <v>13.85</v>
      </c>
      <c r="AQ77" s="39">
        <v>13.92</v>
      </c>
      <c r="AR77" s="39">
        <v>14</v>
      </c>
      <c r="AS77" s="39">
        <v>14.08</v>
      </c>
      <c r="AT77" s="39">
        <v>14.18</v>
      </c>
      <c r="AU77" s="39">
        <v>14.27</v>
      </c>
      <c r="AV77" s="39">
        <v>14.37</v>
      </c>
      <c r="AW77" s="39">
        <v>14.46</v>
      </c>
      <c r="AX77" s="39">
        <v>14.55</v>
      </c>
      <c r="AY77" s="39">
        <v>14.64</v>
      </c>
      <c r="AZ77" s="39">
        <v>14.72</v>
      </c>
      <c r="BA77" s="39">
        <v>14.81</v>
      </c>
      <c r="BB77" s="39">
        <v>14.9</v>
      </c>
      <c r="BC77" s="39">
        <v>14.99</v>
      </c>
      <c r="BD77" s="39">
        <v>15.08</v>
      </c>
      <c r="BE77" s="39">
        <v>15.17</v>
      </c>
      <c r="BF77" s="39">
        <v>15.25</v>
      </c>
      <c r="BG77" s="39">
        <v>15.34</v>
      </c>
      <c r="BH77" s="39">
        <v>15.43</v>
      </c>
      <c r="BI77" s="39">
        <v>15.51</v>
      </c>
      <c r="BJ77" s="39">
        <v>15.6</v>
      </c>
      <c r="BK77" s="39">
        <v>15.69</v>
      </c>
      <c r="BL77" s="39">
        <v>15.77</v>
      </c>
      <c r="BM77" s="39">
        <v>15.86</v>
      </c>
      <c r="BN77" s="39">
        <v>15.94</v>
      </c>
      <c r="BO77" s="39">
        <v>16.03</v>
      </c>
      <c r="BP77" s="39">
        <v>16.11</v>
      </c>
      <c r="BQ77" s="39">
        <v>16.2</v>
      </c>
      <c r="BR77" s="39">
        <v>16.28</v>
      </c>
      <c r="BS77" s="39">
        <v>16.37</v>
      </c>
      <c r="BT77" s="39">
        <v>16.45</v>
      </c>
      <c r="BU77" s="39">
        <v>16.53</v>
      </c>
      <c r="BV77" s="39">
        <v>16.62</v>
      </c>
      <c r="BW77" s="39">
        <v>16.7</v>
      </c>
      <c r="BX77" s="39">
        <v>16.78</v>
      </c>
      <c r="BY77" s="39">
        <v>16.87</v>
      </c>
      <c r="BZ77" s="39">
        <v>16.95</v>
      </c>
      <c r="CA77" s="39">
        <v>17.03</v>
      </c>
      <c r="CB77" s="39">
        <v>17.11</v>
      </c>
      <c r="CC77" s="39">
        <v>17.190000000000001</v>
      </c>
      <c r="CD77" s="39">
        <v>17.28</v>
      </c>
      <c r="CE77" s="39">
        <v>17.36</v>
      </c>
      <c r="CF77" s="39">
        <v>17.440000000000001</v>
      </c>
      <c r="CG77" s="39">
        <v>17.52</v>
      </c>
      <c r="CH77" s="39">
        <v>17.600000000000001</v>
      </c>
      <c r="CI77" s="39">
        <v>17.68</v>
      </c>
      <c r="CJ77" s="39">
        <v>17.760000000000002</v>
      </c>
      <c r="CK77" s="39">
        <v>17.84</v>
      </c>
      <c r="CL77" s="39">
        <v>17.91</v>
      </c>
      <c r="CM77" s="39">
        <v>17.989999999999998</v>
      </c>
      <c r="CN77" s="39">
        <v>18.07</v>
      </c>
      <c r="CO77" s="39">
        <v>18.149999999999999</v>
      </c>
      <c r="CP77" s="39">
        <v>18.23</v>
      </c>
      <c r="CQ77" s="39">
        <v>18.3</v>
      </c>
      <c r="CR77" s="39">
        <v>18.38</v>
      </c>
      <c r="CS77" s="39">
        <v>18.46</v>
      </c>
      <c r="CT77" s="39">
        <v>18.53</v>
      </c>
      <c r="CU77" s="39">
        <v>18.61</v>
      </c>
      <c r="CV77" s="39">
        <v>18.68</v>
      </c>
      <c r="CW77" s="39">
        <v>18.760000000000002</v>
      </c>
      <c r="CX77" s="39">
        <v>18.829999999999998</v>
      </c>
      <c r="CY77" s="39">
        <v>18.91</v>
      </c>
      <c r="CZ77" s="39">
        <v>18.98</v>
      </c>
      <c r="DA77" s="39">
        <v>19.05</v>
      </c>
      <c r="DB77" s="39">
        <v>19.13</v>
      </c>
      <c r="DC77" s="39">
        <v>19.2</v>
      </c>
      <c r="DD77" s="39">
        <v>19.27</v>
      </c>
      <c r="DE77" s="39">
        <v>19.34</v>
      </c>
      <c r="DF77" s="39">
        <v>19.420000000000002</v>
      </c>
      <c r="DG77" s="39">
        <v>19.489999999999998</v>
      </c>
      <c r="DH77" s="39">
        <v>19.559999999999999</v>
      </c>
      <c r="DI77" s="39">
        <v>19.63</v>
      </c>
      <c r="DJ77" s="39">
        <v>19.7</v>
      </c>
      <c r="DK77" s="39">
        <v>19.77</v>
      </c>
      <c r="DL77" s="39">
        <v>19.84</v>
      </c>
      <c r="DM77" s="39">
        <v>19.91</v>
      </c>
      <c r="DN77" s="39">
        <v>19.97</v>
      </c>
      <c r="DO77" s="39">
        <v>20.04</v>
      </c>
      <c r="DP77" s="39">
        <v>20.11</v>
      </c>
      <c r="DQ77" s="39">
        <v>20.18</v>
      </c>
      <c r="DR77" s="39">
        <v>20.239999999999998</v>
      </c>
    </row>
    <row r="78" spans="1:122">
      <c r="A78" s="44">
        <v>76</v>
      </c>
      <c r="B78" s="45"/>
      <c r="C78" s="45"/>
      <c r="D78" s="45"/>
      <c r="E78" s="45"/>
      <c r="F78" s="45"/>
      <c r="G78" s="45"/>
      <c r="H78" s="45"/>
      <c r="I78" s="45"/>
      <c r="J78" s="45"/>
      <c r="K78" s="45"/>
      <c r="L78" s="45"/>
      <c r="M78" s="45"/>
      <c r="N78" s="45"/>
      <c r="O78" s="45"/>
      <c r="P78" s="45"/>
      <c r="Q78" s="45"/>
      <c r="R78" s="45"/>
      <c r="S78" s="45"/>
      <c r="T78" s="45"/>
      <c r="U78" s="45"/>
      <c r="V78" s="39"/>
      <c r="W78" s="39">
        <v>11.28</v>
      </c>
      <c r="X78" s="39">
        <v>11.35</v>
      </c>
      <c r="Y78" s="39">
        <v>11.47</v>
      </c>
      <c r="Z78" s="39">
        <v>11.57</v>
      </c>
      <c r="AA78" s="39">
        <v>11.65</v>
      </c>
      <c r="AB78" s="39">
        <v>11.74</v>
      </c>
      <c r="AC78" s="39">
        <v>11.87</v>
      </c>
      <c r="AD78" s="39">
        <v>11.93</v>
      </c>
      <c r="AE78" s="39">
        <v>12.02</v>
      </c>
      <c r="AF78" s="39">
        <v>12.13</v>
      </c>
      <c r="AG78" s="39">
        <v>12.19</v>
      </c>
      <c r="AH78" s="39">
        <v>12.28</v>
      </c>
      <c r="AI78" s="39">
        <v>12.37</v>
      </c>
      <c r="AJ78" s="39">
        <v>12.48</v>
      </c>
      <c r="AK78" s="39">
        <v>12.6</v>
      </c>
      <c r="AL78" s="39">
        <v>12.72</v>
      </c>
      <c r="AM78" s="39">
        <v>12.85</v>
      </c>
      <c r="AN78" s="39">
        <v>12.94</v>
      </c>
      <c r="AO78" s="39">
        <v>13.03</v>
      </c>
      <c r="AP78" s="39">
        <v>13.1</v>
      </c>
      <c r="AQ78" s="39">
        <v>13.18</v>
      </c>
      <c r="AR78" s="39">
        <v>13.27</v>
      </c>
      <c r="AS78" s="39">
        <v>13.36</v>
      </c>
      <c r="AT78" s="39">
        <v>13.45</v>
      </c>
      <c r="AU78" s="39">
        <v>13.54</v>
      </c>
      <c r="AV78" s="39">
        <v>13.62</v>
      </c>
      <c r="AW78" s="39">
        <v>13.71</v>
      </c>
      <c r="AX78" s="39">
        <v>13.8</v>
      </c>
      <c r="AY78" s="39">
        <v>13.88</v>
      </c>
      <c r="AZ78" s="39">
        <v>13.97</v>
      </c>
      <c r="BA78" s="39">
        <v>14.06</v>
      </c>
      <c r="BB78" s="39">
        <v>14.14</v>
      </c>
      <c r="BC78" s="39">
        <v>14.23</v>
      </c>
      <c r="BD78" s="39">
        <v>14.31</v>
      </c>
      <c r="BE78" s="39">
        <v>14.4</v>
      </c>
      <c r="BF78" s="39">
        <v>14.48</v>
      </c>
      <c r="BG78" s="39">
        <v>14.56</v>
      </c>
      <c r="BH78" s="39">
        <v>14.65</v>
      </c>
      <c r="BI78" s="39">
        <v>14.73</v>
      </c>
      <c r="BJ78" s="39">
        <v>14.81</v>
      </c>
      <c r="BK78" s="39">
        <v>14.9</v>
      </c>
      <c r="BL78" s="39">
        <v>14.98</v>
      </c>
      <c r="BM78" s="39">
        <v>15.06</v>
      </c>
      <c r="BN78" s="39">
        <v>15.15</v>
      </c>
      <c r="BO78" s="39">
        <v>15.23</v>
      </c>
      <c r="BP78" s="39">
        <v>15.31</v>
      </c>
      <c r="BQ78" s="39">
        <v>15.39</v>
      </c>
      <c r="BR78" s="39">
        <v>15.48</v>
      </c>
      <c r="BS78" s="39">
        <v>15.56</v>
      </c>
      <c r="BT78" s="39">
        <v>15.64</v>
      </c>
      <c r="BU78" s="39">
        <v>15.72</v>
      </c>
      <c r="BV78" s="39">
        <v>15.8</v>
      </c>
      <c r="BW78" s="39">
        <v>15.88</v>
      </c>
      <c r="BX78" s="39">
        <v>15.96</v>
      </c>
      <c r="BY78" s="39">
        <v>16.04</v>
      </c>
      <c r="BZ78" s="39">
        <v>16.12</v>
      </c>
      <c r="CA78" s="39">
        <v>16.2</v>
      </c>
      <c r="CB78" s="39">
        <v>16.28</v>
      </c>
      <c r="CC78" s="39">
        <v>16.36</v>
      </c>
      <c r="CD78" s="39">
        <v>16.440000000000001</v>
      </c>
      <c r="CE78" s="39">
        <v>16.52</v>
      </c>
      <c r="CF78" s="39">
        <v>16.600000000000001</v>
      </c>
      <c r="CG78" s="39">
        <v>16.68</v>
      </c>
      <c r="CH78" s="39">
        <v>16.75</v>
      </c>
      <c r="CI78" s="39">
        <v>16.829999999999998</v>
      </c>
      <c r="CJ78" s="39">
        <v>16.91</v>
      </c>
      <c r="CK78" s="39">
        <v>16.989999999999998</v>
      </c>
      <c r="CL78" s="39">
        <v>17.059999999999999</v>
      </c>
      <c r="CM78" s="39">
        <v>17.14</v>
      </c>
      <c r="CN78" s="39">
        <v>17.21</v>
      </c>
      <c r="CO78" s="39">
        <v>17.29</v>
      </c>
      <c r="CP78" s="39">
        <v>17.37</v>
      </c>
      <c r="CQ78" s="39">
        <v>17.440000000000001</v>
      </c>
      <c r="CR78" s="39">
        <v>17.52</v>
      </c>
      <c r="CS78" s="39">
        <v>17.59</v>
      </c>
      <c r="CT78" s="39">
        <v>17.66</v>
      </c>
      <c r="CU78" s="39">
        <v>17.739999999999998</v>
      </c>
      <c r="CV78" s="39">
        <v>17.809999999999999</v>
      </c>
      <c r="CW78" s="39">
        <v>17.88</v>
      </c>
      <c r="CX78" s="39">
        <v>17.96</v>
      </c>
      <c r="CY78" s="39">
        <v>18.03</v>
      </c>
      <c r="CZ78" s="39">
        <v>18.100000000000001</v>
      </c>
      <c r="DA78" s="39">
        <v>18.170000000000002</v>
      </c>
      <c r="DB78" s="39">
        <v>18.25</v>
      </c>
      <c r="DC78" s="39">
        <v>18.32</v>
      </c>
      <c r="DD78" s="39">
        <v>18.39</v>
      </c>
      <c r="DE78" s="39">
        <v>18.46</v>
      </c>
      <c r="DF78" s="39">
        <v>18.53</v>
      </c>
      <c r="DG78" s="39">
        <v>18.600000000000001</v>
      </c>
      <c r="DH78" s="39">
        <v>18.670000000000002</v>
      </c>
      <c r="DI78" s="39">
        <v>18.73</v>
      </c>
      <c r="DJ78" s="39">
        <v>18.8</v>
      </c>
      <c r="DK78" s="39">
        <v>18.87</v>
      </c>
      <c r="DL78" s="39">
        <v>18.940000000000001</v>
      </c>
      <c r="DM78" s="39">
        <v>19.010000000000002</v>
      </c>
      <c r="DN78" s="39">
        <v>19.07</v>
      </c>
      <c r="DO78" s="39">
        <v>19.14</v>
      </c>
      <c r="DP78" s="39">
        <v>19.21</v>
      </c>
      <c r="DQ78" s="39">
        <v>19.27</v>
      </c>
      <c r="DR78" s="39">
        <v>19.34</v>
      </c>
    </row>
    <row r="79" spans="1:122">
      <c r="A79" s="44">
        <v>77</v>
      </c>
      <c r="B79" s="45"/>
      <c r="C79" s="45"/>
      <c r="D79" s="45"/>
      <c r="E79" s="45"/>
      <c r="F79" s="45"/>
      <c r="G79" s="45"/>
      <c r="H79" s="45"/>
      <c r="I79" s="45"/>
      <c r="J79" s="45"/>
      <c r="K79" s="45"/>
      <c r="L79" s="45"/>
      <c r="M79" s="45"/>
      <c r="N79" s="45"/>
      <c r="O79" s="45"/>
      <c r="P79" s="45"/>
      <c r="Q79" s="45"/>
      <c r="R79" s="45"/>
      <c r="S79" s="45"/>
      <c r="T79" s="45"/>
      <c r="U79" s="45"/>
      <c r="V79" s="39"/>
      <c r="W79" s="39">
        <v>10.65</v>
      </c>
      <c r="X79" s="39">
        <v>10.73</v>
      </c>
      <c r="Y79" s="39">
        <v>10.83</v>
      </c>
      <c r="Z79" s="39">
        <v>10.92</v>
      </c>
      <c r="AA79" s="39">
        <v>10.99</v>
      </c>
      <c r="AB79" s="39">
        <v>11.09</v>
      </c>
      <c r="AC79" s="39">
        <v>11.21</v>
      </c>
      <c r="AD79" s="39">
        <v>11.26</v>
      </c>
      <c r="AE79" s="39">
        <v>11.34</v>
      </c>
      <c r="AF79" s="39">
        <v>11.44</v>
      </c>
      <c r="AG79" s="39">
        <v>11.5</v>
      </c>
      <c r="AH79" s="39">
        <v>11.59</v>
      </c>
      <c r="AI79" s="39">
        <v>11.68</v>
      </c>
      <c r="AJ79" s="39">
        <v>11.78</v>
      </c>
      <c r="AK79" s="39">
        <v>11.9</v>
      </c>
      <c r="AL79" s="39">
        <v>12.01</v>
      </c>
      <c r="AM79" s="39">
        <v>12.12</v>
      </c>
      <c r="AN79" s="39">
        <v>12.22</v>
      </c>
      <c r="AO79" s="39">
        <v>12.3</v>
      </c>
      <c r="AP79" s="39">
        <v>12.38</v>
      </c>
      <c r="AQ79" s="39">
        <v>12.47</v>
      </c>
      <c r="AR79" s="39">
        <v>12.55</v>
      </c>
      <c r="AS79" s="39">
        <v>12.63</v>
      </c>
      <c r="AT79" s="39">
        <v>12.72</v>
      </c>
      <c r="AU79" s="39">
        <v>12.8</v>
      </c>
      <c r="AV79" s="39">
        <v>12.89</v>
      </c>
      <c r="AW79" s="39">
        <v>12.97</v>
      </c>
      <c r="AX79" s="39">
        <v>13.06</v>
      </c>
      <c r="AY79" s="39">
        <v>13.14</v>
      </c>
      <c r="AZ79" s="39">
        <v>13.22</v>
      </c>
      <c r="BA79" s="39">
        <v>13.31</v>
      </c>
      <c r="BB79" s="39">
        <v>13.39</v>
      </c>
      <c r="BC79" s="39">
        <v>13.47</v>
      </c>
      <c r="BD79" s="39">
        <v>13.55</v>
      </c>
      <c r="BE79" s="39">
        <v>13.63</v>
      </c>
      <c r="BF79" s="39">
        <v>13.71</v>
      </c>
      <c r="BG79" s="39">
        <v>13.8</v>
      </c>
      <c r="BH79" s="39">
        <v>13.88</v>
      </c>
      <c r="BI79" s="39">
        <v>13.96</v>
      </c>
      <c r="BJ79" s="39">
        <v>14.04</v>
      </c>
      <c r="BK79" s="39">
        <v>14.12</v>
      </c>
      <c r="BL79" s="39">
        <v>14.2</v>
      </c>
      <c r="BM79" s="39">
        <v>14.28</v>
      </c>
      <c r="BN79" s="39">
        <v>14.36</v>
      </c>
      <c r="BO79" s="39">
        <v>14.44</v>
      </c>
      <c r="BP79" s="39">
        <v>14.52</v>
      </c>
      <c r="BQ79" s="39">
        <v>14.6</v>
      </c>
      <c r="BR79" s="39">
        <v>14.68</v>
      </c>
      <c r="BS79" s="39">
        <v>14.76</v>
      </c>
      <c r="BT79" s="39">
        <v>14.84</v>
      </c>
      <c r="BU79" s="39">
        <v>14.92</v>
      </c>
      <c r="BV79" s="39">
        <v>14.99</v>
      </c>
      <c r="BW79" s="39">
        <v>15.07</v>
      </c>
      <c r="BX79" s="39">
        <v>15.15</v>
      </c>
      <c r="BY79" s="39">
        <v>15.23</v>
      </c>
      <c r="BZ79" s="39">
        <v>15.31</v>
      </c>
      <c r="CA79" s="39">
        <v>15.38</v>
      </c>
      <c r="CB79" s="39">
        <v>15.46</v>
      </c>
      <c r="CC79" s="39">
        <v>15.54</v>
      </c>
      <c r="CD79" s="39">
        <v>15.61</v>
      </c>
      <c r="CE79" s="39">
        <v>15.69</v>
      </c>
      <c r="CF79" s="39">
        <v>15.77</v>
      </c>
      <c r="CG79" s="39">
        <v>15.84</v>
      </c>
      <c r="CH79" s="39">
        <v>15.92</v>
      </c>
      <c r="CI79" s="39">
        <v>15.99</v>
      </c>
      <c r="CJ79" s="39">
        <v>16.07</v>
      </c>
      <c r="CK79" s="39">
        <v>16.14</v>
      </c>
      <c r="CL79" s="39">
        <v>16.22</v>
      </c>
      <c r="CM79" s="39">
        <v>16.29</v>
      </c>
      <c r="CN79" s="39">
        <v>16.37</v>
      </c>
      <c r="CO79" s="39">
        <v>16.440000000000001</v>
      </c>
      <c r="CP79" s="39">
        <v>16.510000000000002</v>
      </c>
      <c r="CQ79" s="39">
        <v>16.59</v>
      </c>
      <c r="CR79" s="39">
        <v>16.66</v>
      </c>
      <c r="CS79" s="39">
        <v>16.73</v>
      </c>
      <c r="CT79" s="39">
        <v>16.8</v>
      </c>
      <c r="CU79" s="39">
        <v>16.88</v>
      </c>
      <c r="CV79" s="39">
        <v>16.95</v>
      </c>
      <c r="CW79" s="39">
        <v>17.02</v>
      </c>
      <c r="CX79" s="39">
        <v>17.09</v>
      </c>
      <c r="CY79" s="39">
        <v>17.16</v>
      </c>
      <c r="CZ79" s="39">
        <v>17.23</v>
      </c>
      <c r="DA79" s="39">
        <v>17.3</v>
      </c>
      <c r="DB79" s="39">
        <v>17.37</v>
      </c>
      <c r="DC79" s="39">
        <v>17.440000000000001</v>
      </c>
      <c r="DD79" s="39">
        <v>17.510000000000002</v>
      </c>
      <c r="DE79" s="39">
        <v>17.579999999999998</v>
      </c>
      <c r="DF79" s="39">
        <v>17.649999999999999</v>
      </c>
      <c r="DG79" s="39">
        <v>17.71</v>
      </c>
      <c r="DH79" s="39">
        <v>17.78</v>
      </c>
      <c r="DI79" s="39">
        <v>17.850000000000001</v>
      </c>
      <c r="DJ79" s="39">
        <v>17.91</v>
      </c>
      <c r="DK79" s="39">
        <v>17.98</v>
      </c>
      <c r="DL79" s="39">
        <v>18.05</v>
      </c>
      <c r="DM79" s="39">
        <v>18.11</v>
      </c>
      <c r="DN79" s="39">
        <v>18.18</v>
      </c>
      <c r="DO79" s="39">
        <v>18.239999999999998</v>
      </c>
      <c r="DP79" s="39">
        <v>18.309999999999999</v>
      </c>
      <c r="DQ79" s="39">
        <v>18.37</v>
      </c>
      <c r="DR79" s="39">
        <v>18.440000000000001</v>
      </c>
    </row>
    <row r="80" spans="1:122">
      <c r="A80" s="44">
        <v>78</v>
      </c>
      <c r="B80" s="45"/>
      <c r="C80" s="45"/>
      <c r="D80" s="45"/>
      <c r="E80" s="45"/>
      <c r="F80" s="45"/>
      <c r="G80" s="45"/>
      <c r="H80" s="45"/>
      <c r="I80" s="45"/>
      <c r="J80" s="45"/>
      <c r="K80" s="45"/>
      <c r="L80" s="45"/>
      <c r="M80" s="45"/>
      <c r="N80" s="45"/>
      <c r="O80" s="45"/>
      <c r="P80" s="45"/>
      <c r="Q80" s="45"/>
      <c r="R80" s="45"/>
      <c r="S80" s="45"/>
      <c r="T80" s="45"/>
      <c r="U80" s="45"/>
      <c r="V80" s="39"/>
      <c r="W80" s="39">
        <v>10.039999999999999</v>
      </c>
      <c r="X80" s="39">
        <v>10.1</v>
      </c>
      <c r="Y80" s="39">
        <v>10.19</v>
      </c>
      <c r="Z80" s="39">
        <v>10.28</v>
      </c>
      <c r="AA80" s="39">
        <v>10.35</v>
      </c>
      <c r="AB80" s="39">
        <v>10.44</v>
      </c>
      <c r="AC80" s="39">
        <v>10.54</v>
      </c>
      <c r="AD80" s="39">
        <v>10.6</v>
      </c>
      <c r="AE80" s="39">
        <v>10.67</v>
      </c>
      <c r="AF80" s="39">
        <v>10.77</v>
      </c>
      <c r="AG80" s="39">
        <v>10.83</v>
      </c>
      <c r="AH80" s="39">
        <v>10.91</v>
      </c>
      <c r="AI80" s="39">
        <v>10.99</v>
      </c>
      <c r="AJ80" s="39">
        <v>11.09</v>
      </c>
      <c r="AK80" s="39">
        <v>11.21</v>
      </c>
      <c r="AL80" s="39">
        <v>11.31</v>
      </c>
      <c r="AM80" s="39">
        <v>11.42</v>
      </c>
      <c r="AN80" s="39">
        <v>11.51</v>
      </c>
      <c r="AO80" s="39">
        <v>11.59</v>
      </c>
      <c r="AP80" s="39">
        <v>11.67</v>
      </c>
      <c r="AQ80" s="39">
        <v>11.75</v>
      </c>
      <c r="AR80" s="39">
        <v>11.84</v>
      </c>
      <c r="AS80" s="39">
        <v>11.92</v>
      </c>
      <c r="AT80" s="39">
        <v>12</v>
      </c>
      <c r="AU80" s="39">
        <v>12.08</v>
      </c>
      <c r="AV80" s="39">
        <v>12.17</v>
      </c>
      <c r="AW80" s="39">
        <v>12.25</v>
      </c>
      <c r="AX80" s="39">
        <v>12.33</v>
      </c>
      <c r="AY80" s="39">
        <v>12.41</v>
      </c>
      <c r="AZ80" s="39">
        <v>12.49</v>
      </c>
      <c r="BA80" s="39">
        <v>12.57</v>
      </c>
      <c r="BB80" s="39">
        <v>12.64</v>
      </c>
      <c r="BC80" s="39">
        <v>12.72</v>
      </c>
      <c r="BD80" s="39">
        <v>12.8</v>
      </c>
      <c r="BE80" s="39">
        <v>12.88</v>
      </c>
      <c r="BF80" s="39">
        <v>12.96</v>
      </c>
      <c r="BG80" s="39">
        <v>13.04</v>
      </c>
      <c r="BH80" s="39">
        <v>13.12</v>
      </c>
      <c r="BI80" s="39">
        <v>13.19</v>
      </c>
      <c r="BJ80" s="39">
        <v>13.27</v>
      </c>
      <c r="BK80" s="39">
        <v>13.35</v>
      </c>
      <c r="BL80" s="39">
        <v>13.43</v>
      </c>
      <c r="BM80" s="39">
        <v>13.51</v>
      </c>
      <c r="BN80" s="39">
        <v>13.58</v>
      </c>
      <c r="BO80" s="39">
        <v>13.66</v>
      </c>
      <c r="BP80" s="39">
        <v>13.74</v>
      </c>
      <c r="BQ80" s="39">
        <v>13.81</v>
      </c>
      <c r="BR80" s="39">
        <v>13.89</v>
      </c>
      <c r="BS80" s="39">
        <v>13.97</v>
      </c>
      <c r="BT80" s="39">
        <v>14.04</v>
      </c>
      <c r="BU80" s="39">
        <v>14.12</v>
      </c>
      <c r="BV80" s="39">
        <v>14.2</v>
      </c>
      <c r="BW80" s="39">
        <v>14.27</v>
      </c>
      <c r="BX80" s="39">
        <v>14.35</v>
      </c>
      <c r="BY80" s="39">
        <v>14.42</v>
      </c>
      <c r="BZ80" s="39">
        <v>14.5</v>
      </c>
      <c r="CA80" s="39">
        <v>14.57</v>
      </c>
      <c r="CB80" s="39">
        <v>14.65</v>
      </c>
      <c r="CC80" s="39">
        <v>14.72</v>
      </c>
      <c r="CD80" s="39">
        <v>14.8</v>
      </c>
      <c r="CE80" s="39">
        <v>14.87</v>
      </c>
      <c r="CF80" s="39">
        <v>14.95</v>
      </c>
      <c r="CG80" s="39">
        <v>15.02</v>
      </c>
      <c r="CH80" s="39">
        <v>15.09</v>
      </c>
      <c r="CI80" s="39">
        <v>15.17</v>
      </c>
      <c r="CJ80" s="39">
        <v>15.24</v>
      </c>
      <c r="CK80" s="39">
        <v>15.31</v>
      </c>
      <c r="CL80" s="39">
        <v>15.38</v>
      </c>
      <c r="CM80" s="39">
        <v>15.46</v>
      </c>
      <c r="CN80" s="39">
        <v>15.53</v>
      </c>
      <c r="CO80" s="39">
        <v>15.6</v>
      </c>
      <c r="CP80" s="39">
        <v>15.67</v>
      </c>
      <c r="CQ80" s="39">
        <v>15.74</v>
      </c>
      <c r="CR80" s="39">
        <v>15.81</v>
      </c>
      <c r="CS80" s="39">
        <v>15.88</v>
      </c>
      <c r="CT80" s="39">
        <v>15.95</v>
      </c>
      <c r="CU80" s="39">
        <v>16.02</v>
      </c>
      <c r="CV80" s="39">
        <v>16.09</v>
      </c>
      <c r="CW80" s="39">
        <v>16.16</v>
      </c>
      <c r="CX80" s="39">
        <v>16.23</v>
      </c>
      <c r="CY80" s="39">
        <v>16.3</v>
      </c>
      <c r="CZ80" s="39">
        <v>16.37</v>
      </c>
      <c r="DA80" s="39">
        <v>16.440000000000001</v>
      </c>
      <c r="DB80" s="39">
        <v>16.5</v>
      </c>
      <c r="DC80" s="39">
        <v>16.57</v>
      </c>
      <c r="DD80" s="39">
        <v>16.64</v>
      </c>
      <c r="DE80" s="39">
        <v>16.7</v>
      </c>
      <c r="DF80" s="39">
        <v>16.77</v>
      </c>
      <c r="DG80" s="39">
        <v>16.84</v>
      </c>
      <c r="DH80" s="39">
        <v>16.899999999999999</v>
      </c>
      <c r="DI80" s="39">
        <v>16.97</v>
      </c>
      <c r="DJ80" s="39">
        <v>17.03</v>
      </c>
      <c r="DK80" s="39">
        <v>17.100000000000001</v>
      </c>
      <c r="DL80" s="39">
        <v>17.16</v>
      </c>
      <c r="DM80" s="39">
        <v>17.23</v>
      </c>
      <c r="DN80" s="39">
        <v>17.29</v>
      </c>
      <c r="DO80" s="39">
        <v>17.36</v>
      </c>
      <c r="DP80" s="39">
        <v>17.420000000000002</v>
      </c>
      <c r="DQ80" s="39">
        <v>17.48</v>
      </c>
      <c r="DR80" s="39">
        <v>17.54</v>
      </c>
    </row>
    <row r="81" spans="1:122">
      <c r="A81" s="44">
        <v>79</v>
      </c>
      <c r="B81" s="45"/>
      <c r="C81" s="45"/>
      <c r="D81" s="45"/>
      <c r="E81" s="45"/>
      <c r="F81" s="45"/>
      <c r="G81" s="45"/>
      <c r="H81" s="45"/>
      <c r="I81" s="45"/>
      <c r="J81" s="45"/>
      <c r="K81" s="45"/>
      <c r="L81" s="45"/>
      <c r="M81" s="45"/>
      <c r="N81" s="45"/>
      <c r="O81" s="45"/>
      <c r="P81" s="45"/>
      <c r="Q81" s="45"/>
      <c r="R81" s="45"/>
      <c r="S81" s="45"/>
      <c r="T81" s="45"/>
      <c r="U81" s="45"/>
      <c r="V81" s="39"/>
      <c r="W81" s="39">
        <v>9.44</v>
      </c>
      <c r="X81" s="39">
        <v>9.48</v>
      </c>
      <c r="Y81" s="39">
        <v>9.58</v>
      </c>
      <c r="Z81" s="39">
        <v>9.67</v>
      </c>
      <c r="AA81" s="39">
        <v>9.7200000000000006</v>
      </c>
      <c r="AB81" s="39">
        <v>9.8000000000000007</v>
      </c>
      <c r="AC81" s="39">
        <v>9.9</v>
      </c>
      <c r="AD81" s="39">
        <v>9.94</v>
      </c>
      <c r="AE81" s="39">
        <v>10.02</v>
      </c>
      <c r="AF81" s="39">
        <v>10.119999999999999</v>
      </c>
      <c r="AG81" s="39">
        <v>10.17</v>
      </c>
      <c r="AH81" s="39">
        <v>10.25</v>
      </c>
      <c r="AI81" s="39">
        <v>10.33</v>
      </c>
      <c r="AJ81" s="39">
        <v>10.43</v>
      </c>
      <c r="AK81" s="39">
        <v>10.53</v>
      </c>
      <c r="AL81" s="39">
        <v>10.63</v>
      </c>
      <c r="AM81" s="39">
        <v>10.73</v>
      </c>
      <c r="AN81" s="39">
        <v>10.82</v>
      </c>
      <c r="AO81" s="39">
        <v>10.9</v>
      </c>
      <c r="AP81" s="39">
        <v>10.98</v>
      </c>
      <c r="AQ81" s="39">
        <v>11.06</v>
      </c>
      <c r="AR81" s="39">
        <v>11.14</v>
      </c>
      <c r="AS81" s="39">
        <v>11.22</v>
      </c>
      <c r="AT81" s="39">
        <v>11.3</v>
      </c>
      <c r="AU81" s="39">
        <v>11.38</v>
      </c>
      <c r="AV81" s="39">
        <v>11.45</v>
      </c>
      <c r="AW81" s="39">
        <v>11.53</v>
      </c>
      <c r="AX81" s="39">
        <v>11.61</v>
      </c>
      <c r="AY81" s="39">
        <v>11.69</v>
      </c>
      <c r="AZ81" s="39">
        <v>11.76</v>
      </c>
      <c r="BA81" s="39">
        <v>11.84</v>
      </c>
      <c r="BB81" s="39">
        <v>11.91</v>
      </c>
      <c r="BC81" s="39">
        <v>11.99</v>
      </c>
      <c r="BD81" s="39">
        <v>12.07</v>
      </c>
      <c r="BE81" s="39">
        <v>12.14</v>
      </c>
      <c r="BF81" s="39">
        <v>12.22</v>
      </c>
      <c r="BG81" s="39">
        <v>12.29</v>
      </c>
      <c r="BH81" s="39">
        <v>12.37</v>
      </c>
      <c r="BI81" s="39">
        <v>12.44</v>
      </c>
      <c r="BJ81" s="39">
        <v>12.52</v>
      </c>
      <c r="BK81" s="39">
        <v>12.59</v>
      </c>
      <c r="BL81" s="39">
        <v>12.67</v>
      </c>
      <c r="BM81" s="39">
        <v>12.74</v>
      </c>
      <c r="BN81" s="39">
        <v>12.82</v>
      </c>
      <c r="BO81" s="39">
        <v>12.89</v>
      </c>
      <c r="BP81" s="39">
        <v>12.97</v>
      </c>
      <c r="BQ81" s="39">
        <v>13.04</v>
      </c>
      <c r="BR81" s="39">
        <v>13.12</v>
      </c>
      <c r="BS81" s="39">
        <v>13.19</v>
      </c>
      <c r="BT81" s="39">
        <v>13.26</v>
      </c>
      <c r="BU81" s="39">
        <v>13.34</v>
      </c>
      <c r="BV81" s="39">
        <v>13.41</v>
      </c>
      <c r="BW81" s="39">
        <v>13.48</v>
      </c>
      <c r="BX81" s="39">
        <v>13.56</v>
      </c>
      <c r="BY81" s="39">
        <v>13.63</v>
      </c>
      <c r="BZ81" s="39">
        <v>13.7</v>
      </c>
      <c r="CA81" s="39">
        <v>13.78</v>
      </c>
      <c r="CB81" s="39">
        <v>13.85</v>
      </c>
      <c r="CC81" s="39">
        <v>13.92</v>
      </c>
      <c r="CD81" s="39">
        <v>13.99</v>
      </c>
      <c r="CE81" s="39">
        <v>14.06</v>
      </c>
      <c r="CF81" s="39">
        <v>14.14</v>
      </c>
      <c r="CG81" s="39">
        <v>14.21</v>
      </c>
      <c r="CH81" s="39">
        <v>14.28</v>
      </c>
      <c r="CI81" s="39">
        <v>14.35</v>
      </c>
      <c r="CJ81" s="39">
        <v>14.42</v>
      </c>
      <c r="CK81" s="39">
        <v>14.49</v>
      </c>
      <c r="CL81" s="39">
        <v>14.56</v>
      </c>
      <c r="CM81" s="39">
        <v>14.63</v>
      </c>
      <c r="CN81" s="39">
        <v>14.7</v>
      </c>
      <c r="CO81" s="39">
        <v>14.77</v>
      </c>
      <c r="CP81" s="39">
        <v>14.84</v>
      </c>
      <c r="CQ81" s="39">
        <v>14.91</v>
      </c>
      <c r="CR81" s="39">
        <v>14.98</v>
      </c>
      <c r="CS81" s="39">
        <v>15.04</v>
      </c>
      <c r="CT81" s="39">
        <v>15.11</v>
      </c>
      <c r="CU81" s="39">
        <v>15.18</v>
      </c>
      <c r="CV81" s="39">
        <v>15.25</v>
      </c>
      <c r="CW81" s="39">
        <v>15.31</v>
      </c>
      <c r="CX81" s="39">
        <v>15.38</v>
      </c>
      <c r="CY81" s="39">
        <v>15.45</v>
      </c>
      <c r="CZ81" s="39">
        <v>15.52</v>
      </c>
      <c r="DA81" s="39">
        <v>15.58</v>
      </c>
      <c r="DB81" s="39">
        <v>15.65</v>
      </c>
      <c r="DC81" s="39">
        <v>15.71</v>
      </c>
      <c r="DD81" s="39">
        <v>15.78</v>
      </c>
      <c r="DE81" s="39">
        <v>15.84</v>
      </c>
      <c r="DF81" s="39">
        <v>15.91</v>
      </c>
      <c r="DG81" s="39">
        <v>15.97</v>
      </c>
      <c r="DH81" s="39">
        <v>16.04</v>
      </c>
      <c r="DI81" s="39">
        <v>16.100000000000001</v>
      </c>
      <c r="DJ81" s="39">
        <v>16.16</v>
      </c>
      <c r="DK81" s="39">
        <v>16.23</v>
      </c>
      <c r="DL81" s="39">
        <v>16.29</v>
      </c>
      <c r="DM81" s="39">
        <v>16.350000000000001</v>
      </c>
      <c r="DN81" s="39">
        <v>16.41</v>
      </c>
      <c r="DO81" s="39">
        <v>16.48</v>
      </c>
      <c r="DP81" s="39">
        <v>16.54</v>
      </c>
      <c r="DQ81" s="39">
        <v>16.600000000000001</v>
      </c>
      <c r="DR81" s="39">
        <v>16.66</v>
      </c>
    </row>
    <row r="82" spans="1:122">
      <c r="A82" s="44">
        <v>80</v>
      </c>
      <c r="B82" s="45"/>
      <c r="C82" s="45"/>
      <c r="D82" s="45"/>
      <c r="E82" s="45"/>
      <c r="F82" s="45"/>
      <c r="G82" s="45"/>
      <c r="H82" s="45"/>
      <c r="I82" s="45"/>
      <c r="J82" s="45"/>
      <c r="K82" s="45"/>
      <c r="L82" s="45"/>
      <c r="M82" s="45"/>
      <c r="N82" s="45"/>
      <c r="O82" s="45"/>
      <c r="P82" s="45"/>
      <c r="Q82" s="45"/>
      <c r="R82" s="45"/>
      <c r="S82" s="45"/>
      <c r="T82" s="45"/>
      <c r="U82" s="45"/>
      <c r="V82" s="39"/>
      <c r="W82" s="39">
        <v>8.85</v>
      </c>
      <c r="X82" s="39">
        <v>8.89</v>
      </c>
      <c r="Y82" s="39">
        <v>8.99</v>
      </c>
      <c r="Z82" s="39">
        <v>9.07</v>
      </c>
      <c r="AA82" s="39">
        <v>9.11</v>
      </c>
      <c r="AB82" s="39">
        <v>9.18</v>
      </c>
      <c r="AC82" s="39">
        <v>9.27</v>
      </c>
      <c r="AD82" s="39">
        <v>9.32</v>
      </c>
      <c r="AE82" s="39">
        <v>9.4</v>
      </c>
      <c r="AF82" s="39">
        <v>9.48</v>
      </c>
      <c r="AG82" s="39">
        <v>9.5399999999999991</v>
      </c>
      <c r="AH82" s="39">
        <v>9.61</v>
      </c>
      <c r="AI82" s="39">
        <v>9.6999999999999993</v>
      </c>
      <c r="AJ82" s="39">
        <v>9.7799999999999994</v>
      </c>
      <c r="AK82" s="39">
        <v>9.8800000000000008</v>
      </c>
      <c r="AL82" s="39">
        <v>9.9700000000000006</v>
      </c>
      <c r="AM82" s="39">
        <v>10.07</v>
      </c>
      <c r="AN82" s="39">
        <v>10.16</v>
      </c>
      <c r="AO82" s="39">
        <v>10.23</v>
      </c>
      <c r="AP82" s="39">
        <v>10.31</v>
      </c>
      <c r="AQ82" s="39">
        <v>10.38</v>
      </c>
      <c r="AR82" s="39">
        <v>10.46</v>
      </c>
      <c r="AS82" s="39">
        <v>10.53</v>
      </c>
      <c r="AT82" s="39">
        <v>10.61</v>
      </c>
      <c r="AU82" s="39">
        <v>10.69</v>
      </c>
      <c r="AV82" s="39">
        <v>10.76</v>
      </c>
      <c r="AW82" s="39">
        <v>10.83</v>
      </c>
      <c r="AX82" s="39">
        <v>10.91</v>
      </c>
      <c r="AY82" s="39">
        <v>10.98</v>
      </c>
      <c r="AZ82" s="39">
        <v>11.05</v>
      </c>
      <c r="BA82" s="39">
        <v>11.13</v>
      </c>
      <c r="BB82" s="39">
        <v>11.2</v>
      </c>
      <c r="BC82" s="39">
        <v>11.27</v>
      </c>
      <c r="BD82" s="39">
        <v>11.35</v>
      </c>
      <c r="BE82" s="39">
        <v>11.42</v>
      </c>
      <c r="BF82" s="39">
        <v>11.49</v>
      </c>
      <c r="BG82" s="39">
        <v>11.56</v>
      </c>
      <c r="BH82" s="39">
        <v>11.64</v>
      </c>
      <c r="BI82" s="39">
        <v>11.71</v>
      </c>
      <c r="BJ82" s="39">
        <v>11.78</v>
      </c>
      <c r="BK82" s="39">
        <v>11.85</v>
      </c>
      <c r="BL82" s="39">
        <v>11.93</v>
      </c>
      <c r="BM82" s="39">
        <v>12</v>
      </c>
      <c r="BN82" s="39">
        <v>12.07</v>
      </c>
      <c r="BO82" s="39">
        <v>12.14</v>
      </c>
      <c r="BP82" s="39">
        <v>12.21</v>
      </c>
      <c r="BQ82" s="39">
        <v>12.28</v>
      </c>
      <c r="BR82" s="39">
        <v>12.36</v>
      </c>
      <c r="BS82" s="39">
        <v>12.43</v>
      </c>
      <c r="BT82" s="39">
        <v>12.5</v>
      </c>
      <c r="BU82" s="39">
        <v>12.57</v>
      </c>
      <c r="BV82" s="39">
        <v>12.64</v>
      </c>
      <c r="BW82" s="39">
        <v>12.71</v>
      </c>
      <c r="BX82" s="39">
        <v>12.78</v>
      </c>
      <c r="BY82" s="39">
        <v>12.85</v>
      </c>
      <c r="BZ82" s="39">
        <v>12.92</v>
      </c>
      <c r="CA82" s="39">
        <v>12.99</v>
      </c>
      <c r="CB82" s="39">
        <v>13.06</v>
      </c>
      <c r="CC82" s="39">
        <v>13.13</v>
      </c>
      <c r="CD82" s="39">
        <v>13.2</v>
      </c>
      <c r="CE82" s="39">
        <v>13.27</v>
      </c>
      <c r="CF82" s="39">
        <v>13.34</v>
      </c>
      <c r="CG82" s="39">
        <v>13.41</v>
      </c>
      <c r="CH82" s="39">
        <v>13.48</v>
      </c>
      <c r="CI82" s="39">
        <v>13.55</v>
      </c>
      <c r="CJ82" s="39">
        <v>13.61</v>
      </c>
      <c r="CK82" s="39">
        <v>13.68</v>
      </c>
      <c r="CL82" s="39">
        <v>13.75</v>
      </c>
      <c r="CM82" s="39">
        <v>13.82</v>
      </c>
      <c r="CN82" s="39">
        <v>13.88</v>
      </c>
      <c r="CO82" s="39">
        <v>13.95</v>
      </c>
      <c r="CP82" s="39">
        <v>14.02</v>
      </c>
      <c r="CQ82" s="39">
        <v>14.09</v>
      </c>
      <c r="CR82" s="39">
        <v>14.15</v>
      </c>
      <c r="CS82" s="39">
        <v>14.22</v>
      </c>
      <c r="CT82" s="39">
        <v>14.28</v>
      </c>
      <c r="CU82" s="39">
        <v>14.35</v>
      </c>
      <c r="CV82" s="39">
        <v>14.42</v>
      </c>
      <c r="CW82" s="39">
        <v>14.48</v>
      </c>
      <c r="CX82" s="39">
        <v>14.55</v>
      </c>
      <c r="CY82" s="39">
        <v>14.61</v>
      </c>
      <c r="CZ82" s="39">
        <v>14.67</v>
      </c>
      <c r="DA82" s="39">
        <v>14.74</v>
      </c>
      <c r="DB82" s="39">
        <v>14.8</v>
      </c>
      <c r="DC82" s="39">
        <v>14.87</v>
      </c>
      <c r="DD82" s="39">
        <v>14.93</v>
      </c>
      <c r="DE82" s="39">
        <v>14.99</v>
      </c>
      <c r="DF82" s="39">
        <v>15.06</v>
      </c>
      <c r="DG82" s="39">
        <v>15.12</v>
      </c>
      <c r="DH82" s="39">
        <v>15.18</v>
      </c>
      <c r="DI82" s="39">
        <v>15.24</v>
      </c>
      <c r="DJ82" s="39">
        <v>15.3</v>
      </c>
      <c r="DK82" s="39">
        <v>15.37</v>
      </c>
      <c r="DL82" s="39">
        <v>15.43</v>
      </c>
      <c r="DM82" s="39">
        <v>15.49</v>
      </c>
      <c r="DN82" s="39">
        <v>15.55</v>
      </c>
      <c r="DO82" s="39">
        <v>15.61</v>
      </c>
      <c r="DP82" s="39">
        <v>15.67</v>
      </c>
      <c r="DQ82" s="39">
        <v>15.73</v>
      </c>
      <c r="DR82" s="39">
        <v>15.79</v>
      </c>
    </row>
    <row r="83" spans="1:122">
      <c r="A83" s="44">
        <v>81</v>
      </c>
      <c r="B83" s="45"/>
      <c r="C83" s="45"/>
      <c r="D83" s="45"/>
      <c r="E83" s="45"/>
      <c r="F83" s="45"/>
      <c r="G83" s="45"/>
      <c r="H83" s="45"/>
      <c r="I83" s="45"/>
      <c r="J83" s="45"/>
      <c r="K83" s="45"/>
      <c r="L83" s="45"/>
      <c r="M83" s="45"/>
      <c r="N83" s="45"/>
      <c r="O83" s="45"/>
      <c r="P83" s="45"/>
      <c r="Q83" s="45"/>
      <c r="R83" s="45"/>
      <c r="S83" s="45"/>
      <c r="T83" s="45"/>
      <c r="U83" s="45"/>
      <c r="V83" s="39"/>
      <c r="W83" s="39">
        <v>8.2899999999999991</v>
      </c>
      <c r="X83" s="39">
        <v>8.34</v>
      </c>
      <c r="Y83" s="39">
        <v>8.41</v>
      </c>
      <c r="Z83" s="39">
        <v>8.48</v>
      </c>
      <c r="AA83" s="39">
        <v>8.52</v>
      </c>
      <c r="AB83" s="39">
        <v>8.59</v>
      </c>
      <c r="AC83" s="39">
        <v>8.67</v>
      </c>
      <c r="AD83" s="39">
        <v>8.7200000000000006</v>
      </c>
      <c r="AE83" s="39">
        <v>8.7799999999999994</v>
      </c>
      <c r="AF83" s="39">
        <v>8.8699999999999992</v>
      </c>
      <c r="AG83" s="39">
        <v>8.92</v>
      </c>
      <c r="AH83" s="39">
        <v>9</v>
      </c>
      <c r="AI83" s="39">
        <v>9.07</v>
      </c>
      <c r="AJ83" s="39">
        <v>9.16</v>
      </c>
      <c r="AK83" s="39">
        <v>9.25</v>
      </c>
      <c r="AL83" s="39">
        <v>9.34</v>
      </c>
      <c r="AM83" s="39">
        <v>9.43</v>
      </c>
      <c r="AN83" s="39">
        <v>9.5</v>
      </c>
      <c r="AO83" s="39">
        <v>9.58</v>
      </c>
      <c r="AP83" s="39">
        <v>9.65</v>
      </c>
      <c r="AQ83" s="39">
        <v>9.7200000000000006</v>
      </c>
      <c r="AR83" s="39">
        <v>9.8000000000000007</v>
      </c>
      <c r="AS83" s="39">
        <v>9.8699999999999992</v>
      </c>
      <c r="AT83" s="39">
        <v>9.94</v>
      </c>
      <c r="AU83" s="39">
        <v>10.01</v>
      </c>
      <c r="AV83" s="39">
        <v>10.08</v>
      </c>
      <c r="AW83" s="39">
        <v>10.15</v>
      </c>
      <c r="AX83" s="39">
        <v>10.220000000000001</v>
      </c>
      <c r="AY83" s="39">
        <v>10.29</v>
      </c>
      <c r="AZ83" s="39">
        <v>10.36</v>
      </c>
      <c r="BA83" s="39">
        <v>10.43</v>
      </c>
      <c r="BB83" s="39">
        <v>10.5</v>
      </c>
      <c r="BC83" s="39">
        <v>10.57</v>
      </c>
      <c r="BD83" s="39">
        <v>10.64</v>
      </c>
      <c r="BE83" s="39">
        <v>10.71</v>
      </c>
      <c r="BF83" s="39">
        <v>10.78</v>
      </c>
      <c r="BG83" s="39">
        <v>10.85</v>
      </c>
      <c r="BH83" s="39">
        <v>10.92</v>
      </c>
      <c r="BI83" s="39">
        <v>10.99</v>
      </c>
      <c r="BJ83" s="39">
        <v>11.06</v>
      </c>
      <c r="BK83" s="39">
        <v>11.13</v>
      </c>
      <c r="BL83" s="39">
        <v>11.2</v>
      </c>
      <c r="BM83" s="39">
        <v>11.27</v>
      </c>
      <c r="BN83" s="39">
        <v>11.34</v>
      </c>
      <c r="BO83" s="39">
        <v>11.41</v>
      </c>
      <c r="BP83" s="39">
        <v>11.48</v>
      </c>
      <c r="BQ83" s="39">
        <v>11.54</v>
      </c>
      <c r="BR83" s="39">
        <v>11.61</v>
      </c>
      <c r="BS83" s="39">
        <v>11.68</v>
      </c>
      <c r="BT83" s="39">
        <v>11.75</v>
      </c>
      <c r="BU83" s="39">
        <v>11.82</v>
      </c>
      <c r="BV83" s="39">
        <v>11.89</v>
      </c>
      <c r="BW83" s="39">
        <v>11.95</v>
      </c>
      <c r="BX83" s="39">
        <v>12.02</v>
      </c>
      <c r="BY83" s="39">
        <v>12.09</v>
      </c>
      <c r="BZ83" s="39">
        <v>12.16</v>
      </c>
      <c r="CA83" s="39">
        <v>12.22</v>
      </c>
      <c r="CB83" s="39">
        <v>12.29</v>
      </c>
      <c r="CC83" s="39">
        <v>12.36</v>
      </c>
      <c r="CD83" s="39">
        <v>12.43</v>
      </c>
      <c r="CE83" s="39">
        <v>12.49</v>
      </c>
      <c r="CF83" s="39">
        <v>12.56</v>
      </c>
      <c r="CG83" s="39">
        <v>12.63</v>
      </c>
      <c r="CH83" s="39">
        <v>12.69</v>
      </c>
      <c r="CI83" s="39">
        <v>12.76</v>
      </c>
      <c r="CJ83" s="39">
        <v>12.82</v>
      </c>
      <c r="CK83" s="39">
        <v>12.89</v>
      </c>
      <c r="CL83" s="39">
        <v>12.96</v>
      </c>
      <c r="CM83" s="39">
        <v>13.02</v>
      </c>
      <c r="CN83" s="39">
        <v>13.09</v>
      </c>
      <c r="CO83" s="39">
        <v>13.15</v>
      </c>
      <c r="CP83" s="39">
        <v>13.22</v>
      </c>
      <c r="CQ83" s="39">
        <v>13.28</v>
      </c>
      <c r="CR83" s="39">
        <v>13.34</v>
      </c>
      <c r="CS83" s="39">
        <v>13.41</v>
      </c>
      <c r="CT83" s="39">
        <v>13.47</v>
      </c>
      <c r="CU83" s="39">
        <v>13.54</v>
      </c>
      <c r="CV83" s="39">
        <v>13.6</v>
      </c>
      <c r="CW83" s="39">
        <v>13.66</v>
      </c>
      <c r="CX83" s="39">
        <v>13.72</v>
      </c>
      <c r="CY83" s="39">
        <v>13.79</v>
      </c>
      <c r="CZ83" s="39">
        <v>13.85</v>
      </c>
      <c r="DA83" s="39">
        <v>13.91</v>
      </c>
      <c r="DB83" s="39">
        <v>13.97</v>
      </c>
      <c r="DC83" s="39">
        <v>14.03</v>
      </c>
      <c r="DD83" s="39">
        <v>14.1</v>
      </c>
      <c r="DE83" s="39">
        <v>14.16</v>
      </c>
      <c r="DF83" s="39">
        <v>14.22</v>
      </c>
      <c r="DG83" s="39">
        <v>14.28</v>
      </c>
      <c r="DH83" s="39">
        <v>14.34</v>
      </c>
      <c r="DI83" s="39">
        <v>14.4</v>
      </c>
      <c r="DJ83" s="39">
        <v>14.46</v>
      </c>
      <c r="DK83" s="39">
        <v>14.52</v>
      </c>
      <c r="DL83" s="39">
        <v>14.58</v>
      </c>
      <c r="DM83" s="39">
        <v>14.64</v>
      </c>
      <c r="DN83" s="39">
        <v>14.69</v>
      </c>
      <c r="DO83" s="39">
        <v>14.75</v>
      </c>
      <c r="DP83" s="39">
        <v>14.81</v>
      </c>
      <c r="DQ83" s="39">
        <v>14.87</v>
      </c>
      <c r="DR83" s="39">
        <v>14.93</v>
      </c>
    </row>
    <row r="84" spans="1:122">
      <c r="A84" s="44">
        <v>82</v>
      </c>
      <c r="B84" s="45"/>
      <c r="C84" s="45"/>
      <c r="D84" s="45"/>
      <c r="E84" s="45"/>
      <c r="F84" s="45"/>
      <c r="G84" s="45"/>
      <c r="H84" s="45"/>
      <c r="I84" s="45"/>
      <c r="J84" s="45"/>
      <c r="K84" s="45"/>
      <c r="L84" s="45"/>
      <c r="M84" s="45"/>
      <c r="N84" s="45"/>
      <c r="O84" s="45"/>
      <c r="P84" s="45"/>
      <c r="Q84" s="45"/>
      <c r="R84" s="45"/>
      <c r="S84" s="45"/>
      <c r="T84" s="45"/>
      <c r="U84" s="45"/>
      <c r="V84" s="39"/>
      <c r="W84" s="39">
        <v>7.76</v>
      </c>
      <c r="X84" s="39">
        <v>7.79</v>
      </c>
      <c r="Y84" s="39">
        <v>7.85</v>
      </c>
      <c r="Z84" s="39">
        <v>7.91</v>
      </c>
      <c r="AA84" s="39">
        <v>7.95</v>
      </c>
      <c r="AB84" s="39">
        <v>8.02</v>
      </c>
      <c r="AC84" s="39">
        <v>8.09</v>
      </c>
      <c r="AD84" s="39">
        <v>8.1300000000000008</v>
      </c>
      <c r="AE84" s="39">
        <v>8.19</v>
      </c>
      <c r="AF84" s="39">
        <v>8.2799999999999994</v>
      </c>
      <c r="AG84" s="39">
        <v>8.34</v>
      </c>
      <c r="AH84" s="39">
        <v>8.39</v>
      </c>
      <c r="AI84" s="39">
        <v>8.48</v>
      </c>
      <c r="AJ84" s="39">
        <v>8.5500000000000007</v>
      </c>
      <c r="AK84" s="39">
        <v>8.65</v>
      </c>
      <c r="AL84" s="39">
        <v>8.73</v>
      </c>
      <c r="AM84" s="39">
        <v>8.8000000000000007</v>
      </c>
      <c r="AN84" s="39">
        <v>8.8800000000000008</v>
      </c>
      <c r="AO84" s="39">
        <v>8.9499999999999993</v>
      </c>
      <c r="AP84" s="39">
        <v>9.02</v>
      </c>
      <c r="AQ84" s="39">
        <v>9.09</v>
      </c>
      <c r="AR84" s="39">
        <v>9.16</v>
      </c>
      <c r="AS84" s="39">
        <v>9.2200000000000006</v>
      </c>
      <c r="AT84" s="39">
        <v>9.2899999999999991</v>
      </c>
      <c r="AU84" s="39">
        <v>9.36</v>
      </c>
      <c r="AV84" s="39">
        <v>9.43</v>
      </c>
      <c r="AW84" s="39">
        <v>9.5</v>
      </c>
      <c r="AX84" s="39">
        <v>9.56</v>
      </c>
      <c r="AY84" s="39">
        <v>9.6300000000000008</v>
      </c>
      <c r="AZ84" s="39">
        <v>9.6999999999999993</v>
      </c>
      <c r="BA84" s="39">
        <v>9.76</v>
      </c>
      <c r="BB84" s="39">
        <v>9.83</v>
      </c>
      <c r="BC84" s="39">
        <v>9.9</v>
      </c>
      <c r="BD84" s="39">
        <v>9.9600000000000009</v>
      </c>
      <c r="BE84" s="39">
        <v>10.029999999999999</v>
      </c>
      <c r="BF84" s="39">
        <v>10.1</v>
      </c>
      <c r="BG84" s="39">
        <v>10.16</v>
      </c>
      <c r="BH84" s="39">
        <v>10.23</v>
      </c>
      <c r="BI84" s="39">
        <v>10.29</v>
      </c>
      <c r="BJ84" s="39">
        <v>10.36</v>
      </c>
      <c r="BK84" s="39">
        <v>10.43</v>
      </c>
      <c r="BL84" s="39">
        <v>10.49</v>
      </c>
      <c r="BM84" s="39">
        <v>10.56</v>
      </c>
      <c r="BN84" s="39">
        <v>10.63</v>
      </c>
      <c r="BO84" s="39">
        <v>10.69</v>
      </c>
      <c r="BP84" s="39">
        <v>10.76</v>
      </c>
      <c r="BQ84" s="39">
        <v>10.82</v>
      </c>
      <c r="BR84" s="39">
        <v>10.89</v>
      </c>
      <c r="BS84" s="39">
        <v>10.96</v>
      </c>
      <c r="BT84" s="39">
        <v>11.02</v>
      </c>
      <c r="BU84" s="39">
        <v>11.09</v>
      </c>
      <c r="BV84" s="39">
        <v>11.15</v>
      </c>
      <c r="BW84" s="39">
        <v>11.22</v>
      </c>
      <c r="BX84" s="39">
        <v>11.28</v>
      </c>
      <c r="BY84" s="39">
        <v>11.35</v>
      </c>
      <c r="BZ84" s="39">
        <v>11.41</v>
      </c>
      <c r="CA84" s="39">
        <v>11.48</v>
      </c>
      <c r="CB84" s="39">
        <v>11.54</v>
      </c>
      <c r="CC84" s="39">
        <v>11.61</v>
      </c>
      <c r="CD84" s="39">
        <v>11.67</v>
      </c>
      <c r="CE84" s="39">
        <v>11.73</v>
      </c>
      <c r="CF84" s="39">
        <v>11.8</v>
      </c>
      <c r="CG84" s="39">
        <v>11.86</v>
      </c>
      <c r="CH84" s="39">
        <v>11.93</v>
      </c>
      <c r="CI84" s="39">
        <v>11.99</v>
      </c>
      <c r="CJ84" s="39">
        <v>12.05</v>
      </c>
      <c r="CK84" s="39">
        <v>12.12</v>
      </c>
      <c r="CL84" s="39">
        <v>12.18</v>
      </c>
      <c r="CM84" s="39">
        <v>12.24</v>
      </c>
      <c r="CN84" s="39">
        <v>12.3</v>
      </c>
      <c r="CO84" s="39">
        <v>12.37</v>
      </c>
      <c r="CP84" s="39">
        <v>12.43</v>
      </c>
      <c r="CQ84" s="39">
        <v>12.49</v>
      </c>
      <c r="CR84" s="39">
        <v>12.55</v>
      </c>
      <c r="CS84" s="39">
        <v>12.61</v>
      </c>
      <c r="CT84" s="39">
        <v>12.68</v>
      </c>
      <c r="CU84" s="39">
        <v>12.74</v>
      </c>
      <c r="CV84" s="39">
        <v>12.8</v>
      </c>
      <c r="CW84" s="39">
        <v>12.86</v>
      </c>
      <c r="CX84" s="39">
        <v>12.92</v>
      </c>
      <c r="CY84" s="39">
        <v>12.98</v>
      </c>
      <c r="CZ84" s="39">
        <v>13.04</v>
      </c>
      <c r="DA84" s="39">
        <v>13.1</v>
      </c>
      <c r="DB84" s="39">
        <v>13.16</v>
      </c>
      <c r="DC84" s="39">
        <v>13.22</v>
      </c>
      <c r="DD84" s="39">
        <v>13.28</v>
      </c>
      <c r="DE84" s="39">
        <v>13.34</v>
      </c>
      <c r="DF84" s="39">
        <v>13.4</v>
      </c>
      <c r="DG84" s="39">
        <v>13.45</v>
      </c>
      <c r="DH84" s="39">
        <v>13.51</v>
      </c>
      <c r="DI84" s="39">
        <v>13.57</v>
      </c>
      <c r="DJ84" s="39">
        <v>13.63</v>
      </c>
      <c r="DK84" s="39">
        <v>13.69</v>
      </c>
      <c r="DL84" s="39">
        <v>13.74</v>
      </c>
      <c r="DM84" s="39">
        <v>13.8</v>
      </c>
      <c r="DN84" s="39">
        <v>13.86</v>
      </c>
      <c r="DO84" s="39">
        <v>13.91</v>
      </c>
      <c r="DP84" s="39">
        <v>13.97</v>
      </c>
      <c r="DQ84" s="39">
        <v>14.02</v>
      </c>
      <c r="DR84" s="39">
        <v>14.08</v>
      </c>
    </row>
    <row r="85" spans="1:122">
      <c r="A85" s="44">
        <v>83</v>
      </c>
      <c r="B85" s="45"/>
      <c r="C85" s="45"/>
      <c r="D85" s="45"/>
      <c r="E85" s="45"/>
      <c r="F85" s="45"/>
      <c r="G85" s="45"/>
      <c r="H85" s="45"/>
      <c r="I85" s="45"/>
      <c r="J85" s="45"/>
      <c r="K85" s="45"/>
      <c r="L85" s="45"/>
      <c r="M85" s="45"/>
      <c r="N85" s="45"/>
      <c r="O85" s="45"/>
      <c r="P85" s="45"/>
      <c r="Q85" s="45"/>
      <c r="R85" s="45"/>
      <c r="S85" s="45"/>
      <c r="T85" s="45"/>
      <c r="U85" s="45"/>
      <c r="V85" s="39"/>
      <c r="W85" s="39">
        <v>7.24</v>
      </c>
      <c r="X85" s="39">
        <v>7.25</v>
      </c>
      <c r="Y85" s="39">
        <v>7.31</v>
      </c>
      <c r="Z85" s="39">
        <v>7.36</v>
      </c>
      <c r="AA85" s="39">
        <v>7.4</v>
      </c>
      <c r="AB85" s="39">
        <v>7.48</v>
      </c>
      <c r="AC85" s="39">
        <v>7.53</v>
      </c>
      <c r="AD85" s="39">
        <v>7.58</v>
      </c>
      <c r="AE85" s="39">
        <v>7.63</v>
      </c>
      <c r="AF85" s="39">
        <v>7.72</v>
      </c>
      <c r="AG85" s="39">
        <v>7.76</v>
      </c>
      <c r="AH85" s="39">
        <v>7.83</v>
      </c>
      <c r="AI85" s="39">
        <v>7.9</v>
      </c>
      <c r="AJ85" s="39">
        <v>7.99</v>
      </c>
      <c r="AK85" s="39">
        <v>8.07</v>
      </c>
      <c r="AL85" s="39">
        <v>8.14</v>
      </c>
      <c r="AM85" s="39">
        <v>8.2100000000000009</v>
      </c>
      <c r="AN85" s="39">
        <v>8.27</v>
      </c>
      <c r="AO85" s="39">
        <v>8.34</v>
      </c>
      <c r="AP85" s="39">
        <v>8.41</v>
      </c>
      <c r="AQ85" s="39">
        <v>8.4700000000000006</v>
      </c>
      <c r="AR85" s="39">
        <v>8.5399999999999991</v>
      </c>
      <c r="AS85" s="39">
        <v>8.6</v>
      </c>
      <c r="AT85" s="39">
        <v>8.67</v>
      </c>
      <c r="AU85" s="39">
        <v>8.73</v>
      </c>
      <c r="AV85" s="39">
        <v>8.8000000000000007</v>
      </c>
      <c r="AW85" s="39">
        <v>8.86</v>
      </c>
      <c r="AX85" s="39">
        <v>8.92</v>
      </c>
      <c r="AY85" s="39">
        <v>8.99</v>
      </c>
      <c r="AZ85" s="39">
        <v>9.0500000000000007</v>
      </c>
      <c r="BA85" s="39">
        <v>9.11</v>
      </c>
      <c r="BB85" s="39">
        <v>9.18</v>
      </c>
      <c r="BC85" s="39">
        <v>9.24</v>
      </c>
      <c r="BD85" s="39">
        <v>9.3000000000000007</v>
      </c>
      <c r="BE85" s="39">
        <v>9.3699999999999992</v>
      </c>
      <c r="BF85" s="39">
        <v>9.43</v>
      </c>
      <c r="BG85" s="39">
        <v>9.49</v>
      </c>
      <c r="BH85" s="39">
        <v>9.56</v>
      </c>
      <c r="BI85" s="39">
        <v>9.6199999999999992</v>
      </c>
      <c r="BJ85" s="39">
        <v>9.68</v>
      </c>
      <c r="BK85" s="39">
        <v>9.75</v>
      </c>
      <c r="BL85" s="39">
        <v>9.81</v>
      </c>
      <c r="BM85" s="39">
        <v>9.8699999999999992</v>
      </c>
      <c r="BN85" s="39">
        <v>9.94</v>
      </c>
      <c r="BO85" s="39">
        <v>10</v>
      </c>
      <c r="BP85" s="39">
        <v>10.06</v>
      </c>
      <c r="BQ85" s="39">
        <v>10.130000000000001</v>
      </c>
      <c r="BR85" s="39">
        <v>10.19</v>
      </c>
      <c r="BS85" s="39">
        <v>10.25</v>
      </c>
      <c r="BT85" s="39">
        <v>10.31</v>
      </c>
      <c r="BU85" s="39">
        <v>10.38</v>
      </c>
      <c r="BV85" s="39">
        <v>10.44</v>
      </c>
      <c r="BW85" s="39">
        <v>10.5</v>
      </c>
      <c r="BX85" s="39">
        <v>10.56</v>
      </c>
      <c r="BY85" s="39">
        <v>10.63</v>
      </c>
      <c r="BZ85" s="39">
        <v>10.69</v>
      </c>
      <c r="CA85" s="39">
        <v>10.75</v>
      </c>
      <c r="CB85" s="39">
        <v>10.81</v>
      </c>
      <c r="CC85" s="39">
        <v>10.87</v>
      </c>
      <c r="CD85" s="39">
        <v>10.94</v>
      </c>
      <c r="CE85" s="39">
        <v>11</v>
      </c>
      <c r="CF85" s="39">
        <v>11.06</v>
      </c>
      <c r="CG85" s="39">
        <v>11.12</v>
      </c>
      <c r="CH85" s="39">
        <v>11.18</v>
      </c>
      <c r="CI85" s="39">
        <v>11.24</v>
      </c>
      <c r="CJ85" s="39">
        <v>11.3</v>
      </c>
      <c r="CK85" s="39">
        <v>11.36</v>
      </c>
      <c r="CL85" s="39">
        <v>11.42</v>
      </c>
      <c r="CM85" s="39">
        <v>11.48</v>
      </c>
      <c r="CN85" s="39">
        <v>11.54</v>
      </c>
      <c r="CO85" s="39">
        <v>11.6</v>
      </c>
      <c r="CP85" s="39">
        <v>11.66</v>
      </c>
      <c r="CQ85" s="39">
        <v>11.72</v>
      </c>
      <c r="CR85" s="39">
        <v>11.78</v>
      </c>
      <c r="CS85" s="39">
        <v>11.84</v>
      </c>
      <c r="CT85" s="39">
        <v>11.9</v>
      </c>
      <c r="CU85" s="39">
        <v>11.96</v>
      </c>
      <c r="CV85" s="39">
        <v>12.02</v>
      </c>
      <c r="CW85" s="39">
        <v>12.08</v>
      </c>
      <c r="CX85" s="39">
        <v>12.13</v>
      </c>
      <c r="CY85" s="39">
        <v>12.19</v>
      </c>
      <c r="CZ85" s="39">
        <v>12.25</v>
      </c>
      <c r="DA85" s="39">
        <v>12.31</v>
      </c>
      <c r="DB85" s="39">
        <v>12.36</v>
      </c>
      <c r="DC85" s="39">
        <v>12.42</v>
      </c>
      <c r="DD85" s="39">
        <v>12.48</v>
      </c>
      <c r="DE85" s="39">
        <v>12.54</v>
      </c>
      <c r="DF85" s="39">
        <v>12.59</v>
      </c>
      <c r="DG85" s="39">
        <v>12.65</v>
      </c>
      <c r="DH85" s="39">
        <v>12.7</v>
      </c>
      <c r="DI85" s="39">
        <v>12.76</v>
      </c>
      <c r="DJ85" s="39">
        <v>12.81</v>
      </c>
      <c r="DK85" s="39">
        <v>12.87</v>
      </c>
      <c r="DL85" s="39">
        <v>12.93</v>
      </c>
      <c r="DM85" s="39">
        <v>12.98</v>
      </c>
      <c r="DN85" s="39">
        <v>13.03</v>
      </c>
      <c r="DO85" s="39">
        <v>13.09</v>
      </c>
      <c r="DP85" s="39">
        <v>13.14</v>
      </c>
      <c r="DQ85" s="39">
        <v>13.2</v>
      </c>
      <c r="DR85" s="39">
        <v>13.25</v>
      </c>
    </row>
    <row r="86" spans="1:122">
      <c r="A86" s="44">
        <v>84</v>
      </c>
      <c r="B86" s="45"/>
      <c r="C86" s="45"/>
      <c r="D86" s="45"/>
      <c r="E86" s="45"/>
      <c r="F86" s="45"/>
      <c r="G86" s="45"/>
      <c r="H86" s="45"/>
      <c r="I86" s="45"/>
      <c r="J86" s="45"/>
      <c r="K86" s="45"/>
      <c r="L86" s="45"/>
      <c r="M86" s="45"/>
      <c r="N86" s="45"/>
      <c r="O86" s="45"/>
      <c r="P86" s="45"/>
      <c r="Q86" s="45"/>
      <c r="R86" s="45"/>
      <c r="S86" s="45"/>
      <c r="T86" s="45"/>
      <c r="U86" s="45"/>
      <c r="V86" s="39"/>
      <c r="W86" s="39">
        <v>6.74</v>
      </c>
      <c r="X86" s="39">
        <v>6.74</v>
      </c>
      <c r="Y86" s="39">
        <v>6.79</v>
      </c>
      <c r="Z86" s="39">
        <v>6.84</v>
      </c>
      <c r="AA86" s="39">
        <v>6.89</v>
      </c>
      <c r="AB86" s="39">
        <v>6.95</v>
      </c>
      <c r="AC86" s="39">
        <v>7</v>
      </c>
      <c r="AD86" s="39">
        <v>7.04</v>
      </c>
      <c r="AE86" s="39">
        <v>7.11</v>
      </c>
      <c r="AF86" s="39">
        <v>7.17</v>
      </c>
      <c r="AG86" s="39">
        <v>7.22</v>
      </c>
      <c r="AH86" s="39">
        <v>7.28</v>
      </c>
      <c r="AI86" s="39">
        <v>7.36</v>
      </c>
      <c r="AJ86" s="39">
        <v>7.44</v>
      </c>
      <c r="AK86" s="39">
        <v>7.5</v>
      </c>
      <c r="AL86" s="39">
        <v>7.57</v>
      </c>
      <c r="AM86" s="39">
        <v>7.63</v>
      </c>
      <c r="AN86" s="39">
        <v>7.7</v>
      </c>
      <c r="AO86" s="39">
        <v>7.76</v>
      </c>
      <c r="AP86" s="39">
        <v>7.82</v>
      </c>
      <c r="AQ86" s="39">
        <v>7.88</v>
      </c>
      <c r="AR86" s="39">
        <v>7.95</v>
      </c>
      <c r="AS86" s="39">
        <v>8.01</v>
      </c>
      <c r="AT86" s="39">
        <v>8.07</v>
      </c>
      <c r="AU86" s="39">
        <v>8.1300000000000008</v>
      </c>
      <c r="AV86" s="39">
        <v>8.19</v>
      </c>
      <c r="AW86" s="39">
        <v>8.25</v>
      </c>
      <c r="AX86" s="39">
        <v>8.31</v>
      </c>
      <c r="AY86" s="39">
        <v>8.3699999999999992</v>
      </c>
      <c r="AZ86" s="39">
        <v>8.43</v>
      </c>
      <c r="BA86" s="39">
        <v>8.49</v>
      </c>
      <c r="BB86" s="39">
        <v>8.5500000000000007</v>
      </c>
      <c r="BC86" s="39">
        <v>8.61</v>
      </c>
      <c r="BD86" s="39">
        <v>8.67</v>
      </c>
      <c r="BE86" s="39">
        <v>8.73</v>
      </c>
      <c r="BF86" s="39">
        <v>8.7899999999999991</v>
      </c>
      <c r="BG86" s="39">
        <v>8.85</v>
      </c>
      <c r="BH86" s="39">
        <v>8.91</v>
      </c>
      <c r="BI86" s="39">
        <v>8.9700000000000006</v>
      </c>
      <c r="BJ86" s="39">
        <v>9.0299999999999994</v>
      </c>
      <c r="BK86" s="39">
        <v>9.09</v>
      </c>
      <c r="BL86" s="39">
        <v>9.15</v>
      </c>
      <c r="BM86" s="39">
        <v>9.2100000000000009</v>
      </c>
      <c r="BN86" s="39">
        <v>9.27</v>
      </c>
      <c r="BO86" s="39">
        <v>9.33</v>
      </c>
      <c r="BP86" s="39">
        <v>9.39</v>
      </c>
      <c r="BQ86" s="39">
        <v>9.4499999999999993</v>
      </c>
      <c r="BR86" s="39">
        <v>9.51</v>
      </c>
      <c r="BS86" s="39">
        <v>9.57</v>
      </c>
      <c r="BT86" s="39">
        <v>9.6300000000000008</v>
      </c>
      <c r="BU86" s="39">
        <v>9.69</v>
      </c>
      <c r="BV86" s="39">
        <v>9.75</v>
      </c>
      <c r="BW86" s="39">
        <v>9.81</v>
      </c>
      <c r="BX86" s="39">
        <v>9.8699999999999992</v>
      </c>
      <c r="BY86" s="39">
        <v>9.93</v>
      </c>
      <c r="BZ86" s="39">
        <v>9.99</v>
      </c>
      <c r="CA86" s="39">
        <v>10.050000000000001</v>
      </c>
      <c r="CB86" s="39">
        <v>10.11</v>
      </c>
      <c r="CC86" s="39">
        <v>10.17</v>
      </c>
      <c r="CD86" s="39">
        <v>10.220000000000001</v>
      </c>
      <c r="CE86" s="39">
        <v>10.28</v>
      </c>
      <c r="CF86" s="39">
        <v>10.34</v>
      </c>
      <c r="CG86" s="39">
        <v>10.4</v>
      </c>
      <c r="CH86" s="39">
        <v>10.46</v>
      </c>
      <c r="CI86" s="39">
        <v>10.52</v>
      </c>
      <c r="CJ86" s="39">
        <v>10.57</v>
      </c>
      <c r="CK86" s="39">
        <v>10.63</v>
      </c>
      <c r="CL86" s="39">
        <v>10.69</v>
      </c>
      <c r="CM86" s="39">
        <v>10.75</v>
      </c>
      <c r="CN86" s="39">
        <v>10.8</v>
      </c>
      <c r="CO86" s="39">
        <v>10.86</v>
      </c>
      <c r="CP86" s="39">
        <v>10.92</v>
      </c>
      <c r="CQ86" s="39">
        <v>10.98</v>
      </c>
      <c r="CR86" s="39">
        <v>11.03</v>
      </c>
      <c r="CS86" s="39">
        <v>11.09</v>
      </c>
      <c r="CT86" s="39">
        <v>11.15</v>
      </c>
      <c r="CU86" s="39">
        <v>11.2</v>
      </c>
      <c r="CV86" s="39">
        <v>11.26</v>
      </c>
      <c r="CW86" s="39">
        <v>11.31</v>
      </c>
      <c r="CX86" s="39">
        <v>11.37</v>
      </c>
      <c r="CY86" s="39">
        <v>11.42</v>
      </c>
      <c r="CZ86" s="39">
        <v>11.48</v>
      </c>
      <c r="DA86" s="39">
        <v>11.54</v>
      </c>
      <c r="DB86" s="39">
        <v>11.59</v>
      </c>
      <c r="DC86" s="39">
        <v>11.64</v>
      </c>
      <c r="DD86" s="39">
        <v>11.7</v>
      </c>
      <c r="DE86" s="39">
        <v>11.75</v>
      </c>
      <c r="DF86" s="39">
        <v>11.81</v>
      </c>
      <c r="DG86" s="39">
        <v>11.86</v>
      </c>
      <c r="DH86" s="39">
        <v>11.92</v>
      </c>
      <c r="DI86" s="39">
        <v>11.97</v>
      </c>
      <c r="DJ86" s="39">
        <v>12.02</v>
      </c>
      <c r="DK86" s="39">
        <v>12.07</v>
      </c>
      <c r="DL86" s="39">
        <v>12.13</v>
      </c>
      <c r="DM86" s="39">
        <v>12.18</v>
      </c>
      <c r="DN86" s="39">
        <v>12.23</v>
      </c>
      <c r="DO86" s="39">
        <v>12.28</v>
      </c>
      <c r="DP86" s="39">
        <v>12.34</v>
      </c>
      <c r="DQ86" s="39">
        <v>12.39</v>
      </c>
      <c r="DR86" s="39">
        <v>12.44</v>
      </c>
    </row>
    <row r="87" spans="1:122">
      <c r="A87" s="44">
        <v>85</v>
      </c>
      <c r="B87" s="45"/>
      <c r="C87" s="45"/>
      <c r="D87" s="45"/>
      <c r="E87" s="45"/>
      <c r="F87" s="45"/>
      <c r="G87" s="45"/>
      <c r="H87" s="45"/>
      <c r="I87" s="45"/>
      <c r="J87" s="45"/>
      <c r="K87" s="45"/>
      <c r="L87" s="45"/>
      <c r="M87" s="45"/>
      <c r="N87" s="45"/>
      <c r="O87" s="45"/>
      <c r="P87" s="45"/>
      <c r="Q87" s="45"/>
      <c r="R87" s="45"/>
      <c r="S87" s="45"/>
      <c r="T87" s="45"/>
      <c r="U87" s="45"/>
      <c r="V87" s="39"/>
      <c r="W87" s="39">
        <v>6.25</v>
      </c>
      <c r="X87" s="39">
        <v>6.24</v>
      </c>
      <c r="Y87" s="39">
        <v>6.29</v>
      </c>
      <c r="Z87" s="39">
        <v>6.35</v>
      </c>
      <c r="AA87" s="39">
        <v>6.39</v>
      </c>
      <c r="AB87" s="39">
        <v>6.44</v>
      </c>
      <c r="AC87" s="39">
        <v>6.5</v>
      </c>
      <c r="AD87" s="39">
        <v>6.55</v>
      </c>
      <c r="AE87" s="39">
        <v>6.59</v>
      </c>
      <c r="AF87" s="39">
        <v>6.67</v>
      </c>
      <c r="AG87" s="39">
        <v>6.7</v>
      </c>
      <c r="AH87" s="39">
        <v>6.76</v>
      </c>
      <c r="AI87" s="39">
        <v>6.85</v>
      </c>
      <c r="AJ87" s="39">
        <v>6.9</v>
      </c>
      <c r="AK87" s="39">
        <v>6.97</v>
      </c>
      <c r="AL87" s="39">
        <v>7.03</v>
      </c>
      <c r="AM87" s="39">
        <v>7.09</v>
      </c>
      <c r="AN87" s="39">
        <v>7.15</v>
      </c>
      <c r="AO87" s="39">
        <v>7.21</v>
      </c>
      <c r="AP87" s="39">
        <v>7.27</v>
      </c>
      <c r="AQ87" s="39">
        <v>7.33</v>
      </c>
      <c r="AR87" s="39">
        <v>7.38</v>
      </c>
      <c r="AS87" s="39">
        <v>7.44</v>
      </c>
      <c r="AT87" s="39">
        <v>7.5</v>
      </c>
      <c r="AU87" s="39">
        <v>7.56</v>
      </c>
      <c r="AV87" s="39">
        <v>7.61</v>
      </c>
      <c r="AW87" s="39">
        <v>7.67</v>
      </c>
      <c r="AX87" s="39">
        <v>7.73</v>
      </c>
      <c r="AY87" s="39">
        <v>7.78</v>
      </c>
      <c r="AZ87" s="39">
        <v>7.84</v>
      </c>
      <c r="BA87" s="39">
        <v>7.9</v>
      </c>
      <c r="BB87" s="39">
        <v>7.95</v>
      </c>
      <c r="BC87" s="39">
        <v>8.01</v>
      </c>
      <c r="BD87" s="39">
        <v>8.07</v>
      </c>
      <c r="BE87" s="39">
        <v>8.1300000000000008</v>
      </c>
      <c r="BF87" s="39">
        <v>8.18</v>
      </c>
      <c r="BG87" s="39">
        <v>8.24</v>
      </c>
      <c r="BH87" s="39">
        <v>8.3000000000000007</v>
      </c>
      <c r="BI87" s="39">
        <v>8.35</v>
      </c>
      <c r="BJ87" s="39">
        <v>8.41</v>
      </c>
      <c r="BK87" s="39">
        <v>8.4700000000000006</v>
      </c>
      <c r="BL87" s="39">
        <v>8.52</v>
      </c>
      <c r="BM87" s="39">
        <v>8.58</v>
      </c>
      <c r="BN87" s="39">
        <v>8.64</v>
      </c>
      <c r="BO87" s="39">
        <v>8.69</v>
      </c>
      <c r="BP87" s="39">
        <v>8.75</v>
      </c>
      <c r="BQ87" s="39">
        <v>8.81</v>
      </c>
      <c r="BR87" s="39">
        <v>8.86</v>
      </c>
      <c r="BS87" s="39">
        <v>8.92</v>
      </c>
      <c r="BT87" s="39">
        <v>8.98</v>
      </c>
      <c r="BU87" s="39">
        <v>9.0299999999999994</v>
      </c>
      <c r="BV87" s="39">
        <v>9.09</v>
      </c>
      <c r="BW87" s="39">
        <v>9.15</v>
      </c>
      <c r="BX87" s="39">
        <v>9.1999999999999993</v>
      </c>
      <c r="BY87" s="39">
        <v>9.26</v>
      </c>
      <c r="BZ87" s="39">
        <v>9.32</v>
      </c>
      <c r="CA87" s="39">
        <v>9.3699999999999992</v>
      </c>
      <c r="CB87" s="39">
        <v>9.43</v>
      </c>
      <c r="CC87" s="39">
        <v>9.48</v>
      </c>
      <c r="CD87" s="39">
        <v>9.5399999999999991</v>
      </c>
      <c r="CE87" s="39">
        <v>9.6</v>
      </c>
      <c r="CF87" s="39">
        <v>9.65</v>
      </c>
      <c r="CG87" s="39">
        <v>9.7100000000000009</v>
      </c>
      <c r="CH87" s="39">
        <v>9.76</v>
      </c>
      <c r="CI87" s="39">
        <v>9.82</v>
      </c>
      <c r="CJ87" s="39">
        <v>9.8699999999999992</v>
      </c>
      <c r="CK87" s="39">
        <v>9.93</v>
      </c>
      <c r="CL87" s="39">
        <v>9.98</v>
      </c>
      <c r="CM87" s="39">
        <v>10.039999999999999</v>
      </c>
      <c r="CN87" s="39">
        <v>10.09</v>
      </c>
      <c r="CO87" s="39">
        <v>10.15</v>
      </c>
      <c r="CP87" s="39">
        <v>10.199999999999999</v>
      </c>
      <c r="CQ87" s="39">
        <v>10.25</v>
      </c>
      <c r="CR87" s="39">
        <v>10.31</v>
      </c>
      <c r="CS87" s="39">
        <v>10.36</v>
      </c>
      <c r="CT87" s="39">
        <v>10.42</v>
      </c>
      <c r="CU87" s="39">
        <v>10.47</v>
      </c>
      <c r="CV87" s="39">
        <v>10.52</v>
      </c>
      <c r="CW87" s="39">
        <v>10.58</v>
      </c>
      <c r="CX87" s="39">
        <v>10.63</v>
      </c>
      <c r="CY87" s="39">
        <v>10.68</v>
      </c>
      <c r="CZ87" s="39">
        <v>10.73</v>
      </c>
      <c r="DA87" s="39">
        <v>10.79</v>
      </c>
      <c r="DB87" s="39">
        <v>10.84</v>
      </c>
      <c r="DC87" s="39">
        <v>10.89</v>
      </c>
      <c r="DD87" s="39">
        <v>10.94</v>
      </c>
      <c r="DE87" s="39">
        <v>10.99</v>
      </c>
      <c r="DF87" s="39">
        <v>11.05</v>
      </c>
      <c r="DG87" s="39">
        <v>11.1</v>
      </c>
      <c r="DH87" s="39">
        <v>11.15</v>
      </c>
      <c r="DI87" s="39">
        <v>11.2</v>
      </c>
      <c r="DJ87" s="39">
        <v>11.25</v>
      </c>
      <c r="DK87" s="39">
        <v>11.3</v>
      </c>
      <c r="DL87" s="39">
        <v>11.35</v>
      </c>
      <c r="DM87" s="39">
        <v>11.4</v>
      </c>
      <c r="DN87" s="39">
        <v>11.45</v>
      </c>
      <c r="DO87" s="39">
        <v>11.5</v>
      </c>
      <c r="DP87" s="39">
        <v>11.55</v>
      </c>
      <c r="DQ87" s="39">
        <v>11.6</v>
      </c>
      <c r="DR87" s="39">
        <v>11.65</v>
      </c>
    </row>
    <row r="88" spans="1:122">
      <c r="A88" s="44">
        <v>86</v>
      </c>
      <c r="B88" s="45"/>
      <c r="C88" s="45"/>
      <c r="D88" s="45"/>
      <c r="E88" s="45"/>
      <c r="F88" s="45"/>
      <c r="G88" s="45"/>
      <c r="H88" s="45"/>
      <c r="I88" s="45"/>
      <c r="J88" s="45"/>
      <c r="K88" s="45"/>
      <c r="L88" s="45"/>
      <c r="M88" s="45"/>
      <c r="N88" s="45"/>
      <c r="O88" s="45"/>
      <c r="P88" s="45"/>
      <c r="Q88" s="45"/>
      <c r="R88" s="45"/>
      <c r="S88" s="45"/>
      <c r="T88" s="45"/>
      <c r="U88" s="45"/>
      <c r="V88" s="39"/>
      <c r="W88" s="39">
        <v>5.78</v>
      </c>
      <c r="X88" s="39">
        <v>5.78</v>
      </c>
      <c r="Y88" s="39">
        <v>5.84</v>
      </c>
      <c r="Z88" s="39">
        <v>5.88</v>
      </c>
      <c r="AA88" s="39">
        <v>5.91</v>
      </c>
      <c r="AB88" s="39">
        <v>5.97</v>
      </c>
      <c r="AC88" s="39">
        <v>6.03</v>
      </c>
      <c r="AD88" s="39">
        <v>6.06</v>
      </c>
      <c r="AE88" s="39">
        <v>6.11</v>
      </c>
      <c r="AF88" s="39">
        <v>6.17</v>
      </c>
      <c r="AG88" s="39">
        <v>6.22</v>
      </c>
      <c r="AH88" s="39">
        <v>6.28</v>
      </c>
      <c r="AI88" s="39">
        <v>6.34</v>
      </c>
      <c r="AJ88" s="39">
        <v>6.4</v>
      </c>
      <c r="AK88" s="39">
        <v>6.46</v>
      </c>
      <c r="AL88" s="39">
        <v>6.52</v>
      </c>
      <c r="AM88" s="39">
        <v>6.57</v>
      </c>
      <c r="AN88" s="39">
        <v>6.63</v>
      </c>
      <c r="AO88" s="39">
        <v>6.69</v>
      </c>
      <c r="AP88" s="39">
        <v>6.74</v>
      </c>
      <c r="AQ88" s="39">
        <v>6.8</v>
      </c>
      <c r="AR88" s="39">
        <v>6.85</v>
      </c>
      <c r="AS88" s="39">
        <v>6.91</v>
      </c>
      <c r="AT88" s="39">
        <v>6.96</v>
      </c>
      <c r="AU88" s="39">
        <v>7.01</v>
      </c>
      <c r="AV88" s="39">
        <v>7.07</v>
      </c>
      <c r="AW88" s="39">
        <v>7.12</v>
      </c>
      <c r="AX88" s="39">
        <v>7.17</v>
      </c>
      <c r="AY88" s="39">
        <v>7.23</v>
      </c>
      <c r="AZ88" s="39">
        <v>7.28</v>
      </c>
      <c r="BA88" s="39">
        <v>7.33</v>
      </c>
      <c r="BB88" s="39">
        <v>7.39</v>
      </c>
      <c r="BC88" s="39">
        <v>7.44</v>
      </c>
      <c r="BD88" s="39">
        <v>7.49</v>
      </c>
      <c r="BE88" s="39">
        <v>7.55</v>
      </c>
      <c r="BF88" s="39">
        <v>7.6</v>
      </c>
      <c r="BG88" s="39">
        <v>7.66</v>
      </c>
      <c r="BH88" s="39">
        <v>7.71</v>
      </c>
      <c r="BI88" s="39">
        <v>7.76</v>
      </c>
      <c r="BJ88" s="39">
        <v>7.82</v>
      </c>
      <c r="BK88" s="39">
        <v>7.87</v>
      </c>
      <c r="BL88" s="39">
        <v>7.92</v>
      </c>
      <c r="BM88" s="39">
        <v>7.98</v>
      </c>
      <c r="BN88" s="39">
        <v>8.0299999999999994</v>
      </c>
      <c r="BO88" s="39">
        <v>8.08</v>
      </c>
      <c r="BP88" s="39">
        <v>8.14</v>
      </c>
      <c r="BQ88" s="39">
        <v>8.19</v>
      </c>
      <c r="BR88" s="39">
        <v>8.25</v>
      </c>
      <c r="BS88" s="39">
        <v>8.3000000000000007</v>
      </c>
      <c r="BT88" s="39">
        <v>8.35</v>
      </c>
      <c r="BU88" s="39">
        <v>8.41</v>
      </c>
      <c r="BV88" s="39">
        <v>8.4600000000000009</v>
      </c>
      <c r="BW88" s="39">
        <v>8.51</v>
      </c>
      <c r="BX88" s="39">
        <v>8.57</v>
      </c>
      <c r="BY88" s="39">
        <v>8.6199999999999992</v>
      </c>
      <c r="BZ88" s="39">
        <v>8.67</v>
      </c>
      <c r="CA88" s="39">
        <v>8.7200000000000006</v>
      </c>
      <c r="CB88" s="39">
        <v>8.7799999999999994</v>
      </c>
      <c r="CC88" s="39">
        <v>8.83</v>
      </c>
      <c r="CD88" s="39">
        <v>8.8800000000000008</v>
      </c>
      <c r="CE88" s="39">
        <v>8.94</v>
      </c>
      <c r="CF88" s="39">
        <v>8.99</v>
      </c>
      <c r="CG88" s="39">
        <v>9.0399999999999991</v>
      </c>
      <c r="CH88" s="39">
        <v>9.09</v>
      </c>
      <c r="CI88" s="39">
        <v>9.14</v>
      </c>
      <c r="CJ88" s="39">
        <v>9.1999999999999993</v>
      </c>
      <c r="CK88" s="39">
        <v>9.25</v>
      </c>
      <c r="CL88" s="39">
        <v>9.3000000000000007</v>
      </c>
      <c r="CM88" s="39">
        <v>9.35</v>
      </c>
      <c r="CN88" s="39">
        <v>9.4</v>
      </c>
      <c r="CO88" s="39">
        <v>9.4600000000000009</v>
      </c>
      <c r="CP88" s="39">
        <v>9.51</v>
      </c>
      <c r="CQ88" s="39">
        <v>9.56</v>
      </c>
      <c r="CR88" s="39">
        <v>9.61</v>
      </c>
      <c r="CS88" s="39">
        <v>9.66</v>
      </c>
      <c r="CT88" s="39">
        <v>9.7100000000000009</v>
      </c>
      <c r="CU88" s="39">
        <v>9.76</v>
      </c>
      <c r="CV88" s="39">
        <v>9.81</v>
      </c>
      <c r="CW88" s="39">
        <v>9.86</v>
      </c>
      <c r="CX88" s="39">
        <v>9.91</v>
      </c>
      <c r="CY88" s="39">
        <v>9.9600000000000009</v>
      </c>
      <c r="CZ88" s="39">
        <v>10.01</v>
      </c>
      <c r="DA88" s="39">
        <v>10.06</v>
      </c>
      <c r="DB88" s="39">
        <v>10.11</v>
      </c>
      <c r="DC88" s="39">
        <v>10.16</v>
      </c>
      <c r="DD88" s="39">
        <v>10.210000000000001</v>
      </c>
      <c r="DE88" s="39">
        <v>10.26</v>
      </c>
      <c r="DF88" s="39">
        <v>10.31</v>
      </c>
      <c r="DG88" s="39">
        <v>10.36</v>
      </c>
      <c r="DH88" s="39">
        <v>10.41</v>
      </c>
      <c r="DI88" s="39">
        <v>10.46</v>
      </c>
      <c r="DJ88" s="39">
        <v>10.5</v>
      </c>
      <c r="DK88" s="39">
        <v>10.55</v>
      </c>
      <c r="DL88" s="39">
        <v>10.6</v>
      </c>
      <c r="DM88" s="39">
        <v>10.65</v>
      </c>
      <c r="DN88" s="39">
        <v>10.69</v>
      </c>
      <c r="DO88" s="39">
        <v>10.74</v>
      </c>
      <c r="DP88" s="39">
        <v>10.79</v>
      </c>
      <c r="DQ88" s="39">
        <v>10.84</v>
      </c>
      <c r="DR88" s="39">
        <v>10.88</v>
      </c>
    </row>
    <row r="89" spans="1:122">
      <c r="A89" s="44">
        <v>87</v>
      </c>
      <c r="B89" s="45"/>
      <c r="C89" s="45"/>
      <c r="D89" s="45"/>
      <c r="E89" s="45"/>
      <c r="F89" s="45"/>
      <c r="G89" s="45"/>
      <c r="H89" s="45"/>
      <c r="I89" s="45"/>
      <c r="J89" s="45"/>
      <c r="K89" s="45"/>
      <c r="L89" s="45"/>
      <c r="M89" s="45"/>
      <c r="N89" s="45"/>
      <c r="O89" s="45"/>
      <c r="P89" s="45"/>
      <c r="Q89" s="45"/>
      <c r="R89" s="45"/>
      <c r="S89" s="45"/>
      <c r="T89" s="45"/>
      <c r="U89" s="45"/>
      <c r="V89" s="39"/>
      <c r="W89" s="39">
        <v>5.35</v>
      </c>
      <c r="X89" s="39">
        <v>5.36</v>
      </c>
      <c r="Y89" s="39">
        <v>5.4</v>
      </c>
      <c r="Z89" s="39">
        <v>5.43</v>
      </c>
      <c r="AA89" s="39">
        <v>5.47</v>
      </c>
      <c r="AB89" s="39">
        <v>5.54</v>
      </c>
      <c r="AC89" s="39">
        <v>5.57</v>
      </c>
      <c r="AD89" s="39">
        <v>5.62</v>
      </c>
      <c r="AE89" s="39">
        <v>5.65</v>
      </c>
      <c r="AF89" s="39">
        <v>5.72</v>
      </c>
      <c r="AG89" s="39">
        <v>5.77</v>
      </c>
      <c r="AH89" s="39">
        <v>5.82</v>
      </c>
      <c r="AI89" s="39">
        <v>5.88</v>
      </c>
      <c r="AJ89" s="39">
        <v>5.93</v>
      </c>
      <c r="AK89" s="39">
        <v>5.98</v>
      </c>
      <c r="AL89" s="39">
        <v>6.04</v>
      </c>
      <c r="AM89" s="39">
        <v>6.09</v>
      </c>
      <c r="AN89" s="39">
        <v>6.14</v>
      </c>
      <c r="AO89" s="39">
        <v>6.2</v>
      </c>
      <c r="AP89" s="39">
        <v>6.25</v>
      </c>
      <c r="AQ89" s="39">
        <v>6.3</v>
      </c>
      <c r="AR89" s="39">
        <v>6.35</v>
      </c>
      <c r="AS89" s="39">
        <v>6.4</v>
      </c>
      <c r="AT89" s="39">
        <v>6.45</v>
      </c>
      <c r="AU89" s="39">
        <v>6.5</v>
      </c>
      <c r="AV89" s="39">
        <v>6.55</v>
      </c>
      <c r="AW89" s="39">
        <v>6.6</v>
      </c>
      <c r="AX89" s="39">
        <v>6.65</v>
      </c>
      <c r="AY89" s="39">
        <v>6.7</v>
      </c>
      <c r="AZ89" s="39">
        <v>6.75</v>
      </c>
      <c r="BA89" s="39">
        <v>6.8</v>
      </c>
      <c r="BB89" s="39">
        <v>6.85</v>
      </c>
      <c r="BC89" s="39">
        <v>6.9</v>
      </c>
      <c r="BD89" s="39">
        <v>6.95</v>
      </c>
      <c r="BE89" s="39">
        <v>7</v>
      </c>
      <c r="BF89" s="39">
        <v>7.05</v>
      </c>
      <c r="BG89" s="39">
        <v>7.1</v>
      </c>
      <c r="BH89" s="39">
        <v>7.15</v>
      </c>
      <c r="BI89" s="39">
        <v>7.2</v>
      </c>
      <c r="BJ89" s="39">
        <v>7.25</v>
      </c>
      <c r="BK89" s="39">
        <v>7.3</v>
      </c>
      <c r="BL89" s="39">
        <v>7.35</v>
      </c>
      <c r="BM89" s="39">
        <v>7.4</v>
      </c>
      <c r="BN89" s="39">
        <v>7.46</v>
      </c>
      <c r="BO89" s="39">
        <v>7.51</v>
      </c>
      <c r="BP89" s="39">
        <v>7.56</v>
      </c>
      <c r="BQ89" s="39">
        <v>7.61</v>
      </c>
      <c r="BR89" s="39">
        <v>7.66</v>
      </c>
      <c r="BS89" s="39">
        <v>7.71</v>
      </c>
      <c r="BT89" s="39">
        <v>7.76</v>
      </c>
      <c r="BU89" s="39">
        <v>7.81</v>
      </c>
      <c r="BV89" s="39">
        <v>7.86</v>
      </c>
      <c r="BW89" s="39">
        <v>7.91</v>
      </c>
      <c r="BX89" s="39">
        <v>7.96</v>
      </c>
      <c r="BY89" s="39">
        <v>8.01</v>
      </c>
      <c r="BZ89" s="39">
        <v>8.06</v>
      </c>
      <c r="CA89" s="39">
        <v>8.11</v>
      </c>
      <c r="CB89" s="39">
        <v>8.16</v>
      </c>
      <c r="CC89" s="39">
        <v>8.2100000000000009</v>
      </c>
      <c r="CD89" s="39">
        <v>8.26</v>
      </c>
      <c r="CE89" s="39">
        <v>8.3000000000000007</v>
      </c>
      <c r="CF89" s="39">
        <v>8.35</v>
      </c>
      <c r="CG89" s="39">
        <v>8.4</v>
      </c>
      <c r="CH89" s="39">
        <v>8.4499999999999993</v>
      </c>
      <c r="CI89" s="39">
        <v>8.5</v>
      </c>
      <c r="CJ89" s="39">
        <v>8.5500000000000007</v>
      </c>
      <c r="CK89" s="39">
        <v>8.6</v>
      </c>
      <c r="CL89" s="39">
        <v>8.65</v>
      </c>
      <c r="CM89" s="39">
        <v>8.6999999999999993</v>
      </c>
      <c r="CN89" s="39">
        <v>8.75</v>
      </c>
      <c r="CO89" s="39">
        <v>8.7899999999999991</v>
      </c>
      <c r="CP89" s="39">
        <v>8.84</v>
      </c>
      <c r="CQ89" s="39">
        <v>8.89</v>
      </c>
      <c r="CR89" s="39">
        <v>8.94</v>
      </c>
      <c r="CS89" s="39">
        <v>8.99</v>
      </c>
      <c r="CT89" s="39">
        <v>9.0399999999999991</v>
      </c>
      <c r="CU89" s="39">
        <v>9.08</v>
      </c>
      <c r="CV89" s="39">
        <v>9.1300000000000008</v>
      </c>
      <c r="CW89" s="39">
        <v>9.18</v>
      </c>
      <c r="CX89" s="39">
        <v>9.23</v>
      </c>
      <c r="CY89" s="39">
        <v>9.27</v>
      </c>
      <c r="CZ89" s="39">
        <v>9.32</v>
      </c>
      <c r="DA89" s="39">
        <v>9.3699999999999992</v>
      </c>
      <c r="DB89" s="39">
        <v>9.41</v>
      </c>
      <c r="DC89" s="39">
        <v>9.4600000000000009</v>
      </c>
      <c r="DD89" s="39">
        <v>9.51</v>
      </c>
      <c r="DE89" s="39">
        <v>9.5500000000000007</v>
      </c>
      <c r="DF89" s="39">
        <v>9.6</v>
      </c>
      <c r="DG89" s="39">
        <v>9.65</v>
      </c>
      <c r="DH89" s="39">
        <v>9.69</v>
      </c>
      <c r="DI89" s="39">
        <v>9.74</v>
      </c>
      <c r="DJ89" s="39">
        <v>9.7799999999999994</v>
      </c>
      <c r="DK89" s="39">
        <v>9.83</v>
      </c>
      <c r="DL89" s="39">
        <v>9.8699999999999992</v>
      </c>
      <c r="DM89" s="39">
        <v>9.92</v>
      </c>
      <c r="DN89" s="39">
        <v>9.9600000000000009</v>
      </c>
      <c r="DO89" s="39">
        <v>10.01</v>
      </c>
      <c r="DP89" s="39">
        <v>10.050000000000001</v>
      </c>
      <c r="DQ89" s="39">
        <v>10.1</v>
      </c>
      <c r="DR89" s="39">
        <v>10.14</v>
      </c>
    </row>
    <row r="90" spans="1:122">
      <c r="A90" s="44">
        <v>88</v>
      </c>
      <c r="B90" s="45"/>
      <c r="C90" s="45"/>
      <c r="D90" s="45"/>
      <c r="E90" s="45"/>
      <c r="F90" s="45"/>
      <c r="G90" s="45"/>
      <c r="H90" s="45"/>
      <c r="I90" s="45"/>
      <c r="J90" s="45"/>
      <c r="K90" s="45"/>
      <c r="L90" s="45"/>
      <c r="M90" s="45"/>
      <c r="N90" s="45"/>
      <c r="O90" s="45"/>
      <c r="P90" s="45"/>
      <c r="Q90" s="45"/>
      <c r="R90" s="45"/>
      <c r="S90" s="45"/>
      <c r="T90" s="45"/>
      <c r="U90" s="45"/>
      <c r="V90" s="39"/>
      <c r="W90" s="39">
        <v>4.97</v>
      </c>
      <c r="X90" s="39">
        <v>4.95</v>
      </c>
      <c r="Y90" s="39">
        <v>4.99</v>
      </c>
      <c r="Z90" s="39">
        <v>5.0199999999999996</v>
      </c>
      <c r="AA90" s="39">
        <v>5.0599999999999996</v>
      </c>
      <c r="AB90" s="39">
        <v>5.0999999999999996</v>
      </c>
      <c r="AC90" s="39">
        <v>5.17</v>
      </c>
      <c r="AD90" s="39">
        <v>5.19</v>
      </c>
      <c r="AE90" s="39">
        <v>5.23</v>
      </c>
      <c r="AF90" s="39">
        <v>5.29</v>
      </c>
      <c r="AG90" s="39">
        <v>5.34</v>
      </c>
      <c r="AH90" s="39">
        <v>5.39</v>
      </c>
      <c r="AI90" s="39">
        <v>5.44</v>
      </c>
      <c r="AJ90" s="39">
        <v>5.49</v>
      </c>
      <c r="AK90" s="39">
        <v>5.54</v>
      </c>
      <c r="AL90" s="39">
        <v>5.59</v>
      </c>
      <c r="AM90" s="39">
        <v>5.64</v>
      </c>
      <c r="AN90" s="39">
        <v>5.69</v>
      </c>
      <c r="AO90" s="39">
        <v>5.74</v>
      </c>
      <c r="AP90" s="39">
        <v>5.79</v>
      </c>
      <c r="AQ90" s="39">
        <v>5.83</v>
      </c>
      <c r="AR90" s="39">
        <v>5.88</v>
      </c>
      <c r="AS90" s="39">
        <v>5.93</v>
      </c>
      <c r="AT90" s="39">
        <v>5.97</v>
      </c>
      <c r="AU90" s="39">
        <v>6.02</v>
      </c>
      <c r="AV90" s="39">
        <v>6.07</v>
      </c>
      <c r="AW90" s="39">
        <v>6.11</v>
      </c>
      <c r="AX90" s="39">
        <v>6.16</v>
      </c>
      <c r="AY90" s="39">
        <v>6.21</v>
      </c>
      <c r="AZ90" s="39">
        <v>6.25</v>
      </c>
      <c r="BA90" s="39">
        <v>6.3</v>
      </c>
      <c r="BB90" s="39">
        <v>6.35</v>
      </c>
      <c r="BC90" s="39">
        <v>6.39</v>
      </c>
      <c r="BD90" s="39">
        <v>6.44</v>
      </c>
      <c r="BE90" s="39">
        <v>6.49</v>
      </c>
      <c r="BF90" s="39">
        <v>6.53</v>
      </c>
      <c r="BG90" s="39">
        <v>6.58</v>
      </c>
      <c r="BH90" s="39">
        <v>6.63</v>
      </c>
      <c r="BI90" s="39">
        <v>6.68</v>
      </c>
      <c r="BJ90" s="39">
        <v>6.72</v>
      </c>
      <c r="BK90" s="39">
        <v>6.77</v>
      </c>
      <c r="BL90" s="39">
        <v>6.82</v>
      </c>
      <c r="BM90" s="39">
        <v>6.86</v>
      </c>
      <c r="BN90" s="39">
        <v>6.91</v>
      </c>
      <c r="BO90" s="39">
        <v>6.96</v>
      </c>
      <c r="BP90" s="39">
        <v>7</v>
      </c>
      <c r="BQ90" s="39">
        <v>7.05</v>
      </c>
      <c r="BR90" s="39">
        <v>7.1</v>
      </c>
      <c r="BS90" s="39">
        <v>7.15</v>
      </c>
      <c r="BT90" s="39">
        <v>7.19</v>
      </c>
      <c r="BU90" s="39">
        <v>7.24</v>
      </c>
      <c r="BV90" s="39">
        <v>7.29</v>
      </c>
      <c r="BW90" s="39">
        <v>7.33</v>
      </c>
      <c r="BX90" s="39">
        <v>7.38</v>
      </c>
      <c r="BY90" s="39">
        <v>7.43</v>
      </c>
      <c r="BZ90" s="39">
        <v>7.47</v>
      </c>
      <c r="CA90" s="39">
        <v>7.52</v>
      </c>
      <c r="CB90" s="39">
        <v>7.57</v>
      </c>
      <c r="CC90" s="39">
        <v>7.61</v>
      </c>
      <c r="CD90" s="39">
        <v>7.66</v>
      </c>
      <c r="CE90" s="39">
        <v>7.7</v>
      </c>
      <c r="CF90" s="39">
        <v>7.75</v>
      </c>
      <c r="CG90" s="39">
        <v>7.8</v>
      </c>
      <c r="CH90" s="39">
        <v>7.84</v>
      </c>
      <c r="CI90" s="39">
        <v>7.89</v>
      </c>
      <c r="CJ90" s="39">
        <v>7.93</v>
      </c>
      <c r="CK90" s="39">
        <v>7.98</v>
      </c>
      <c r="CL90" s="39">
        <v>8.0299999999999994</v>
      </c>
      <c r="CM90" s="39">
        <v>8.07</v>
      </c>
      <c r="CN90" s="39">
        <v>8.1199999999999992</v>
      </c>
      <c r="CO90" s="39">
        <v>8.16</v>
      </c>
      <c r="CP90" s="39">
        <v>8.2100000000000009</v>
      </c>
      <c r="CQ90" s="39">
        <v>8.25</v>
      </c>
      <c r="CR90" s="39">
        <v>8.3000000000000007</v>
      </c>
      <c r="CS90" s="39">
        <v>8.34</v>
      </c>
      <c r="CT90" s="39">
        <v>8.39</v>
      </c>
      <c r="CU90" s="39">
        <v>8.43</v>
      </c>
      <c r="CV90" s="39">
        <v>8.48</v>
      </c>
      <c r="CW90" s="39">
        <v>8.52</v>
      </c>
      <c r="CX90" s="39">
        <v>8.57</v>
      </c>
      <c r="CY90" s="39">
        <v>8.61</v>
      </c>
      <c r="CZ90" s="39">
        <v>8.65</v>
      </c>
      <c r="DA90" s="39">
        <v>8.6999999999999993</v>
      </c>
      <c r="DB90" s="39">
        <v>8.74</v>
      </c>
      <c r="DC90" s="39">
        <v>8.7899999999999991</v>
      </c>
      <c r="DD90" s="39">
        <v>8.83</v>
      </c>
      <c r="DE90" s="39">
        <v>8.8699999999999992</v>
      </c>
      <c r="DF90" s="39">
        <v>8.92</v>
      </c>
      <c r="DG90" s="39">
        <v>8.9600000000000009</v>
      </c>
      <c r="DH90" s="39">
        <v>9</v>
      </c>
      <c r="DI90" s="39">
        <v>9.0500000000000007</v>
      </c>
      <c r="DJ90" s="39">
        <v>9.09</v>
      </c>
      <c r="DK90" s="39">
        <v>9.1300000000000008</v>
      </c>
      <c r="DL90" s="39">
        <v>9.17</v>
      </c>
      <c r="DM90" s="39">
        <v>9.2200000000000006</v>
      </c>
      <c r="DN90" s="39">
        <v>9.26</v>
      </c>
      <c r="DO90" s="39">
        <v>9.3000000000000007</v>
      </c>
      <c r="DP90" s="39">
        <v>9.34</v>
      </c>
      <c r="DQ90" s="39">
        <v>9.3800000000000008</v>
      </c>
      <c r="DR90" s="39">
        <v>9.42</v>
      </c>
    </row>
    <row r="91" spans="1:122">
      <c r="A91" s="44">
        <v>89</v>
      </c>
      <c r="B91" s="45"/>
      <c r="C91" s="45"/>
      <c r="D91" s="45"/>
      <c r="E91" s="45"/>
      <c r="F91" s="45"/>
      <c r="G91" s="45"/>
      <c r="H91" s="45"/>
      <c r="I91" s="45"/>
      <c r="J91" s="45"/>
      <c r="K91" s="45"/>
      <c r="L91" s="45"/>
      <c r="M91" s="45"/>
      <c r="N91" s="45"/>
      <c r="O91" s="45"/>
      <c r="P91" s="45"/>
      <c r="Q91" s="45"/>
      <c r="R91" s="45"/>
      <c r="S91" s="45"/>
      <c r="T91" s="45"/>
      <c r="U91" s="45"/>
      <c r="V91" s="39"/>
      <c r="W91" s="39">
        <v>4.59</v>
      </c>
      <c r="X91" s="39">
        <v>4.5599999999999996</v>
      </c>
      <c r="Y91" s="39">
        <v>4.5999999999999996</v>
      </c>
      <c r="Z91" s="39">
        <v>4.66</v>
      </c>
      <c r="AA91" s="39">
        <v>4.66</v>
      </c>
      <c r="AB91" s="39">
        <v>4.72</v>
      </c>
      <c r="AC91" s="39">
        <v>4.76</v>
      </c>
      <c r="AD91" s="39">
        <v>4.8</v>
      </c>
      <c r="AE91" s="39">
        <v>4.8499999999999996</v>
      </c>
      <c r="AF91" s="39">
        <v>4.8899999999999997</v>
      </c>
      <c r="AG91" s="39">
        <v>4.9400000000000004</v>
      </c>
      <c r="AH91" s="39">
        <v>4.99</v>
      </c>
      <c r="AI91" s="39">
        <v>5.03</v>
      </c>
      <c r="AJ91" s="39">
        <v>5.08</v>
      </c>
      <c r="AK91" s="39">
        <v>5.13</v>
      </c>
      <c r="AL91" s="39">
        <v>5.17</v>
      </c>
      <c r="AM91" s="39">
        <v>5.22</v>
      </c>
      <c r="AN91" s="39">
        <v>5.27</v>
      </c>
      <c r="AO91" s="39">
        <v>5.31</v>
      </c>
      <c r="AP91" s="39">
        <v>5.35</v>
      </c>
      <c r="AQ91" s="39">
        <v>5.4</v>
      </c>
      <c r="AR91" s="39">
        <v>5.44</v>
      </c>
      <c r="AS91" s="39">
        <v>5.48</v>
      </c>
      <c r="AT91" s="39">
        <v>5.53</v>
      </c>
      <c r="AU91" s="39">
        <v>5.57</v>
      </c>
      <c r="AV91" s="39">
        <v>5.61</v>
      </c>
      <c r="AW91" s="39">
        <v>5.66</v>
      </c>
      <c r="AX91" s="39">
        <v>5.7</v>
      </c>
      <c r="AY91" s="39">
        <v>5.74</v>
      </c>
      <c r="AZ91" s="39">
        <v>5.79</v>
      </c>
      <c r="BA91" s="39">
        <v>5.83</v>
      </c>
      <c r="BB91" s="39">
        <v>5.87</v>
      </c>
      <c r="BC91" s="39">
        <v>5.92</v>
      </c>
      <c r="BD91" s="39">
        <v>5.96</v>
      </c>
      <c r="BE91" s="39">
        <v>6</v>
      </c>
      <c r="BF91" s="39">
        <v>6.05</v>
      </c>
      <c r="BG91" s="39">
        <v>6.09</v>
      </c>
      <c r="BH91" s="39">
        <v>6.14</v>
      </c>
      <c r="BI91" s="39">
        <v>6.18</v>
      </c>
      <c r="BJ91" s="39">
        <v>6.22</v>
      </c>
      <c r="BK91" s="39">
        <v>6.27</v>
      </c>
      <c r="BL91" s="39">
        <v>6.31</v>
      </c>
      <c r="BM91" s="39">
        <v>6.35</v>
      </c>
      <c r="BN91" s="39">
        <v>6.4</v>
      </c>
      <c r="BO91" s="39">
        <v>6.44</v>
      </c>
      <c r="BP91" s="39">
        <v>6.48</v>
      </c>
      <c r="BQ91" s="39">
        <v>6.53</v>
      </c>
      <c r="BR91" s="39">
        <v>6.57</v>
      </c>
      <c r="BS91" s="39">
        <v>6.62</v>
      </c>
      <c r="BT91" s="39">
        <v>6.66</v>
      </c>
      <c r="BU91" s="39">
        <v>6.7</v>
      </c>
      <c r="BV91" s="39">
        <v>6.75</v>
      </c>
      <c r="BW91" s="39">
        <v>6.79</v>
      </c>
      <c r="BX91" s="39">
        <v>6.83</v>
      </c>
      <c r="BY91" s="39">
        <v>6.88</v>
      </c>
      <c r="BZ91" s="39">
        <v>6.92</v>
      </c>
      <c r="CA91" s="39">
        <v>6.96</v>
      </c>
      <c r="CB91" s="39">
        <v>7.01</v>
      </c>
      <c r="CC91" s="39">
        <v>7.05</v>
      </c>
      <c r="CD91" s="39">
        <v>7.09</v>
      </c>
      <c r="CE91" s="39">
        <v>7.13</v>
      </c>
      <c r="CF91" s="39">
        <v>7.18</v>
      </c>
      <c r="CG91" s="39">
        <v>7.22</v>
      </c>
      <c r="CH91" s="39">
        <v>7.26</v>
      </c>
      <c r="CI91" s="39">
        <v>7.31</v>
      </c>
      <c r="CJ91" s="39">
        <v>7.35</v>
      </c>
      <c r="CK91" s="39">
        <v>7.39</v>
      </c>
      <c r="CL91" s="39">
        <v>7.43</v>
      </c>
      <c r="CM91" s="39">
        <v>7.48</v>
      </c>
      <c r="CN91" s="39">
        <v>7.52</v>
      </c>
      <c r="CO91" s="39">
        <v>7.56</v>
      </c>
      <c r="CP91" s="39">
        <v>7.6</v>
      </c>
      <c r="CQ91" s="39">
        <v>7.64</v>
      </c>
      <c r="CR91" s="39">
        <v>7.69</v>
      </c>
      <c r="CS91" s="39">
        <v>7.73</v>
      </c>
      <c r="CT91" s="39">
        <v>7.77</v>
      </c>
      <c r="CU91" s="39">
        <v>7.81</v>
      </c>
      <c r="CV91" s="39">
        <v>7.85</v>
      </c>
      <c r="CW91" s="39">
        <v>7.89</v>
      </c>
      <c r="CX91" s="39">
        <v>7.94</v>
      </c>
      <c r="CY91" s="39">
        <v>7.98</v>
      </c>
      <c r="CZ91" s="39">
        <v>8.02</v>
      </c>
      <c r="DA91" s="39">
        <v>8.06</v>
      </c>
      <c r="DB91" s="39">
        <v>8.1</v>
      </c>
      <c r="DC91" s="39">
        <v>8.14</v>
      </c>
      <c r="DD91" s="39">
        <v>8.18</v>
      </c>
      <c r="DE91" s="39">
        <v>8.2200000000000006</v>
      </c>
      <c r="DF91" s="39">
        <v>8.26</v>
      </c>
      <c r="DG91" s="39">
        <v>8.3000000000000007</v>
      </c>
      <c r="DH91" s="39">
        <v>8.34</v>
      </c>
      <c r="DI91" s="39">
        <v>8.3800000000000008</v>
      </c>
      <c r="DJ91" s="39">
        <v>8.42</v>
      </c>
      <c r="DK91" s="39">
        <v>8.4600000000000009</v>
      </c>
      <c r="DL91" s="39">
        <v>8.5</v>
      </c>
      <c r="DM91" s="39">
        <v>8.5399999999999991</v>
      </c>
      <c r="DN91" s="39">
        <v>8.58</v>
      </c>
      <c r="DO91" s="39">
        <v>8.6199999999999992</v>
      </c>
      <c r="DP91" s="39">
        <v>8.66</v>
      </c>
      <c r="DQ91" s="39">
        <v>8.6999999999999993</v>
      </c>
      <c r="DR91" s="39">
        <v>8.73</v>
      </c>
    </row>
    <row r="92" spans="1:122">
      <c r="A92" s="44">
        <v>90</v>
      </c>
      <c r="B92" s="45"/>
      <c r="C92" s="45"/>
      <c r="D92" s="45"/>
      <c r="E92" s="45"/>
      <c r="F92" s="45"/>
      <c r="G92" s="45"/>
      <c r="H92" s="45"/>
      <c r="I92" s="45"/>
      <c r="J92" s="45"/>
      <c r="K92" s="45"/>
      <c r="L92" s="45"/>
      <c r="M92" s="45"/>
      <c r="N92" s="45"/>
      <c r="O92" s="45"/>
      <c r="P92" s="45"/>
      <c r="Q92" s="45"/>
      <c r="R92" s="45"/>
      <c r="S92" s="45"/>
      <c r="T92" s="45"/>
      <c r="U92" s="45"/>
      <c r="V92" s="39"/>
      <c r="W92" s="39">
        <v>4.24</v>
      </c>
      <c r="X92" s="39">
        <v>4.21</v>
      </c>
      <c r="Y92" s="39">
        <v>4.2699999999999996</v>
      </c>
      <c r="Z92" s="39">
        <v>4.28</v>
      </c>
      <c r="AA92" s="39">
        <v>4.3099999999999996</v>
      </c>
      <c r="AB92" s="39">
        <v>4.3499999999999996</v>
      </c>
      <c r="AC92" s="39">
        <v>4.4000000000000004</v>
      </c>
      <c r="AD92" s="39">
        <v>4.4400000000000004</v>
      </c>
      <c r="AE92" s="39">
        <v>4.49</v>
      </c>
      <c r="AF92" s="39">
        <v>4.53</v>
      </c>
      <c r="AG92" s="39">
        <v>4.57</v>
      </c>
      <c r="AH92" s="39">
        <v>4.6100000000000003</v>
      </c>
      <c r="AI92" s="39">
        <v>4.66</v>
      </c>
      <c r="AJ92" s="39">
        <v>4.7</v>
      </c>
      <c r="AK92" s="39">
        <v>4.75</v>
      </c>
      <c r="AL92" s="39">
        <v>4.79</v>
      </c>
      <c r="AM92" s="39">
        <v>4.83</v>
      </c>
      <c r="AN92" s="39">
        <v>4.87</v>
      </c>
      <c r="AO92" s="39">
        <v>4.91</v>
      </c>
      <c r="AP92" s="39">
        <v>4.95</v>
      </c>
      <c r="AQ92" s="39">
        <v>4.99</v>
      </c>
      <c r="AR92" s="39">
        <v>5.03</v>
      </c>
      <c r="AS92" s="39">
        <v>5.07</v>
      </c>
      <c r="AT92" s="39">
        <v>5.1100000000000003</v>
      </c>
      <c r="AU92" s="39">
        <v>5.15</v>
      </c>
      <c r="AV92" s="39">
        <v>5.19</v>
      </c>
      <c r="AW92" s="39">
        <v>5.23</v>
      </c>
      <c r="AX92" s="39">
        <v>5.27</v>
      </c>
      <c r="AY92" s="39">
        <v>5.31</v>
      </c>
      <c r="AZ92" s="39">
        <v>5.35</v>
      </c>
      <c r="BA92" s="39">
        <v>5.39</v>
      </c>
      <c r="BB92" s="39">
        <v>5.43</v>
      </c>
      <c r="BC92" s="39">
        <v>5.47</v>
      </c>
      <c r="BD92" s="39">
        <v>5.51</v>
      </c>
      <c r="BE92" s="39">
        <v>5.55</v>
      </c>
      <c r="BF92" s="39">
        <v>5.59</v>
      </c>
      <c r="BG92" s="39">
        <v>5.63</v>
      </c>
      <c r="BH92" s="39">
        <v>5.67</v>
      </c>
      <c r="BI92" s="39">
        <v>5.71</v>
      </c>
      <c r="BJ92" s="39">
        <v>5.75</v>
      </c>
      <c r="BK92" s="39">
        <v>5.79</v>
      </c>
      <c r="BL92" s="39">
        <v>5.83</v>
      </c>
      <c r="BM92" s="39">
        <v>5.87</v>
      </c>
      <c r="BN92" s="39">
        <v>5.91</v>
      </c>
      <c r="BO92" s="39">
        <v>5.95</v>
      </c>
      <c r="BP92" s="39">
        <v>6</v>
      </c>
      <c r="BQ92" s="39">
        <v>6.04</v>
      </c>
      <c r="BR92" s="39">
        <v>6.08</v>
      </c>
      <c r="BS92" s="39">
        <v>6.12</v>
      </c>
      <c r="BT92" s="39">
        <v>6.16</v>
      </c>
      <c r="BU92" s="39">
        <v>6.2</v>
      </c>
      <c r="BV92" s="39">
        <v>6.24</v>
      </c>
      <c r="BW92" s="39">
        <v>6.28</v>
      </c>
      <c r="BX92" s="39">
        <v>6.32</v>
      </c>
      <c r="BY92" s="39">
        <v>6.36</v>
      </c>
      <c r="BZ92" s="39">
        <v>6.4</v>
      </c>
      <c r="CA92" s="39">
        <v>6.44</v>
      </c>
      <c r="CB92" s="39">
        <v>6.48</v>
      </c>
      <c r="CC92" s="39">
        <v>6.52</v>
      </c>
      <c r="CD92" s="39">
        <v>6.56</v>
      </c>
      <c r="CE92" s="39">
        <v>6.6</v>
      </c>
      <c r="CF92" s="39">
        <v>6.63</v>
      </c>
      <c r="CG92" s="39">
        <v>6.67</v>
      </c>
      <c r="CH92" s="39">
        <v>6.71</v>
      </c>
      <c r="CI92" s="39">
        <v>6.75</v>
      </c>
      <c r="CJ92" s="39">
        <v>6.79</v>
      </c>
      <c r="CK92" s="39">
        <v>6.83</v>
      </c>
      <c r="CL92" s="39">
        <v>6.87</v>
      </c>
      <c r="CM92" s="39">
        <v>6.91</v>
      </c>
      <c r="CN92" s="39">
        <v>6.95</v>
      </c>
      <c r="CO92" s="39">
        <v>6.99</v>
      </c>
      <c r="CP92" s="39">
        <v>7.03</v>
      </c>
      <c r="CQ92" s="39">
        <v>7.07</v>
      </c>
      <c r="CR92" s="39">
        <v>7.1</v>
      </c>
      <c r="CS92" s="39">
        <v>7.14</v>
      </c>
      <c r="CT92" s="39">
        <v>7.18</v>
      </c>
      <c r="CU92" s="39">
        <v>7.22</v>
      </c>
      <c r="CV92" s="39">
        <v>7.26</v>
      </c>
      <c r="CW92" s="39">
        <v>7.3</v>
      </c>
      <c r="CX92" s="39">
        <v>7.33</v>
      </c>
      <c r="CY92" s="39">
        <v>7.37</v>
      </c>
      <c r="CZ92" s="39">
        <v>7.41</v>
      </c>
      <c r="DA92" s="39">
        <v>7.45</v>
      </c>
      <c r="DB92" s="39">
        <v>7.49</v>
      </c>
      <c r="DC92" s="39">
        <v>7.52</v>
      </c>
      <c r="DD92" s="39">
        <v>7.56</v>
      </c>
      <c r="DE92" s="39">
        <v>7.6</v>
      </c>
      <c r="DF92" s="39">
        <v>7.64</v>
      </c>
      <c r="DG92" s="39">
        <v>7.67</v>
      </c>
      <c r="DH92" s="39">
        <v>7.71</v>
      </c>
      <c r="DI92" s="39">
        <v>7.75</v>
      </c>
      <c r="DJ92" s="39">
        <v>7.78</v>
      </c>
      <c r="DK92" s="39">
        <v>7.82</v>
      </c>
      <c r="DL92" s="39">
        <v>7.86</v>
      </c>
      <c r="DM92" s="39">
        <v>7.89</v>
      </c>
      <c r="DN92" s="39">
        <v>7.93</v>
      </c>
      <c r="DO92" s="39">
        <v>7.96</v>
      </c>
      <c r="DP92" s="39">
        <v>8</v>
      </c>
      <c r="DQ92" s="39">
        <v>8.0399999999999991</v>
      </c>
      <c r="DR92" s="39">
        <v>8.07</v>
      </c>
    </row>
    <row r="93" spans="1:122">
      <c r="A93" s="44">
        <v>91</v>
      </c>
      <c r="B93" s="45"/>
      <c r="C93" s="45"/>
      <c r="D93" s="45"/>
      <c r="E93" s="45"/>
      <c r="F93" s="45"/>
      <c r="G93" s="45"/>
      <c r="H93" s="45"/>
      <c r="I93" s="45"/>
      <c r="J93" s="45"/>
      <c r="K93" s="45"/>
      <c r="L93" s="45"/>
      <c r="M93" s="45"/>
      <c r="N93" s="45"/>
      <c r="O93" s="45"/>
      <c r="P93" s="45"/>
      <c r="Q93" s="45"/>
      <c r="R93" s="45"/>
      <c r="S93" s="45"/>
      <c r="T93" s="45"/>
      <c r="U93" s="45"/>
      <c r="V93" s="39"/>
      <c r="W93" s="39">
        <v>3.93</v>
      </c>
      <c r="X93" s="39">
        <v>3.9</v>
      </c>
      <c r="Y93" s="39">
        <v>3.91</v>
      </c>
      <c r="Z93" s="39">
        <v>3.97</v>
      </c>
      <c r="AA93" s="39">
        <v>3.97</v>
      </c>
      <c r="AB93" s="39">
        <v>4.0199999999999996</v>
      </c>
      <c r="AC93" s="39">
        <v>4.08</v>
      </c>
      <c r="AD93" s="39">
        <v>4.1100000000000003</v>
      </c>
      <c r="AE93" s="39">
        <v>4.1500000000000004</v>
      </c>
      <c r="AF93" s="39">
        <v>4.1900000000000004</v>
      </c>
      <c r="AG93" s="39">
        <v>4.2300000000000004</v>
      </c>
      <c r="AH93" s="39">
        <v>4.2699999999999996</v>
      </c>
      <c r="AI93" s="39">
        <v>4.3099999999999996</v>
      </c>
      <c r="AJ93" s="39">
        <v>4.3499999999999996</v>
      </c>
      <c r="AK93" s="39">
        <v>4.3899999999999997</v>
      </c>
      <c r="AL93" s="39">
        <v>4.43</v>
      </c>
      <c r="AM93" s="39">
        <v>4.47</v>
      </c>
      <c r="AN93" s="39">
        <v>4.51</v>
      </c>
      <c r="AO93" s="39">
        <v>4.54</v>
      </c>
      <c r="AP93" s="39">
        <v>4.58</v>
      </c>
      <c r="AQ93" s="39">
        <v>4.62</v>
      </c>
      <c r="AR93" s="39">
        <v>4.6500000000000004</v>
      </c>
      <c r="AS93" s="39">
        <v>4.6900000000000004</v>
      </c>
      <c r="AT93" s="39">
        <v>4.7300000000000004</v>
      </c>
      <c r="AU93" s="39">
        <v>4.76</v>
      </c>
      <c r="AV93" s="39">
        <v>4.8</v>
      </c>
      <c r="AW93" s="39">
        <v>4.84</v>
      </c>
      <c r="AX93" s="39">
        <v>4.87</v>
      </c>
      <c r="AY93" s="39">
        <v>4.91</v>
      </c>
      <c r="AZ93" s="39">
        <v>4.95</v>
      </c>
      <c r="BA93" s="39">
        <v>4.9800000000000004</v>
      </c>
      <c r="BB93" s="39">
        <v>5.0199999999999996</v>
      </c>
      <c r="BC93" s="39">
        <v>5.0599999999999996</v>
      </c>
      <c r="BD93" s="39">
        <v>5.09</v>
      </c>
      <c r="BE93" s="39">
        <v>5.13</v>
      </c>
      <c r="BF93" s="39">
        <v>5.17</v>
      </c>
      <c r="BG93" s="39">
        <v>5.2</v>
      </c>
      <c r="BH93" s="39">
        <v>5.24</v>
      </c>
      <c r="BI93" s="39">
        <v>5.28</v>
      </c>
      <c r="BJ93" s="39">
        <v>5.31</v>
      </c>
      <c r="BK93" s="39">
        <v>5.35</v>
      </c>
      <c r="BL93" s="39">
        <v>5.39</v>
      </c>
      <c r="BM93" s="39">
        <v>5.43</v>
      </c>
      <c r="BN93" s="39">
        <v>5.46</v>
      </c>
      <c r="BO93" s="39">
        <v>5.5</v>
      </c>
      <c r="BP93" s="39">
        <v>5.54</v>
      </c>
      <c r="BQ93" s="39">
        <v>5.57</v>
      </c>
      <c r="BR93" s="39">
        <v>5.61</v>
      </c>
      <c r="BS93" s="39">
        <v>5.65</v>
      </c>
      <c r="BT93" s="39">
        <v>5.68</v>
      </c>
      <c r="BU93" s="39">
        <v>5.72</v>
      </c>
      <c r="BV93" s="39">
        <v>5.76</v>
      </c>
      <c r="BW93" s="39">
        <v>5.79</v>
      </c>
      <c r="BX93" s="39">
        <v>5.83</v>
      </c>
      <c r="BY93" s="39">
        <v>5.87</v>
      </c>
      <c r="BZ93" s="39">
        <v>5.9</v>
      </c>
      <c r="CA93" s="39">
        <v>5.94</v>
      </c>
      <c r="CB93" s="39">
        <v>5.98</v>
      </c>
      <c r="CC93" s="39">
        <v>6.01</v>
      </c>
      <c r="CD93" s="39">
        <v>6.05</v>
      </c>
      <c r="CE93" s="39">
        <v>6.09</v>
      </c>
      <c r="CF93" s="39">
        <v>6.12</v>
      </c>
      <c r="CG93" s="39">
        <v>6.16</v>
      </c>
      <c r="CH93" s="39">
        <v>6.19</v>
      </c>
      <c r="CI93" s="39">
        <v>6.23</v>
      </c>
      <c r="CJ93" s="39">
        <v>6.27</v>
      </c>
      <c r="CK93" s="39">
        <v>6.3</v>
      </c>
      <c r="CL93" s="39">
        <v>6.34</v>
      </c>
      <c r="CM93" s="39">
        <v>6.37</v>
      </c>
      <c r="CN93" s="39">
        <v>6.41</v>
      </c>
      <c r="CO93" s="39">
        <v>6.45</v>
      </c>
      <c r="CP93" s="39">
        <v>6.48</v>
      </c>
      <c r="CQ93" s="39">
        <v>6.52</v>
      </c>
      <c r="CR93" s="39">
        <v>6.55</v>
      </c>
      <c r="CS93" s="39">
        <v>6.59</v>
      </c>
      <c r="CT93" s="39">
        <v>6.62</v>
      </c>
      <c r="CU93" s="39">
        <v>6.66</v>
      </c>
      <c r="CV93" s="39">
        <v>6.69</v>
      </c>
      <c r="CW93" s="39">
        <v>6.73</v>
      </c>
      <c r="CX93" s="39">
        <v>6.76</v>
      </c>
      <c r="CY93" s="39">
        <v>6.8</v>
      </c>
      <c r="CZ93" s="39">
        <v>6.83</v>
      </c>
      <c r="DA93" s="39">
        <v>6.87</v>
      </c>
      <c r="DB93" s="39">
        <v>6.9</v>
      </c>
      <c r="DC93" s="39">
        <v>6.94</v>
      </c>
      <c r="DD93" s="39">
        <v>6.97</v>
      </c>
      <c r="DE93" s="39">
        <v>7</v>
      </c>
      <c r="DF93" s="39">
        <v>7.04</v>
      </c>
      <c r="DG93" s="39">
        <v>7.07</v>
      </c>
      <c r="DH93" s="39">
        <v>7.11</v>
      </c>
      <c r="DI93" s="39">
        <v>7.14</v>
      </c>
      <c r="DJ93" s="39">
        <v>7.17</v>
      </c>
      <c r="DK93" s="39">
        <v>7.21</v>
      </c>
      <c r="DL93" s="39">
        <v>7.24</v>
      </c>
      <c r="DM93" s="39">
        <v>7.27</v>
      </c>
      <c r="DN93" s="39">
        <v>7.31</v>
      </c>
      <c r="DO93" s="39">
        <v>7.34</v>
      </c>
      <c r="DP93" s="39">
        <v>7.37</v>
      </c>
      <c r="DQ93" s="39">
        <v>7.4</v>
      </c>
      <c r="DR93" s="39">
        <v>7.44</v>
      </c>
    </row>
    <row r="94" spans="1:122">
      <c r="A94" s="44">
        <v>92</v>
      </c>
      <c r="B94" s="45"/>
      <c r="C94" s="45"/>
      <c r="D94" s="45"/>
      <c r="E94" s="45"/>
      <c r="F94" s="45"/>
      <c r="G94" s="45"/>
      <c r="H94" s="45"/>
      <c r="I94" s="45"/>
      <c r="J94" s="45"/>
      <c r="K94" s="45"/>
      <c r="L94" s="45"/>
      <c r="M94" s="45"/>
      <c r="N94" s="45"/>
      <c r="O94" s="45"/>
      <c r="P94" s="45"/>
      <c r="Q94" s="45"/>
      <c r="R94" s="45"/>
      <c r="S94" s="45"/>
      <c r="T94" s="45"/>
      <c r="U94" s="45"/>
      <c r="V94" s="39"/>
      <c r="W94" s="39">
        <v>3.66</v>
      </c>
      <c r="X94" s="39">
        <v>3.58</v>
      </c>
      <c r="Y94" s="39">
        <v>3.63</v>
      </c>
      <c r="Z94" s="39">
        <v>3.65</v>
      </c>
      <c r="AA94" s="39">
        <v>3.68</v>
      </c>
      <c r="AB94" s="39">
        <v>3.73</v>
      </c>
      <c r="AC94" s="39">
        <v>3.77</v>
      </c>
      <c r="AD94" s="39">
        <v>3.81</v>
      </c>
      <c r="AE94" s="39">
        <v>3.84</v>
      </c>
      <c r="AF94" s="39">
        <v>3.88</v>
      </c>
      <c r="AG94" s="39">
        <v>3.92</v>
      </c>
      <c r="AH94" s="39">
        <v>3.95</v>
      </c>
      <c r="AI94" s="39">
        <v>3.99</v>
      </c>
      <c r="AJ94" s="39">
        <v>4.03</v>
      </c>
      <c r="AK94" s="39">
        <v>4.0599999999999996</v>
      </c>
      <c r="AL94" s="39">
        <v>4.0999999999999996</v>
      </c>
      <c r="AM94" s="39">
        <v>4.13</v>
      </c>
      <c r="AN94" s="39">
        <v>4.17</v>
      </c>
      <c r="AO94" s="39">
        <v>4.2</v>
      </c>
      <c r="AP94" s="39">
        <v>4.2300000000000004</v>
      </c>
      <c r="AQ94" s="39">
        <v>4.2699999999999996</v>
      </c>
      <c r="AR94" s="39">
        <v>4.3</v>
      </c>
      <c r="AS94" s="39">
        <v>4.33</v>
      </c>
      <c r="AT94" s="39">
        <v>4.37</v>
      </c>
      <c r="AU94" s="39">
        <v>4.4000000000000004</v>
      </c>
      <c r="AV94" s="39">
        <v>4.43</v>
      </c>
      <c r="AW94" s="39">
        <v>4.47</v>
      </c>
      <c r="AX94" s="39">
        <v>4.5</v>
      </c>
      <c r="AY94" s="39">
        <v>4.53</v>
      </c>
      <c r="AZ94" s="39">
        <v>4.57</v>
      </c>
      <c r="BA94" s="39">
        <v>4.5999999999999996</v>
      </c>
      <c r="BB94" s="39">
        <v>4.63</v>
      </c>
      <c r="BC94" s="39">
        <v>4.67</v>
      </c>
      <c r="BD94" s="39">
        <v>4.7</v>
      </c>
      <c r="BE94" s="39">
        <v>4.74</v>
      </c>
      <c r="BF94" s="39">
        <v>4.7699999999999996</v>
      </c>
      <c r="BG94" s="39">
        <v>4.8</v>
      </c>
      <c r="BH94" s="39">
        <v>4.84</v>
      </c>
      <c r="BI94" s="39">
        <v>4.87</v>
      </c>
      <c r="BJ94" s="39">
        <v>4.9000000000000004</v>
      </c>
      <c r="BK94" s="39">
        <v>4.9400000000000004</v>
      </c>
      <c r="BL94" s="39">
        <v>4.97</v>
      </c>
      <c r="BM94" s="39">
        <v>5</v>
      </c>
      <c r="BN94" s="39">
        <v>5.04</v>
      </c>
      <c r="BO94" s="39">
        <v>5.07</v>
      </c>
      <c r="BP94" s="39">
        <v>5.0999999999999996</v>
      </c>
      <c r="BQ94" s="39">
        <v>5.14</v>
      </c>
      <c r="BR94" s="39">
        <v>5.17</v>
      </c>
      <c r="BS94" s="39">
        <v>5.2</v>
      </c>
      <c r="BT94" s="39">
        <v>5.24</v>
      </c>
      <c r="BU94" s="39">
        <v>5.27</v>
      </c>
      <c r="BV94" s="39">
        <v>5.3</v>
      </c>
      <c r="BW94" s="39">
        <v>5.34</v>
      </c>
      <c r="BX94" s="39">
        <v>5.37</v>
      </c>
      <c r="BY94" s="39">
        <v>5.4</v>
      </c>
      <c r="BZ94" s="39">
        <v>5.44</v>
      </c>
      <c r="CA94" s="39">
        <v>5.47</v>
      </c>
      <c r="CB94" s="39">
        <v>5.5</v>
      </c>
      <c r="CC94" s="39">
        <v>5.54</v>
      </c>
      <c r="CD94" s="39">
        <v>5.57</v>
      </c>
      <c r="CE94" s="39">
        <v>5.6</v>
      </c>
      <c r="CF94" s="39">
        <v>5.64</v>
      </c>
      <c r="CG94" s="39">
        <v>5.67</v>
      </c>
      <c r="CH94" s="39">
        <v>5.7</v>
      </c>
      <c r="CI94" s="39">
        <v>5.73</v>
      </c>
      <c r="CJ94" s="39">
        <v>5.77</v>
      </c>
      <c r="CK94" s="39">
        <v>5.8</v>
      </c>
      <c r="CL94" s="39">
        <v>5.83</v>
      </c>
      <c r="CM94" s="39">
        <v>5.87</v>
      </c>
      <c r="CN94" s="39">
        <v>5.9</v>
      </c>
      <c r="CO94" s="39">
        <v>5.93</v>
      </c>
      <c r="CP94" s="39">
        <v>5.96</v>
      </c>
      <c r="CQ94" s="39">
        <v>5.99</v>
      </c>
      <c r="CR94" s="39">
        <v>6.03</v>
      </c>
      <c r="CS94" s="39">
        <v>6.06</v>
      </c>
      <c r="CT94" s="39">
        <v>6.09</v>
      </c>
      <c r="CU94" s="39">
        <v>6.12</v>
      </c>
      <c r="CV94" s="39">
        <v>6.15</v>
      </c>
      <c r="CW94" s="39">
        <v>6.19</v>
      </c>
      <c r="CX94" s="39">
        <v>6.22</v>
      </c>
      <c r="CY94" s="39">
        <v>6.25</v>
      </c>
      <c r="CZ94" s="39">
        <v>6.28</v>
      </c>
      <c r="DA94" s="39">
        <v>6.31</v>
      </c>
      <c r="DB94" s="39">
        <v>6.34</v>
      </c>
      <c r="DC94" s="39">
        <v>6.37</v>
      </c>
      <c r="DD94" s="39">
        <v>6.41</v>
      </c>
      <c r="DE94" s="39">
        <v>6.44</v>
      </c>
      <c r="DF94" s="39">
        <v>6.47</v>
      </c>
      <c r="DG94" s="39">
        <v>6.5</v>
      </c>
      <c r="DH94" s="39">
        <v>6.53</v>
      </c>
      <c r="DI94" s="39">
        <v>6.56</v>
      </c>
      <c r="DJ94" s="39">
        <v>6.59</v>
      </c>
      <c r="DK94" s="39">
        <v>6.62</v>
      </c>
      <c r="DL94" s="39">
        <v>6.65</v>
      </c>
      <c r="DM94" s="39">
        <v>6.68</v>
      </c>
      <c r="DN94" s="39">
        <v>6.71</v>
      </c>
      <c r="DO94" s="39">
        <v>6.74</v>
      </c>
      <c r="DP94" s="39">
        <v>6.77</v>
      </c>
      <c r="DQ94" s="39">
        <v>6.8</v>
      </c>
      <c r="DR94" s="39">
        <v>6.83</v>
      </c>
    </row>
    <row r="95" spans="1:122">
      <c r="A95" s="44">
        <v>93</v>
      </c>
      <c r="B95" s="45"/>
      <c r="C95" s="45"/>
      <c r="D95" s="45"/>
      <c r="E95" s="45"/>
      <c r="F95" s="45"/>
      <c r="G95" s="45"/>
      <c r="H95" s="45"/>
      <c r="I95" s="45"/>
      <c r="J95" s="45"/>
      <c r="K95" s="45"/>
      <c r="L95" s="45"/>
      <c r="M95" s="45"/>
      <c r="N95" s="45"/>
      <c r="O95" s="45"/>
      <c r="P95" s="45"/>
      <c r="Q95" s="45"/>
      <c r="R95" s="45"/>
      <c r="S95" s="45"/>
      <c r="T95" s="45"/>
      <c r="U95" s="45"/>
      <c r="V95" s="39"/>
      <c r="W95" s="39">
        <v>3.38</v>
      </c>
      <c r="X95" s="39">
        <v>3.32</v>
      </c>
      <c r="Y95" s="39">
        <v>3.33</v>
      </c>
      <c r="Z95" s="39">
        <v>3.4</v>
      </c>
      <c r="AA95" s="39">
        <v>3.42</v>
      </c>
      <c r="AB95" s="39">
        <v>3.46</v>
      </c>
      <c r="AC95" s="39">
        <v>3.49</v>
      </c>
      <c r="AD95" s="39">
        <v>3.53</v>
      </c>
      <c r="AE95" s="39">
        <v>3.56</v>
      </c>
      <c r="AF95" s="39">
        <v>3.59</v>
      </c>
      <c r="AG95" s="39">
        <v>3.63</v>
      </c>
      <c r="AH95" s="39">
        <v>3.66</v>
      </c>
      <c r="AI95" s="39">
        <v>3.69</v>
      </c>
      <c r="AJ95" s="39">
        <v>3.73</v>
      </c>
      <c r="AK95" s="39">
        <v>3.76</v>
      </c>
      <c r="AL95" s="39">
        <v>3.79</v>
      </c>
      <c r="AM95" s="39">
        <v>3.82</v>
      </c>
      <c r="AN95" s="39">
        <v>3.85</v>
      </c>
      <c r="AO95" s="39">
        <v>3.88</v>
      </c>
      <c r="AP95" s="39">
        <v>3.91</v>
      </c>
      <c r="AQ95" s="39">
        <v>3.94</v>
      </c>
      <c r="AR95" s="39">
        <v>3.97</v>
      </c>
      <c r="AS95" s="39">
        <v>4</v>
      </c>
      <c r="AT95" s="39">
        <v>4.03</v>
      </c>
      <c r="AU95" s="39">
        <v>4.0599999999999996</v>
      </c>
      <c r="AV95" s="39">
        <v>4.09</v>
      </c>
      <c r="AW95" s="39">
        <v>4.13</v>
      </c>
      <c r="AX95" s="39">
        <v>4.16</v>
      </c>
      <c r="AY95" s="39">
        <v>4.1900000000000004</v>
      </c>
      <c r="AZ95" s="39">
        <v>4.22</v>
      </c>
      <c r="BA95" s="39">
        <v>4.25</v>
      </c>
      <c r="BB95" s="39">
        <v>4.28</v>
      </c>
      <c r="BC95" s="39">
        <v>4.3099999999999996</v>
      </c>
      <c r="BD95" s="39">
        <v>4.34</v>
      </c>
      <c r="BE95" s="39">
        <v>4.37</v>
      </c>
      <c r="BF95" s="39">
        <v>4.4000000000000004</v>
      </c>
      <c r="BG95" s="39">
        <v>4.43</v>
      </c>
      <c r="BH95" s="39">
        <v>4.46</v>
      </c>
      <c r="BI95" s="39">
        <v>4.49</v>
      </c>
      <c r="BJ95" s="39">
        <v>4.5199999999999996</v>
      </c>
      <c r="BK95" s="39">
        <v>4.55</v>
      </c>
      <c r="BL95" s="39">
        <v>4.58</v>
      </c>
      <c r="BM95" s="39">
        <v>4.6100000000000003</v>
      </c>
      <c r="BN95" s="39">
        <v>4.6399999999999997</v>
      </c>
      <c r="BO95" s="39">
        <v>4.67</v>
      </c>
      <c r="BP95" s="39">
        <v>4.7</v>
      </c>
      <c r="BQ95" s="39">
        <v>4.7300000000000004</v>
      </c>
      <c r="BR95" s="39">
        <v>4.76</v>
      </c>
      <c r="BS95" s="39">
        <v>4.79</v>
      </c>
      <c r="BT95" s="39">
        <v>4.82</v>
      </c>
      <c r="BU95" s="39">
        <v>4.8499999999999996</v>
      </c>
      <c r="BV95" s="39">
        <v>4.88</v>
      </c>
      <c r="BW95" s="39">
        <v>4.91</v>
      </c>
      <c r="BX95" s="39">
        <v>4.9400000000000004</v>
      </c>
      <c r="BY95" s="39">
        <v>4.97</v>
      </c>
      <c r="BZ95" s="39">
        <v>5</v>
      </c>
      <c r="CA95" s="39">
        <v>5.03</v>
      </c>
      <c r="CB95" s="39">
        <v>5.0599999999999996</v>
      </c>
      <c r="CC95" s="39">
        <v>5.09</v>
      </c>
      <c r="CD95" s="39">
        <v>5.12</v>
      </c>
      <c r="CE95" s="39">
        <v>5.15</v>
      </c>
      <c r="CF95" s="39">
        <v>5.18</v>
      </c>
      <c r="CG95" s="39">
        <v>5.21</v>
      </c>
      <c r="CH95" s="39">
        <v>5.24</v>
      </c>
      <c r="CI95" s="39">
        <v>5.27</v>
      </c>
      <c r="CJ95" s="39">
        <v>5.3</v>
      </c>
      <c r="CK95" s="39">
        <v>5.32</v>
      </c>
      <c r="CL95" s="39">
        <v>5.35</v>
      </c>
      <c r="CM95" s="39">
        <v>5.38</v>
      </c>
      <c r="CN95" s="39">
        <v>5.41</v>
      </c>
      <c r="CO95" s="39">
        <v>5.44</v>
      </c>
      <c r="CP95" s="39">
        <v>5.47</v>
      </c>
      <c r="CQ95" s="39">
        <v>5.5</v>
      </c>
      <c r="CR95" s="39">
        <v>5.53</v>
      </c>
      <c r="CS95" s="39">
        <v>5.56</v>
      </c>
      <c r="CT95" s="39">
        <v>5.59</v>
      </c>
      <c r="CU95" s="39">
        <v>5.61</v>
      </c>
      <c r="CV95" s="39">
        <v>5.64</v>
      </c>
      <c r="CW95" s="39">
        <v>5.67</v>
      </c>
      <c r="CX95" s="39">
        <v>5.7</v>
      </c>
      <c r="CY95" s="39">
        <v>5.73</v>
      </c>
      <c r="CZ95" s="39">
        <v>5.76</v>
      </c>
      <c r="DA95" s="39">
        <v>5.78</v>
      </c>
      <c r="DB95" s="39">
        <v>5.81</v>
      </c>
      <c r="DC95" s="39">
        <v>5.84</v>
      </c>
      <c r="DD95" s="39">
        <v>5.87</v>
      </c>
      <c r="DE95" s="39">
        <v>5.89</v>
      </c>
      <c r="DF95" s="39">
        <v>5.92</v>
      </c>
      <c r="DG95" s="39">
        <v>5.95</v>
      </c>
      <c r="DH95" s="39">
        <v>5.98</v>
      </c>
      <c r="DI95" s="39">
        <v>6</v>
      </c>
      <c r="DJ95" s="39">
        <v>6.03</v>
      </c>
      <c r="DK95" s="39">
        <v>6.06</v>
      </c>
      <c r="DL95" s="39">
        <v>6.09</v>
      </c>
      <c r="DM95" s="39">
        <v>6.11</v>
      </c>
      <c r="DN95" s="39">
        <v>6.14</v>
      </c>
      <c r="DO95" s="39">
        <v>6.17</v>
      </c>
      <c r="DP95" s="39">
        <v>6.19</v>
      </c>
      <c r="DQ95" s="39">
        <v>6.22</v>
      </c>
      <c r="DR95" s="39">
        <v>6.25</v>
      </c>
    </row>
    <row r="96" spans="1:122">
      <c r="A96" s="44">
        <v>94</v>
      </c>
      <c r="B96" s="45"/>
      <c r="C96" s="45"/>
      <c r="D96" s="45"/>
      <c r="E96" s="45"/>
      <c r="F96" s="45"/>
      <c r="G96" s="45"/>
      <c r="H96" s="45"/>
      <c r="I96" s="45"/>
      <c r="J96" s="45"/>
      <c r="K96" s="45"/>
      <c r="L96" s="45"/>
      <c r="M96" s="45"/>
      <c r="N96" s="45"/>
      <c r="O96" s="45"/>
      <c r="P96" s="45"/>
      <c r="Q96" s="45"/>
      <c r="R96" s="45"/>
      <c r="S96" s="45"/>
      <c r="T96" s="45"/>
      <c r="U96" s="45"/>
      <c r="V96" s="39"/>
      <c r="W96" s="39">
        <v>3.17</v>
      </c>
      <c r="X96" s="39">
        <v>3.05</v>
      </c>
      <c r="Y96" s="39">
        <v>3.1</v>
      </c>
      <c r="Z96" s="39">
        <v>3.17</v>
      </c>
      <c r="AA96" s="39">
        <v>3.18</v>
      </c>
      <c r="AB96" s="39">
        <v>3.21</v>
      </c>
      <c r="AC96" s="39">
        <v>3.24</v>
      </c>
      <c r="AD96" s="39">
        <v>3.27</v>
      </c>
      <c r="AE96" s="39">
        <v>3.3</v>
      </c>
      <c r="AF96" s="39">
        <v>3.33</v>
      </c>
      <c r="AG96" s="39">
        <v>3.36</v>
      </c>
      <c r="AH96" s="39">
        <v>3.39</v>
      </c>
      <c r="AI96" s="39">
        <v>3.42</v>
      </c>
      <c r="AJ96" s="39">
        <v>3.45</v>
      </c>
      <c r="AK96" s="39">
        <v>3.48</v>
      </c>
      <c r="AL96" s="39">
        <v>3.51</v>
      </c>
      <c r="AM96" s="39">
        <v>3.54</v>
      </c>
      <c r="AN96" s="39">
        <v>3.56</v>
      </c>
      <c r="AO96" s="39">
        <v>3.59</v>
      </c>
      <c r="AP96" s="39">
        <v>3.62</v>
      </c>
      <c r="AQ96" s="39">
        <v>3.64</v>
      </c>
      <c r="AR96" s="39">
        <v>3.67</v>
      </c>
      <c r="AS96" s="39">
        <v>3.7</v>
      </c>
      <c r="AT96" s="39">
        <v>3.72</v>
      </c>
      <c r="AU96" s="39">
        <v>3.75</v>
      </c>
      <c r="AV96" s="39">
        <v>3.78</v>
      </c>
      <c r="AW96" s="39">
        <v>3.81</v>
      </c>
      <c r="AX96" s="39">
        <v>3.83</v>
      </c>
      <c r="AY96" s="39">
        <v>3.86</v>
      </c>
      <c r="AZ96" s="39">
        <v>3.89</v>
      </c>
      <c r="BA96" s="39">
        <v>3.91</v>
      </c>
      <c r="BB96" s="39">
        <v>3.94</v>
      </c>
      <c r="BC96" s="39">
        <v>3.97</v>
      </c>
      <c r="BD96" s="39">
        <v>3.99</v>
      </c>
      <c r="BE96" s="39">
        <v>4.0199999999999996</v>
      </c>
      <c r="BF96" s="39">
        <v>4.05</v>
      </c>
      <c r="BG96" s="39">
        <v>4.08</v>
      </c>
      <c r="BH96" s="39">
        <v>4.0999999999999996</v>
      </c>
      <c r="BI96" s="39">
        <v>4.13</v>
      </c>
      <c r="BJ96" s="39">
        <v>4.16</v>
      </c>
      <c r="BK96" s="39">
        <v>4.18</v>
      </c>
      <c r="BL96" s="39">
        <v>4.21</v>
      </c>
      <c r="BM96" s="39">
        <v>4.24</v>
      </c>
      <c r="BN96" s="39">
        <v>4.26</v>
      </c>
      <c r="BO96" s="39">
        <v>4.29</v>
      </c>
      <c r="BP96" s="39">
        <v>4.32</v>
      </c>
      <c r="BQ96" s="39">
        <v>4.3499999999999996</v>
      </c>
      <c r="BR96" s="39">
        <v>4.37</v>
      </c>
      <c r="BS96" s="39">
        <v>4.4000000000000004</v>
      </c>
      <c r="BT96" s="39">
        <v>4.43</v>
      </c>
      <c r="BU96" s="39">
        <v>4.45</v>
      </c>
      <c r="BV96" s="39">
        <v>4.4800000000000004</v>
      </c>
      <c r="BW96" s="39">
        <v>4.51</v>
      </c>
      <c r="BX96" s="39">
        <v>4.53</v>
      </c>
      <c r="BY96" s="39">
        <v>4.5599999999999996</v>
      </c>
      <c r="BZ96" s="39">
        <v>4.59</v>
      </c>
      <c r="CA96" s="39">
        <v>4.6100000000000003</v>
      </c>
      <c r="CB96" s="39">
        <v>4.6399999999999997</v>
      </c>
      <c r="CC96" s="39">
        <v>4.66</v>
      </c>
      <c r="CD96" s="39">
        <v>4.6900000000000004</v>
      </c>
      <c r="CE96" s="39">
        <v>4.72</v>
      </c>
      <c r="CF96" s="39">
        <v>4.74</v>
      </c>
      <c r="CG96" s="39">
        <v>4.7699999999999996</v>
      </c>
      <c r="CH96" s="39">
        <v>4.8</v>
      </c>
      <c r="CI96" s="39">
        <v>4.82</v>
      </c>
      <c r="CJ96" s="39">
        <v>4.8499999999999996</v>
      </c>
      <c r="CK96" s="39">
        <v>4.87</v>
      </c>
      <c r="CL96" s="39">
        <v>4.9000000000000004</v>
      </c>
      <c r="CM96" s="39">
        <v>4.93</v>
      </c>
      <c r="CN96" s="39">
        <v>4.95</v>
      </c>
      <c r="CO96" s="39">
        <v>4.9800000000000004</v>
      </c>
      <c r="CP96" s="39">
        <v>5</v>
      </c>
      <c r="CQ96" s="39">
        <v>5.03</v>
      </c>
      <c r="CR96" s="39">
        <v>5.05</v>
      </c>
      <c r="CS96" s="39">
        <v>5.08</v>
      </c>
      <c r="CT96" s="39">
        <v>5.0999999999999996</v>
      </c>
      <c r="CU96" s="39">
        <v>5.13</v>
      </c>
      <c r="CV96" s="39">
        <v>5.15</v>
      </c>
      <c r="CW96" s="39">
        <v>5.18</v>
      </c>
      <c r="CX96" s="39">
        <v>5.2</v>
      </c>
      <c r="CY96" s="39">
        <v>5.23</v>
      </c>
      <c r="CZ96" s="39">
        <v>5.25</v>
      </c>
      <c r="DA96" s="39">
        <v>5.28</v>
      </c>
      <c r="DB96" s="39">
        <v>5.3</v>
      </c>
      <c r="DC96" s="39">
        <v>5.33</v>
      </c>
      <c r="DD96" s="39">
        <v>5.35</v>
      </c>
      <c r="DE96" s="39">
        <v>5.38</v>
      </c>
      <c r="DF96" s="39">
        <v>5.4</v>
      </c>
      <c r="DG96" s="39">
        <v>5.43</v>
      </c>
      <c r="DH96" s="39">
        <v>5.45</v>
      </c>
      <c r="DI96" s="39">
        <v>5.47</v>
      </c>
      <c r="DJ96" s="39">
        <v>5.5</v>
      </c>
      <c r="DK96" s="39">
        <v>5.52</v>
      </c>
      <c r="DL96" s="39">
        <v>5.55</v>
      </c>
      <c r="DM96" s="39">
        <v>5.57</v>
      </c>
      <c r="DN96" s="39">
        <v>5.59</v>
      </c>
      <c r="DO96" s="39">
        <v>5.62</v>
      </c>
      <c r="DP96" s="39">
        <v>5.64</v>
      </c>
      <c r="DQ96" s="39">
        <v>5.66</v>
      </c>
      <c r="DR96" s="39">
        <v>5.69</v>
      </c>
    </row>
    <row r="97" spans="1:122">
      <c r="A97" s="44">
        <v>95</v>
      </c>
      <c r="B97" s="45"/>
      <c r="C97" s="45"/>
      <c r="D97" s="45"/>
      <c r="E97" s="45"/>
      <c r="F97" s="45"/>
      <c r="G97" s="45"/>
      <c r="H97" s="45"/>
      <c r="I97" s="45"/>
      <c r="J97" s="45"/>
      <c r="K97" s="45"/>
      <c r="L97" s="45"/>
      <c r="M97" s="45"/>
      <c r="N97" s="45"/>
      <c r="O97" s="45"/>
      <c r="P97" s="45"/>
      <c r="Q97" s="45"/>
      <c r="R97" s="45"/>
      <c r="S97" s="45"/>
      <c r="T97" s="45"/>
      <c r="U97" s="45"/>
      <c r="V97" s="39"/>
      <c r="W97" s="39">
        <v>2.94</v>
      </c>
      <c r="X97" s="39">
        <v>2.83</v>
      </c>
      <c r="Y97" s="39">
        <v>2.87</v>
      </c>
      <c r="Z97" s="39">
        <v>2.94</v>
      </c>
      <c r="AA97" s="39">
        <v>2.95</v>
      </c>
      <c r="AB97" s="39">
        <v>2.98</v>
      </c>
      <c r="AC97" s="39">
        <v>3</v>
      </c>
      <c r="AD97" s="39">
        <v>3.03</v>
      </c>
      <c r="AE97" s="39">
        <v>3.06</v>
      </c>
      <c r="AF97" s="39">
        <v>3.08</v>
      </c>
      <c r="AG97" s="39">
        <v>3.11</v>
      </c>
      <c r="AH97" s="39">
        <v>3.14</v>
      </c>
      <c r="AI97" s="39">
        <v>3.16</v>
      </c>
      <c r="AJ97" s="39">
        <v>3.19</v>
      </c>
      <c r="AK97" s="39">
        <v>3.22</v>
      </c>
      <c r="AL97" s="39">
        <v>3.24</v>
      </c>
      <c r="AM97" s="39">
        <v>3.27</v>
      </c>
      <c r="AN97" s="39">
        <v>3.29</v>
      </c>
      <c r="AO97" s="39">
        <v>3.32</v>
      </c>
      <c r="AP97" s="39">
        <v>3.34</v>
      </c>
      <c r="AQ97" s="39">
        <v>3.36</v>
      </c>
      <c r="AR97" s="39">
        <v>3.39</v>
      </c>
      <c r="AS97" s="39">
        <v>3.41</v>
      </c>
      <c r="AT97" s="39">
        <v>3.43</v>
      </c>
      <c r="AU97" s="39">
        <v>3.46</v>
      </c>
      <c r="AV97" s="39">
        <v>3.48</v>
      </c>
      <c r="AW97" s="39">
        <v>3.51</v>
      </c>
      <c r="AX97" s="39">
        <v>3.53</v>
      </c>
      <c r="AY97" s="39">
        <v>3.55</v>
      </c>
      <c r="AZ97" s="39">
        <v>3.58</v>
      </c>
      <c r="BA97" s="39">
        <v>3.6</v>
      </c>
      <c r="BB97" s="39">
        <v>3.63</v>
      </c>
      <c r="BC97" s="39">
        <v>3.65</v>
      </c>
      <c r="BD97" s="39">
        <v>3.67</v>
      </c>
      <c r="BE97" s="39">
        <v>3.7</v>
      </c>
      <c r="BF97" s="39">
        <v>3.72</v>
      </c>
      <c r="BG97" s="39">
        <v>3.74</v>
      </c>
      <c r="BH97" s="39">
        <v>3.77</v>
      </c>
      <c r="BI97" s="39">
        <v>3.79</v>
      </c>
      <c r="BJ97" s="39">
        <v>3.82</v>
      </c>
      <c r="BK97" s="39">
        <v>3.84</v>
      </c>
      <c r="BL97" s="39">
        <v>3.86</v>
      </c>
      <c r="BM97" s="39">
        <v>3.89</v>
      </c>
      <c r="BN97" s="39">
        <v>3.91</v>
      </c>
      <c r="BO97" s="39">
        <v>3.93</v>
      </c>
      <c r="BP97" s="39">
        <v>3.96</v>
      </c>
      <c r="BQ97" s="39">
        <v>3.98</v>
      </c>
      <c r="BR97" s="39">
        <v>4</v>
      </c>
      <c r="BS97" s="39">
        <v>4.03</v>
      </c>
      <c r="BT97" s="39">
        <v>4.05</v>
      </c>
      <c r="BU97" s="39">
        <v>4.08</v>
      </c>
      <c r="BV97" s="39">
        <v>4.0999999999999996</v>
      </c>
      <c r="BW97" s="39">
        <v>4.12</v>
      </c>
      <c r="BX97" s="39">
        <v>4.1500000000000004</v>
      </c>
      <c r="BY97" s="39">
        <v>4.17</v>
      </c>
      <c r="BZ97" s="39">
        <v>4.1900000000000004</v>
      </c>
      <c r="CA97" s="39">
        <v>4.21</v>
      </c>
      <c r="CB97" s="39">
        <v>4.24</v>
      </c>
      <c r="CC97" s="39">
        <v>4.26</v>
      </c>
      <c r="CD97" s="39">
        <v>4.28</v>
      </c>
      <c r="CE97" s="39">
        <v>4.3099999999999996</v>
      </c>
      <c r="CF97" s="39">
        <v>4.33</v>
      </c>
      <c r="CG97" s="39">
        <v>4.3499999999999996</v>
      </c>
      <c r="CH97" s="39">
        <v>4.38</v>
      </c>
      <c r="CI97" s="39">
        <v>4.4000000000000004</v>
      </c>
      <c r="CJ97" s="39">
        <v>4.42</v>
      </c>
      <c r="CK97" s="39">
        <v>4.4400000000000004</v>
      </c>
      <c r="CL97" s="39">
        <v>4.47</v>
      </c>
      <c r="CM97" s="39">
        <v>4.49</v>
      </c>
      <c r="CN97" s="39">
        <v>4.51</v>
      </c>
      <c r="CO97" s="39">
        <v>4.53</v>
      </c>
      <c r="CP97" s="39">
        <v>4.5599999999999996</v>
      </c>
      <c r="CQ97" s="39">
        <v>4.58</v>
      </c>
      <c r="CR97" s="39">
        <v>4.5999999999999996</v>
      </c>
      <c r="CS97" s="39">
        <v>4.62</v>
      </c>
      <c r="CT97" s="39">
        <v>4.6399999999999997</v>
      </c>
      <c r="CU97" s="39">
        <v>4.67</v>
      </c>
      <c r="CV97" s="39">
        <v>4.6900000000000004</v>
      </c>
      <c r="CW97" s="39">
        <v>4.71</v>
      </c>
      <c r="CX97" s="39">
        <v>4.7300000000000004</v>
      </c>
      <c r="CY97" s="39">
        <v>4.75</v>
      </c>
      <c r="CZ97" s="39">
        <v>4.7699999999999996</v>
      </c>
      <c r="DA97" s="39">
        <v>4.8</v>
      </c>
      <c r="DB97" s="39">
        <v>4.82</v>
      </c>
      <c r="DC97" s="39">
        <v>4.84</v>
      </c>
      <c r="DD97" s="39">
        <v>4.8600000000000003</v>
      </c>
      <c r="DE97" s="39">
        <v>4.88</v>
      </c>
      <c r="DF97" s="39">
        <v>4.9000000000000004</v>
      </c>
      <c r="DG97" s="39">
        <v>4.92</v>
      </c>
      <c r="DH97" s="39">
        <v>4.9400000000000004</v>
      </c>
      <c r="DI97" s="39">
        <v>4.96</v>
      </c>
      <c r="DJ97" s="39">
        <v>4.99</v>
      </c>
      <c r="DK97" s="39">
        <v>5.01</v>
      </c>
      <c r="DL97" s="39">
        <v>5.03</v>
      </c>
      <c r="DM97" s="39">
        <v>5.05</v>
      </c>
      <c r="DN97" s="39">
        <v>5.07</v>
      </c>
      <c r="DO97" s="39">
        <v>5.09</v>
      </c>
      <c r="DP97" s="39">
        <v>5.1100000000000003</v>
      </c>
      <c r="DQ97" s="39">
        <v>5.13</v>
      </c>
      <c r="DR97" s="39">
        <v>5.15</v>
      </c>
    </row>
    <row r="98" spans="1:122">
      <c r="A98" s="44">
        <v>96</v>
      </c>
      <c r="B98" s="45"/>
      <c r="C98" s="45"/>
      <c r="D98" s="45"/>
      <c r="E98" s="45"/>
      <c r="F98" s="45"/>
      <c r="G98" s="45"/>
      <c r="H98" s="45"/>
      <c r="I98" s="45"/>
      <c r="J98" s="45"/>
      <c r="K98" s="45"/>
      <c r="L98" s="45"/>
      <c r="M98" s="45"/>
      <c r="N98" s="45"/>
      <c r="O98" s="45"/>
      <c r="P98" s="45"/>
      <c r="Q98" s="45"/>
      <c r="R98" s="45"/>
      <c r="S98" s="45"/>
      <c r="T98" s="45"/>
      <c r="U98" s="45"/>
      <c r="V98" s="39"/>
      <c r="W98" s="39">
        <v>2.74</v>
      </c>
      <c r="X98" s="39">
        <v>2.64</v>
      </c>
      <c r="Y98" s="39">
        <v>2.68</v>
      </c>
      <c r="Z98" s="39">
        <v>2.74</v>
      </c>
      <c r="AA98" s="39">
        <v>2.74</v>
      </c>
      <c r="AB98" s="39">
        <v>2.77</v>
      </c>
      <c r="AC98" s="39">
        <v>2.79</v>
      </c>
      <c r="AD98" s="39">
        <v>2.82</v>
      </c>
      <c r="AE98" s="39">
        <v>2.84</v>
      </c>
      <c r="AF98" s="39">
        <v>2.86</v>
      </c>
      <c r="AG98" s="39">
        <v>2.89</v>
      </c>
      <c r="AH98" s="39">
        <v>2.91</v>
      </c>
      <c r="AI98" s="39">
        <v>2.93</v>
      </c>
      <c r="AJ98" s="39">
        <v>2.96</v>
      </c>
      <c r="AK98" s="39">
        <v>2.98</v>
      </c>
      <c r="AL98" s="39">
        <v>3.01</v>
      </c>
      <c r="AM98" s="39">
        <v>3.03</v>
      </c>
      <c r="AN98" s="39">
        <v>3.05</v>
      </c>
      <c r="AO98" s="39">
        <v>3.07</v>
      </c>
      <c r="AP98" s="39">
        <v>3.09</v>
      </c>
      <c r="AQ98" s="39">
        <v>3.11</v>
      </c>
      <c r="AR98" s="39">
        <v>3.13</v>
      </c>
      <c r="AS98" s="39">
        <v>3.16</v>
      </c>
      <c r="AT98" s="39">
        <v>3.18</v>
      </c>
      <c r="AU98" s="39">
        <v>3.2</v>
      </c>
      <c r="AV98" s="39">
        <v>3.22</v>
      </c>
      <c r="AW98" s="39">
        <v>3.24</v>
      </c>
      <c r="AX98" s="39">
        <v>3.26</v>
      </c>
      <c r="AY98" s="39">
        <v>3.28</v>
      </c>
      <c r="AZ98" s="39">
        <v>3.3</v>
      </c>
      <c r="BA98" s="39">
        <v>3.33</v>
      </c>
      <c r="BB98" s="39">
        <v>3.35</v>
      </c>
      <c r="BC98" s="39">
        <v>3.37</v>
      </c>
      <c r="BD98" s="39">
        <v>3.39</v>
      </c>
      <c r="BE98" s="39">
        <v>3.41</v>
      </c>
      <c r="BF98" s="39">
        <v>3.43</v>
      </c>
      <c r="BG98" s="39">
        <v>3.45</v>
      </c>
      <c r="BH98" s="39">
        <v>3.47</v>
      </c>
      <c r="BI98" s="39">
        <v>3.49</v>
      </c>
      <c r="BJ98" s="39">
        <v>3.52</v>
      </c>
      <c r="BK98" s="39">
        <v>3.54</v>
      </c>
      <c r="BL98" s="39">
        <v>3.56</v>
      </c>
      <c r="BM98" s="39">
        <v>3.58</v>
      </c>
      <c r="BN98" s="39">
        <v>3.6</v>
      </c>
      <c r="BO98" s="39">
        <v>3.62</v>
      </c>
      <c r="BP98" s="39">
        <v>3.64</v>
      </c>
      <c r="BQ98" s="39">
        <v>3.66</v>
      </c>
      <c r="BR98" s="39">
        <v>3.68</v>
      </c>
      <c r="BS98" s="39">
        <v>3.7</v>
      </c>
      <c r="BT98" s="39">
        <v>3.72</v>
      </c>
      <c r="BU98" s="39">
        <v>3.74</v>
      </c>
      <c r="BV98" s="39">
        <v>3.76</v>
      </c>
      <c r="BW98" s="39">
        <v>3.79</v>
      </c>
      <c r="BX98" s="39">
        <v>3.81</v>
      </c>
      <c r="BY98" s="39">
        <v>3.83</v>
      </c>
      <c r="BZ98" s="39">
        <v>3.85</v>
      </c>
      <c r="CA98" s="39">
        <v>3.87</v>
      </c>
      <c r="CB98" s="39">
        <v>3.89</v>
      </c>
      <c r="CC98" s="39">
        <v>3.91</v>
      </c>
      <c r="CD98" s="39">
        <v>3.93</v>
      </c>
      <c r="CE98" s="39">
        <v>3.95</v>
      </c>
      <c r="CF98" s="39">
        <v>3.97</v>
      </c>
      <c r="CG98" s="39">
        <v>3.99</v>
      </c>
      <c r="CH98" s="39">
        <v>4.01</v>
      </c>
      <c r="CI98" s="39">
        <v>4.03</v>
      </c>
      <c r="CJ98" s="39">
        <v>4.05</v>
      </c>
      <c r="CK98" s="39">
        <v>4.07</v>
      </c>
      <c r="CL98" s="39">
        <v>4.09</v>
      </c>
      <c r="CM98" s="39">
        <v>4.1100000000000003</v>
      </c>
      <c r="CN98" s="39">
        <v>4.13</v>
      </c>
      <c r="CO98" s="39">
        <v>4.1500000000000004</v>
      </c>
      <c r="CP98" s="39">
        <v>4.17</v>
      </c>
      <c r="CQ98" s="39">
        <v>4.18</v>
      </c>
      <c r="CR98" s="39">
        <v>4.2</v>
      </c>
      <c r="CS98" s="39">
        <v>4.22</v>
      </c>
      <c r="CT98" s="39">
        <v>4.24</v>
      </c>
      <c r="CU98" s="39">
        <v>4.26</v>
      </c>
      <c r="CV98" s="39">
        <v>4.28</v>
      </c>
      <c r="CW98" s="39">
        <v>4.3</v>
      </c>
      <c r="CX98" s="39">
        <v>4.32</v>
      </c>
      <c r="CY98" s="39">
        <v>4.34</v>
      </c>
      <c r="CZ98" s="39">
        <v>4.3600000000000003</v>
      </c>
      <c r="DA98" s="39">
        <v>4.38</v>
      </c>
      <c r="DB98" s="39">
        <v>4.3899999999999997</v>
      </c>
      <c r="DC98" s="39">
        <v>4.41</v>
      </c>
      <c r="DD98" s="39">
        <v>4.43</v>
      </c>
      <c r="DE98" s="39">
        <v>4.45</v>
      </c>
      <c r="DF98" s="39">
        <v>4.47</v>
      </c>
      <c r="DG98" s="39">
        <v>4.49</v>
      </c>
      <c r="DH98" s="39">
        <v>4.5</v>
      </c>
      <c r="DI98" s="39">
        <v>4.5199999999999996</v>
      </c>
      <c r="DJ98" s="39">
        <v>4.54</v>
      </c>
      <c r="DK98" s="39">
        <v>4.5599999999999996</v>
      </c>
      <c r="DL98" s="39">
        <v>4.58</v>
      </c>
      <c r="DM98" s="39">
        <v>4.59</v>
      </c>
      <c r="DN98" s="39">
        <v>4.6100000000000003</v>
      </c>
      <c r="DO98" s="39">
        <v>4.63</v>
      </c>
      <c r="DP98" s="39">
        <v>4.6500000000000004</v>
      </c>
      <c r="DQ98" s="39">
        <v>4.66</v>
      </c>
      <c r="DR98" s="39">
        <v>4.68</v>
      </c>
    </row>
    <row r="99" spans="1:122">
      <c r="A99" s="44">
        <v>97</v>
      </c>
      <c r="B99" s="45"/>
      <c r="C99" s="45"/>
      <c r="D99" s="45"/>
      <c r="E99" s="45"/>
      <c r="F99" s="45"/>
      <c r="G99" s="45"/>
      <c r="H99" s="45"/>
      <c r="I99" s="45"/>
      <c r="J99" s="45"/>
      <c r="K99" s="45"/>
      <c r="L99" s="45"/>
      <c r="M99" s="45"/>
      <c r="N99" s="45"/>
      <c r="O99" s="45"/>
      <c r="P99" s="45"/>
      <c r="Q99" s="45"/>
      <c r="R99" s="45"/>
      <c r="S99" s="45"/>
      <c r="T99" s="45"/>
      <c r="U99" s="45"/>
      <c r="V99" s="39"/>
      <c r="W99" s="39">
        <v>2.5499999999999998</v>
      </c>
      <c r="X99" s="39">
        <v>2.46</v>
      </c>
      <c r="Y99" s="39">
        <v>2.5</v>
      </c>
      <c r="Z99" s="39">
        <v>2.5499999999999998</v>
      </c>
      <c r="AA99" s="39">
        <v>2.56</v>
      </c>
      <c r="AB99" s="39">
        <v>2.58</v>
      </c>
      <c r="AC99" s="39">
        <v>2.6</v>
      </c>
      <c r="AD99" s="39">
        <v>2.62</v>
      </c>
      <c r="AE99" s="39">
        <v>2.64</v>
      </c>
      <c r="AF99" s="39">
        <v>2.67</v>
      </c>
      <c r="AG99" s="39">
        <v>2.69</v>
      </c>
      <c r="AH99" s="39">
        <v>2.71</v>
      </c>
      <c r="AI99" s="39">
        <v>2.73</v>
      </c>
      <c r="AJ99" s="39">
        <v>2.75</v>
      </c>
      <c r="AK99" s="39">
        <v>2.77</v>
      </c>
      <c r="AL99" s="39">
        <v>2.8</v>
      </c>
      <c r="AM99" s="39">
        <v>2.81</v>
      </c>
      <c r="AN99" s="39">
        <v>2.83</v>
      </c>
      <c r="AO99" s="39">
        <v>2.85</v>
      </c>
      <c r="AP99" s="39">
        <v>2.87</v>
      </c>
      <c r="AQ99" s="39">
        <v>2.89</v>
      </c>
      <c r="AR99" s="39">
        <v>2.91</v>
      </c>
      <c r="AS99" s="39">
        <v>2.93</v>
      </c>
      <c r="AT99" s="39">
        <v>2.95</v>
      </c>
      <c r="AU99" s="39">
        <v>2.97</v>
      </c>
      <c r="AV99" s="39">
        <v>2.99</v>
      </c>
      <c r="AW99" s="39">
        <v>3</v>
      </c>
      <c r="AX99" s="39">
        <v>3.02</v>
      </c>
      <c r="AY99" s="39">
        <v>3.04</v>
      </c>
      <c r="AZ99" s="39">
        <v>3.06</v>
      </c>
      <c r="BA99" s="39">
        <v>3.08</v>
      </c>
      <c r="BB99" s="39">
        <v>3.1</v>
      </c>
      <c r="BC99" s="39">
        <v>3.12</v>
      </c>
      <c r="BD99" s="39">
        <v>3.14</v>
      </c>
      <c r="BE99" s="39">
        <v>3.16</v>
      </c>
      <c r="BF99" s="39">
        <v>3.17</v>
      </c>
      <c r="BG99" s="39">
        <v>3.19</v>
      </c>
      <c r="BH99" s="39">
        <v>3.21</v>
      </c>
      <c r="BI99" s="39">
        <v>3.23</v>
      </c>
      <c r="BJ99" s="39">
        <v>3.25</v>
      </c>
      <c r="BK99" s="39">
        <v>3.27</v>
      </c>
      <c r="BL99" s="39">
        <v>3.29</v>
      </c>
      <c r="BM99" s="39">
        <v>3.31</v>
      </c>
      <c r="BN99" s="39">
        <v>3.32</v>
      </c>
      <c r="BO99" s="39">
        <v>3.34</v>
      </c>
      <c r="BP99" s="39">
        <v>3.36</v>
      </c>
      <c r="BQ99" s="39">
        <v>3.38</v>
      </c>
      <c r="BR99" s="39">
        <v>3.4</v>
      </c>
      <c r="BS99" s="39">
        <v>3.42</v>
      </c>
      <c r="BT99" s="39">
        <v>3.43</v>
      </c>
      <c r="BU99" s="39">
        <v>3.45</v>
      </c>
      <c r="BV99" s="39">
        <v>3.47</v>
      </c>
      <c r="BW99" s="39">
        <v>3.49</v>
      </c>
      <c r="BX99" s="39">
        <v>3.51</v>
      </c>
      <c r="BY99" s="39">
        <v>3.53</v>
      </c>
      <c r="BZ99" s="39">
        <v>3.54</v>
      </c>
      <c r="CA99" s="39">
        <v>3.56</v>
      </c>
      <c r="CB99" s="39">
        <v>3.58</v>
      </c>
      <c r="CC99" s="39">
        <v>3.6</v>
      </c>
      <c r="CD99" s="39">
        <v>3.62</v>
      </c>
      <c r="CE99" s="39">
        <v>3.63</v>
      </c>
      <c r="CF99" s="39">
        <v>3.65</v>
      </c>
      <c r="CG99" s="39">
        <v>3.67</v>
      </c>
      <c r="CH99" s="39">
        <v>3.69</v>
      </c>
      <c r="CI99" s="39">
        <v>3.7</v>
      </c>
      <c r="CJ99" s="39">
        <v>3.72</v>
      </c>
      <c r="CK99" s="39">
        <v>3.74</v>
      </c>
      <c r="CL99" s="39">
        <v>3.76</v>
      </c>
      <c r="CM99" s="39">
        <v>3.77</v>
      </c>
      <c r="CN99" s="39">
        <v>3.79</v>
      </c>
      <c r="CO99" s="39">
        <v>3.81</v>
      </c>
      <c r="CP99" s="39">
        <v>3.83</v>
      </c>
      <c r="CQ99" s="39">
        <v>3.84</v>
      </c>
      <c r="CR99" s="39">
        <v>3.86</v>
      </c>
      <c r="CS99" s="39">
        <v>3.88</v>
      </c>
      <c r="CT99" s="39">
        <v>3.89</v>
      </c>
      <c r="CU99" s="39">
        <v>3.91</v>
      </c>
      <c r="CV99" s="39">
        <v>3.93</v>
      </c>
      <c r="CW99" s="39">
        <v>3.94</v>
      </c>
      <c r="CX99" s="39">
        <v>3.96</v>
      </c>
      <c r="CY99" s="39">
        <v>3.98</v>
      </c>
      <c r="CZ99" s="39">
        <v>3.99</v>
      </c>
      <c r="DA99" s="39">
        <v>4.01</v>
      </c>
      <c r="DB99" s="39">
        <v>4.03</v>
      </c>
      <c r="DC99" s="39">
        <v>4.04</v>
      </c>
      <c r="DD99" s="39">
        <v>4.0599999999999996</v>
      </c>
      <c r="DE99" s="39">
        <v>4.08</v>
      </c>
      <c r="DF99" s="39">
        <v>4.09</v>
      </c>
      <c r="DG99" s="39">
        <v>4.1100000000000003</v>
      </c>
      <c r="DH99" s="39">
        <v>4.12</v>
      </c>
      <c r="DI99" s="39">
        <v>4.1399999999999997</v>
      </c>
      <c r="DJ99" s="39">
        <v>4.16</v>
      </c>
      <c r="DK99" s="39">
        <v>4.17</v>
      </c>
      <c r="DL99" s="39">
        <v>4.1900000000000004</v>
      </c>
      <c r="DM99" s="39">
        <v>4.2</v>
      </c>
      <c r="DN99" s="39">
        <v>4.22</v>
      </c>
      <c r="DO99" s="39">
        <v>4.2300000000000004</v>
      </c>
      <c r="DP99" s="39">
        <v>4.25</v>
      </c>
      <c r="DQ99" s="39">
        <v>4.26</v>
      </c>
      <c r="DR99" s="39">
        <v>4.28</v>
      </c>
    </row>
    <row r="100" spans="1:122">
      <c r="A100" s="44">
        <v>98</v>
      </c>
      <c r="B100" s="45"/>
      <c r="C100" s="45"/>
      <c r="D100" s="45"/>
      <c r="E100" s="45"/>
      <c r="F100" s="45"/>
      <c r="G100" s="45"/>
      <c r="H100" s="45"/>
      <c r="I100" s="45"/>
      <c r="J100" s="45"/>
      <c r="K100" s="45"/>
      <c r="L100" s="45"/>
      <c r="M100" s="45"/>
      <c r="N100" s="45"/>
      <c r="O100" s="45"/>
      <c r="P100" s="45"/>
      <c r="Q100" s="45"/>
      <c r="R100" s="45"/>
      <c r="S100" s="45"/>
      <c r="T100" s="45"/>
      <c r="U100" s="45"/>
      <c r="V100" s="39"/>
      <c r="W100" s="39">
        <v>2.39</v>
      </c>
      <c r="X100" s="39">
        <v>2.31</v>
      </c>
      <c r="Y100" s="39">
        <v>2.34</v>
      </c>
      <c r="Z100" s="39">
        <v>2.39</v>
      </c>
      <c r="AA100" s="39">
        <v>2.39</v>
      </c>
      <c r="AB100" s="39">
        <v>2.41</v>
      </c>
      <c r="AC100" s="39">
        <v>2.4300000000000002</v>
      </c>
      <c r="AD100" s="39">
        <v>2.4500000000000002</v>
      </c>
      <c r="AE100" s="39">
        <v>2.4700000000000002</v>
      </c>
      <c r="AF100" s="39">
        <v>2.4900000000000002</v>
      </c>
      <c r="AG100" s="39">
        <v>2.5099999999999998</v>
      </c>
      <c r="AH100" s="39">
        <v>2.5299999999999998</v>
      </c>
      <c r="AI100" s="39">
        <v>2.5499999999999998</v>
      </c>
      <c r="AJ100" s="39">
        <v>2.57</v>
      </c>
      <c r="AK100" s="39">
        <v>2.59</v>
      </c>
      <c r="AL100" s="39">
        <v>2.61</v>
      </c>
      <c r="AM100" s="39">
        <v>2.62</v>
      </c>
      <c r="AN100" s="39">
        <v>2.64</v>
      </c>
      <c r="AO100" s="39">
        <v>2.66</v>
      </c>
      <c r="AP100" s="39">
        <v>2.68</v>
      </c>
      <c r="AQ100" s="39">
        <v>2.69</v>
      </c>
      <c r="AR100" s="39">
        <v>2.71</v>
      </c>
      <c r="AS100" s="39">
        <v>2.73</v>
      </c>
      <c r="AT100" s="39">
        <v>2.74</v>
      </c>
      <c r="AU100" s="39">
        <v>2.76</v>
      </c>
      <c r="AV100" s="39">
        <v>2.78</v>
      </c>
      <c r="AW100" s="39">
        <v>2.8</v>
      </c>
      <c r="AX100" s="39">
        <v>2.81</v>
      </c>
      <c r="AY100" s="39">
        <v>2.83</v>
      </c>
      <c r="AZ100" s="39">
        <v>2.85</v>
      </c>
      <c r="BA100" s="39">
        <v>2.86</v>
      </c>
      <c r="BB100" s="39">
        <v>2.88</v>
      </c>
      <c r="BC100" s="39">
        <v>2.9</v>
      </c>
      <c r="BD100" s="39">
        <v>2.91</v>
      </c>
      <c r="BE100" s="39">
        <v>2.93</v>
      </c>
      <c r="BF100" s="39">
        <v>2.95</v>
      </c>
      <c r="BG100" s="39">
        <v>2.97</v>
      </c>
      <c r="BH100" s="39">
        <v>2.98</v>
      </c>
      <c r="BI100" s="39">
        <v>3</v>
      </c>
      <c r="BJ100" s="39">
        <v>3.02</v>
      </c>
      <c r="BK100" s="39">
        <v>3.03</v>
      </c>
      <c r="BL100" s="39">
        <v>3.05</v>
      </c>
      <c r="BM100" s="39">
        <v>3.07</v>
      </c>
      <c r="BN100" s="39">
        <v>3.08</v>
      </c>
      <c r="BO100" s="39">
        <v>3.1</v>
      </c>
      <c r="BP100" s="39">
        <v>3.12</v>
      </c>
      <c r="BQ100" s="39">
        <v>3.13</v>
      </c>
      <c r="BR100" s="39">
        <v>3.15</v>
      </c>
      <c r="BS100" s="39">
        <v>3.16</v>
      </c>
      <c r="BT100" s="39">
        <v>3.18</v>
      </c>
      <c r="BU100" s="39">
        <v>3.2</v>
      </c>
      <c r="BV100" s="39">
        <v>3.21</v>
      </c>
      <c r="BW100" s="39">
        <v>3.23</v>
      </c>
      <c r="BX100" s="39">
        <v>3.25</v>
      </c>
      <c r="BY100" s="39">
        <v>3.26</v>
      </c>
      <c r="BZ100" s="39">
        <v>3.28</v>
      </c>
      <c r="CA100" s="39">
        <v>3.29</v>
      </c>
      <c r="CB100" s="39">
        <v>3.31</v>
      </c>
      <c r="CC100" s="39">
        <v>3.33</v>
      </c>
      <c r="CD100" s="39">
        <v>3.34</v>
      </c>
      <c r="CE100" s="39">
        <v>3.36</v>
      </c>
      <c r="CF100" s="39">
        <v>3.37</v>
      </c>
      <c r="CG100" s="39">
        <v>3.39</v>
      </c>
      <c r="CH100" s="39">
        <v>3.41</v>
      </c>
      <c r="CI100" s="39">
        <v>3.42</v>
      </c>
      <c r="CJ100" s="39">
        <v>3.44</v>
      </c>
      <c r="CK100" s="39">
        <v>3.45</v>
      </c>
      <c r="CL100" s="39">
        <v>3.47</v>
      </c>
      <c r="CM100" s="39">
        <v>3.48</v>
      </c>
      <c r="CN100" s="39">
        <v>3.5</v>
      </c>
      <c r="CO100" s="39">
        <v>3.51</v>
      </c>
      <c r="CP100" s="39">
        <v>3.53</v>
      </c>
      <c r="CQ100" s="39">
        <v>3.54</v>
      </c>
      <c r="CR100" s="39">
        <v>3.56</v>
      </c>
      <c r="CS100" s="39">
        <v>3.57</v>
      </c>
      <c r="CT100" s="39">
        <v>3.59</v>
      </c>
      <c r="CU100" s="39">
        <v>3.6</v>
      </c>
      <c r="CV100" s="39">
        <v>3.62</v>
      </c>
      <c r="CW100" s="39">
        <v>3.63</v>
      </c>
      <c r="CX100" s="39">
        <v>3.65</v>
      </c>
      <c r="CY100" s="39">
        <v>3.66</v>
      </c>
      <c r="CZ100" s="39">
        <v>3.68</v>
      </c>
      <c r="DA100" s="39">
        <v>3.69</v>
      </c>
      <c r="DB100" s="39">
        <v>3.71</v>
      </c>
      <c r="DC100" s="39">
        <v>3.72</v>
      </c>
      <c r="DD100" s="39">
        <v>3.74</v>
      </c>
      <c r="DE100" s="39">
        <v>3.75</v>
      </c>
      <c r="DF100" s="39">
        <v>3.76</v>
      </c>
      <c r="DG100" s="39">
        <v>3.78</v>
      </c>
      <c r="DH100" s="39">
        <v>3.79</v>
      </c>
      <c r="DI100" s="39">
        <v>3.81</v>
      </c>
      <c r="DJ100" s="39">
        <v>3.82</v>
      </c>
      <c r="DK100" s="39">
        <v>3.83</v>
      </c>
      <c r="DL100" s="39">
        <v>3.85</v>
      </c>
      <c r="DM100" s="39">
        <v>3.86</v>
      </c>
      <c r="DN100" s="39">
        <v>3.88</v>
      </c>
      <c r="DO100" s="39">
        <v>3.89</v>
      </c>
      <c r="DP100" s="39">
        <v>3.9</v>
      </c>
      <c r="DQ100" s="39">
        <v>3.92</v>
      </c>
      <c r="DR100" s="39">
        <v>3.93</v>
      </c>
    </row>
    <row r="101" spans="1:122">
      <c r="A101" s="44">
        <v>99</v>
      </c>
      <c r="B101" s="45"/>
      <c r="C101" s="45"/>
      <c r="D101" s="45"/>
      <c r="E101" s="45"/>
      <c r="F101" s="45"/>
      <c r="G101" s="45"/>
      <c r="H101" s="45"/>
      <c r="I101" s="45"/>
      <c r="J101" s="45"/>
      <c r="K101" s="45"/>
      <c r="L101" s="45"/>
      <c r="M101" s="45"/>
      <c r="N101" s="45"/>
      <c r="O101" s="45"/>
      <c r="P101" s="45"/>
      <c r="Q101" s="45"/>
      <c r="R101" s="45"/>
      <c r="S101" s="45"/>
      <c r="T101" s="45"/>
      <c r="U101" s="45"/>
      <c r="V101" s="39"/>
      <c r="W101" s="39">
        <v>2.2400000000000002</v>
      </c>
      <c r="X101" s="39">
        <v>2.17</v>
      </c>
      <c r="Y101" s="39">
        <v>2.19</v>
      </c>
      <c r="Z101" s="39">
        <v>2.2400000000000002</v>
      </c>
      <c r="AA101" s="39">
        <v>2.25</v>
      </c>
      <c r="AB101" s="39">
        <v>2.2599999999999998</v>
      </c>
      <c r="AC101" s="39">
        <v>2.2799999999999998</v>
      </c>
      <c r="AD101" s="39">
        <v>2.2999999999999998</v>
      </c>
      <c r="AE101" s="39">
        <v>2.3199999999999998</v>
      </c>
      <c r="AF101" s="39">
        <v>2.33</v>
      </c>
      <c r="AG101" s="39">
        <v>2.35</v>
      </c>
      <c r="AH101" s="39">
        <v>2.37</v>
      </c>
      <c r="AI101" s="39">
        <v>2.39</v>
      </c>
      <c r="AJ101" s="39">
        <v>2.41</v>
      </c>
      <c r="AK101" s="39">
        <v>2.42</v>
      </c>
      <c r="AL101" s="39">
        <v>2.44</v>
      </c>
      <c r="AM101" s="39">
        <v>2.46</v>
      </c>
      <c r="AN101" s="39">
        <v>2.4700000000000002</v>
      </c>
      <c r="AO101" s="39">
        <v>2.4900000000000002</v>
      </c>
      <c r="AP101" s="39">
        <v>2.5</v>
      </c>
      <c r="AQ101" s="39">
        <v>2.52</v>
      </c>
      <c r="AR101" s="39">
        <v>2.5299999999999998</v>
      </c>
      <c r="AS101" s="39">
        <v>2.5499999999999998</v>
      </c>
      <c r="AT101" s="39">
        <v>2.56</v>
      </c>
      <c r="AU101" s="39">
        <v>2.58</v>
      </c>
      <c r="AV101" s="39">
        <v>2.6</v>
      </c>
      <c r="AW101" s="39">
        <v>2.61</v>
      </c>
      <c r="AX101" s="39">
        <v>2.63</v>
      </c>
      <c r="AY101" s="39">
        <v>2.64</v>
      </c>
      <c r="AZ101" s="39">
        <v>2.66</v>
      </c>
      <c r="BA101" s="39">
        <v>2.67</v>
      </c>
      <c r="BB101" s="39">
        <v>2.69</v>
      </c>
      <c r="BC101" s="39">
        <v>2.7</v>
      </c>
      <c r="BD101" s="39">
        <v>2.72</v>
      </c>
      <c r="BE101" s="39">
        <v>2.73</v>
      </c>
      <c r="BF101" s="39">
        <v>2.75</v>
      </c>
      <c r="BG101" s="39">
        <v>2.76</v>
      </c>
      <c r="BH101" s="39">
        <v>2.78</v>
      </c>
      <c r="BI101" s="39">
        <v>2.79</v>
      </c>
      <c r="BJ101" s="39">
        <v>2.81</v>
      </c>
      <c r="BK101" s="39">
        <v>2.82</v>
      </c>
      <c r="BL101" s="39">
        <v>2.84</v>
      </c>
      <c r="BM101" s="39">
        <v>2.85</v>
      </c>
      <c r="BN101" s="39">
        <v>2.87</v>
      </c>
      <c r="BO101" s="39">
        <v>2.88</v>
      </c>
      <c r="BP101" s="39">
        <v>2.9</v>
      </c>
      <c r="BQ101" s="39">
        <v>2.91</v>
      </c>
      <c r="BR101" s="39">
        <v>2.93</v>
      </c>
      <c r="BS101" s="39">
        <v>2.94</v>
      </c>
      <c r="BT101" s="39">
        <v>2.96</v>
      </c>
      <c r="BU101" s="39">
        <v>2.97</v>
      </c>
      <c r="BV101" s="39">
        <v>2.99</v>
      </c>
      <c r="BW101" s="39">
        <v>3</v>
      </c>
      <c r="BX101" s="39">
        <v>3.02</v>
      </c>
      <c r="BY101" s="39">
        <v>3.03</v>
      </c>
      <c r="BZ101" s="39">
        <v>3.05</v>
      </c>
      <c r="CA101" s="39">
        <v>3.06</v>
      </c>
      <c r="CB101" s="39">
        <v>3.07</v>
      </c>
      <c r="CC101" s="39">
        <v>3.09</v>
      </c>
      <c r="CD101" s="39">
        <v>3.1</v>
      </c>
      <c r="CE101" s="39">
        <v>3.12</v>
      </c>
      <c r="CF101" s="39">
        <v>3.13</v>
      </c>
      <c r="CG101" s="39">
        <v>3.15</v>
      </c>
      <c r="CH101" s="39">
        <v>3.16</v>
      </c>
      <c r="CI101" s="39">
        <v>3.17</v>
      </c>
      <c r="CJ101" s="39">
        <v>3.19</v>
      </c>
      <c r="CK101" s="39">
        <v>3.2</v>
      </c>
      <c r="CL101" s="39">
        <v>3.21</v>
      </c>
      <c r="CM101" s="39">
        <v>3.23</v>
      </c>
      <c r="CN101" s="39">
        <v>3.24</v>
      </c>
      <c r="CO101" s="39">
        <v>3.26</v>
      </c>
      <c r="CP101" s="39">
        <v>3.27</v>
      </c>
      <c r="CQ101" s="39">
        <v>3.28</v>
      </c>
      <c r="CR101" s="39">
        <v>3.3</v>
      </c>
      <c r="CS101" s="39">
        <v>3.31</v>
      </c>
      <c r="CT101" s="39">
        <v>3.32</v>
      </c>
      <c r="CU101" s="39">
        <v>3.34</v>
      </c>
      <c r="CV101" s="39">
        <v>3.35</v>
      </c>
      <c r="CW101" s="39">
        <v>3.36</v>
      </c>
      <c r="CX101" s="39">
        <v>3.38</v>
      </c>
      <c r="CY101" s="39">
        <v>3.39</v>
      </c>
      <c r="CZ101" s="39">
        <v>3.4</v>
      </c>
      <c r="DA101" s="39">
        <v>3.42</v>
      </c>
      <c r="DB101" s="39">
        <v>3.43</v>
      </c>
      <c r="DC101" s="39">
        <v>3.44</v>
      </c>
      <c r="DD101" s="39">
        <v>3.45</v>
      </c>
      <c r="DE101" s="39">
        <v>3.47</v>
      </c>
      <c r="DF101" s="39">
        <v>3.48</v>
      </c>
      <c r="DG101" s="39">
        <v>3.49</v>
      </c>
      <c r="DH101" s="39">
        <v>3.5</v>
      </c>
      <c r="DI101" s="39">
        <v>3.52</v>
      </c>
      <c r="DJ101" s="39">
        <v>3.53</v>
      </c>
      <c r="DK101" s="39">
        <v>3.54</v>
      </c>
      <c r="DL101" s="39">
        <v>3.55</v>
      </c>
      <c r="DM101" s="39">
        <v>3.57</v>
      </c>
      <c r="DN101" s="39">
        <v>3.58</v>
      </c>
      <c r="DO101" s="39">
        <v>3.59</v>
      </c>
      <c r="DP101" s="39">
        <v>3.6</v>
      </c>
      <c r="DQ101" s="39">
        <v>3.61</v>
      </c>
      <c r="DR101" s="39">
        <v>3.63</v>
      </c>
    </row>
    <row r="102" spans="1:122">
      <c r="A102" s="44">
        <v>100</v>
      </c>
      <c r="B102" s="45"/>
      <c r="C102" s="45"/>
      <c r="D102" s="45"/>
      <c r="E102" s="45"/>
      <c r="F102" s="45"/>
      <c r="G102" s="45"/>
      <c r="H102" s="45"/>
      <c r="I102" s="45"/>
      <c r="J102" s="45"/>
      <c r="K102" s="45"/>
      <c r="L102" s="45"/>
      <c r="M102" s="45"/>
      <c r="N102" s="45"/>
      <c r="O102" s="45"/>
      <c r="P102" s="45"/>
      <c r="Q102" s="45"/>
      <c r="R102" s="45"/>
      <c r="S102" s="45"/>
      <c r="T102" s="45"/>
      <c r="U102" s="45"/>
      <c r="V102" s="39"/>
      <c r="W102" s="39">
        <v>2.11</v>
      </c>
      <c r="X102" s="39">
        <v>2.04</v>
      </c>
      <c r="Y102" s="39">
        <v>2.0699999999999998</v>
      </c>
      <c r="Z102" s="39">
        <v>2.11</v>
      </c>
      <c r="AA102" s="39">
        <v>2.11</v>
      </c>
      <c r="AB102" s="39">
        <v>2.13</v>
      </c>
      <c r="AC102" s="39">
        <v>2.15</v>
      </c>
      <c r="AD102" s="39">
        <v>2.16</v>
      </c>
      <c r="AE102" s="39">
        <v>2.1800000000000002</v>
      </c>
      <c r="AF102" s="39">
        <v>2.2000000000000002</v>
      </c>
      <c r="AG102" s="39">
        <v>2.21</v>
      </c>
      <c r="AH102" s="39">
        <v>2.23</v>
      </c>
      <c r="AI102" s="39">
        <v>2.2400000000000002</v>
      </c>
      <c r="AJ102" s="39">
        <v>2.2599999999999998</v>
      </c>
      <c r="AK102" s="39">
        <v>2.2799999999999998</v>
      </c>
      <c r="AL102" s="39">
        <v>2.29</v>
      </c>
      <c r="AM102" s="39">
        <v>2.31</v>
      </c>
      <c r="AN102" s="39">
        <v>2.3199999999999998</v>
      </c>
      <c r="AO102" s="39">
        <v>2.33</v>
      </c>
      <c r="AP102" s="39">
        <v>2.35</v>
      </c>
      <c r="AQ102" s="39">
        <v>2.36</v>
      </c>
      <c r="AR102" s="39">
        <v>2.38</v>
      </c>
      <c r="AS102" s="39">
        <v>2.39</v>
      </c>
      <c r="AT102" s="39">
        <v>2.41</v>
      </c>
      <c r="AU102" s="39">
        <v>2.42</v>
      </c>
      <c r="AV102" s="39">
        <v>2.4300000000000002</v>
      </c>
      <c r="AW102" s="39">
        <v>2.4500000000000002</v>
      </c>
      <c r="AX102" s="39">
        <v>2.46</v>
      </c>
      <c r="AY102" s="39">
        <v>2.48</v>
      </c>
      <c r="AZ102" s="39">
        <v>2.4900000000000002</v>
      </c>
      <c r="BA102" s="39">
        <v>2.5</v>
      </c>
      <c r="BB102" s="39">
        <v>2.52</v>
      </c>
      <c r="BC102" s="39">
        <v>2.5299999999999998</v>
      </c>
      <c r="BD102" s="39">
        <v>2.5499999999999998</v>
      </c>
      <c r="BE102" s="39">
        <v>2.56</v>
      </c>
      <c r="BF102" s="39">
        <v>2.57</v>
      </c>
      <c r="BG102" s="39">
        <v>2.59</v>
      </c>
      <c r="BH102" s="39">
        <v>2.6</v>
      </c>
      <c r="BI102" s="39">
        <v>2.61</v>
      </c>
      <c r="BJ102" s="39">
        <v>2.63</v>
      </c>
      <c r="BK102" s="39">
        <v>2.64</v>
      </c>
      <c r="BL102" s="39">
        <v>2.66</v>
      </c>
      <c r="BM102" s="39">
        <v>2.67</v>
      </c>
      <c r="BN102" s="39">
        <v>2.68</v>
      </c>
      <c r="BO102" s="39">
        <v>2.7</v>
      </c>
      <c r="BP102" s="39">
        <v>2.71</v>
      </c>
      <c r="BQ102" s="39">
        <v>2.72</v>
      </c>
      <c r="BR102" s="39">
        <v>2.74</v>
      </c>
      <c r="BS102" s="39">
        <v>2.75</v>
      </c>
      <c r="BT102" s="39">
        <v>2.76</v>
      </c>
      <c r="BU102" s="39">
        <v>2.78</v>
      </c>
      <c r="BV102" s="39">
        <v>2.79</v>
      </c>
      <c r="BW102" s="39">
        <v>2.8</v>
      </c>
      <c r="BX102" s="39">
        <v>2.82</v>
      </c>
      <c r="BY102" s="39">
        <v>2.83</v>
      </c>
      <c r="BZ102" s="39">
        <v>2.84</v>
      </c>
      <c r="CA102" s="39">
        <v>2.85</v>
      </c>
      <c r="CB102" s="39">
        <v>2.87</v>
      </c>
      <c r="CC102" s="39">
        <v>2.88</v>
      </c>
      <c r="CD102" s="39">
        <v>2.89</v>
      </c>
      <c r="CE102" s="39">
        <v>2.91</v>
      </c>
      <c r="CF102" s="39">
        <v>2.92</v>
      </c>
      <c r="CG102" s="39">
        <v>2.93</v>
      </c>
      <c r="CH102" s="39">
        <v>2.94</v>
      </c>
      <c r="CI102" s="39">
        <v>2.96</v>
      </c>
      <c r="CJ102" s="39">
        <v>2.97</v>
      </c>
      <c r="CK102" s="39">
        <v>2.98</v>
      </c>
      <c r="CL102" s="39">
        <v>2.99</v>
      </c>
      <c r="CM102" s="39">
        <v>3.01</v>
      </c>
      <c r="CN102" s="39">
        <v>3.02</v>
      </c>
      <c r="CO102" s="39">
        <v>3.03</v>
      </c>
      <c r="CP102" s="39">
        <v>3.04</v>
      </c>
      <c r="CQ102" s="39">
        <v>3.06</v>
      </c>
      <c r="CR102" s="39">
        <v>3.07</v>
      </c>
      <c r="CS102" s="39">
        <v>3.08</v>
      </c>
      <c r="CT102" s="39">
        <v>3.09</v>
      </c>
      <c r="CU102" s="39">
        <v>3.1</v>
      </c>
      <c r="CV102" s="39">
        <v>3.12</v>
      </c>
      <c r="CW102" s="39">
        <v>3.13</v>
      </c>
      <c r="CX102" s="39">
        <v>3.14</v>
      </c>
      <c r="CY102" s="39">
        <v>3.15</v>
      </c>
      <c r="CZ102" s="39">
        <v>3.16</v>
      </c>
      <c r="DA102" s="39">
        <v>3.17</v>
      </c>
      <c r="DB102" s="39">
        <v>3.19</v>
      </c>
      <c r="DC102" s="39">
        <v>3.2</v>
      </c>
      <c r="DD102" s="39">
        <v>3.21</v>
      </c>
      <c r="DE102" s="39">
        <v>3.22</v>
      </c>
      <c r="DF102" s="39">
        <v>3.23</v>
      </c>
      <c r="DG102" s="39">
        <v>3.24</v>
      </c>
      <c r="DH102" s="39">
        <v>3.25</v>
      </c>
      <c r="DI102" s="39">
        <v>3.26</v>
      </c>
      <c r="DJ102" s="39">
        <v>3.28</v>
      </c>
      <c r="DK102" s="39">
        <v>3.29</v>
      </c>
      <c r="DL102" s="39">
        <v>3.3</v>
      </c>
      <c r="DM102" s="39">
        <v>3.31</v>
      </c>
      <c r="DN102" s="39">
        <v>3.32</v>
      </c>
      <c r="DO102" s="39">
        <v>3.33</v>
      </c>
      <c r="DP102" s="39">
        <v>3.34</v>
      </c>
      <c r="DQ102" s="39">
        <v>3.35</v>
      </c>
      <c r="DR102" s="39">
        <v>3.36</v>
      </c>
    </row>
  </sheetData>
  <hyperlinks>
    <hyperlink ref="A1" r:id="rId1" display="https://view.officeapps.live.com/op/view.aspx?src=https%3A%2F%2Fwww.destatis.de%2FDE%2FThemen%2FGesellschaft-Umwelt%2FBevoelkerung%2FSterbefaelle-Lebenserwartung%2FPublikationen%2FDownloads-Sterbefaelle%2Fkohortensterbetafeln-5126101209005.xlsx%3F__blob%3DpublicationFile&amp;wdOrigin=BROWSELINK" xr:uid="{23A73ABD-5A9C-4A6A-B65F-2D1DE80E6CDB}"/>
  </hyperlinks>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ABDAA-CD79-43EA-BD11-DEBC2CA6415D}">
  <sheetPr codeName="Tabelle47"/>
  <dimension ref="A1:AB84"/>
  <sheetViews>
    <sheetView topLeftCell="G51" workbookViewId="0">
      <selection activeCell="B4" sqref="B4:AB84"/>
    </sheetView>
  </sheetViews>
  <sheetFormatPr baseColWidth="10" defaultColWidth="12.7109375" defaultRowHeight="15"/>
  <cols>
    <col min="1" max="1" width="4.42578125" hidden="1" customWidth="1"/>
    <col min="2" max="2" width="7" customWidth="1"/>
    <col min="3" max="3" width="11.5703125" customWidth="1"/>
    <col min="4" max="4" width="12.5703125" customWidth="1"/>
    <col min="5" max="6" width="10.42578125" customWidth="1"/>
    <col min="7" max="7" width="12.5703125" customWidth="1"/>
    <col min="8" max="9" width="11" customWidth="1"/>
    <col min="10" max="10" width="11" style="26" customWidth="1"/>
    <col min="11" max="11" width="7" customWidth="1"/>
    <col min="12" max="16" width="12.5703125" customWidth="1"/>
    <col min="17" max="18" width="11" customWidth="1"/>
    <col min="19" max="19" width="11" style="26" customWidth="1"/>
    <col min="20" max="20" width="7" customWidth="1"/>
    <col min="25" max="25" width="12.5703125" customWidth="1"/>
    <col min="26" max="27" width="11" customWidth="1"/>
    <col min="28" max="28" width="11" style="26" customWidth="1"/>
    <col min="29" max="29" width="13.28515625" bestFit="1" customWidth="1"/>
  </cols>
  <sheetData>
    <row r="1" spans="1:28" ht="15.75" thickBot="1">
      <c r="B1" s="15">
        <v>1</v>
      </c>
      <c r="C1" s="15">
        <v>2</v>
      </c>
      <c r="D1" s="15">
        <v>3</v>
      </c>
      <c r="E1" s="15">
        <v>4</v>
      </c>
      <c r="F1" s="15">
        <v>5</v>
      </c>
      <c r="G1" s="15">
        <v>6</v>
      </c>
      <c r="H1" s="15">
        <v>7</v>
      </c>
      <c r="I1" s="15">
        <v>8</v>
      </c>
      <c r="J1" s="15">
        <v>9</v>
      </c>
      <c r="K1" s="15">
        <v>10</v>
      </c>
      <c r="L1" s="15">
        <v>11</v>
      </c>
      <c r="M1" s="15">
        <v>12</v>
      </c>
      <c r="N1" s="15">
        <v>13</v>
      </c>
      <c r="O1" s="15">
        <v>14</v>
      </c>
      <c r="P1" s="15">
        <v>15</v>
      </c>
      <c r="Q1" s="15">
        <v>16</v>
      </c>
      <c r="R1" s="15">
        <v>17</v>
      </c>
      <c r="S1" s="15">
        <v>18</v>
      </c>
      <c r="T1" s="15">
        <v>19</v>
      </c>
      <c r="U1" s="15">
        <v>20</v>
      </c>
      <c r="V1" s="15">
        <v>21</v>
      </c>
      <c r="W1" s="15">
        <v>22</v>
      </c>
      <c r="X1" s="15">
        <v>23</v>
      </c>
      <c r="Y1" s="15">
        <v>24</v>
      </c>
      <c r="Z1" s="15">
        <v>25</v>
      </c>
      <c r="AA1" s="15">
        <v>26</v>
      </c>
      <c r="AB1" s="15">
        <v>27</v>
      </c>
    </row>
    <row r="2" spans="1:28" s="56" customFormat="1" ht="72" customHeight="1">
      <c r="A2" s="56" t="s">
        <v>3447</v>
      </c>
      <c r="B2" s="810"/>
      <c r="C2" s="58" t="s">
        <v>3390</v>
      </c>
      <c r="D2" s="58" t="s">
        <v>3391</v>
      </c>
      <c r="E2" s="58" t="s">
        <v>3392</v>
      </c>
      <c r="F2" s="58" t="s">
        <v>3448</v>
      </c>
      <c r="G2" s="58" t="s">
        <v>3449</v>
      </c>
      <c r="H2" s="812" t="s">
        <v>3418</v>
      </c>
      <c r="I2" s="812"/>
      <c r="J2" s="813"/>
      <c r="K2" s="59"/>
      <c r="L2" s="60" t="s">
        <v>3390</v>
      </c>
      <c r="M2" s="60" t="s">
        <v>3391</v>
      </c>
      <c r="N2" s="60" t="s">
        <v>3392</v>
      </c>
      <c r="O2" s="60" t="s">
        <v>3450</v>
      </c>
      <c r="P2" s="60" t="str">
        <f>+G2</f>
        <v>Anwartschafts-barwert d. Altersrente</v>
      </c>
      <c r="Q2" s="814" t="s">
        <v>3419</v>
      </c>
      <c r="R2" s="814"/>
      <c r="S2" s="815"/>
      <c r="T2" s="61"/>
      <c r="U2" s="62" t="s">
        <v>3390</v>
      </c>
      <c r="V2" s="62" t="s">
        <v>3391</v>
      </c>
      <c r="W2" s="62" t="s">
        <v>3392</v>
      </c>
      <c r="X2" s="62" t="str">
        <f>+O2</f>
        <v>Witwenrente</v>
      </c>
      <c r="Y2" s="62" t="s">
        <v>3436</v>
      </c>
      <c r="Z2" s="816" t="s">
        <v>3422</v>
      </c>
      <c r="AA2" s="816"/>
      <c r="AB2" s="817"/>
    </row>
    <row r="3" spans="1:28" s="74" customFormat="1" ht="18.75">
      <c r="A3" s="63"/>
      <c r="B3" s="811"/>
      <c r="C3" s="65">
        <v>0.33100000000000002</v>
      </c>
      <c r="D3" s="65" t="s">
        <v>3439</v>
      </c>
      <c r="E3" s="65" t="s">
        <v>3451</v>
      </c>
      <c r="F3" s="65" t="s">
        <v>3452</v>
      </c>
      <c r="G3" s="65"/>
      <c r="H3" s="66" t="s">
        <v>3400</v>
      </c>
      <c r="I3" s="66" t="s">
        <v>3401</v>
      </c>
      <c r="J3" s="67" t="s">
        <v>3402</v>
      </c>
      <c r="K3" s="68" t="s">
        <v>3437</v>
      </c>
      <c r="L3" s="69" t="s">
        <v>3438</v>
      </c>
      <c r="M3" s="69" t="s">
        <v>3439</v>
      </c>
      <c r="N3" s="69" t="s">
        <v>3453</v>
      </c>
      <c r="O3" s="69"/>
      <c r="P3" s="69"/>
      <c r="Q3" s="69" t="s">
        <v>3400</v>
      </c>
      <c r="R3" s="69" t="s">
        <v>3401</v>
      </c>
      <c r="S3" s="70" t="s">
        <v>3402</v>
      </c>
      <c r="T3" s="71" t="s">
        <v>3437</v>
      </c>
      <c r="U3" s="72" t="s">
        <v>3438</v>
      </c>
      <c r="V3" s="72" t="s">
        <v>3439</v>
      </c>
      <c r="W3" s="72" t="s">
        <v>3453</v>
      </c>
      <c r="X3" s="72"/>
      <c r="Y3" s="72"/>
      <c r="Z3" s="72" t="s">
        <v>3400</v>
      </c>
      <c r="AA3" s="72" t="s">
        <v>3401</v>
      </c>
      <c r="AB3" s="73" t="s">
        <v>3402</v>
      </c>
    </row>
    <row r="4" spans="1:28">
      <c r="B4" s="75">
        <v>20</v>
      </c>
      <c r="C4" s="76">
        <v>0.32200000000000001</v>
      </c>
      <c r="D4" s="76">
        <v>4.0860000000000003</v>
      </c>
      <c r="E4" s="76">
        <v>0.53800000000000003</v>
      </c>
      <c r="F4" s="76">
        <v>0.53800000000000003</v>
      </c>
      <c r="G4" s="76">
        <v>3.7640000000000002</v>
      </c>
      <c r="H4" s="77">
        <v>8.5547290116896921E-2</v>
      </c>
      <c r="I4" s="77">
        <v>0.14293304994686504</v>
      </c>
      <c r="J4" s="78">
        <v>0.22848034006376194</v>
      </c>
      <c r="K4" s="75">
        <v>20</v>
      </c>
      <c r="L4" s="76">
        <v>0.33300000000000002</v>
      </c>
      <c r="M4" s="76">
        <v>4.835</v>
      </c>
      <c r="N4" s="79">
        <v>0.13400000000000001</v>
      </c>
      <c r="O4" s="76">
        <v>0.13400000000000001</v>
      </c>
      <c r="P4" s="76">
        <v>4.5019999999999998</v>
      </c>
      <c r="Q4" s="77">
        <v>7.3967125721901381E-2</v>
      </c>
      <c r="R4" s="77">
        <v>2.976454908929365E-2</v>
      </c>
      <c r="S4" s="78">
        <v>0.10373167481119502</v>
      </c>
      <c r="T4" s="75">
        <v>20</v>
      </c>
      <c r="U4" s="80">
        <v>0.32750000000000001</v>
      </c>
      <c r="V4" s="80">
        <v>4.4604999999999997</v>
      </c>
      <c r="W4" s="80">
        <v>0.33600000000000002</v>
      </c>
      <c r="X4" s="80">
        <v>0.33600000000000002</v>
      </c>
      <c r="Y4" s="80">
        <v>4.133</v>
      </c>
      <c r="Z4" s="81">
        <v>7.9757207919399151E-2</v>
      </c>
      <c r="AA4" s="81">
        <v>8.6348799518079347E-2</v>
      </c>
      <c r="AB4" s="82">
        <v>0.1661060074374785</v>
      </c>
    </row>
    <row r="5" spans="1:28">
      <c r="B5" s="83">
        <v>21</v>
      </c>
      <c r="C5" s="84">
        <v>0.371</v>
      </c>
      <c r="D5" s="84">
        <v>4.21</v>
      </c>
      <c r="E5" s="84">
        <v>0.626</v>
      </c>
      <c r="F5" s="84">
        <v>0.626</v>
      </c>
      <c r="G5" s="84">
        <v>3.839</v>
      </c>
      <c r="H5" s="85">
        <v>9.663974993487888E-2</v>
      </c>
      <c r="I5" s="85">
        <v>0.16306329773378483</v>
      </c>
      <c r="J5" s="87">
        <v>0.2597030476686637</v>
      </c>
      <c r="K5" s="83">
        <v>21</v>
      </c>
      <c r="L5" s="84">
        <v>0.40100000000000002</v>
      </c>
      <c r="M5" s="84">
        <v>4.9790000000000001</v>
      </c>
      <c r="N5" s="86">
        <v>0.161</v>
      </c>
      <c r="O5" s="84">
        <v>0.161</v>
      </c>
      <c r="P5" s="84">
        <v>4.5780000000000003</v>
      </c>
      <c r="Q5" s="85">
        <v>8.7592835299257321E-2</v>
      </c>
      <c r="R5" s="85">
        <v>3.5168195718654434E-2</v>
      </c>
      <c r="S5" s="87">
        <v>0.12276103101791175</v>
      </c>
      <c r="T5" s="83">
        <v>21</v>
      </c>
      <c r="U5" s="88">
        <v>0.38600000000000001</v>
      </c>
      <c r="V5" s="88">
        <v>4.5945</v>
      </c>
      <c r="W5" s="88">
        <v>0.39350000000000002</v>
      </c>
      <c r="X5" s="88">
        <v>0.39350000000000002</v>
      </c>
      <c r="Y5" s="88">
        <v>4.2084999999999999</v>
      </c>
      <c r="Z5" s="29">
        <v>9.2116292617068107E-2</v>
      </c>
      <c r="AA5" s="29">
        <v>9.9115746726219631E-2</v>
      </c>
      <c r="AB5" s="89">
        <v>0.19123203934328772</v>
      </c>
    </row>
    <row r="6" spans="1:28">
      <c r="B6" s="75">
        <v>22</v>
      </c>
      <c r="C6" s="76">
        <v>0.42299999999999999</v>
      </c>
      <c r="D6" s="76">
        <v>4.3360000000000003</v>
      </c>
      <c r="E6" s="76">
        <v>0.71899999999999997</v>
      </c>
      <c r="F6" s="76">
        <v>0.71899999999999997</v>
      </c>
      <c r="G6" s="76">
        <v>3.9130000000000003</v>
      </c>
      <c r="H6" s="77">
        <v>0.10810120112445692</v>
      </c>
      <c r="I6" s="77">
        <v>0.18374648607206745</v>
      </c>
      <c r="J6" s="78">
        <v>0.29184768719652437</v>
      </c>
      <c r="K6" s="75">
        <v>22</v>
      </c>
      <c r="L6" s="76">
        <v>0.46300000000000002</v>
      </c>
      <c r="M6" s="76">
        <v>5.1269999999999998</v>
      </c>
      <c r="N6" s="79">
        <v>0.187</v>
      </c>
      <c r="O6" s="76">
        <v>0.187</v>
      </c>
      <c r="P6" s="76">
        <v>4.6639999999999997</v>
      </c>
      <c r="Q6" s="77">
        <v>9.9271012006861073E-2</v>
      </c>
      <c r="R6" s="77">
        <v>4.0094339622641514E-2</v>
      </c>
      <c r="S6" s="78">
        <v>0.13936535162950259</v>
      </c>
      <c r="T6" s="75">
        <v>22</v>
      </c>
      <c r="U6" s="80">
        <v>0.443</v>
      </c>
      <c r="V6" s="80">
        <v>4.7315000000000005</v>
      </c>
      <c r="W6" s="80">
        <v>0.45299999999999996</v>
      </c>
      <c r="X6" s="80">
        <v>0.45299999999999996</v>
      </c>
      <c r="Y6" s="80">
        <v>4.2885</v>
      </c>
      <c r="Z6" s="81">
        <v>0.10368610656565899</v>
      </c>
      <c r="AA6" s="81">
        <v>0.11192041284735449</v>
      </c>
      <c r="AB6" s="82">
        <v>0.21560651941301348</v>
      </c>
    </row>
    <row r="7" spans="1:28">
      <c r="B7" s="83">
        <v>23</v>
      </c>
      <c r="C7" s="84">
        <v>0.47599999999999998</v>
      </c>
      <c r="D7" s="84">
        <v>4.4649999999999999</v>
      </c>
      <c r="E7" s="84">
        <v>0.81599999999999995</v>
      </c>
      <c r="F7" s="84">
        <v>0.81599999999999995</v>
      </c>
      <c r="G7" s="84">
        <v>3.9889999999999999</v>
      </c>
      <c r="H7" s="85">
        <v>0.11932815241915266</v>
      </c>
      <c r="I7" s="85">
        <v>0.20456254700426171</v>
      </c>
      <c r="J7" s="87">
        <v>0.32389069942341436</v>
      </c>
      <c r="K7" s="83">
        <v>23</v>
      </c>
      <c r="L7" s="84">
        <v>0.51600000000000001</v>
      </c>
      <c r="M7" s="84">
        <v>5.2779999999999996</v>
      </c>
      <c r="N7" s="86">
        <v>0.20899999999999999</v>
      </c>
      <c r="O7" s="84">
        <v>0.20899999999999999</v>
      </c>
      <c r="P7" s="84">
        <v>4.7619999999999996</v>
      </c>
      <c r="Q7" s="85">
        <v>0.10835783284334315</v>
      </c>
      <c r="R7" s="85">
        <v>4.388912221755565E-2</v>
      </c>
      <c r="S7" s="87">
        <v>0.1522469550608988</v>
      </c>
      <c r="T7" s="83">
        <v>23</v>
      </c>
      <c r="U7" s="88">
        <v>0.496</v>
      </c>
      <c r="V7" s="88">
        <v>4.8714999999999993</v>
      </c>
      <c r="W7" s="88">
        <v>0.51249999999999996</v>
      </c>
      <c r="X7" s="88">
        <v>0.51249999999999996</v>
      </c>
      <c r="Y7" s="88">
        <v>4.3754999999999997</v>
      </c>
      <c r="Z7" s="29">
        <v>0.11384299263124791</v>
      </c>
      <c r="AA7" s="29">
        <v>0.12422583461090868</v>
      </c>
      <c r="AB7" s="89">
        <v>0.23806882724215658</v>
      </c>
    </row>
    <row r="8" spans="1:28">
      <c r="B8" s="75">
        <v>24</v>
      </c>
      <c r="C8" s="76">
        <v>0.52400000000000002</v>
      </c>
      <c r="D8" s="76">
        <v>4.5979999999999999</v>
      </c>
      <c r="E8" s="76">
        <v>0.90600000000000003</v>
      </c>
      <c r="F8" s="76">
        <v>0.90600000000000003</v>
      </c>
      <c r="G8" s="76">
        <v>4.0739999999999998</v>
      </c>
      <c r="H8" s="77">
        <v>0.12862052037309771</v>
      </c>
      <c r="I8" s="77">
        <v>0.22238586156111931</v>
      </c>
      <c r="J8" s="78">
        <v>0.35100638193421702</v>
      </c>
      <c r="K8" s="75">
        <v>24</v>
      </c>
      <c r="L8" s="76">
        <v>0.56399999999999995</v>
      </c>
      <c r="M8" s="76">
        <v>5.4329999999999998</v>
      </c>
      <c r="N8" s="79">
        <v>0.22900000000000001</v>
      </c>
      <c r="O8" s="76">
        <v>0.22900000000000001</v>
      </c>
      <c r="P8" s="76">
        <v>4.8689999999999998</v>
      </c>
      <c r="Q8" s="77">
        <v>0.11583487369069624</v>
      </c>
      <c r="R8" s="77">
        <v>4.7032244814130215E-2</v>
      </c>
      <c r="S8" s="78">
        <v>0.16286711850482646</v>
      </c>
      <c r="T8" s="75">
        <v>24</v>
      </c>
      <c r="U8" s="80">
        <v>0.54400000000000004</v>
      </c>
      <c r="V8" s="80">
        <v>5.0154999999999994</v>
      </c>
      <c r="W8" s="80">
        <v>0.5675</v>
      </c>
      <c r="X8" s="80">
        <v>0.5675</v>
      </c>
      <c r="Y8" s="80">
        <v>4.4714999999999998</v>
      </c>
      <c r="Z8" s="81">
        <v>0.12222769703189698</v>
      </c>
      <c r="AA8" s="81">
        <v>0.13470905318762477</v>
      </c>
      <c r="AB8" s="82">
        <v>0.25693675021952173</v>
      </c>
    </row>
    <row r="9" spans="1:28">
      <c r="B9" s="83">
        <v>25</v>
      </c>
      <c r="C9" s="84">
        <v>0.56599999999999995</v>
      </c>
      <c r="D9" s="84">
        <v>4.7329999999999997</v>
      </c>
      <c r="E9" s="84">
        <v>0.99</v>
      </c>
      <c r="F9" s="84">
        <v>0.99</v>
      </c>
      <c r="G9" s="84">
        <v>4.1669999999999998</v>
      </c>
      <c r="H9" s="85">
        <v>0.13582913366930646</v>
      </c>
      <c r="I9" s="85">
        <v>0.23758099352051837</v>
      </c>
      <c r="J9" s="87">
        <v>0.3734101271898248</v>
      </c>
      <c r="K9" s="83">
        <v>25</v>
      </c>
      <c r="L9" s="84">
        <v>0.61099999999999999</v>
      </c>
      <c r="M9" s="84">
        <v>5.5910000000000002</v>
      </c>
      <c r="N9" s="86">
        <v>0.25</v>
      </c>
      <c r="O9" s="84">
        <v>0.25</v>
      </c>
      <c r="P9" s="84">
        <v>4.9800000000000004</v>
      </c>
      <c r="Q9" s="85">
        <v>0.12269076305220883</v>
      </c>
      <c r="R9" s="85">
        <v>5.0200803212851398E-2</v>
      </c>
      <c r="S9" s="87">
        <v>0.17289156626506022</v>
      </c>
      <c r="T9" s="83">
        <v>25</v>
      </c>
      <c r="U9" s="88">
        <v>0.58850000000000002</v>
      </c>
      <c r="V9" s="88">
        <v>5.1619999999999999</v>
      </c>
      <c r="W9" s="88">
        <v>0.62</v>
      </c>
      <c r="X9" s="88">
        <v>0.62</v>
      </c>
      <c r="Y9" s="88">
        <v>4.5735000000000001</v>
      </c>
      <c r="Z9" s="29">
        <v>0.12925994836075766</v>
      </c>
      <c r="AA9" s="29">
        <v>0.14389089836668489</v>
      </c>
      <c r="AB9" s="89">
        <v>0.2731508467274425</v>
      </c>
    </row>
    <row r="10" spans="1:28">
      <c r="B10" s="75">
        <v>26</v>
      </c>
      <c r="C10" s="76">
        <v>0.60499999999999998</v>
      </c>
      <c r="D10" s="76">
        <v>4.87</v>
      </c>
      <c r="E10" s="76">
        <v>1.069</v>
      </c>
      <c r="F10" s="76">
        <v>1.069</v>
      </c>
      <c r="G10" s="76">
        <v>4.2650000000000006</v>
      </c>
      <c r="H10" s="77">
        <v>0.14185228604923797</v>
      </c>
      <c r="I10" s="77">
        <v>0.2506447831184056</v>
      </c>
      <c r="J10" s="78">
        <v>0.3924970691676436</v>
      </c>
      <c r="K10" s="75">
        <v>26</v>
      </c>
      <c r="L10" s="76">
        <v>0.65800000000000003</v>
      </c>
      <c r="M10" s="76">
        <v>5.7519999999999998</v>
      </c>
      <c r="N10" s="79">
        <v>0.27100000000000002</v>
      </c>
      <c r="O10" s="76">
        <v>0.27100000000000002</v>
      </c>
      <c r="P10" s="76">
        <v>5.0939999999999994</v>
      </c>
      <c r="Q10" s="77">
        <v>0.1291715744012564</v>
      </c>
      <c r="R10" s="77">
        <v>5.3199842952493137E-2</v>
      </c>
      <c r="S10" s="78">
        <v>0.18237141735374954</v>
      </c>
      <c r="T10" s="75">
        <v>26</v>
      </c>
      <c r="U10" s="80">
        <v>0.63149999999999995</v>
      </c>
      <c r="V10" s="80">
        <v>5.3109999999999999</v>
      </c>
      <c r="W10" s="80">
        <v>0.66999999999999993</v>
      </c>
      <c r="X10" s="80">
        <v>0.66999999999999993</v>
      </c>
      <c r="Y10" s="80">
        <v>4.6795</v>
      </c>
      <c r="Z10" s="81">
        <v>0.13551193022524718</v>
      </c>
      <c r="AA10" s="81">
        <v>0.15192231303544937</v>
      </c>
      <c r="AB10" s="82">
        <v>0.28743424326069655</v>
      </c>
    </row>
    <row r="11" spans="1:28">
      <c r="B11" s="83">
        <v>27</v>
      </c>
      <c r="C11" s="84">
        <v>0.64</v>
      </c>
      <c r="D11" s="84">
        <v>5.0110000000000001</v>
      </c>
      <c r="E11" s="84">
        <v>1.145</v>
      </c>
      <c r="F11" s="84">
        <v>1.145</v>
      </c>
      <c r="G11" s="84">
        <v>4.3710000000000004</v>
      </c>
      <c r="H11" s="85">
        <v>0.14641958361930907</v>
      </c>
      <c r="I11" s="85">
        <v>0.26195378631892013</v>
      </c>
      <c r="J11" s="87">
        <v>0.4083733699382292</v>
      </c>
      <c r="K11" s="83">
        <v>27</v>
      </c>
      <c r="L11" s="84">
        <v>0.70399999999999996</v>
      </c>
      <c r="M11" s="84">
        <v>5.915</v>
      </c>
      <c r="N11" s="86">
        <v>0.29099999999999998</v>
      </c>
      <c r="O11" s="84">
        <v>0.29099999999999998</v>
      </c>
      <c r="P11" s="84">
        <v>5.2110000000000003</v>
      </c>
      <c r="Q11" s="85">
        <v>0.13509882939934753</v>
      </c>
      <c r="R11" s="85">
        <v>5.5843408175014389E-2</v>
      </c>
      <c r="S11" s="87">
        <v>0.19094223757436191</v>
      </c>
      <c r="T11" s="83">
        <v>27</v>
      </c>
      <c r="U11" s="88">
        <v>0.67199999999999993</v>
      </c>
      <c r="V11" s="88">
        <v>5.4630000000000001</v>
      </c>
      <c r="W11" s="88">
        <v>0.71799999999999997</v>
      </c>
      <c r="X11" s="88">
        <v>0.71799999999999997</v>
      </c>
      <c r="Y11" s="88">
        <v>4.7910000000000004</v>
      </c>
      <c r="Z11" s="29">
        <v>0.1407592065093283</v>
      </c>
      <c r="AA11" s="29">
        <v>0.15889859724696725</v>
      </c>
      <c r="AB11" s="89">
        <v>0.29965780375629558</v>
      </c>
    </row>
    <row r="12" spans="1:28">
      <c r="B12" s="75">
        <v>28</v>
      </c>
      <c r="C12" s="76">
        <v>0.67400000000000004</v>
      </c>
      <c r="D12" s="76">
        <v>5.1550000000000002</v>
      </c>
      <c r="E12" s="76">
        <v>1.22</v>
      </c>
      <c r="F12" s="76">
        <v>1.22</v>
      </c>
      <c r="G12" s="76">
        <v>4.4809999999999999</v>
      </c>
      <c r="H12" s="77">
        <v>0.15041285427359966</v>
      </c>
      <c r="I12" s="77">
        <v>0.27226065610354833</v>
      </c>
      <c r="J12" s="78">
        <v>0.42267351037714795</v>
      </c>
      <c r="K12" s="75">
        <v>28</v>
      </c>
      <c r="L12" s="76">
        <v>0.748</v>
      </c>
      <c r="M12" s="76">
        <v>6.0819999999999999</v>
      </c>
      <c r="N12" s="79">
        <v>0.311</v>
      </c>
      <c r="O12" s="76">
        <v>0.311</v>
      </c>
      <c r="P12" s="76">
        <v>5.3339999999999996</v>
      </c>
      <c r="Q12" s="77">
        <v>0.14023247094113236</v>
      </c>
      <c r="R12" s="77">
        <v>5.8305211848518938E-2</v>
      </c>
      <c r="S12" s="78">
        <v>0.19853768278965131</v>
      </c>
      <c r="T12" s="75">
        <v>28</v>
      </c>
      <c r="U12" s="80">
        <v>0.71100000000000008</v>
      </c>
      <c r="V12" s="80">
        <v>5.6185</v>
      </c>
      <c r="W12" s="80">
        <v>0.76549999999999996</v>
      </c>
      <c r="X12" s="80">
        <v>0.76549999999999996</v>
      </c>
      <c r="Y12" s="80">
        <v>4.9074999999999998</v>
      </c>
      <c r="Z12" s="81">
        <v>0.14532266260736601</v>
      </c>
      <c r="AA12" s="81">
        <v>0.16528293397603364</v>
      </c>
      <c r="AB12" s="82">
        <v>0.31060559658339965</v>
      </c>
    </row>
    <row r="13" spans="1:28">
      <c r="B13" s="83">
        <v>29</v>
      </c>
      <c r="C13" s="84">
        <v>0.70499999999999996</v>
      </c>
      <c r="D13" s="84">
        <v>5.3019999999999996</v>
      </c>
      <c r="E13" s="84">
        <v>1.294</v>
      </c>
      <c r="F13" s="84">
        <v>1.294</v>
      </c>
      <c r="G13" s="84">
        <v>4.5969999999999995</v>
      </c>
      <c r="H13" s="85">
        <v>0.15336088753534916</v>
      </c>
      <c r="I13" s="85">
        <v>0.28148792690885366</v>
      </c>
      <c r="J13" s="87">
        <v>0.43484881444420281</v>
      </c>
      <c r="K13" s="83">
        <v>29</v>
      </c>
      <c r="L13" s="84">
        <v>0.79</v>
      </c>
      <c r="M13" s="84">
        <v>6.2519999999999998</v>
      </c>
      <c r="N13" s="86">
        <v>0.33100000000000002</v>
      </c>
      <c r="O13" s="84">
        <v>0.33100000000000002</v>
      </c>
      <c r="P13" s="84">
        <v>5.4619999999999997</v>
      </c>
      <c r="Q13" s="85">
        <v>0.14463566459172467</v>
      </c>
      <c r="R13" s="85">
        <v>6.0600512632735269E-2</v>
      </c>
      <c r="S13" s="87">
        <v>0.20523617722445994</v>
      </c>
      <c r="T13" s="83">
        <v>29</v>
      </c>
      <c r="U13" s="88">
        <v>0.74750000000000005</v>
      </c>
      <c r="V13" s="88">
        <v>5.7769999999999992</v>
      </c>
      <c r="W13" s="88">
        <v>0.8125</v>
      </c>
      <c r="X13" s="88">
        <v>0.8125</v>
      </c>
      <c r="Y13" s="88">
        <v>5.0294999999999996</v>
      </c>
      <c r="Z13" s="29">
        <v>0.14899827606353691</v>
      </c>
      <c r="AA13" s="29">
        <v>0.17104421977079445</v>
      </c>
      <c r="AB13" s="89">
        <v>0.32004249583433136</v>
      </c>
    </row>
    <row r="14" spans="1:28">
      <c r="B14" s="75">
        <v>30</v>
      </c>
      <c r="C14" s="76">
        <v>0.73399999999999999</v>
      </c>
      <c r="D14" s="76">
        <v>5.452</v>
      </c>
      <c r="E14" s="76">
        <v>1.3660000000000001</v>
      </c>
      <c r="F14" s="76">
        <v>1.3660000000000001</v>
      </c>
      <c r="G14" s="76">
        <v>4.718</v>
      </c>
      <c r="H14" s="77">
        <v>0.155574395930479</v>
      </c>
      <c r="I14" s="77">
        <v>0.28952946163628657</v>
      </c>
      <c r="J14" s="78">
        <v>0.44510385756676557</v>
      </c>
      <c r="K14" s="75">
        <v>30</v>
      </c>
      <c r="L14" s="76">
        <v>0.83</v>
      </c>
      <c r="M14" s="76">
        <v>6.4240000000000004</v>
      </c>
      <c r="N14" s="79">
        <v>0.35099999999999998</v>
      </c>
      <c r="O14" s="76">
        <v>0.35099999999999998</v>
      </c>
      <c r="P14" s="76">
        <v>5.5940000000000003</v>
      </c>
      <c r="Q14" s="77">
        <v>0.14837325706113691</v>
      </c>
      <c r="R14" s="77">
        <v>6.2745799070432595E-2</v>
      </c>
      <c r="S14" s="78">
        <v>0.2111190561315695</v>
      </c>
      <c r="T14" s="75">
        <v>30</v>
      </c>
      <c r="U14" s="80">
        <v>0.78200000000000003</v>
      </c>
      <c r="V14" s="80">
        <v>5.9380000000000006</v>
      </c>
      <c r="W14" s="80">
        <v>0.85850000000000004</v>
      </c>
      <c r="X14" s="80">
        <v>0.85850000000000004</v>
      </c>
      <c r="Y14" s="80">
        <v>5.1560000000000006</v>
      </c>
      <c r="Z14" s="81">
        <v>0.15197382649580796</v>
      </c>
      <c r="AA14" s="81">
        <v>0.17613763035335958</v>
      </c>
      <c r="AB14" s="82">
        <v>0.32811145684916754</v>
      </c>
    </row>
    <row r="15" spans="1:28">
      <c r="B15" s="83">
        <v>31</v>
      </c>
      <c r="C15" s="84">
        <v>0.76200000000000001</v>
      </c>
      <c r="D15" s="84">
        <v>5.6059999999999999</v>
      </c>
      <c r="E15" s="84">
        <v>1.4379999999999999</v>
      </c>
      <c r="F15" s="84">
        <v>1.4379999999999999</v>
      </c>
      <c r="G15" s="84">
        <v>4.8439999999999994</v>
      </c>
      <c r="H15" s="85">
        <v>0.15730800990916599</v>
      </c>
      <c r="I15" s="85">
        <v>0.29686209744013214</v>
      </c>
      <c r="J15" s="87">
        <v>0.45417010734929814</v>
      </c>
      <c r="K15" s="83">
        <v>31</v>
      </c>
      <c r="L15" s="84">
        <v>0.86799999999999999</v>
      </c>
      <c r="M15" s="84">
        <v>6.6</v>
      </c>
      <c r="N15" s="86">
        <v>0.37</v>
      </c>
      <c r="O15" s="84">
        <v>0.37</v>
      </c>
      <c r="P15" s="84">
        <v>5.7319999999999993</v>
      </c>
      <c r="Q15" s="85">
        <v>0.15143056524773205</v>
      </c>
      <c r="R15" s="85">
        <v>6.454989532449408E-2</v>
      </c>
      <c r="S15" s="87">
        <v>0.21598046057222614</v>
      </c>
      <c r="T15" s="83">
        <v>31</v>
      </c>
      <c r="U15" s="88">
        <v>0.81499999999999995</v>
      </c>
      <c r="V15" s="88">
        <v>6.1029999999999998</v>
      </c>
      <c r="W15" s="88">
        <v>0.90399999999999991</v>
      </c>
      <c r="X15" s="88">
        <v>0.90399999999999991</v>
      </c>
      <c r="Y15" s="88">
        <v>5.2879999999999994</v>
      </c>
      <c r="Z15" s="29">
        <v>0.15436928757844903</v>
      </c>
      <c r="AA15" s="29">
        <v>0.18070599638231311</v>
      </c>
      <c r="AB15" s="89">
        <v>0.33507528396076214</v>
      </c>
    </row>
    <row r="16" spans="1:28">
      <c r="B16" s="75">
        <v>32</v>
      </c>
      <c r="C16" s="76">
        <v>0.78900000000000003</v>
      </c>
      <c r="D16" s="76">
        <v>5.7629999999999999</v>
      </c>
      <c r="E16" s="76">
        <v>1.51</v>
      </c>
      <c r="F16" s="76">
        <v>1.51</v>
      </c>
      <c r="G16" s="76">
        <v>4.9740000000000002</v>
      </c>
      <c r="H16" s="77">
        <v>0.15862484921592279</v>
      </c>
      <c r="I16" s="77">
        <v>0.30357860876558102</v>
      </c>
      <c r="J16" s="78">
        <v>0.46220345798150381</v>
      </c>
      <c r="K16" s="75">
        <v>32</v>
      </c>
      <c r="L16" s="76">
        <v>0.90400000000000003</v>
      </c>
      <c r="M16" s="76">
        <v>6.7789999999999999</v>
      </c>
      <c r="N16" s="79">
        <v>0.38800000000000001</v>
      </c>
      <c r="O16" s="76">
        <v>0.38800000000000001</v>
      </c>
      <c r="P16" s="76">
        <v>5.875</v>
      </c>
      <c r="Q16" s="77">
        <v>0.15387234042553191</v>
      </c>
      <c r="R16" s="77">
        <v>6.604255319148937E-2</v>
      </c>
      <c r="S16" s="78">
        <v>0.21991489361702127</v>
      </c>
      <c r="T16" s="75">
        <v>32</v>
      </c>
      <c r="U16" s="80">
        <v>0.84650000000000003</v>
      </c>
      <c r="V16" s="80">
        <v>6.2709999999999999</v>
      </c>
      <c r="W16" s="80">
        <v>0.94900000000000007</v>
      </c>
      <c r="X16" s="80">
        <v>0.94900000000000007</v>
      </c>
      <c r="Y16" s="80">
        <v>5.4245000000000001</v>
      </c>
      <c r="Z16" s="81">
        <v>0.15624859482072734</v>
      </c>
      <c r="AA16" s="81">
        <v>0.1848105809785352</v>
      </c>
      <c r="AB16" s="82">
        <v>0.34105917579926254</v>
      </c>
    </row>
    <row r="17" spans="2:28">
      <c r="B17" s="83">
        <v>33</v>
      </c>
      <c r="C17" s="84">
        <v>0.81399999999999995</v>
      </c>
      <c r="D17" s="84">
        <v>5.9249999999999998</v>
      </c>
      <c r="E17" s="84">
        <v>1.5820000000000001</v>
      </c>
      <c r="F17" s="84">
        <v>1.5820000000000001</v>
      </c>
      <c r="G17" s="84">
        <v>5.1109999999999998</v>
      </c>
      <c r="H17" s="85">
        <v>0.15926433183330072</v>
      </c>
      <c r="I17" s="85">
        <v>0.30952846801017414</v>
      </c>
      <c r="J17" s="87">
        <v>0.46879279984347488</v>
      </c>
      <c r="K17" s="83">
        <v>33</v>
      </c>
      <c r="L17" s="84">
        <v>0.93700000000000006</v>
      </c>
      <c r="M17" s="84">
        <v>6.9610000000000003</v>
      </c>
      <c r="N17" s="86">
        <v>0.40600000000000003</v>
      </c>
      <c r="O17" s="84">
        <v>0.40600000000000003</v>
      </c>
      <c r="P17" s="84">
        <v>6.024</v>
      </c>
      <c r="Q17" s="85">
        <v>0.15554448871181939</v>
      </c>
      <c r="R17" s="85">
        <v>6.7397078353253662E-2</v>
      </c>
      <c r="S17" s="87">
        <v>0.22294156706507307</v>
      </c>
      <c r="T17" s="83">
        <v>33</v>
      </c>
      <c r="U17" s="88">
        <v>0.87549999999999994</v>
      </c>
      <c r="V17" s="88">
        <v>6.4429999999999996</v>
      </c>
      <c r="W17" s="88">
        <v>0.99399999999999999</v>
      </c>
      <c r="X17" s="88">
        <v>0.99399999999999999</v>
      </c>
      <c r="Y17" s="88">
        <v>5.5674999999999999</v>
      </c>
      <c r="Z17" s="29">
        <v>0.15740441027256005</v>
      </c>
      <c r="AA17" s="29">
        <v>0.18846277318171389</v>
      </c>
      <c r="AB17" s="89">
        <v>0.34586718345427397</v>
      </c>
    </row>
    <row r="18" spans="2:28">
      <c r="B18" s="75">
        <v>34</v>
      </c>
      <c r="C18" s="76">
        <v>0.83799999999999997</v>
      </c>
      <c r="D18" s="76">
        <v>6.09</v>
      </c>
      <c r="E18" s="76">
        <v>1.655</v>
      </c>
      <c r="F18" s="76">
        <v>1.655</v>
      </c>
      <c r="G18" s="76">
        <v>5.2519999999999998</v>
      </c>
      <c r="H18" s="77">
        <v>0.15955826351865957</v>
      </c>
      <c r="I18" s="77">
        <v>0.31511805026656514</v>
      </c>
      <c r="J18" s="78">
        <v>0.47467631378522468</v>
      </c>
      <c r="K18" s="75">
        <v>34</v>
      </c>
      <c r="L18" s="76">
        <v>0.96599999999999997</v>
      </c>
      <c r="M18" s="76">
        <v>7.1470000000000002</v>
      </c>
      <c r="N18" s="79">
        <v>0.42399999999999999</v>
      </c>
      <c r="O18" s="76">
        <v>0.42399999999999999</v>
      </c>
      <c r="P18" s="76">
        <v>6.181</v>
      </c>
      <c r="Q18" s="77">
        <v>0.15628539071347677</v>
      </c>
      <c r="R18" s="77">
        <v>6.8597314350428734E-2</v>
      </c>
      <c r="S18" s="78">
        <v>0.22488270506390551</v>
      </c>
      <c r="T18" s="75">
        <v>34</v>
      </c>
      <c r="U18" s="80">
        <v>0.90199999999999991</v>
      </c>
      <c r="V18" s="80">
        <v>6.6185</v>
      </c>
      <c r="W18" s="80">
        <v>1.0395000000000001</v>
      </c>
      <c r="X18" s="80">
        <v>1.0395000000000001</v>
      </c>
      <c r="Y18" s="80">
        <v>5.7164999999999999</v>
      </c>
      <c r="Z18" s="81">
        <v>0.15792182711606817</v>
      </c>
      <c r="AA18" s="81">
        <v>0.19185768230849692</v>
      </c>
      <c r="AB18" s="82">
        <v>0.34977950942456509</v>
      </c>
    </row>
    <row r="19" spans="2:28">
      <c r="B19" s="83">
        <v>35</v>
      </c>
      <c r="C19" s="84">
        <v>0.86</v>
      </c>
      <c r="D19" s="84">
        <v>6.258</v>
      </c>
      <c r="E19" s="84">
        <v>1.7270000000000001</v>
      </c>
      <c r="F19" s="84">
        <v>1.7270000000000001</v>
      </c>
      <c r="G19" s="84">
        <v>5.3979999999999997</v>
      </c>
      <c r="H19" s="85">
        <v>0.15931826602445351</v>
      </c>
      <c r="I19" s="85">
        <v>0.31993330863282698</v>
      </c>
      <c r="J19" s="87">
        <v>0.47925157465728052</v>
      </c>
      <c r="K19" s="83">
        <v>35</v>
      </c>
      <c r="L19" s="84">
        <v>0.99199999999999999</v>
      </c>
      <c r="M19" s="84">
        <v>7.335</v>
      </c>
      <c r="N19" s="86">
        <v>0.441</v>
      </c>
      <c r="O19" s="84">
        <v>0.441</v>
      </c>
      <c r="P19" s="84">
        <v>6.343</v>
      </c>
      <c r="Q19" s="85">
        <v>0.15639287403436861</v>
      </c>
      <c r="R19" s="85">
        <v>6.9525461138262648E-2</v>
      </c>
      <c r="S19" s="87">
        <v>0.22591833517263127</v>
      </c>
      <c r="T19" s="83">
        <v>35</v>
      </c>
      <c r="U19" s="88">
        <v>0.92599999999999993</v>
      </c>
      <c r="V19" s="88">
        <v>6.7965</v>
      </c>
      <c r="W19" s="88">
        <v>1.0840000000000001</v>
      </c>
      <c r="X19" s="88">
        <v>1.0840000000000001</v>
      </c>
      <c r="Y19" s="88">
        <v>5.8704999999999998</v>
      </c>
      <c r="Z19" s="29">
        <v>0.15785557002941106</v>
      </c>
      <c r="AA19" s="29">
        <v>0.19472938488554481</v>
      </c>
      <c r="AB19" s="89">
        <v>0.35258495491495589</v>
      </c>
    </row>
    <row r="20" spans="2:28">
      <c r="B20" s="75">
        <v>36</v>
      </c>
      <c r="C20" s="76">
        <v>0.879</v>
      </c>
      <c r="D20" s="76">
        <v>6.4290000000000003</v>
      </c>
      <c r="E20" s="76">
        <v>1.8</v>
      </c>
      <c r="F20" s="76">
        <v>1.8</v>
      </c>
      <c r="G20" s="76">
        <v>5.5500000000000007</v>
      </c>
      <c r="H20" s="77">
        <v>0.15837837837837837</v>
      </c>
      <c r="I20" s="77">
        <v>0.32432432432432429</v>
      </c>
      <c r="J20" s="78">
        <v>0.48270270270270266</v>
      </c>
      <c r="K20" s="75">
        <v>36</v>
      </c>
      <c r="L20" s="76">
        <v>1.0129999999999999</v>
      </c>
      <c r="M20" s="76">
        <v>7.524</v>
      </c>
      <c r="N20" s="79">
        <v>0.45700000000000002</v>
      </c>
      <c r="O20" s="76">
        <v>0.45700000000000002</v>
      </c>
      <c r="P20" s="76">
        <v>6.5110000000000001</v>
      </c>
      <c r="Q20" s="77">
        <v>0.15558285977576408</v>
      </c>
      <c r="R20" s="77">
        <v>7.0188911073567811E-2</v>
      </c>
      <c r="S20" s="78">
        <v>0.22577177084933189</v>
      </c>
      <c r="T20" s="75">
        <v>36</v>
      </c>
      <c r="U20" s="80">
        <v>0.94599999999999995</v>
      </c>
      <c r="V20" s="80">
        <v>6.9764999999999997</v>
      </c>
      <c r="W20" s="80">
        <v>1.1285000000000001</v>
      </c>
      <c r="X20" s="80">
        <v>1.1285000000000001</v>
      </c>
      <c r="Y20" s="80">
        <v>6.0305</v>
      </c>
      <c r="Z20" s="81">
        <v>0.15698061907707123</v>
      </c>
      <c r="AA20" s="81">
        <v>0.19725661769894604</v>
      </c>
      <c r="AB20" s="82">
        <v>0.35423723677601726</v>
      </c>
    </row>
    <row r="21" spans="2:28">
      <c r="B21" s="83">
        <v>37</v>
      </c>
      <c r="C21" s="84">
        <v>0.89300000000000002</v>
      </c>
      <c r="D21" s="84">
        <v>6.601</v>
      </c>
      <c r="E21" s="84">
        <v>1.8720000000000001</v>
      </c>
      <c r="F21" s="84">
        <v>1.8720000000000001</v>
      </c>
      <c r="G21" s="84">
        <v>5.7080000000000002</v>
      </c>
      <c r="H21" s="85">
        <v>0.15644709180098107</v>
      </c>
      <c r="I21" s="85">
        <v>0.3279607568325158</v>
      </c>
      <c r="J21" s="87">
        <v>0.48440784863349684</v>
      </c>
      <c r="K21" s="83">
        <v>37</v>
      </c>
      <c r="L21" s="84">
        <v>1.028</v>
      </c>
      <c r="M21" s="84">
        <v>7.7160000000000002</v>
      </c>
      <c r="N21" s="86">
        <v>0.47299999999999998</v>
      </c>
      <c r="O21" s="84">
        <v>0.47299999999999998</v>
      </c>
      <c r="P21" s="84">
        <v>6.6880000000000006</v>
      </c>
      <c r="Q21" s="85">
        <v>0.15370813397129185</v>
      </c>
      <c r="R21" s="85">
        <v>7.07236842105263E-2</v>
      </c>
      <c r="S21" s="87">
        <v>0.22443181818181815</v>
      </c>
      <c r="T21" s="83">
        <v>37</v>
      </c>
      <c r="U21" s="88">
        <v>0.96050000000000002</v>
      </c>
      <c r="V21" s="88">
        <v>7.1585000000000001</v>
      </c>
      <c r="W21" s="88">
        <v>1.1725000000000001</v>
      </c>
      <c r="X21" s="88">
        <v>1.1725000000000001</v>
      </c>
      <c r="Y21" s="88">
        <v>6.1980000000000004</v>
      </c>
      <c r="Z21" s="29">
        <v>0.15507761288613647</v>
      </c>
      <c r="AA21" s="29">
        <v>0.19934222052152106</v>
      </c>
      <c r="AB21" s="89">
        <v>0.35441983340765748</v>
      </c>
    </row>
    <row r="22" spans="2:28">
      <c r="B22" s="75">
        <v>38</v>
      </c>
      <c r="C22" s="76">
        <v>0.90100000000000002</v>
      </c>
      <c r="D22" s="76">
        <v>6.774</v>
      </c>
      <c r="E22" s="76">
        <v>1.944</v>
      </c>
      <c r="F22" s="76">
        <v>1.944</v>
      </c>
      <c r="G22" s="76">
        <v>5.8730000000000002</v>
      </c>
      <c r="H22" s="77">
        <v>0.15341392814575175</v>
      </c>
      <c r="I22" s="77">
        <v>0.33100630001702708</v>
      </c>
      <c r="J22" s="78">
        <v>0.48442022816277885</v>
      </c>
      <c r="K22" s="75">
        <v>38</v>
      </c>
      <c r="L22" s="76">
        <v>1.0369999999999999</v>
      </c>
      <c r="M22" s="76">
        <v>7.9080000000000004</v>
      </c>
      <c r="N22" s="79">
        <v>0.48699999999999999</v>
      </c>
      <c r="O22" s="76">
        <v>0.48699999999999999</v>
      </c>
      <c r="P22" s="76">
        <v>6.8710000000000004</v>
      </c>
      <c r="Q22" s="77">
        <v>0.15092417406491046</v>
      </c>
      <c r="R22" s="77">
        <v>7.0877601513607905E-2</v>
      </c>
      <c r="S22" s="78">
        <v>0.22180177557851838</v>
      </c>
      <c r="T22" s="75">
        <v>38</v>
      </c>
      <c r="U22" s="80">
        <v>0.96899999999999997</v>
      </c>
      <c r="V22" s="80">
        <v>7.3410000000000002</v>
      </c>
      <c r="W22" s="80">
        <v>1.2155</v>
      </c>
      <c r="X22" s="80">
        <v>1.2155</v>
      </c>
      <c r="Y22" s="80">
        <v>6.3719999999999999</v>
      </c>
      <c r="Z22" s="81">
        <v>0.1521690511053311</v>
      </c>
      <c r="AA22" s="81">
        <v>0.20094195076531748</v>
      </c>
      <c r="AB22" s="82">
        <v>0.35311100187064859</v>
      </c>
    </row>
    <row r="23" spans="2:28">
      <c r="B23" s="83">
        <v>39</v>
      </c>
      <c r="C23" s="84">
        <v>0.90400000000000003</v>
      </c>
      <c r="D23" s="84">
        <v>6.9489999999999998</v>
      </c>
      <c r="E23" s="84">
        <v>2.016</v>
      </c>
      <c r="F23" s="84">
        <v>2.016</v>
      </c>
      <c r="G23" s="84">
        <v>6.0449999999999999</v>
      </c>
      <c r="H23" s="85">
        <v>0.14954507857733665</v>
      </c>
      <c r="I23" s="85">
        <v>0.33349875930521095</v>
      </c>
      <c r="J23" s="87">
        <v>0.48304383788254757</v>
      </c>
      <c r="K23" s="83">
        <v>39</v>
      </c>
      <c r="L23" s="84">
        <v>1.0389999999999999</v>
      </c>
      <c r="M23" s="84">
        <v>8.1020000000000003</v>
      </c>
      <c r="N23" s="86">
        <v>0.501</v>
      </c>
      <c r="O23" s="84">
        <v>0.501</v>
      </c>
      <c r="P23" s="84">
        <v>7.0630000000000006</v>
      </c>
      <c r="Q23" s="85">
        <v>0.14710462976072489</v>
      </c>
      <c r="R23" s="85">
        <v>7.0933031289820189E-2</v>
      </c>
      <c r="S23" s="87">
        <v>0.21803766105054506</v>
      </c>
      <c r="T23" s="83">
        <v>39</v>
      </c>
      <c r="U23" s="88">
        <v>0.97150000000000003</v>
      </c>
      <c r="V23" s="88">
        <v>7.5255000000000001</v>
      </c>
      <c r="W23" s="88">
        <v>1.2585</v>
      </c>
      <c r="X23" s="88">
        <v>1.2585</v>
      </c>
      <c r="Y23" s="88">
        <v>6.5540000000000003</v>
      </c>
      <c r="Z23" s="29">
        <v>0.14832485416903077</v>
      </c>
      <c r="AA23" s="29">
        <v>0.20221589529751557</v>
      </c>
      <c r="AB23" s="89">
        <v>0.35054074946654634</v>
      </c>
    </row>
    <row r="24" spans="2:28">
      <c r="B24" s="75">
        <v>40</v>
      </c>
      <c r="C24" s="76">
        <v>0.90300000000000002</v>
      </c>
      <c r="D24" s="76">
        <v>7.1269999999999998</v>
      </c>
      <c r="E24" s="76">
        <v>2.089</v>
      </c>
      <c r="F24" s="76">
        <v>2.089</v>
      </c>
      <c r="G24" s="76">
        <v>6.2240000000000002</v>
      </c>
      <c r="H24" s="77">
        <v>0.14508354755784061</v>
      </c>
      <c r="I24" s="77">
        <v>0.3356362467866324</v>
      </c>
      <c r="J24" s="78">
        <v>0.48071979434447298</v>
      </c>
      <c r="K24" s="75">
        <v>40</v>
      </c>
      <c r="L24" s="76">
        <v>1.0349999999999999</v>
      </c>
      <c r="M24" s="76">
        <v>8.2989999999999995</v>
      </c>
      <c r="N24" s="79">
        <v>0.51500000000000001</v>
      </c>
      <c r="O24" s="76">
        <v>0.51500000000000001</v>
      </c>
      <c r="P24" s="76">
        <v>7.2639999999999993</v>
      </c>
      <c r="Q24" s="77">
        <v>0.14248348017621146</v>
      </c>
      <c r="R24" s="77">
        <v>7.0897577092511016E-2</v>
      </c>
      <c r="S24" s="78">
        <v>0.21338105726872247</v>
      </c>
      <c r="T24" s="75">
        <v>40</v>
      </c>
      <c r="U24" s="80">
        <v>0.96899999999999997</v>
      </c>
      <c r="V24" s="80">
        <v>7.7129999999999992</v>
      </c>
      <c r="W24" s="80">
        <v>1.302</v>
      </c>
      <c r="X24" s="80">
        <v>1.302</v>
      </c>
      <c r="Y24" s="80">
        <v>6.7439999999999998</v>
      </c>
      <c r="Z24" s="81">
        <v>0.14378351386702604</v>
      </c>
      <c r="AA24" s="81">
        <v>0.20326691193957169</v>
      </c>
      <c r="AB24" s="82">
        <v>0.34705042580659773</v>
      </c>
    </row>
    <row r="25" spans="2:28">
      <c r="B25" s="83">
        <v>41</v>
      </c>
      <c r="C25" s="84">
        <v>0.89900000000000002</v>
      </c>
      <c r="D25" s="84">
        <v>7.31</v>
      </c>
      <c r="E25" s="84">
        <v>2.1629999999999998</v>
      </c>
      <c r="F25" s="84">
        <v>2.1629999999999998</v>
      </c>
      <c r="G25" s="84">
        <v>6.4109999999999996</v>
      </c>
      <c r="H25" s="85">
        <v>0.14022773358290438</v>
      </c>
      <c r="I25" s="85">
        <v>0.33738886289190451</v>
      </c>
      <c r="J25" s="87">
        <v>0.47761659647480892</v>
      </c>
      <c r="K25" s="83">
        <v>41</v>
      </c>
      <c r="L25" s="84">
        <v>1.028</v>
      </c>
      <c r="M25" s="84">
        <v>8.4990000000000006</v>
      </c>
      <c r="N25" s="86">
        <v>0.52700000000000002</v>
      </c>
      <c r="O25" s="84">
        <v>0.52700000000000002</v>
      </c>
      <c r="P25" s="84">
        <v>7.4710000000000001</v>
      </c>
      <c r="Q25" s="85">
        <v>0.13759871503145496</v>
      </c>
      <c r="R25" s="85">
        <v>7.0539419087136929E-2</v>
      </c>
      <c r="S25" s="87">
        <v>0.20813813411859189</v>
      </c>
      <c r="T25" s="83">
        <v>41</v>
      </c>
      <c r="U25" s="88">
        <v>0.96350000000000002</v>
      </c>
      <c r="V25" s="88">
        <v>7.9045000000000005</v>
      </c>
      <c r="W25" s="88">
        <v>1.345</v>
      </c>
      <c r="X25" s="88">
        <v>1.345</v>
      </c>
      <c r="Y25" s="88">
        <v>6.9409999999999998</v>
      </c>
      <c r="Z25" s="29">
        <v>0.13891322430717967</v>
      </c>
      <c r="AA25" s="29">
        <v>0.2039641409895207</v>
      </c>
      <c r="AB25" s="89">
        <v>0.34287736529670043</v>
      </c>
    </row>
    <row r="26" spans="2:28">
      <c r="B26" s="75">
        <v>42</v>
      </c>
      <c r="C26" s="76">
        <v>0.89500000000000002</v>
      </c>
      <c r="D26" s="76">
        <v>7.4980000000000002</v>
      </c>
      <c r="E26" s="76">
        <v>2.238</v>
      </c>
      <c r="F26" s="76">
        <v>2.238</v>
      </c>
      <c r="G26" s="76">
        <v>6.6029999999999998</v>
      </c>
      <c r="H26" s="77">
        <v>0.13554444949265487</v>
      </c>
      <c r="I26" s="77">
        <v>0.33893684688777831</v>
      </c>
      <c r="J26" s="78">
        <v>0.47448129638043318</v>
      </c>
      <c r="K26" s="75">
        <v>42</v>
      </c>
      <c r="L26" s="76">
        <v>1.0169999999999999</v>
      </c>
      <c r="M26" s="76">
        <v>8.7040000000000006</v>
      </c>
      <c r="N26" s="79">
        <v>0.54</v>
      </c>
      <c r="O26" s="76">
        <v>0.54</v>
      </c>
      <c r="P26" s="76">
        <v>7.6870000000000012</v>
      </c>
      <c r="Q26" s="77">
        <v>0.13230128788864312</v>
      </c>
      <c r="R26" s="77">
        <v>7.024847144529725E-2</v>
      </c>
      <c r="S26" s="78">
        <v>0.20254975933394037</v>
      </c>
      <c r="T26" s="75">
        <v>42</v>
      </c>
      <c r="U26" s="80">
        <v>0.95599999999999996</v>
      </c>
      <c r="V26" s="80">
        <v>8.1010000000000009</v>
      </c>
      <c r="W26" s="80">
        <v>1.389</v>
      </c>
      <c r="X26" s="80">
        <v>1.389</v>
      </c>
      <c r="Y26" s="80">
        <v>7.1450000000000005</v>
      </c>
      <c r="Z26" s="81">
        <v>0.13392286869064901</v>
      </c>
      <c r="AA26" s="81">
        <v>0.20459265916653779</v>
      </c>
      <c r="AB26" s="82">
        <v>0.33851552785718675</v>
      </c>
    </row>
    <row r="27" spans="2:28">
      <c r="B27" s="83">
        <v>43</v>
      </c>
      <c r="C27" s="84">
        <v>0.89</v>
      </c>
      <c r="D27" s="84">
        <v>7.694</v>
      </c>
      <c r="E27" s="84">
        <v>2.3130000000000002</v>
      </c>
      <c r="F27" s="84">
        <v>2.3130000000000002</v>
      </c>
      <c r="G27" s="84">
        <v>6.8040000000000003</v>
      </c>
      <c r="H27" s="85">
        <v>0.13080540858318634</v>
      </c>
      <c r="I27" s="85">
        <v>0.33994708994708994</v>
      </c>
      <c r="J27" s="87">
        <v>0.47075249853027629</v>
      </c>
      <c r="K27" s="83">
        <v>43</v>
      </c>
      <c r="L27" s="84">
        <v>1.0029999999999999</v>
      </c>
      <c r="M27" s="84">
        <v>8.9149999999999991</v>
      </c>
      <c r="N27" s="86">
        <v>0.55200000000000005</v>
      </c>
      <c r="O27" s="84">
        <v>0.55200000000000005</v>
      </c>
      <c r="P27" s="84">
        <v>7.911999999999999</v>
      </c>
      <c r="Q27" s="85">
        <v>0.12676946410515672</v>
      </c>
      <c r="R27" s="85">
        <v>6.9767441860465129E-2</v>
      </c>
      <c r="S27" s="87">
        <v>0.19653690596562184</v>
      </c>
      <c r="T27" s="83">
        <v>43</v>
      </c>
      <c r="U27" s="88">
        <v>0.9464999999999999</v>
      </c>
      <c r="V27" s="88">
        <v>8.3044999999999991</v>
      </c>
      <c r="W27" s="88">
        <v>1.4325000000000001</v>
      </c>
      <c r="X27" s="88">
        <v>1.4325000000000001</v>
      </c>
      <c r="Y27" s="88">
        <v>7.3579999999999997</v>
      </c>
      <c r="Z27" s="29">
        <v>0.12878743634417153</v>
      </c>
      <c r="AA27" s="29">
        <v>0.20485726590377754</v>
      </c>
      <c r="AB27" s="89">
        <v>0.33364470224794907</v>
      </c>
    </row>
    <row r="28" spans="2:28">
      <c r="B28" s="75">
        <v>44</v>
      </c>
      <c r="C28" s="76">
        <v>0.88500000000000001</v>
      </c>
      <c r="D28" s="76">
        <v>7.8970000000000002</v>
      </c>
      <c r="E28" s="76">
        <v>2.39</v>
      </c>
      <c r="F28" s="76">
        <v>2.39</v>
      </c>
      <c r="G28" s="76">
        <v>7.0120000000000005</v>
      </c>
      <c r="H28" s="77">
        <v>0.12621220764403879</v>
      </c>
      <c r="I28" s="77">
        <v>0.34084426697090703</v>
      </c>
      <c r="J28" s="78">
        <v>0.46705647461494582</v>
      </c>
      <c r="K28" s="75">
        <v>44</v>
      </c>
      <c r="L28" s="76">
        <v>0.98799999999999999</v>
      </c>
      <c r="M28" s="76">
        <v>9.1329999999999991</v>
      </c>
      <c r="N28" s="79">
        <v>0.56399999999999995</v>
      </c>
      <c r="O28" s="76">
        <v>0.56399999999999995</v>
      </c>
      <c r="P28" s="76">
        <v>8.1449999999999996</v>
      </c>
      <c r="Q28" s="77">
        <v>0.12130141190914671</v>
      </c>
      <c r="R28" s="77">
        <v>6.9244935543278083E-2</v>
      </c>
      <c r="S28" s="78">
        <v>0.1905463474524248</v>
      </c>
      <c r="T28" s="75">
        <v>44</v>
      </c>
      <c r="U28" s="80">
        <v>0.9365</v>
      </c>
      <c r="V28" s="80">
        <v>8.5150000000000006</v>
      </c>
      <c r="W28" s="80">
        <v>1.4770000000000001</v>
      </c>
      <c r="X28" s="80">
        <v>1.4770000000000001</v>
      </c>
      <c r="Y28" s="80">
        <v>7.5785</v>
      </c>
      <c r="Z28" s="81">
        <v>0.12375680977659276</v>
      </c>
      <c r="AA28" s="81">
        <v>0.20504460125709256</v>
      </c>
      <c r="AB28" s="82">
        <v>0.32880141103368532</v>
      </c>
    </row>
    <row r="29" spans="2:28">
      <c r="B29" s="83">
        <v>45</v>
      </c>
      <c r="C29" s="84">
        <v>0.878</v>
      </c>
      <c r="D29" s="84">
        <v>8.1059999999999999</v>
      </c>
      <c r="E29" s="84">
        <v>2.4660000000000002</v>
      </c>
      <c r="F29" s="84">
        <v>2.4660000000000002</v>
      </c>
      <c r="G29" s="84">
        <v>7.2279999999999998</v>
      </c>
      <c r="H29" s="85">
        <v>0.12147205312672939</v>
      </c>
      <c r="I29" s="85">
        <v>0.34117321527393474</v>
      </c>
      <c r="J29" s="87">
        <v>0.46264526840066411</v>
      </c>
      <c r="K29" s="83">
        <v>45</v>
      </c>
      <c r="L29" s="84">
        <v>0.97</v>
      </c>
      <c r="M29" s="84">
        <v>9.3569999999999993</v>
      </c>
      <c r="N29" s="86">
        <v>0.57599999999999996</v>
      </c>
      <c r="O29" s="84">
        <v>0.57599999999999996</v>
      </c>
      <c r="P29" s="84">
        <v>8.3869999999999987</v>
      </c>
      <c r="Q29" s="85">
        <v>0.11565518063669968</v>
      </c>
      <c r="R29" s="85">
        <v>6.8677715512102069E-2</v>
      </c>
      <c r="S29" s="87">
        <v>0.18433289614880174</v>
      </c>
      <c r="T29" s="83">
        <v>45</v>
      </c>
      <c r="U29" s="88">
        <v>0.92399999999999993</v>
      </c>
      <c r="V29" s="88">
        <v>8.7315000000000005</v>
      </c>
      <c r="W29" s="88">
        <v>1.5210000000000001</v>
      </c>
      <c r="X29" s="88">
        <v>1.5210000000000001</v>
      </c>
      <c r="Y29" s="88">
        <v>7.8074999999999992</v>
      </c>
      <c r="Z29" s="29">
        <v>0.11856361688171453</v>
      </c>
      <c r="AA29" s="29">
        <v>0.2049254653930184</v>
      </c>
      <c r="AB29" s="89">
        <v>0.32348908227473294</v>
      </c>
    </row>
    <row r="30" spans="2:28">
      <c r="B30" s="75">
        <v>46</v>
      </c>
      <c r="C30" s="76">
        <v>0.86899999999999999</v>
      </c>
      <c r="D30" s="76">
        <v>8.3230000000000004</v>
      </c>
      <c r="E30" s="76">
        <v>2.5430000000000001</v>
      </c>
      <c r="F30" s="76">
        <v>2.5430000000000001</v>
      </c>
      <c r="G30" s="76">
        <v>7.4540000000000006</v>
      </c>
      <c r="H30" s="77">
        <v>0.11658170110008048</v>
      </c>
      <c r="I30" s="77">
        <v>0.34115910920311243</v>
      </c>
      <c r="J30" s="78">
        <v>0.45774081030319291</v>
      </c>
      <c r="K30" s="75">
        <v>46</v>
      </c>
      <c r="L30" s="76">
        <v>0.95</v>
      </c>
      <c r="M30" s="76">
        <v>9.5879999999999992</v>
      </c>
      <c r="N30" s="79">
        <v>0.58699999999999997</v>
      </c>
      <c r="O30" s="76">
        <v>0.58699999999999997</v>
      </c>
      <c r="P30" s="76">
        <v>8.6379999999999999</v>
      </c>
      <c r="Q30" s="77">
        <v>0.10997916184301922</v>
      </c>
      <c r="R30" s="77">
        <v>6.7955545265107664E-2</v>
      </c>
      <c r="S30" s="78">
        <v>0.17793470710812687</v>
      </c>
      <c r="T30" s="75">
        <v>46</v>
      </c>
      <c r="U30" s="80">
        <v>0.90949999999999998</v>
      </c>
      <c r="V30" s="80">
        <v>8.9555000000000007</v>
      </c>
      <c r="W30" s="80">
        <v>1.5649999999999999</v>
      </c>
      <c r="X30" s="80">
        <v>1.5649999999999999</v>
      </c>
      <c r="Y30" s="80">
        <v>8.0459999999999994</v>
      </c>
      <c r="Z30" s="81">
        <v>0.11328043147154984</v>
      </c>
      <c r="AA30" s="81">
        <v>0.20455732723411005</v>
      </c>
      <c r="AB30" s="82">
        <v>0.31783775870565989</v>
      </c>
    </row>
    <row r="31" spans="2:28">
      <c r="B31" s="83">
        <v>47</v>
      </c>
      <c r="C31" s="84">
        <v>0.85799999999999998</v>
      </c>
      <c r="D31" s="84">
        <v>8.5459999999999994</v>
      </c>
      <c r="E31" s="84">
        <v>2.6179999999999999</v>
      </c>
      <c r="F31" s="84">
        <v>2.6179999999999999</v>
      </c>
      <c r="G31" s="84">
        <v>7.6879999999999997</v>
      </c>
      <c r="H31" s="85">
        <v>0.11160249739854318</v>
      </c>
      <c r="I31" s="85">
        <v>0.34053069719042661</v>
      </c>
      <c r="J31" s="87">
        <v>0.45213319458896978</v>
      </c>
      <c r="K31" s="83">
        <v>47</v>
      </c>
      <c r="L31" s="84">
        <v>0.92600000000000005</v>
      </c>
      <c r="M31" s="84">
        <v>9.8249999999999993</v>
      </c>
      <c r="N31" s="86">
        <v>0.59799999999999998</v>
      </c>
      <c r="O31" s="84">
        <v>0.59799999999999998</v>
      </c>
      <c r="P31" s="84">
        <v>8.8989999999999991</v>
      </c>
      <c r="Q31" s="85">
        <v>0.10405663557703114</v>
      </c>
      <c r="R31" s="85">
        <v>6.7198561636138895E-2</v>
      </c>
      <c r="S31" s="87">
        <v>0.17125519721317004</v>
      </c>
      <c r="T31" s="83">
        <v>47</v>
      </c>
      <c r="U31" s="88">
        <v>0.89200000000000002</v>
      </c>
      <c r="V31" s="88">
        <v>9.1854999999999993</v>
      </c>
      <c r="W31" s="88">
        <v>1.6079999999999999</v>
      </c>
      <c r="X31" s="88">
        <v>1.6079999999999999</v>
      </c>
      <c r="Y31" s="88">
        <v>8.2934999999999999</v>
      </c>
      <c r="Z31" s="29">
        <v>0.10782956648778716</v>
      </c>
      <c r="AA31" s="29">
        <v>0.20386462941328276</v>
      </c>
      <c r="AB31" s="89">
        <v>0.31169419590106989</v>
      </c>
    </row>
    <row r="32" spans="2:28">
      <c r="B32" s="75">
        <v>48</v>
      </c>
      <c r="C32" s="76">
        <v>0.84299999999999997</v>
      </c>
      <c r="D32" s="76">
        <v>8.7750000000000004</v>
      </c>
      <c r="E32" s="76">
        <v>2.6920000000000002</v>
      </c>
      <c r="F32" s="76">
        <v>2.6920000000000002</v>
      </c>
      <c r="G32" s="76">
        <v>7.9320000000000004</v>
      </c>
      <c r="H32" s="77">
        <v>0.10627836611195159</v>
      </c>
      <c r="I32" s="77">
        <v>0.3393847705496722</v>
      </c>
      <c r="J32" s="78">
        <v>0.44566313666162377</v>
      </c>
      <c r="K32" s="75">
        <v>48</v>
      </c>
      <c r="L32" s="76">
        <v>0.9</v>
      </c>
      <c r="M32" s="76">
        <v>10.07</v>
      </c>
      <c r="N32" s="79">
        <v>0.60799999999999998</v>
      </c>
      <c r="O32" s="76">
        <v>0.60799999999999998</v>
      </c>
      <c r="P32" s="76">
        <v>9.17</v>
      </c>
      <c r="Q32" s="77">
        <v>9.8146128680479824E-2</v>
      </c>
      <c r="R32" s="77">
        <v>6.6303162486368597E-2</v>
      </c>
      <c r="S32" s="78">
        <v>0.16444929116684842</v>
      </c>
      <c r="T32" s="75">
        <v>48</v>
      </c>
      <c r="U32" s="80">
        <v>0.87149999999999994</v>
      </c>
      <c r="V32" s="80">
        <v>9.4224999999999994</v>
      </c>
      <c r="W32" s="80">
        <v>1.6500000000000001</v>
      </c>
      <c r="X32" s="80">
        <v>1.6500000000000001</v>
      </c>
      <c r="Y32" s="80">
        <v>8.5510000000000002</v>
      </c>
      <c r="Z32" s="81">
        <v>0.10221224739621571</v>
      </c>
      <c r="AA32" s="81">
        <v>0.20284396651802039</v>
      </c>
      <c r="AB32" s="82">
        <v>0.3050562139142361</v>
      </c>
    </row>
    <row r="33" spans="2:28">
      <c r="B33" s="83">
        <v>49</v>
      </c>
      <c r="C33" s="84">
        <v>0.82299999999999995</v>
      </c>
      <c r="D33" s="84">
        <v>9.0109999999999992</v>
      </c>
      <c r="E33" s="84">
        <v>2.7650000000000001</v>
      </c>
      <c r="F33" s="84">
        <v>2.7650000000000001</v>
      </c>
      <c r="G33" s="84">
        <v>8.1879999999999988</v>
      </c>
      <c r="H33" s="85">
        <v>0.10051294577430386</v>
      </c>
      <c r="I33" s="85">
        <v>0.33768930141670744</v>
      </c>
      <c r="J33" s="87">
        <v>0.43820224719101131</v>
      </c>
      <c r="K33" s="83">
        <v>49</v>
      </c>
      <c r="L33" s="84">
        <v>0.86899999999999999</v>
      </c>
      <c r="M33" s="84">
        <v>10.32</v>
      </c>
      <c r="N33" s="86">
        <v>0.61599999999999999</v>
      </c>
      <c r="O33" s="84">
        <v>0.61599999999999999</v>
      </c>
      <c r="P33" s="84">
        <v>9.4510000000000005</v>
      </c>
      <c r="Q33" s="85">
        <v>9.1947942016717799E-2</v>
      </c>
      <c r="R33" s="85">
        <v>6.5178288011850591E-2</v>
      </c>
      <c r="S33" s="87">
        <v>0.1571262300285684</v>
      </c>
      <c r="T33" s="83">
        <v>49</v>
      </c>
      <c r="U33" s="88">
        <v>0.84599999999999997</v>
      </c>
      <c r="V33" s="88">
        <v>9.6654999999999998</v>
      </c>
      <c r="W33" s="88">
        <v>1.6905000000000001</v>
      </c>
      <c r="X33" s="88">
        <v>1.6905000000000001</v>
      </c>
      <c r="Y33" s="88">
        <v>8.8194999999999997</v>
      </c>
      <c r="Z33" s="29">
        <v>9.6230443895510831E-2</v>
      </c>
      <c r="AA33" s="29">
        <v>0.20143379471427902</v>
      </c>
      <c r="AB33" s="89">
        <v>0.29766423860978986</v>
      </c>
    </row>
    <row r="34" spans="2:28">
      <c r="B34" s="75">
        <v>50</v>
      </c>
      <c r="C34" s="76">
        <v>0.79700000000000004</v>
      </c>
      <c r="D34" s="76">
        <v>9.2530000000000001</v>
      </c>
      <c r="E34" s="76">
        <v>2.835</v>
      </c>
      <c r="F34" s="76">
        <v>2.835</v>
      </c>
      <c r="G34" s="76">
        <v>8.4559999999999995</v>
      </c>
      <c r="H34" s="77">
        <v>9.4252601702932842E-2</v>
      </c>
      <c r="I34" s="77">
        <v>0.33526490066225167</v>
      </c>
      <c r="J34" s="78">
        <v>0.42951750236518449</v>
      </c>
      <c r="K34" s="75">
        <v>50</v>
      </c>
      <c r="L34" s="76">
        <v>0.83299999999999996</v>
      </c>
      <c r="M34" s="76">
        <v>10.577</v>
      </c>
      <c r="N34" s="79">
        <v>0.624</v>
      </c>
      <c r="O34" s="76">
        <v>0.624</v>
      </c>
      <c r="P34" s="76">
        <v>9.7439999999999998</v>
      </c>
      <c r="Q34" s="77">
        <v>8.5488505747126436E-2</v>
      </c>
      <c r="R34" s="77">
        <v>6.4039408866995079E-2</v>
      </c>
      <c r="S34" s="78">
        <v>0.14952791461412152</v>
      </c>
      <c r="T34" s="75">
        <v>50</v>
      </c>
      <c r="U34" s="80">
        <v>0.81499999999999995</v>
      </c>
      <c r="V34" s="80">
        <v>9.9149999999999991</v>
      </c>
      <c r="W34" s="80">
        <v>1.7295</v>
      </c>
      <c r="X34" s="80">
        <v>1.7295</v>
      </c>
      <c r="Y34" s="80">
        <v>9.1</v>
      </c>
      <c r="Z34" s="81">
        <v>8.9870553725029639E-2</v>
      </c>
      <c r="AA34" s="81">
        <v>0.19965215476462339</v>
      </c>
      <c r="AB34" s="82">
        <v>0.289522708489653</v>
      </c>
    </row>
    <row r="35" spans="2:28">
      <c r="B35" s="83">
        <v>51</v>
      </c>
      <c r="C35" s="84">
        <v>0.76500000000000001</v>
      </c>
      <c r="D35" s="84">
        <v>9.5009999999999994</v>
      </c>
      <c r="E35" s="84">
        <v>2.9020000000000001</v>
      </c>
      <c r="F35" s="84">
        <v>2.9020000000000001</v>
      </c>
      <c r="G35" s="84">
        <v>8.7359999999999989</v>
      </c>
      <c r="H35" s="85">
        <v>8.7568681318681327E-2</v>
      </c>
      <c r="I35" s="85">
        <v>0.33218864468864473</v>
      </c>
      <c r="J35" s="87">
        <v>0.41975732600732607</v>
      </c>
      <c r="K35" s="83">
        <v>51</v>
      </c>
      <c r="L35" s="84">
        <v>0.79200000000000004</v>
      </c>
      <c r="M35" s="84">
        <v>10.839</v>
      </c>
      <c r="N35" s="86">
        <v>0.63100000000000001</v>
      </c>
      <c r="O35" s="84">
        <v>0.63100000000000001</v>
      </c>
      <c r="P35" s="84">
        <v>10.047000000000001</v>
      </c>
      <c r="Q35" s="85">
        <v>7.8829501343684674E-2</v>
      </c>
      <c r="R35" s="85">
        <v>6.2804817358415449E-2</v>
      </c>
      <c r="S35" s="87">
        <v>0.14163431870210014</v>
      </c>
      <c r="T35" s="83">
        <v>51</v>
      </c>
      <c r="U35" s="88">
        <v>0.77849999999999997</v>
      </c>
      <c r="V35" s="88">
        <v>10.17</v>
      </c>
      <c r="W35" s="88">
        <v>1.7665000000000002</v>
      </c>
      <c r="X35" s="88">
        <v>1.7665000000000002</v>
      </c>
      <c r="Y35" s="88">
        <v>9.3915000000000006</v>
      </c>
      <c r="Z35" s="29">
        <v>8.3199091331183E-2</v>
      </c>
      <c r="AA35" s="29">
        <v>0.1974967310235301</v>
      </c>
      <c r="AB35" s="89">
        <v>0.28069582235471313</v>
      </c>
    </row>
    <row r="36" spans="2:28">
      <c r="B36" s="75">
        <v>52</v>
      </c>
      <c r="C36" s="76">
        <v>0.72799999999999998</v>
      </c>
      <c r="D36" s="76">
        <v>9.7569999999999997</v>
      </c>
      <c r="E36" s="76">
        <v>2.9670000000000001</v>
      </c>
      <c r="F36" s="76">
        <v>2.9670000000000001</v>
      </c>
      <c r="G36" s="76">
        <v>9.0289999999999999</v>
      </c>
      <c r="H36" s="77">
        <v>8.0629084062465384E-2</v>
      </c>
      <c r="I36" s="77">
        <v>0.32860781924908627</v>
      </c>
      <c r="J36" s="78">
        <v>0.40923690331155166</v>
      </c>
      <c r="K36" s="75">
        <v>52</v>
      </c>
      <c r="L36" s="76">
        <v>0.74399999999999999</v>
      </c>
      <c r="M36" s="76">
        <v>11.108000000000001</v>
      </c>
      <c r="N36" s="79">
        <v>0.63600000000000001</v>
      </c>
      <c r="O36" s="76">
        <v>0.63600000000000001</v>
      </c>
      <c r="P36" s="76">
        <v>10.364000000000001</v>
      </c>
      <c r="Q36" s="77">
        <v>7.1786954843689688E-2</v>
      </c>
      <c r="R36" s="77">
        <v>6.1366267850250865E-2</v>
      </c>
      <c r="S36" s="78">
        <v>0.13315322269394056</v>
      </c>
      <c r="T36" s="75">
        <v>52</v>
      </c>
      <c r="U36" s="80">
        <v>0.73599999999999999</v>
      </c>
      <c r="V36" s="80">
        <v>10.432500000000001</v>
      </c>
      <c r="W36" s="80">
        <v>1.8015000000000001</v>
      </c>
      <c r="X36" s="80">
        <v>1.8015000000000001</v>
      </c>
      <c r="Y36" s="80">
        <v>9.6965000000000003</v>
      </c>
      <c r="Z36" s="81">
        <v>7.6208019453077536E-2</v>
      </c>
      <c r="AA36" s="81">
        <v>0.19498704354966856</v>
      </c>
      <c r="AB36" s="82">
        <v>0.2711950630027461</v>
      </c>
    </row>
    <row r="37" spans="2:28">
      <c r="B37" s="83">
        <v>53</v>
      </c>
      <c r="C37" s="84">
        <v>0.68400000000000005</v>
      </c>
      <c r="D37" s="84">
        <v>10.02</v>
      </c>
      <c r="E37" s="84">
        <v>3.0289999999999999</v>
      </c>
      <c r="F37" s="84">
        <v>3.0289999999999999</v>
      </c>
      <c r="G37" s="84">
        <v>9.3360000000000003</v>
      </c>
      <c r="H37" s="85">
        <v>7.3264781491002573E-2</v>
      </c>
      <c r="I37" s="85">
        <v>0.32444301628106254</v>
      </c>
      <c r="J37" s="87">
        <v>0.39770779777206511</v>
      </c>
      <c r="K37" s="83">
        <v>53</v>
      </c>
      <c r="L37" s="84">
        <v>0.69</v>
      </c>
      <c r="M37" s="84">
        <v>11.382</v>
      </c>
      <c r="N37" s="86">
        <v>0.64</v>
      </c>
      <c r="O37" s="84">
        <v>0.64</v>
      </c>
      <c r="P37" s="84">
        <v>10.692</v>
      </c>
      <c r="Q37" s="85">
        <v>6.4534231200897865E-2</v>
      </c>
      <c r="R37" s="85">
        <v>5.9857837635615412E-2</v>
      </c>
      <c r="S37" s="87">
        <v>0.12439206883651327</v>
      </c>
      <c r="T37" s="83">
        <v>53</v>
      </c>
      <c r="U37" s="88">
        <v>0.68700000000000006</v>
      </c>
      <c r="V37" s="88">
        <v>10.701000000000001</v>
      </c>
      <c r="W37" s="88">
        <v>1.8345</v>
      </c>
      <c r="X37" s="88">
        <v>1.8345</v>
      </c>
      <c r="Y37" s="88">
        <v>10.013999999999999</v>
      </c>
      <c r="Z37" s="29">
        <v>6.8899506345950212E-2</v>
      </c>
      <c r="AA37" s="29">
        <v>0.19215042695833898</v>
      </c>
      <c r="AB37" s="89">
        <v>0.26104993330428916</v>
      </c>
    </row>
    <row r="38" spans="2:28">
      <c r="B38" s="75">
        <v>54</v>
      </c>
      <c r="C38" s="76">
        <v>0.63200000000000001</v>
      </c>
      <c r="D38" s="76">
        <v>10.29</v>
      </c>
      <c r="E38" s="76">
        <v>3.0870000000000002</v>
      </c>
      <c r="F38" s="76">
        <v>3.0870000000000002</v>
      </c>
      <c r="G38" s="76">
        <v>9.6579999999999995</v>
      </c>
      <c r="H38" s="77">
        <v>6.5437978877614419E-2</v>
      </c>
      <c r="I38" s="77">
        <v>0.31963139366328436</v>
      </c>
      <c r="J38" s="78">
        <v>0.38506937254089879</v>
      </c>
      <c r="K38" s="75">
        <v>54</v>
      </c>
      <c r="L38" s="76">
        <v>0.629</v>
      </c>
      <c r="M38" s="76">
        <v>11.662000000000001</v>
      </c>
      <c r="N38" s="79">
        <v>0.64200000000000002</v>
      </c>
      <c r="O38" s="76">
        <v>0.64200000000000002</v>
      </c>
      <c r="P38" s="76">
        <v>11.033000000000001</v>
      </c>
      <c r="Q38" s="77">
        <v>5.7010785824345142E-2</v>
      </c>
      <c r="R38" s="77">
        <v>5.8189069156167852E-2</v>
      </c>
      <c r="S38" s="78">
        <v>0.11519985498051299</v>
      </c>
      <c r="T38" s="75">
        <v>54</v>
      </c>
      <c r="U38" s="80">
        <v>0.63050000000000006</v>
      </c>
      <c r="V38" s="80">
        <v>10.975999999999999</v>
      </c>
      <c r="W38" s="80">
        <v>1.8645</v>
      </c>
      <c r="X38" s="80">
        <v>1.8645</v>
      </c>
      <c r="Y38" s="80">
        <v>10.345500000000001</v>
      </c>
      <c r="Z38" s="81">
        <v>6.1224382350979781E-2</v>
      </c>
      <c r="AA38" s="81">
        <v>0.1889102314097261</v>
      </c>
      <c r="AB38" s="82">
        <v>0.25013461376070589</v>
      </c>
    </row>
    <row r="39" spans="2:28">
      <c r="B39" s="83">
        <v>55</v>
      </c>
      <c r="C39" s="84">
        <v>0.57399999999999995</v>
      </c>
      <c r="D39" s="84">
        <v>10.568</v>
      </c>
      <c r="E39" s="84">
        <v>3.1429999999999998</v>
      </c>
      <c r="F39" s="84">
        <v>3.1429999999999998</v>
      </c>
      <c r="G39" s="84">
        <v>9.9939999999999998</v>
      </c>
      <c r="H39" s="85">
        <v>5.7434460676405841E-2</v>
      </c>
      <c r="I39" s="85">
        <v>0.31448869321592954</v>
      </c>
      <c r="J39" s="87">
        <v>0.37192315389233538</v>
      </c>
      <c r="K39" s="83">
        <v>55</v>
      </c>
      <c r="L39" s="84">
        <v>0.56000000000000005</v>
      </c>
      <c r="M39" s="84">
        <v>11.949</v>
      </c>
      <c r="N39" s="86">
        <v>0.64300000000000002</v>
      </c>
      <c r="O39" s="84">
        <v>0.64300000000000002</v>
      </c>
      <c r="P39" s="84">
        <v>11.388999999999999</v>
      </c>
      <c r="Q39" s="85">
        <v>4.9170251997541492E-2</v>
      </c>
      <c r="R39" s="85">
        <v>5.6457985775748537E-2</v>
      </c>
      <c r="S39" s="87">
        <v>0.10562823777329003</v>
      </c>
      <c r="T39" s="83">
        <v>55</v>
      </c>
      <c r="U39" s="88">
        <v>0.56699999999999995</v>
      </c>
      <c r="V39" s="88">
        <v>11.2585</v>
      </c>
      <c r="W39" s="88">
        <v>1.8929999999999998</v>
      </c>
      <c r="X39" s="88">
        <v>1.8929999999999998</v>
      </c>
      <c r="Y39" s="88">
        <v>10.6915</v>
      </c>
      <c r="Z39" s="29">
        <v>5.3302356336973666E-2</v>
      </c>
      <c r="AA39" s="29">
        <v>0.18547333949583905</v>
      </c>
      <c r="AB39" s="89">
        <v>0.23877569583281272</v>
      </c>
    </row>
    <row r="40" spans="2:28">
      <c r="B40" s="75">
        <v>56</v>
      </c>
      <c r="C40" s="76">
        <v>0.50700000000000001</v>
      </c>
      <c r="D40" s="76">
        <v>10.853999999999999</v>
      </c>
      <c r="E40" s="76">
        <v>3.1960000000000002</v>
      </c>
      <c r="F40" s="76">
        <v>3.1960000000000002</v>
      </c>
      <c r="G40" s="76">
        <v>10.347</v>
      </c>
      <c r="H40" s="77">
        <v>4.8999710060887214E-2</v>
      </c>
      <c r="I40" s="77">
        <v>0.30888180148835415</v>
      </c>
      <c r="J40" s="78">
        <v>0.35788151154924136</v>
      </c>
      <c r="K40" s="75">
        <v>56</v>
      </c>
      <c r="L40" s="76">
        <v>0.48499999999999999</v>
      </c>
      <c r="M40" s="76">
        <v>12.242000000000001</v>
      </c>
      <c r="N40" s="79">
        <v>0.64300000000000002</v>
      </c>
      <c r="O40" s="76">
        <v>0.64300000000000002</v>
      </c>
      <c r="P40" s="76">
        <v>11.757000000000001</v>
      </c>
      <c r="Q40" s="77">
        <v>4.1252020073147905E-2</v>
      </c>
      <c r="R40" s="77">
        <v>5.4690822488730112E-2</v>
      </c>
      <c r="S40" s="78">
        <v>9.5942842561878017E-2</v>
      </c>
      <c r="T40" s="75">
        <v>56</v>
      </c>
      <c r="U40" s="80">
        <v>0.496</v>
      </c>
      <c r="V40" s="80">
        <v>11.548</v>
      </c>
      <c r="W40" s="80">
        <v>1.9195000000000002</v>
      </c>
      <c r="X40" s="80">
        <v>1.9195000000000002</v>
      </c>
      <c r="Y40" s="80">
        <v>11.052</v>
      </c>
      <c r="Z40" s="81">
        <v>4.5125865067017559E-2</v>
      </c>
      <c r="AA40" s="81">
        <v>0.18178631198854212</v>
      </c>
      <c r="AB40" s="82">
        <v>0.22691217705555969</v>
      </c>
    </row>
    <row r="41" spans="2:28">
      <c r="B41" s="83">
        <v>57</v>
      </c>
      <c r="C41" s="84">
        <v>0.434</v>
      </c>
      <c r="D41" s="84">
        <v>11.148999999999999</v>
      </c>
      <c r="E41" s="84">
        <v>3.2480000000000002</v>
      </c>
      <c r="F41" s="84">
        <v>3.2480000000000002</v>
      </c>
      <c r="G41" s="84">
        <v>10.715</v>
      </c>
      <c r="H41" s="85">
        <v>4.0503966402239848E-2</v>
      </c>
      <c r="I41" s="85">
        <v>0.30312645823611761</v>
      </c>
      <c r="J41" s="87">
        <v>0.34363042463835747</v>
      </c>
      <c r="K41" s="83">
        <v>57</v>
      </c>
      <c r="L41" s="84">
        <v>0.40500000000000003</v>
      </c>
      <c r="M41" s="84">
        <v>12.544</v>
      </c>
      <c r="N41" s="86">
        <v>0.64100000000000001</v>
      </c>
      <c r="O41" s="84">
        <v>0.64100000000000001</v>
      </c>
      <c r="P41" s="84">
        <v>12.139000000000001</v>
      </c>
      <c r="Q41" s="85">
        <v>3.3363539006507952E-2</v>
      </c>
      <c r="R41" s="85">
        <v>5.2805008649806404E-2</v>
      </c>
      <c r="S41" s="87">
        <v>8.6168547656314348E-2</v>
      </c>
      <c r="T41" s="83">
        <v>57</v>
      </c>
      <c r="U41" s="88">
        <v>0.41949999999999998</v>
      </c>
      <c r="V41" s="88">
        <v>11.846499999999999</v>
      </c>
      <c r="W41" s="88">
        <v>1.9445000000000001</v>
      </c>
      <c r="X41" s="88">
        <v>1.9445000000000001</v>
      </c>
      <c r="Y41" s="88">
        <v>11.427</v>
      </c>
      <c r="Z41" s="29">
        <v>3.69337527043739E-2</v>
      </c>
      <c r="AA41" s="29">
        <v>0.17796573344296202</v>
      </c>
      <c r="AB41" s="89">
        <v>0.21489948614733589</v>
      </c>
    </row>
    <row r="42" spans="2:28">
      <c r="B42" s="75">
        <v>58</v>
      </c>
      <c r="C42" s="76">
        <v>0.35599999999999998</v>
      </c>
      <c r="D42" s="76">
        <v>11.454000000000001</v>
      </c>
      <c r="E42" s="76">
        <v>3.298</v>
      </c>
      <c r="F42" s="76">
        <v>3.298</v>
      </c>
      <c r="G42" s="76">
        <v>11.098000000000001</v>
      </c>
      <c r="H42" s="77">
        <v>3.2077851865200936E-2</v>
      </c>
      <c r="I42" s="77">
        <v>0.29717066138042891</v>
      </c>
      <c r="J42" s="78">
        <v>0.32924851324562987</v>
      </c>
      <c r="K42" s="75">
        <v>58</v>
      </c>
      <c r="L42" s="76">
        <v>0.32200000000000001</v>
      </c>
      <c r="M42" s="76">
        <v>12.856999999999999</v>
      </c>
      <c r="N42" s="79">
        <v>0.63900000000000001</v>
      </c>
      <c r="O42" s="76">
        <v>0.63900000000000001</v>
      </c>
      <c r="P42" s="76">
        <v>12.535</v>
      </c>
      <c r="Q42" s="77">
        <v>2.5688073394495414E-2</v>
      </c>
      <c r="R42" s="77">
        <v>5.097726366174711E-2</v>
      </c>
      <c r="S42" s="78">
        <v>7.6665337056242525E-2</v>
      </c>
      <c r="T42" s="75">
        <v>58</v>
      </c>
      <c r="U42" s="80">
        <v>0.33899999999999997</v>
      </c>
      <c r="V42" s="80">
        <v>12.1555</v>
      </c>
      <c r="W42" s="80">
        <v>1.9685000000000001</v>
      </c>
      <c r="X42" s="80">
        <v>1.9685000000000001</v>
      </c>
      <c r="Y42" s="80">
        <v>11.816500000000001</v>
      </c>
      <c r="Z42" s="81">
        <v>2.8882962629848175E-2</v>
      </c>
      <c r="AA42" s="81">
        <v>0.174073962521088</v>
      </c>
      <c r="AB42" s="82">
        <v>0.20295692515093619</v>
      </c>
    </row>
    <row r="43" spans="2:28">
      <c r="B43" s="83">
        <v>59</v>
      </c>
      <c r="C43" s="84">
        <v>0.27700000000000002</v>
      </c>
      <c r="D43" s="84">
        <v>11.773</v>
      </c>
      <c r="E43" s="84">
        <v>3.3490000000000002</v>
      </c>
      <c r="F43" s="84">
        <v>3.3490000000000002</v>
      </c>
      <c r="G43" s="84">
        <v>11.496</v>
      </c>
      <c r="H43" s="85">
        <v>2.4095337508698678E-2</v>
      </c>
      <c r="I43" s="85">
        <v>0.29131871955462768</v>
      </c>
      <c r="J43" s="87">
        <v>0.31541405706332637</v>
      </c>
      <c r="K43" s="83">
        <v>59</v>
      </c>
      <c r="L43" s="84">
        <v>0.24099999999999999</v>
      </c>
      <c r="M43" s="84">
        <v>13.186</v>
      </c>
      <c r="N43" s="86">
        <v>0.63600000000000001</v>
      </c>
      <c r="O43" s="84">
        <v>0.63600000000000001</v>
      </c>
      <c r="P43" s="84">
        <v>12.945</v>
      </c>
      <c r="Q43" s="85">
        <v>1.861722672846659E-2</v>
      </c>
      <c r="R43" s="85">
        <v>4.9130938586326764E-2</v>
      </c>
      <c r="S43" s="87">
        <v>6.7748165314793357E-2</v>
      </c>
      <c r="T43" s="83">
        <v>59</v>
      </c>
      <c r="U43" s="88">
        <v>0.25900000000000001</v>
      </c>
      <c r="V43" s="88">
        <v>12.4795</v>
      </c>
      <c r="W43" s="88">
        <v>1.9925000000000002</v>
      </c>
      <c r="X43" s="88">
        <v>1.9925000000000002</v>
      </c>
      <c r="Y43" s="88">
        <v>12.220500000000001</v>
      </c>
      <c r="Z43" s="29">
        <v>2.1356282118582634E-2</v>
      </c>
      <c r="AA43" s="29">
        <v>0.17022482907047723</v>
      </c>
      <c r="AB43" s="89">
        <v>0.19158111118905985</v>
      </c>
    </row>
    <row r="44" spans="2:28">
      <c r="B44" s="75">
        <v>60</v>
      </c>
      <c r="C44" s="76">
        <v>0.20200000000000001</v>
      </c>
      <c r="D44" s="76">
        <v>12.11</v>
      </c>
      <c r="E44" s="76">
        <v>3.4009999999999998</v>
      </c>
      <c r="F44" s="76">
        <v>3.4009999999999998</v>
      </c>
      <c r="G44" s="76">
        <v>11.907999999999999</v>
      </c>
      <c r="H44" s="77">
        <v>1.696338595901915E-2</v>
      </c>
      <c r="I44" s="77">
        <v>0.28560631508229761</v>
      </c>
      <c r="J44" s="78">
        <v>0.30256970104131675</v>
      </c>
      <c r="K44" s="75">
        <v>60</v>
      </c>
      <c r="L44" s="76">
        <v>0.16800000000000001</v>
      </c>
      <c r="M44" s="76">
        <v>13.537000000000001</v>
      </c>
      <c r="N44" s="79">
        <v>0.63300000000000001</v>
      </c>
      <c r="O44" s="76">
        <v>0.63300000000000001</v>
      </c>
      <c r="P44" s="76">
        <v>13.369000000000002</v>
      </c>
      <c r="Q44" s="77">
        <v>1.2566384920338096E-2</v>
      </c>
      <c r="R44" s="77">
        <v>4.7348343181988176E-2</v>
      </c>
      <c r="S44" s="78">
        <v>5.9914728102326273E-2</v>
      </c>
      <c r="T44" s="75">
        <v>60</v>
      </c>
      <c r="U44" s="80">
        <v>0.185</v>
      </c>
      <c r="V44" s="80">
        <v>12.823499999999999</v>
      </c>
      <c r="W44" s="80">
        <v>2.0169999999999999</v>
      </c>
      <c r="X44" s="80">
        <v>2.0169999999999999</v>
      </c>
      <c r="Y44" s="80">
        <v>12.638500000000001</v>
      </c>
      <c r="Z44" s="81">
        <v>1.4764885439678622E-2</v>
      </c>
      <c r="AA44" s="81">
        <v>0.16647732913214289</v>
      </c>
      <c r="AB44" s="82">
        <v>0.18124221457182152</v>
      </c>
    </row>
    <row r="45" spans="2:28">
      <c r="B45" s="83">
        <v>61</v>
      </c>
      <c r="C45" s="84">
        <v>0.13700000000000001</v>
      </c>
      <c r="D45" s="84">
        <v>12.47</v>
      </c>
      <c r="E45" s="84">
        <v>3.4550000000000001</v>
      </c>
      <c r="F45" s="84">
        <v>3.4550000000000001</v>
      </c>
      <c r="G45" s="84">
        <v>12.333</v>
      </c>
      <c r="H45" s="85">
        <v>1.1108408335360417E-2</v>
      </c>
      <c r="I45" s="85">
        <v>0.28014270655963674</v>
      </c>
      <c r="J45" s="87">
        <v>0.29125111489499717</v>
      </c>
      <c r="K45" s="83">
        <v>61</v>
      </c>
      <c r="L45" s="84">
        <v>0.108</v>
      </c>
      <c r="M45" s="84">
        <v>13.914</v>
      </c>
      <c r="N45" s="86">
        <v>0.63</v>
      </c>
      <c r="O45" s="84">
        <v>0.63</v>
      </c>
      <c r="P45" s="84">
        <v>13.805999999999999</v>
      </c>
      <c r="Q45" s="85">
        <v>7.8226857887874843E-3</v>
      </c>
      <c r="R45" s="85">
        <v>4.563233376792699E-2</v>
      </c>
      <c r="S45" s="87">
        <v>5.3455019556714473E-2</v>
      </c>
      <c r="T45" s="83">
        <v>61</v>
      </c>
      <c r="U45" s="88">
        <v>0.1225</v>
      </c>
      <c r="V45" s="88">
        <v>13.192</v>
      </c>
      <c r="W45" s="88">
        <v>2.0425</v>
      </c>
      <c r="X45" s="88">
        <v>2.0425</v>
      </c>
      <c r="Y45" s="88">
        <v>13.0695</v>
      </c>
      <c r="Z45" s="29">
        <v>9.4655470620739514E-3</v>
      </c>
      <c r="AA45" s="29">
        <v>0.16288752016378186</v>
      </c>
      <c r="AB45" s="89">
        <v>0.1723530672258558</v>
      </c>
    </row>
    <row r="46" spans="2:28">
      <c r="B46" s="75">
        <v>62</v>
      </c>
      <c r="C46" s="76">
        <v>8.4000000000000005E-2</v>
      </c>
      <c r="D46" s="76">
        <v>12.856</v>
      </c>
      <c r="E46" s="76">
        <v>3.4950000000000001</v>
      </c>
      <c r="F46" s="76">
        <v>3.4950000000000001</v>
      </c>
      <c r="G46" s="76">
        <v>12.772</v>
      </c>
      <c r="H46" s="77">
        <v>6.5768869401816475E-3</v>
      </c>
      <c r="I46" s="77">
        <v>0.27364547447541498</v>
      </c>
      <c r="J46" s="78">
        <v>0.28022236141559664</v>
      </c>
      <c r="K46" s="75">
        <v>62</v>
      </c>
      <c r="L46" s="76">
        <v>6.2E-2</v>
      </c>
      <c r="M46" s="76">
        <v>14.321</v>
      </c>
      <c r="N46" s="79">
        <v>0.625</v>
      </c>
      <c r="O46" s="76">
        <v>0.625</v>
      </c>
      <c r="P46" s="76">
        <v>14.259</v>
      </c>
      <c r="Q46" s="77">
        <v>4.3481310049793111E-3</v>
      </c>
      <c r="R46" s="77">
        <v>4.3831965776001118E-2</v>
      </c>
      <c r="S46" s="78">
        <v>4.8180096780980432E-2</v>
      </c>
      <c r="T46" s="75">
        <v>62</v>
      </c>
      <c r="U46" s="80">
        <v>7.3000000000000009E-2</v>
      </c>
      <c r="V46" s="80">
        <v>13.5885</v>
      </c>
      <c r="W46" s="80">
        <v>2.06</v>
      </c>
      <c r="X46" s="80">
        <v>2.06</v>
      </c>
      <c r="Y46" s="80">
        <v>13.515499999999999</v>
      </c>
      <c r="Z46" s="81">
        <v>5.4625089725804793E-3</v>
      </c>
      <c r="AA46" s="81">
        <v>0.15873872012570805</v>
      </c>
      <c r="AB46" s="82">
        <v>0.16420122909828855</v>
      </c>
    </row>
    <row r="47" spans="2:28">
      <c r="B47" s="83">
        <v>63</v>
      </c>
      <c r="C47" s="84">
        <v>4.4999999999999998E-2</v>
      </c>
      <c r="D47" s="84">
        <v>13.273</v>
      </c>
      <c r="E47" s="84">
        <v>3.536</v>
      </c>
      <c r="F47" s="84">
        <v>3.536</v>
      </c>
      <c r="G47" s="84">
        <v>13.228</v>
      </c>
      <c r="H47" s="85">
        <v>3.4018748110069548E-3</v>
      </c>
      <c r="I47" s="85">
        <v>0.26731176292712427</v>
      </c>
      <c r="J47" s="87">
        <v>0.27071363773813123</v>
      </c>
      <c r="K47" s="83">
        <v>63</v>
      </c>
      <c r="L47" s="84">
        <v>3.2000000000000001E-2</v>
      </c>
      <c r="M47" s="84">
        <v>14.76</v>
      </c>
      <c r="N47" s="86">
        <v>0.61899999999999999</v>
      </c>
      <c r="O47" s="84">
        <v>0.61899999999999999</v>
      </c>
      <c r="P47" s="84">
        <v>14.728</v>
      </c>
      <c r="Q47" s="85">
        <v>2.1727322107550247E-3</v>
      </c>
      <c r="R47" s="85">
        <v>4.2028788701792504E-2</v>
      </c>
      <c r="S47" s="87">
        <v>4.4201520912547532E-2</v>
      </c>
      <c r="T47" s="83">
        <v>63</v>
      </c>
      <c r="U47" s="88">
        <v>3.85E-2</v>
      </c>
      <c r="V47" s="88">
        <v>14.016500000000001</v>
      </c>
      <c r="W47" s="88">
        <v>2.0775000000000001</v>
      </c>
      <c r="X47" s="88">
        <v>2.0775000000000001</v>
      </c>
      <c r="Y47" s="88">
        <v>13.978</v>
      </c>
      <c r="Z47" s="29">
        <v>2.7873035108809899E-3</v>
      </c>
      <c r="AA47" s="29">
        <v>0.15467027581445839</v>
      </c>
      <c r="AB47" s="89">
        <v>0.15745757932533938</v>
      </c>
    </row>
    <row r="48" spans="2:28">
      <c r="B48" s="75">
        <v>64</v>
      </c>
      <c r="C48" s="76">
        <v>1.9E-2</v>
      </c>
      <c r="D48" s="76">
        <v>13.721</v>
      </c>
      <c r="E48" s="76">
        <v>3.5760000000000001</v>
      </c>
      <c r="F48" s="76">
        <v>3.5760000000000001</v>
      </c>
      <c r="G48" s="76">
        <v>13.702</v>
      </c>
      <c r="H48" s="77">
        <v>1.3866588819150488E-3</v>
      </c>
      <c r="I48" s="77">
        <v>0.26098379798569554</v>
      </c>
      <c r="J48" s="78">
        <v>0.26237045686761057</v>
      </c>
      <c r="K48" s="75">
        <v>64</v>
      </c>
      <c r="L48" s="76">
        <v>1.2999999999999999E-2</v>
      </c>
      <c r="M48" s="76">
        <v>15.228999999999999</v>
      </c>
      <c r="N48" s="79">
        <v>0.61299999999999999</v>
      </c>
      <c r="O48" s="76">
        <v>0.61299999999999999</v>
      </c>
      <c r="P48" s="76">
        <v>15.215999999999999</v>
      </c>
      <c r="Q48" s="77">
        <v>8.5436382754994742E-4</v>
      </c>
      <c r="R48" s="77">
        <v>4.0286540483701366E-2</v>
      </c>
      <c r="S48" s="78">
        <v>4.1140904311251315E-2</v>
      </c>
      <c r="T48" s="75">
        <v>64</v>
      </c>
      <c r="U48" s="80">
        <v>1.6E-2</v>
      </c>
      <c r="V48" s="80">
        <v>14.475</v>
      </c>
      <c r="W48" s="80">
        <v>2.0945</v>
      </c>
      <c r="X48" s="80">
        <v>2.0945</v>
      </c>
      <c r="Y48" s="80">
        <v>14.459</v>
      </c>
      <c r="Z48" s="81">
        <v>1.1205113547324982E-3</v>
      </c>
      <c r="AA48" s="81">
        <v>0.15063516923469844</v>
      </c>
      <c r="AB48" s="82">
        <v>0.15175568058943095</v>
      </c>
    </row>
    <row r="49" spans="2:28">
      <c r="B49" s="83">
        <v>65</v>
      </c>
      <c r="C49" s="84">
        <v>7.0000000000000001E-3</v>
      </c>
      <c r="D49" s="84">
        <v>14.202999999999999</v>
      </c>
      <c r="E49" s="84">
        <v>3.613</v>
      </c>
      <c r="F49" s="84">
        <v>3.613</v>
      </c>
      <c r="G49" s="84">
        <v>14.196</v>
      </c>
      <c r="H49" s="85">
        <v>4.9309664694280081E-4</v>
      </c>
      <c r="I49" s="85">
        <v>0.25450831220061992</v>
      </c>
      <c r="J49" s="87">
        <v>0.25500140884756273</v>
      </c>
      <c r="K49" s="83">
        <v>65</v>
      </c>
      <c r="L49" s="84">
        <v>4.0000000000000001E-3</v>
      </c>
      <c r="M49" s="84">
        <v>15.728</v>
      </c>
      <c r="N49" s="86">
        <v>0.60499999999999998</v>
      </c>
      <c r="O49" s="84">
        <v>0.60499999999999998</v>
      </c>
      <c r="P49" s="84">
        <v>15.724</v>
      </c>
      <c r="Q49" s="85">
        <v>2.5438819638768761E-4</v>
      </c>
      <c r="R49" s="85">
        <v>3.8476214703637747E-2</v>
      </c>
      <c r="S49" s="87">
        <v>3.8730602900025432E-2</v>
      </c>
      <c r="T49" s="83">
        <v>65</v>
      </c>
      <c r="U49" s="88">
        <v>5.4999999999999997E-3</v>
      </c>
      <c r="V49" s="88">
        <v>14.965499999999999</v>
      </c>
      <c r="W49" s="88">
        <v>2.109</v>
      </c>
      <c r="X49" s="88">
        <v>2.109</v>
      </c>
      <c r="Y49" s="88">
        <v>14.96</v>
      </c>
      <c r="Z49" s="98">
        <v>3.7374242166524421E-4</v>
      </c>
      <c r="AA49" s="98">
        <v>0.14649226345212885</v>
      </c>
      <c r="AB49" s="99">
        <v>0.14686600587379409</v>
      </c>
    </row>
    <row r="50" spans="2:28">
      <c r="B50" s="75">
        <v>66</v>
      </c>
      <c r="C50" s="76">
        <v>1E-3</v>
      </c>
      <c r="D50" s="76">
        <v>14.717000000000001</v>
      </c>
      <c r="E50" s="76">
        <v>3.6469999999999998</v>
      </c>
      <c r="F50" s="76">
        <v>3.6469999999999998</v>
      </c>
      <c r="G50" s="76">
        <v>14.716000000000001</v>
      </c>
      <c r="H50" s="77">
        <v>6.7953248165262298E-5</v>
      </c>
      <c r="I50" s="77">
        <v>0.24782549605871157</v>
      </c>
      <c r="J50" s="78">
        <v>0.24789344930687685</v>
      </c>
      <c r="K50" s="75">
        <v>66</v>
      </c>
      <c r="L50" s="76">
        <v>1E-3</v>
      </c>
      <c r="M50" s="76">
        <v>16.253</v>
      </c>
      <c r="N50" s="79">
        <v>0.59599999999999997</v>
      </c>
      <c r="O50" s="76">
        <v>0.59599999999999997</v>
      </c>
      <c r="P50" s="76">
        <v>16.251999999999999</v>
      </c>
      <c r="Q50" s="77">
        <v>6.1530888506030037E-5</v>
      </c>
      <c r="R50" s="77">
        <v>3.6672409549593894E-2</v>
      </c>
      <c r="S50" s="78">
        <v>3.6733940438099924E-2</v>
      </c>
      <c r="T50" s="75">
        <v>66</v>
      </c>
      <c r="U50" s="80">
        <v>1E-3</v>
      </c>
      <c r="V50" s="80">
        <v>15.484999999999999</v>
      </c>
      <c r="W50" s="80">
        <v>2.1214999999999997</v>
      </c>
      <c r="X50" s="80">
        <v>2.1214999999999997</v>
      </c>
      <c r="Y50" s="80">
        <v>15.484</v>
      </c>
      <c r="Z50" s="81">
        <v>6.4742068335646167E-5</v>
      </c>
      <c r="AA50" s="81">
        <v>0.14224895280415273</v>
      </c>
      <c r="AB50" s="82">
        <v>0.14231369487248838</v>
      </c>
    </row>
    <row r="51" spans="2:28">
      <c r="B51" s="90">
        <v>67</v>
      </c>
      <c r="C51" s="91">
        <v>0</v>
      </c>
      <c r="D51" s="91">
        <v>15.260999999999999</v>
      </c>
      <c r="E51" s="91">
        <v>3.6779999999999999</v>
      </c>
      <c r="F51" s="91">
        <v>3.6779999999999999</v>
      </c>
      <c r="G51" s="91">
        <v>15.260999999999999</v>
      </c>
      <c r="H51" s="92">
        <v>0</v>
      </c>
      <c r="I51" s="92">
        <v>0.24100648712404169</v>
      </c>
      <c r="J51" s="93">
        <v>0.24100648712404169</v>
      </c>
      <c r="K51" s="90">
        <v>67</v>
      </c>
      <c r="L51" s="91">
        <v>0</v>
      </c>
      <c r="M51" s="91">
        <v>16.803000000000001</v>
      </c>
      <c r="N51" s="94">
        <v>0.58599999999999997</v>
      </c>
      <c r="O51" s="91">
        <v>0.58599999999999997</v>
      </c>
      <c r="P51" s="91">
        <v>16.803000000000001</v>
      </c>
      <c r="Q51" s="92">
        <v>0</v>
      </c>
      <c r="R51" s="92">
        <v>3.4874724751532464E-2</v>
      </c>
      <c r="S51" s="93">
        <v>3.4874724751532464E-2</v>
      </c>
      <c r="T51" s="90">
        <v>67</v>
      </c>
      <c r="U51" s="95">
        <v>0</v>
      </c>
      <c r="V51" s="95">
        <v>16.032</v>
      </c>
      <c r="W51" s="95">
        <v>2.1320000000000001</v>
      </c>
      <c r="X51" s="95">
        <v>2.1320000000000001</v>
      </c>
      <c r="Y51" s="95">
        <v>16.032</v>
      </c>
      <c r="Z51" s="96">
        <v>0</v>
      </c>
      <c r="AA51" s="96">
        <v>0.13794060593778706</v>
      </c>
      <c r="AB51" s="97">
        <v>0.13794060593778706</v>
      </c>
    </row>
    <row r="52" spans="2:28">
      <c r="B52" s="75">
        <v>68</v>
      </c>
      <c r="C52" s="76">
        <v>0</v>
      </c>
      <c r="D52" s="76">
        <v>14.851000000000001</v>
      </c>
      <c r="E52" s="76">
        <v>3.6779999999999999</v>
      </c>
      <c r="F52" s="76">
        <v>3.6779999999999999</v>
      </c>
      <c r="G52" s="76">
        <v>14.851000000000001</v>
      </c>
      <c r="H52" s="77">
        <v>0</v>
      </c>
      <c r="I52" s="76">
        <v>0.24766009022961416</v>
      </c>
      <c r="J52" s="77">
        <v>0.24766009022961416</v>
      </c>
      <c r="K52" s="75">
        <v>68</v>
      </c>
      <c r="L52" s="76">
        <v>0</v>
      </c>
      <c r="M52" s="76">
        <v>16.378</v>
      </c>
      <c r="N52" s="79">
        <v>0.59099999999999997</v>
      </c>
      <c r="O52" s="76">
        <v>0.56699999999999995</v>
      </c>
      <c r="P52" s="76">
        <v>16.378</v>
      </c>
      <c r="Q52" s="77">
        <v>0</v>
      </c>
      <c r="R52" s="77">
        <v>3.4619611674197089E-2</v>
      </c>
      <c r="S52" s="78">
        <v>3.4619611674197089E-2</v>
      </c>
      <c r="T52" s="75">
        <v>68</v>
      </c>
      <c r="U52" s="80">
        <v>0</v>
      </c>
      <c r="V52" s="80">
        <v>15.6145</v>
      </c>
      <c r="W52" s="80">
        <v>2.1345000000000001</v>
      </c>
      <c r="X52" s="80">
        <v>2.1225000000000001</v>
      </c>
      <c r="Y52" s="80">
        <v>15.6145</v>
      </c>
      <c r="Z52" s="81">
        <v>0</v>
      </c>
      <c r="AA52" s="81">
        <v>0.14113985095190562</v>
      </c>
      <c r="AB52" s="82">
        <v>0.14113985095190562</v>
      </c>
    </row>
    <row r="53" spans="2:28">
      <c r="B53" s="83">
        <v>69</v>
      </c>
      <c r="C53" s="84">
        <v>0</v>
      </c>
      <c r="D53" s="84">
        <v>14.432</v>
      </c>
      <c r="E53" s="84">
        <v>3.68</v>
      </c>
      <c r="F53" s="84">
        <v>3.68</v>
      </c>
      <c r="G53" s="84">
        <v>14.432</v>
      </c>
      <c r="H53" s="85">
        <v>0</v>
      </c>
      <c r="I53" s="84">
        <v>0.25498891352549891</v>
      </c>
      <c r="J53" s="85">
        <v>0.25498891352549891</v>
      </c>
      <c r="K53" s="83">
        <v>69</v>
      </c>
      <c r="L53" s="84">
        <v>0</v>
      </c>
      <c r="M53" s="84">
        <v>15.94</v>
      </c>
      <c r="N53" s="86">
        <v>0.57199999999999995</v>
      </c>
      <c r="O53" s="84">
        <v>0.54900000000000004</v>
      </c>
      <c r="P53" s="84">
        <v>15.94</v>
      </c>
      <c r="Q53" s="85">
        <v>0</v>
      </c>
      <c r="R53" s="85">
        <v>3.4441656210790469E-2</v>
      </c>
      <c r="S53" s="87">
        <v>3.4441656210790469E-2</v>
      </c>
      <c r="T53" s="83">
        <v>69</v>
      </c>
      <c r="U53" s="88">
        <v>0</v>
      </c>
      <c r="V53" s="88">
        <v>15.186</v>
      </c>
      <c r="W53" s="88">
        <v>2.1259999999999999</v>
      </c>
      <c r="X53" s="88">
        <v>2.1145</v>
      </c>
      <c r="Y53" s="88">
        <v>15.186</v>
      </c>
      <c r="Z53" s="29">
        <v>0</v>
      </c>
      <c r="AA53" s="29">
        <v>0.14471528486814469</v>
      </c>
      <c r="AB53" s="89">
        <v>0.14471528486814469</v>
      </c>
    </row>
    <row r="54" spans="2:28">
      <c r="B54" s="75">
        <v>70</v>
      </c>
      <c r="C54" s="76">
        <v>0</v>
      </c>
      <c r="D54" s="76">
        <v>14.002000000000001</v>
      </c>
      <c r="E54" s="76">
        <v>3.681</v>
      </c>
      <c r="F54" s="76">
        <v>3.681</v>
      </c>
      <c r="G54" s="76">
        <v>14.002000000000001</v>
      </c>
      <c r="H54" s="77">
        <v>0</v>
      </c>
      <c r="I54" s="76">
        <v>0.26289101556920441</v>
      </c>
      <c r="J54" s="77">
        <v>0.26289101556920441</v>
      </c>
      <c r="K54" s="75">
        <v>70</v>
      </c>
      <c r="L54" s="76">
        <v>0</v>
      </c>
      <c r="M54" s="76">
        <v>15.49</v>
      </c>
      <c r="N54" s="79">
        <v>0.55100000000000005</v>
      </c>
      <c r="O54" s="76">
        <v>0.53</v>
      </c>
      <c r="P54" s="76">
        <v>15.49</v>
      </c>
      <c r="Q54" s="77">
        <v>0</v>
      </c>
      <c r="R54" s="77">
        <v>3.4215622982569402E-2</v>
      </c>
      <c r="S54" s="78">
        <v>3.4215622982569402E-2</v>
      </c>
      <c r="T54" s="75">
        <v>70</v>
      </c>
      <c r="U54" s="80">
        <v>0</v>
      </c>
      <c r="V54" s="80">
        <v>14.746</v>
      </c>
      <c r="W54" s="80">
        <v>2.1160000000000001</v>
      </c>
      <c r="X54" s="80">
        <v>2.1055000000000001</v>
      </c>
      <c r="Y54" s="80">
        <v>14.746</v>
      </c>
      <c r="Z54" s="81">
        <v>0</v>
      </c>
      <c r="AA54" s="81">
        <v>0.14855331927588691</v>
      </c>
      <c r="AB54" s="82">
        <v>0.14855331927588691</v>
      </c>
    </row>
    <row r="55" spans="2:28">
      <c r="B55" s="83">
        <v>71</v>
      </c>
      <c r="C55" s="84">
        <v>0</v>
      </c>
      <c r="D55" s="84">
        <v>13.561999999999999</v>
      </c>
      <c r="E55" s="84">
        <v>3.6789999999999998</v>
      </c>
      <c r="F55" s="84">
        <v>3.6789999999999998</v>
      </c>
      <c r="G55" s="84">
        <v>13.561999999999999</v>
      </c>
      <c r="H55" s="85">
        <v>0</v>
      </c>
      <c r="I55" s="84">
        <v>0.27127267364695473</v>
      </c>
      <c r="J55" s="85">
        <v>0.27127267364695473</v>
      </c>
      <c r="K55" s="83">
        <v>71</v>
      </c>
      <c r="L55" s="84">
        <v>0</v>
      </c>
      <c r="M55" s="84">
        <v>15.026</v>
      </c>
      <c r="N55" s="86">
        <v>0.53100000000000003</v>
      </c>
      <c r="O55" s="84">
        <v>0.51</v>
      </c>
      <c r="P55" s="84">
        <v>15.026</v>
      </c>
      <c r="Q55" s="85">
        <v>0</v>
      </c>
      <c r="R55" s="85">
        <v>3.3941168641022229E-2</v>
      </c>
      <c r="S55" s="87">
        <v>3.3941168641022229E-2</v>
      </c>
      <c r="T55" s="83">
        <v>71</v>
      </c>
      <c r="U55" s="88">
        <v>0</v>
      </c>
      <c r="V55" s="88">
        <v>14.294</v>
      </c>
      <c r="W55" s="88">
        <v>2.105</v>
      </c>
      <c r="X55" s="88">
        <v>2.0945</v>
      </c>
      <c r="Y55" s="88">
        <v>14.294</v>
      </c>
      <c r="Z55" s="29">
        <v>0</v>
      </c>
      <c r="AA55" s="29">
        <v>0.15260692114398849</v>
      </c>
      <c r="AB55" s="89">
        <v>0.15260692114398849</v>
      </c>
    </row>
    <row r="56" spans="2:28">
      <c r="B56" s="75">
        <v>72</v>
      </c>
      <c r="C56" s="76">
        <v>0</v>
      </c>
      <c r="D56" s="76">
        <v>13.111000000000001</v>
      </c>
      <c r="E56" s="76">
        <v>3.6749999999999998</v>
      </c>
      <c r="F56" s="76">
        <v>3.6749999999999998</v>
      </c>
      <c r="G56" s="76">
        <v>13.111000000000001</v>
      </c>
      <c r="H56" s="77">
        <v>0</v>
      </c>
      <c r="I56" s="76">
        <v>0.28029898558462357</v>
      </c>
      <c r="J56" s="77">
        <v>0.28029898558462357</v>
      </c>
      <c r="K56" s="75">
        <v>72</v>
      </c>
      <c r="L56" s="76">
        <v>0</v>
      </c>
      <c r="M56" s="76">
        <v>14.55</v>
      </c>
      <c r="N56" s="79">
        <v>0.51</v>
      </c>
      <c r="O56" s="76">
        <v>0.49099999999999999</v>
      </c>
      <c r="P56" s="76">
        <v>14.55</v>
      </c>
      <c r="Q56" s="77">
        <v>0</v>
      </c>
      <c r="R56" s="77">
        <v>3.3745704467353949E-2</v>
      </c>
      <c r="S56" s="78">
        <v>3.3745704467353949E-2</v>
      </c>
      <c r="T56" s="75">
        <v>72</v>
      </c>
      <c r="U56" s="80">
        <v>0</v>
      </c>
      <c r="V56" s="80">
        <v>13.830500000000001</v>
      </c>
      <c r="W56" s="80">
        <v>2.0924999999999998</v>
      </c>
      <c r="X56" s="80">
        <v>2.0829999999999997</v>
      </c>
      <c r="Y56" s="80">
        <v>13.830500000000001</v>
      </c>
      <c r="Z56" s="81">
        <v>0</v>
      </c>
      <c r="AA56" s="81">
        <v>0.15702234502598877</v>
      </c>
      <c r="AB56" s="82">
        <v>0.15702234502598877</v>
      </c>
    </row>
    <row r="57" spans="2:28">
      <c r="B57" s="83">
        <v>73</v>
      </c>
      <c r="C57" s="84">
        <v>0</v>
      </c>
      <c r="D57" s="84">
        <v>12.65</v>
      </c>
      <c r="E57" s="84">
        <v>3.669</v>
      </c>
      <c r="F57" s="84">
        <v>3.669</v>
      </c>
      <c r="G57" s="84">
        <v>12.65</v>
      </c>
      <c r="H57" s="85">
        <v>0</v>
      </c>
      <c r="I57" s="84">
        <v>0.29003952569169961</v>
      </c>
      <c r="J57" s="85">
        <v>0.29003952569169961</v>
      </c>
      <c r="K57" s="83">
        <v>73</v>
      </c>
      <c r="L57" s="84">
        <v>0</v>
      </c>
      <c r="M57" s="84">
        <v>14.061999999999999</v>
      </c>
      <c r="N57" s="86">
        <v>0.48899999999999999</v>
      </c>
      <c r="O57" s="84">
        <v>0.47199999999999998</v>
      </c>
      <c r="P57" s="84">
        <v>14.061999999999999</v>
      </c>
      <c r="Q57" s="85">
        <v>0</v>
      </c>
      <c r="R57" s="85">
        <v>3.3565637889347175E-2</v>
      </c>
      <c r="S57" s="87">
        <v>3.3565637889347175E-2</v>
      </c>
      <c r="T57" s="83">
        <v>73</v>
      </c>
      <c r="U57" s="88">
        <v>0</v>
      </c>
      <c r="V57" s="88">
        <v>13.356</v>
      </c>
      <c r="W57" s="88">
        <v>2.0790000000000002</v>
      </c>
      <c r="X57" s="88">
        <v>2.0705</v>
      </c>
      <c r="Y57" s="88">
        <v>13.356</v>
      </c>
      <c r="Z57" s="29">
        <v>0</v>
      </c>
      <c r="AA57" s="29">
        <v>0.1618025817905234</v>
      </c>
      <c r="AB57" s="89">
        <v>0.1618025817905234</v>
      </c>
    </row>
    <row r="58" spans="2:28">
      <c r="B58" s="75">
        <v>74</v>
      </c>
      <c r="C58" s="76">
        <v>0</v>
      </c>
      <c r="D58" s="76">
        <v>12.18</v>
      </c>
      <c r="E58" s="76">
        <v>3.6669999999999998</v>
      </c>
      <c r="F58" s="76">
        <v>3.6669999999999998</v>
      </c>
      <c r="G58" s="76">
        <v>12.18</v>
      </c>
      <c r="H58" s="77">
        <v>0</v>
      </c>
      <c r="I58" s="76">
        <v>0.30106732348111659</v>
      </c>
      <c r="J58" s="77">
        <v>0.30106732348111659</v>
      </c>
      <c r="K58" s="75">
        <v>74</v>
      </c>
      <c r="L58" s="76">
        <v>0</v>
      </c>
      <c r="M58" s="76">
        <v>13.561999999999999</v>
      </c>
      <c r="N58" s="79">
        <v>0.46899999999999997</v>
      </c>
      <c r="O58" s="76">
        <v>0.45300000000000001</v>
      </c>
      <c r="P58" s="76">
        <v>13.561999999999999</v>
      </c>
      <c r="Q58" s="77">
        <v>0</v>
      </c>
      <c r="R58" s="77">
        <v>3.3402153074767738E-2</v>
      </c>
      <c r="S58" s="78">
        <v>3.3402153074767738E-2</v>
      </c>
      <c r="T58" s="75">
        <v>74</v>
      </c>
      <c r="U58" s="80">
        <v>0</v>
      </c>
      <c r="V58" s="80">
        <v>12.870999999999999</v>
      </c>
      <c r="W58" s="80">
        <v>2.0680000000000001</v>
      </c>
      <c r="X58" s="80">
        <v>2.06</v>
      </c>
      <c r="Y58" s="80">
        <v>12.870999999999999</v>
      </c>
      <c r="Z58" s="81">
        <v>0</v>
      </c>
      <c r="AA58" s="81">
        <v>0.16723473827794216</v>
      </c>
      <c r="AB58" s="82">
        <v>0.16723473827794216</v>
      </c>
    </row>
    <row r="59" spans="2:28">
      <c r="B59" s="83">
        <v>75</v>
      </c>
      <c r="C59" s="84">
        <v>0</v>
      </c>
      <c r="D59" s="84">
        <v>11.701000000000001</v>
      </c>
      <c r="E59" s="84">
        <v>3.6619999999999999</v>
      </c>
      <c r="F59" s="84">
        <v>3.6619999999999999</v>
      </c>
      <c r="G59" s="84">
        <v>11.701000000000001</v>
      </c>
      <c r="H59" s="85">
        <v>0</v>
      </c>
      <c r="I59" s="84">
        <v>0.31296470387146397</v>
      </c>
      <c r="J59" s="85">
        <v>0.31296470387146397</v>
      </c>
      <c r="K59" s="83">
        <v>75</v>
      </c>
      <c r="L59" s="84">
        <v>0</v>
      </c>
      <c r="M59" s="84">
        <v>13.051</v>
      </c>
      <c r="N59" s="86">
        <v>0.44800000000000001</v>
      </c>
      <c r="O59" s="84">
        <v>0.434</v>
      </c>
      <c r="P59" s="84">
        <v>13.051</v>
      </c>
      <c r="Q59" s="85">
        <v>0</v>
      </c>
      <c r="R59" s="85">
        <v>3.3254156769596199E-2</v>
      </c>
      <c r="S59" s="87">
        <v>3.3254156769596199E-2</v>
      </c>
      <c r="T59" s="83">
        <v>75</v>
      </c>
      <c r="U59" s="88">
        <v>0</v>
      </c>
      <c r="V59" s="88">
        <v>12.376000000000001</v>
      </c>
      <c r="W59" s="88">
        <v>2.0550000000000002</v>
      </c>
      <c r="X59" s="88">
        <v>2.048</v>
      </c>
      <c r="Y59" s="88">
        <v>12.376000000000001</v>
      </c>
      <c r="Z59" s="29">
        <v>0</v>
      </c>
      <c r="AA59" s="29">
        <v>0.17310943032053008</v>
      </c>
      <c r="AB59" s="89">
        <v>0.17310943032053008</v>
      </c>
    </row>
    <row r="60" spans="2:28">
      <c r="B60" s="75">
        <v>76</v>
      </c>
      <c r="C60" s="76">
        <v>0</v>
      </c>
      <c r="D60" s="76">
        <v>11.215</v>
      </c>
      <c r="E60" s="76">
        <v>3.6549999999999998</v>
      </c>
      <c r="F60" s="76">
        <v>3.6549999999999998</v>
      </c>
      <c r="G60" s="76">
        <v>11.215</v>
      </c>
      <c r="H60" s="77">
        <v>0</v>
      </c>
      <c r="I60" s="76">
        <v>0.32590280873829691</v>
      </c>
      <c r="J60" s="77">
        <v>0.32590280873829691</v>
      </c>
      <c r="K60" s="75">
        <v>76</v>
      </c>
      <c r="L60" s="76">
        <v>0</v>
      </c>
      <c r="M60" s="76">
        <v>12.531000000000001</v>
      </c>
      <c r="N60" s="79">
        <v>0.42699999999999999</v>
      </c>
      <c r="O60" s="76">
        <v>0.41399999999999998</v>
      </c>
      <c r="P60" s="76">
        <v>12.531000000000001</v>
      </c>
      <c r="Q60" s="77">
        <v>0</v>
      </c>
      <c r="R60" s="77">
        <v>3.3038065597318644E-2</v>
      </c>
      <c r="S60" s="78">
        <v>3.3038065597318644E-2</v>
      </c>
      <c r="T60" s="75">
        <v>76</v>
      </c>
      <c r="U60" s="80">
        <v>0</v>
      </c>
      <c r="V60" s="80">
        <v>11.873000000000001</v>
      </c>
      <c r="W60" s="80">
        <v>2.0409999999999999</v>
      </c>
      <c r="X60" s="80">
        <v>2.0345</v>
      </c>
      <c r="Y60" s="80">
        <v>11.873000000000001</v>
      </c>
      <c r="Z60" s="81">
        <v>0</v>
      </c>
      <c r="AA60" s="81">
        <v>0.17947043716780778</v>
      </c>
      <c r="AB60" s="82">
        <v>0.17947043716780778</v>
      </c>
    </row>
    <row r="61" spans="2:28">
      <c r="B61" s="83">
        <v>77</v>
      </c>
      <c r="C61" s="84">
        <v>0</v>
      </c>
      <c r="D61" s="84">
        <v>10.724</v>
      </c>
      <c r="E61" s="84">
        <v>3.6429999999999998</v>
      </c>
      <c r="F61" s="84">
        <v>3.6429999999999998</v>
      </c>
      <c r="G61" s="84">
        <v>10.724</v>
      </c>
      <c r="H61" s="85">
        <v>0</v>
      </c>
      <c r="I61" s="84">
        <v>0.33970533383066015</v>
      </c>
      <c r="J61" s="85">
        <v>0.33970533383066015</v>
      </c>
      <c r="K61" s="83">
        <v>77</v>
      </c>
      <c r="L61" s="84">
        <v>0</v>
      </c>
      <c r="M61" s="84">
        <v>12.003</v>
      </c>
      <c r="N61" s="86">
        <v>0.40400000000000003</v>
      </c>
      <c r="O61" s="84">
        <v>0.39300000000000002</v>
      </c>
      <c r="P61" s="84">
        <v>12.003</v>
      </c>
      <c r="Q61" s="85">
        <v>0</v>
      </c>
      <c r="R61" s="85">
        <v>3.2741814546363407E-2</v>
      </c>
      <c r="S61" s="87">
        <v>3.2741814546363407E-2</v>
      </c>
      <c r="T61" s="83">
        <v>77</v>
      </c>
      <c r="U61" s="88">
        <v>0</v>
      </c>
      <c r="V61" s="88">
        <v>11.3635</v>
      </c>
      <c r="W61" s="88">
        <v>2.0234999999999999</v>
      </c>
      <c r="X61" s="88">
        <v>2.0179999999999998</v>
      </c>
      <c r="Y61" s="88">
        <v>11.3635</v>
      </c>
      <c r="Z61" s="29">
        <v>0</v>
      </c>
      <c r="AA61" s="29">
        <v>0.18622357418851176</v>
      </c>
      <c r="AB61" s="89">
        <v>0.18622357418851176</v>
      </c>
    </row>
    <row r="62" spans="2:28">
      <c r="B62" s="75">
        <v>78</v>
      </c>
      <c r="C62" s="76">
        <v>0</v>
      </c>
      <c r="D62" s="76">
        <v>10.228999999999999</v>
      </c>
      <c r="E62" s="76">
        <v>3.625</v>
      </c>
      <c r="F62" s="76">
        <v>3.625</v>
      </c>
      <c r="G62" s="76">
        <v>10.228999999999999</v>
      </c>
      <c r="H62" s="77">
        <v>0</v>
      </c>
      <c r="I62" s="76">
        <v>0.35438459282432305</v>
      </c>
      <c r="J62" s="77">
        <v>0.35438459282432305</v>
      </c>
      <c r="K62" s="75">
        <v>78</v>
      </c>
      <c r="L62" s="76">
        <v>0</v>
      </c>
      <c r="M62" s="76">
        <v>11.47</v>
      </c>
      <c r="N62" s="79">
        <v>0.38100000000000001</v>
      </c>
      <c r="O62" s="76">
        <v>0.371</v>
      </c>
      <c r="P62" s="76">
        <v>11.47</v>
      </c>
      <c r="Q62" s="77">
        <v>0</v>
      </c>
      <c r="R62" s="77">
        <v>3.2345248474280733E-2</v>
      </c>
      <c r="S62" s="78">
        <v>3.2345248474280733E-2</v>
      </c>
      <c r="T62" s="75">
        <v>78</v>
      </c>
      <c r="U62" s="80">
        <v>0</v>
      </c>
      <c r="V62" s="80">
        <v>10.849499999999999</v>
      </c>
      <c r="W62" s="80">
        <v>2.0030000000000001</v>
      </c>
      <c r="X62" s="80">
        <v>1.998</v>
      </c>
      <c r="Y62" s="80">
        <v>10.849499999999999</v>
      </c>
      <c r="Z62" s="81">
        <v>0</v>
      </c>
      <c r="AA62" s="81">
        <v>0.19336492064930189</v>
      </c>
      <c r="AB62" s="82">
        <v>0.19336492064930189</v>
      </c>
    </row>
    <row r="63" spans="2:28">
      <c r="B63" s="83">
        <v>79</v>
      </c>
      <c r="C63" s="84">
        <v>0</v>
      </c>
      <c r="D63" s="84">
        <v>9.7330000000000005</v>
      </c>
      <c r="E63" s="84">
        <v>3.601</v>
      </c>
      <c r="F63" s="84">
        <v>3.601</v>
      </c>
      <c r="G63" s="84">
        <v>9.7330000000000005</v>
      </c>
      <c r="H63" s="85">
        <v>0</v>
      </c>
      <c r="I63" s="84">
        <v>0.36997842391862734</v>
      </c>
      <c r="J63" s="85">
        <v>0.36997842391862734</v>
      </c>
      <c r="K63" s="83">
        <v>79</v>
      </c>
      <c r="L63" s="84">
        <v>0</v>
      </c>
      <c r="M63" s="84">
        <v>10.932</v>
      </c>
      <c r="N63" s="86">
        <v>0.35699999999999998</v>
      </c>
      <c r="O63" s="84">
        <v>0.34899999999999998</v>
      </c>
      <c r="P63" s="84">
        <v>10.932</v>
      </c>
      <c r="Q63" s="85">
        <v>0</v>
      </c>
      <c r="R63" s="85">
        <v>3.1924624954262709E-2</v>
      </c>
      <c r="S63" s="87">
        <v>3.1924624954262709E-2</v>
      </c>
      <c r="T63" s="83">
        <v>79</v>
      </c>
      <c r="U63" s="88">
        <v>0</v>
      </c>
      <c r="V63" s="88">
        <v>10.3325</v>
      </c>
      <c r="W63" s="88">
        <v>1.9790000000000001</v>
      </c>
      <c r="X63" s="88">
        <v>1.9750000000000001</v>
      </c>
      <c r="Y63" s="88">
        <v>10.3325</v>
      </c>
      <c r="Z63" s="29">
        <v>0</v>
      </c>
      <c r="AA63" s="29">
        <v>0.20095152443644504</v>
      </c>
      <c r="AB63" s="89">
        <v>0.20095152443644504</v>
      </c>
    </row>
    <row r="64" spans="2:28">
      <c r="B64" s="75">
        <v>80</v>
      </c>
      <c r="C64" s="76">
        <v>0</v>
      </c>
      <c r="D64" s="76">
        <v>9.2379999999999995</v>
      </c>
      <c r="E64" s="76">
        <v>3.57</v>
      </c>
      <c r="F64" s="76">
        <v>3.57</v>
      </c>
      <c r="G64" s="76">
        <v>9.2379999999999995</v>
      </c>
      <c r="H64" s="77">
        <v>0</v>
      </c>
      <c r="I64" s="76">
        <v>0.38644728296168002</v>
      </c>
      <c r="J64" s="77">
        <v>0.38644728296168002</v>
      </c>
      <c r="K64" s="75">
        <v>80</v>
      </c>
      <c r="L64" s="76">
        <v>0</v>
      </c>
      <c r="M64" s="76">
        <v>10.391999999999999</v>
      </c>
      <c r="N64" s="79">
        <v>0.33300000000000002</v>
      </c>
      <c r="O64" s="76">
        <v>0.32700000000000001</v>
      </c>
      <c r="P64" s="76">
        <v>10.391999999999999</v>
      </c>
      <c r="Q64" s="77">
        <v>0</v>
      </c>
      <c r="R64" s="77">
        <v>3.1466512702078522E-2</v>
      </c>
      <c r="S64" s="78">
        <v>3.1466512702078522E-2</v>
      </c>
      <c r="T64" s="75">
        <v>80</v>
      </c>
      <c r="U64" s="80">
        <v>0</v>
      </c>
      <c r="V64" s="80">
        <v>9.8149999999999995</v>
      </c>
      <c r="W64" s="80">
        <v>1.9515</v>
      </c>
      <c r="X64" s="80">
        <v>1.9484999999999999</v>
      </c>
      <c r="Y64" s="80">
        <v>9.8149999999999995</v>
      </c>
      <c r="Z64" s="81">
        <v>0</v>
      </c>
      <c r="AA64" s="81">
        <v>0.20895689783187926</v>
      </c>
      <c r="AB64" s="82">
        <v>0.20895689783187926</v>
      </c>
    </row>
    <row r="65" spans="2:28">
      <c r="B65" s="83">
        <v>81</v>
      </c>
      <c r="C65" s="84">
        <v>0</v>
      </c>
      <c r="D65" s="84">
        <v>8.7469999999999999</v>
      </c>
      <c r="E65" s="84">
        <v>3.5310000000000001</v>
      </c>
      <c r="F65" s="84">
        <v>3.5310000000000001</v>
      </c>
      <c r="G65" s="84">
        <v>8.7469999999999999</v>
      </c>
      <c r="H65" s="85">
        <v>0</v>
      </c>
      <c r="I65" s="84">
        <v>0.40368126214702188</v>
      </c>
      <c r="J65" s="85">
        <v>0.40368126214702188</v>
      </c>
      <c r="K65" s="83">
        <v>81</v>
      </c>
      <c r="L65" s="84">
        <v>0</v>
      </c>
      <c r="M65" s="84">
        <v>9.8529999999999998</v>
      </c>
      <c r="N65" s="86">
        <v>0.309</v>
      </c>
      <c r="O65" s="84">
        <v>0.30399999999999999</v>
      </c>
      <c r="P65" s="84">
        <v>9.8529999999999998</v>
      </c>
      <c r="Q65" s="85">
        <v>0</v>
      </c>
      <c r="R65" s="85">
        <v>3.0853547143002133E-2</v>
      </c>
      <c r="S65" s="87">
        <v>3.0853547143002133E-2</v>
      </c>
      <c r="T65" s="83">
        <v>81</v>
      </c>
      <c r="U65" s="88">
        <v>0</v>
      </c>
      <c r="V65" s="88">
        <v>9.3000000000000007</v>
      </c>
      <c r="W65" s="88">
        <v>1.9200000000000002</v>
      </c>
      <c r="X65" s="88">
        <v>1.9175</v>
      </c>
      <c r="Y65" s="88">
        <v>9.3000000000000007</v>
      </c>
      <c r="Z65" s="29">
        <v>0</v>
      </c>
      <c r="AA65" s="29">
        <v>0.21726740464501201</v>
      </c>
      <c r="AB65" s="89">
        <v>0.21726740464501201</v>
      </c>
    </row>
    <row r="66" spans="2:28">
      <c r="B66" s="75">
        <v>82</v>
      </c>
      <c r="C66" s="76">
        <v>0</v>
      </c>
      <c r="D66" s="76">
        <v>8.2629999999999999</v>
      </c>
      <c r="E66" s="76">
        <v>3.4820000000000002</v>
      </c>
      <c r="F66" s="76">
        <v>3.4820000000000002</v>
      </c>
      <c r="G66" s="76">
        <v>8.2629999999999999</v>
      </c>
      <c r="H66" s="77">
        <v>0</v>
      </c>
      <c r="I66" s="76">
        <v>0.4213965871959337</v>
      </c>
      <c r="J66" s="77">
        <v>0.4213965871959337</v>
      </c>
      <c r="K66" s="75">
        <v>82</v>
      </c>
      <c r="L66" s="76">
        <v>0</v>
      </c>
      <c r="M66" s="76">
        <v>9.3179999999999996</v>
      </c>
      <c r="N66" s="79">
        <v>0.28499999999999998</v>
      </c>
      <c r="O66" s="76">
        <v>0.28100000000000003</v>
      </c>
      <c r="P66" s="76">
        <v>9.3179999999999996</v>
      </c>
      <c r="Q66" s="77">
        <v>0</v>
      </c>
      <c r="R66" s="77">
        <v>3.0156685984116766E-2</v>
      </c>
      <c r="S66" s="78">
        <v>3.0156685984116766E-2</v>
      </c>
      <c r="T66" s="75">
        <v>82</v>
      </c>
      <c r="U66" s="80">
        <v>0</v>
      </c>
      <c r="V66" s="80">
        <v>8.7904999999999998</v>
      </c>
      <c r="W66" s="80">
        <v>1.8835000000000002</v>
      </c>
      <c r="X66" s="80">
        <v>1.8815000000000002</v>
      </c>
      <c r="Y66" s="80">
        <v>8.7904999999999998</v>
      </c>
      <c r="Z66" s="81">
        <v>0</v>
      </c>
      <c r="AA66" s="81">
        <v>0.22577663659002523</v>
      </c>
      <c r="AB66" s="82">
        <v>0.22577663659002523</v>
      </c>
    </row>
    <row r="67" spans="2:28">
      <c r="B67" s="83">
        <v>83</v>
      </c>
      <c r="C67" s="84">
        <v>0</v>
      </c>
      <c r="D67" s="84">
        <v>7.7880000000000003</v>
      </c>
      <c r="E67" s="84">
        <v>3.4089999999999998</v>
      </c>
      <c r="F67" s="84">
        <v>3.4089999999999998</v>
      </c>
      <c r="G67" s="84">
        <v>7.7880000000000003</v>
      </c>
      <c r="H67" s="85">
        <v>0</v>
      </c>
      <c r="I67" s="84">
        <v>0.43772470467385716</v>
      </c>
      <c r="J67" s="85">
        <v>0.43772470467385716</v>
      </c>
      <c r="K67" s="83">
        <v>83</v>
      </c>
      <c r="L67" s="84">
        <v>0</v>
      </c>
      <c r="M67" s="84">
        <v>8.7889999999999997</v>
      </c>
      <c r="N67" s="86">
        <v>0.26100000000000001</v>
      </c>
      <c r="O67" s="84">
        <v>0.25800000000000001</v>
      </c>
      <c r="P67" s="84">
        <v>8.7889999999999997</v>
      </c>
      <c r="Q67" s="85">
        <v>0</v>
      </c>
      <c r="R67" s="85">
        <v>2.9354875412447381E-2</v>
      </c>
      <c r="S67" s="87">
        <v>2.9354875412447381E-2</v>
      </c>
      <c r="T67" s="83">
        <v>83</v>
      </c>
      <c r="U67" s="88">
        <v>0</v>
      </c>
      <c r="V67" s="88">
        <v>8.2884999999999991</v>
      </c>
      <c r="W67" s="88">
        <v>1.835</v>
      </c>
      <c r="X67" s="88">
        <v>1.8334999999999999</v>
      </c>
      <c r="Y67" s="88">
        <v>8.2884999999999991</v>
      </c>
      <c r="Z67" s="29">
        <v>0</v>
      </c>
      <c r="AA67" s="29">
        <v>0.23353979004315226</v>
      </c>
      <c r="AB67" s="89">
        <v>0.23353979004315226</v>
      </c>
    </row>
    <row r="68" spans="2:28">
      <c r="B68" s="75">
        <v>84</v>
      </c>
      <c r="C68" s="76">
        <v>0</v>
      </c>
      <c r="D68" s="76">
        <v>7.327</v>
      </c>
      <c r="E68" s="76">
        <v>3.3220000000000001</v>
      </c>
      <c r="F68" s="76">
        <v>3.3220000000000001</v>
      </c>
      <c r="G68" s="76">
        <v>7.327</v>
      </c>
      <c r="H68" s="77">
        <v>0</v>
      </c>
      <c r="I68" s="76">
        <v>0.4533915654428825</v>
      </c>
      <c r="J68" s="77">
        <v>0.4533915654428825</v>
      </c>
      <c r="K68" s="75">
        <v>84</v>
      </c>
      <c r="L68" s="76">
        <v>0</v>
      </c>
      <c r="M68" s="76">
        <v>8.2710000000000008</v>
      </c>
      <c r="N68" s="79">
        <v>0.23799999999999999</v>
      </c>
      <c r="O68" s="76">
        <v>0.23499999999999999</v>
      </c>
      <c r="P68" s="76">
        <v>8.2710000000000008</v>
      </c>
      <c r="Q68" s="77">
        <v>0</v>
      </c>
      <c r="R68" s="77">
        <v>2.8412525692177483E-2</v>
      </c>
      <c r="S68" s="78">
        <v>2.8412525692177483E-2</v>
      </c>
      <c r="T68" s="75">
        <v>84</v>
      </c>
      <c r="U68" s="80">
        <v>0</v>
      </c>
      <c r="V68" s="80">
        <v>7.7990000000000004</v>
      </c>
      <c r="W68" s="80">
        <v>1.78</v>
      </c>
      <c r="X68" s="80">
        <v>1.7785</v>
      </c>
      <c r="Y68" s="80">
        <v>7.7990000000000004</v>
      </c>
      <c r="Z68" s="81">
        <v>0</v>
      </c>
      <c r="AA68" s="81">
        <v>0.24090204556753</v>
      </c>
      <c r="AB68" s="82">
        <v>0.24090204556753</v>
      </c>
    </row>
    <row r="69" spans="2:28">
      <c r="B69" s="83">
        <v>85</v>
      </c>
      <c r="C69" s="84">
        <v>0</v>
      </c>
      <c r="D69" s="84">
        <v>6.883</v>
      </c>
      <c r="E69" s="84">
        <v>3.2229999999999999</v>
      </c>
      <c r="F69" s="84">
        <v>3.2229999999999999</v>
      </c>
      <c r="G69" s="84">
        <v>6.883</v>
      </c>
      <c r="H69" s="85">
        <v>0</v>
      </c>
      <c r="I69" s="84">
        <v>0.46825512131338076</v>
      </c>
      <c r="J69" s="85">
        <v>0.46825512131338076</v>
      </c>
      <c r="K69" s="83">
        <v>85</v>
      </c>
      <c r="L69" s="84">
        <v>0</v>
      </c>
      <c r="M69" s="84">
        <v>7.7679999999999998</v>
      </c>
      <c r="N69" s="86">
        <v>0.21199999999999999</v>
      </c>
      <c r="O69" s="84">
        <v>0.21</v>
      </c>
      <c r="P69" s="84">
        <v>7.7679999999999998</v>
      </c>
      <c r="Q69" s="85">
        <v>0</v>
      </c>
      <c r="R69" s="85">
        <v>2.7033985581874358E-2</v>
      </c>
      <c r="S69" s="87">
        <v>2.7033985581874358E-2</v>
      </c>
      <c r="T69" s="83">
        <v>85</v>
      </c>
      <c r="U69" s="88">
        <v>0</v>
      </c>
      <c r="V69" s="88">
        <v>7.3254999999999999</v>
      </c>
      <c r="W69" s="88">
        <v>1.7175</v>
      </c>
      <c r="X69" s="88">
        <v>1.7164999999999999</v>
      </c>
      <c r="Y69" s="88">
        <v>7.3254999999999999</v>
      </c>
      <c r="Z69" s="29">
        <v>0</v>
      </c>
      <c r="AA69" s="29">
        <v>0.24764455344762756</v>
      </c>
      <c r="AB69" s="89">
        <v>0.24764455344762756</v>
      </c>
    </row>
    <row r="70" spans="2:28">
      <c r="B70" s="75">
        <v>86</v>
      </c>
      <c r="C70" s="76">
        <v>0</v>
      </c>
      <c r="D70" s="76">
        <v>6.4619999999999997</v>
      </c>
      <c r="E70" s="76">
        <v>3.1139999999999999</v>
      </c>
      <c r="F70" s="76">
        <v>3.1139999999999999</v>
      </c>
      <c r="G70" s="76">
        <v>6.4619999999999997</v>
      </c>
      <c r="H70" s="77">
        <v>0</v>
      </c>
      <c r="I70" s="76">
        <v>0.48189415041782729</v>
      </c>
      <c r="J70" s="77">
        <v>0.48189415041782729</v>
      </c>
      <c r="K70" s="75">
        <v>86</v>
      </c>
      <c r="L70" s="76">
        <v>0</v>
      </c>
      <c r="M70" s="76">
        <v>7.2850000000000001</v>
      </c>
      <c r="N70" s="79">
        <v>0.186</v>
      </c>
      <c r="O70" s="76">
        <v>0.186</v>
      </c>
      <c r="P70" s="76">
        <v>7.2850000000000001</v>
      </c>
      <c r="Q70" s="77">
        <v>0</v>
      </c>
      <c r="R70" s="77">
        <v>2.553191489361702E-2</v>
      </c>
      <c r="S70" s="78">
        <v>2.553191489361702E-2</v>
      </c>
      <c r="T70" s="75">
        <v>86</v>
      </c>
      <c r="U70" s="80">
        <v>0</v>
      </c>
      <c r="V70" s="80">
        <v>6.8734999999999999</v>
      </c>
      <c r="W70" s="80">
        <v>1.65</v>
      </c>
      <c r="X70" s="80">
        <v>1.65</v>
      </c>
      <c r="Y70" s="80">
        <v>6.8734999999999999</v>
      </c>
      <c r="Z70" s="81">
        <v>0</v>
      </c>
      <c r="AA70" s="81">
        <v>0.25371303265572215</v>
      </c>
      <c r="AB70" s="82">
        <v>0.25371303265572215</v>
      </c>
    </row>
    <row r="71" spans="2:28">
      <c r="B71" s="83">
        <v>87</v>
      </c>
      <c r="C71" s="84">
        <v>0</v>
      </c>
      <c r="D71" s="84">
        <v>6.069</v>
      </c>
      <c r="E71" s="84">
        <v>2.9969999999999999</v>
      </c>
      <c r="F71" s="84">
        <v>2.9969999999999999</v>
      </c>
      <c r="G71" s="84">
        <v>6.069</v>
      </c>
      <c r="H71" s="85">
        <v>0</v>
      </c>
      <c r="I71" s="84">
        <v>0.49382105783489866</v>
      </c>
      <c r="J71" s="85">
        <v>0.49382105783489866</v>
      </c>
      <c r="K71" s="83">
        <v>87</v>
      </c>
      <c r="L71" s="84">
        <v>0</v>
      </c>
      <c r="M71" s="84">
        <v>6.8259999999999996</v>
      </c>
      <c r="N71" s="86">
        <v>0.16200000000000001</v>
      </c>
      <c r="O71" s="84">
        <v>0.16200000000000001</v>
      </c>
      <c r="P71" s="84">
        <v>6.8259999999999996</v>
      </c>
      <c r="Q71" s="85">
        <v>0</v>
      </c>
      <c r="R71" s="85">
        <v>2.3732786404922358E-2</v>
      </c>
      <c r="S71" s="87">
        <v>2.3732786404922358E-2</v>
      </c>
      <c r="T71" s="83">
        <v>87</v>
      </c>
      <c r="U71" s="88">
        <v>0</v>
      </c>
      <c r="V71" s="88">
        <v>6.4474999999999998</v>
      </c>
      <c r="W71" s="88">
        <v>1.5794999999999999</v>
      </c>
      <c r="X71" s="88">
        <v>1.5794999999999999</v>
      </c>
      <c r="Y71" s="88">
        <v>6.4474999999999998</v>
      </c>
      <c r="Z71" s="29">
        <v>0</v>
      </c>
      <c r="AA71" s="29">
        <v>0.25877692211991049</v>
      </c>
      <c r="AB71" s="89">
        <v>0.25877692211991049</v>
      </c>
    </row>
    <row r="72" spans="2:28">
      <c r="B72" s="75">
        <v>88</v>
      </c>
      <c r="C72" s="76">
        <v>0</v>
      </c>
      <c r="D72" s="76">
        <v>5.7119999999999997</v>
      </c>
      <c r="E72" s="76">
        <v>2.8730000000000002</v>
      </c>
      <c r="F72" s="76">
        <v>2.8730000000000002</v>
      </c>
      <c r="G72" s="76">
        <v>5.7119999999999997</v>
      </c>
      <c r="H72" s="77">
        <v>0</v>
      </c>
      <c r="I72" s="76">
        <v>0.50297619047619058</v>
      </c>
      <c r="J72" s="77">
        <v>0.50297619047619058</v>
      </c>
      <c r="K72" s="75">
        <v>88</v>
      </c>
      <c r="L72" s="76">
        <v>0</v>
      </c>
      <c r="M72" s="76">
        <v>6.3979999999999997</v>
      </c>
      <c r="N72" s="79">
        <v>0.14000000000000001</v>
      </c>
      <c r="O72" s="76">
        <v>0.14000000000000001</v>
      </c>
      <c r="P72" s="76">
        <v>6.3979999999999997</v>
      </c>
      <c r="Q72" s="77">
        <v>0</v>
      </c>
      <c r="R72" s="77">
        <v>2.1881838074398252E-2</v>
      </c>
      <c r="S72" s="78">
        <v>2.1881838074398252E-2</v>
      </c>
      <c r="T72" s="75">
        <v>88</v>
      </c>
      <c r="U72" s="80">
        <v>0</v>
      </c>
      <c r="V72" s="80">
        <v>6.0549999999999997</v>
      </c>
      <c r="W72" s="80">
        <v>1.5065000000000002</v>
      </c>
      <c r="X72" s="80">
        <v>1.5065000000000002</v>
      </c>
      <c r="Y72" s="80">
        <v>6.0549999999999997</v>
      </c>
      <c r="Z72" s="81">
        <v>0</v>
      </c>
      <c r="AA72" s="81">
        <v>0.26242901427529441</v>
      </c>
      <c r="AB72" s="82">
        <v>0.26242901427529441</v>
      </c>
    </row>
    <row r="73" spans="2:28">
      <c r="B73" s="83">
        <v>89</v>
      </c>
      <c r="C73" s="84">
        <v>0</v>
      </c>
      <c r="D73" s="84">
        <v>5.3979999999999997</v>
      </c>
      <c r="E73" s="84">
        <v>2.7149999999999999</v>
      </c>
      <c r="F73" s="84">
        <v>2.7149999999999999</v>
      </c>
      <c r="G73" s="84">
        <v>5.3979999999999997</v>
      </c>
      <c r="H73" s="85">
        <v>0</v>
      </c>
      <c r="I73" s="84">
        <v>0.50296406076324562</v>
      </c>
      <c r="J73" s="85">
        <v>0.50296406076324562</v>
      </c>
      <c r="K73" s="83">
        <v>89</v>
      </c>
      <c r="L73" s="84">
        <v>0</v>
      </c>
      <c r="M73" s="84">
        <v>6.0069999999999997</v>
      </c>
      <c r="N73" s="86">
        <v>0.11700000000000001</v>
      </c>
      <c r="O73" s="84">
        <v>0.11700000000000001</v>
      </c>
      <c r="P73" s="84">
        <v>6.0069999999999997</v>
      </c>
      <c r="Q73" s="85">
        <v>0</v>
      </c>
      <c r="R73" s="85">
        <v>1.9477276510737475E-2</v>
      </c>
      <c r="S73" s="87">
        <v>1.9477276510737475E-2</v>
      </c>
      <c r="T73" s="83">
        <v>89</v>
      </c>
      <c r="U73" s="88">
        <v>0</v>
      </c>
      <c r="V73" s="88">
        <v>5.7024999999999997</v>
      </c>
      <c r="W73" s="88">
        <v>1.4159999999999999</v>
      </c>
      <c r="X73" s="88">
        <v>1.4159999999999999</v>
      </c>
      <c r="Y73" s="88">
        <v>5.7024999999999997</v>
      </c>
      <c r="Z73" s="29">
        <v>0</v>
      </c>
      <c r="AA73" s="29">
        <v>0.26122066863699156</v>
      </c>
      <c r="AB73" s="89">
        <v>0.26122066863699156</v>
      </c>
    </row>
    <row r="74" spans="2:28">
      <c r="B74" s="75">
        <v>90</v>
      </c>
      <c r="C74" s="76">
        <v>0</v>
      </c>
      <c r="D74" s="76">
        <v>5.1150000000000002</v>
      </c>
      <c r="E74" s="76">
        <v>2.5489999999999999</v>
      </c>
      <c r="F74" s="76">
        <v>2.5489999999999999</v>
      </c>
      <c r="G74" s="76">
        <v>5.1150000000000002</v>
      </c>
      <c r="H74" s="77">
        <v>0</v>
      </c>
      <c r="I74" s="76">
        <v>0.49833822091886604</v>
      </c>
      <c r="J74" s="77">
        <v>0.49833822091886604</v>
      </c>
      <c r="K74" s="75">
        <v>90</v>
      </c>
      <c r="L74" s="76">
        <v>0</v>
      </c>
      <c r="M74" s="76">
        <v>5.6550000000000002</v>
      </c>
      <c r="N74" s="79">
        <v>9.7000000000000003E-2</v>
      </c>
      <c r="O74" s="76">
        <v>9.7000000000000003E-2</v>
      </c>
      <c r="P74" s="76">
        <v>5.6550000000000002</v>
      </c>
      <c r="Q74" s="77">
        <v>0</v>
      </c>
      <c r="R74" s="77">
        <v>1.7152961980548186E-2</v>
      </c>
      <c r="S74" s="78">
        <v>1.7152961980548186E-2</v>
      </c>
      <c r="T74" s="75">
        <v>90</v>
      </c>
      <c r="U74" s="80">
        <v>0</v>
      </c>
      <c r="V74" s="80">
        <v>5.3849999999999998</v>
      </c>
      <c r="W74" s="80">
        <v>1.323</v>
      </c>
      <c r="X74" s="80">
        <v>1.323</v>
      </c>
      <c r="Y74" s="80">
        <v>5.3849999999999998</v>
      </c>
      <c r="Z74" s="81">
        <v>0</v>
      </c>
      <c r="AA74" s="81">
        <v>0.2577455914497071</v>
      </c>
      <c r="AB74" s="82">
        <v>0.2577455914497071</v>
      </c>
    </row>
    <row r="75" spans="2:28">
      <c r="B75" s="83">
        <v>91</v>
      </c>
      <c r="C75" s="84">
        <v>0</v>
      </c>
      <c r="D75" s="84">
        <v>4.8499999999999996</v>
      </c>
      <c r="E75" s="84">
        <v>2.387</v>
      </c>
      <c r="F75" s="84">
        <v>2.387</v>
      </c>
      <c r="G75" s="84">
        <v>4.8499999999999996</v>
      </c>
      <c r="H75" s="85">
        <v>0</v>
      </c>
      <c r="I75" s="84">
        <v>0.49216494845360831</v>
      </c>
      <c r="J75" s="85">
        <v>0.49216494845360831</v>
      </c>
      <c r="K75" s="83">
        <v>91</v>
      </c>
      <c r="L75" s="84">
        <v>0</v>
      </c>
      <c r="M75" s="84">
        <v>5.3319999999999999</v>
      </c>
      <c r="N75" s="86">
        <v>0.08</v>
      </c>
      <c r="O75" s="84">
        <v>0.08</v>
      </c>
      <c r="P75" s="84">
        <v>5.3319999999999999</v>
      </c>
      <c r="Q75" s="85">
        <v>0</v>
      </c>
      <c r="R75" s="85">
        <v>1.5003750937734435E-2</v>
      </c>
      <c r="S75" s="87">
        <v>1.5003750937734435E-2</v>
      </c>
      <c r="T75" s="83">
        <v>91</v>
      </c>
      <c r="U75" s="88">
        <v>0</v>
      </c>
      <c r="V75" s="88">
        <v>5.0909999999999993</v>
      </c>
      <c r="W75" s="88">
        <v>1.2335</v>
      </c>
      <c r="X75" s="88">
        <v>1.2335</v>
      </c>
      <c r="Y75" s="88">
        <v>5.0909999999999993</v>
      </c>
      <c r="Z75" s="29">
        <v>0</v>
      </c>
      <c r="AA75" s="29">
        <v>0.2535843496956714</v>
      </c>
      <c r="AB75" s="89">
        <v>0.2535843496956714</v>
      </c>
    </row>
    <row r="76" spans="2:28">
      <c r="B76" s="75">
        <v>92</v>
      </c>
      <c r="C76" s="76">
        <v>0</v>
      </c>
      <c r="D76" s="76">
        <v>4.6040000000000001</v>
      </c>
      <c r="E76" s="76">
        <v>2.2040000000000002</v>
      </c>
      <c r="F76" s="76">
        <v>2.2040000000000002</v>
      </c>
      <c r="G76" s="76">
        <v>4.6040000000000001</v>
      </c>
      <c r="H76" s="77">
        <v>0</v>
      </c>
      <c r="I76" s="76">
        <v>0.47871416159860991</v>
      </c>
      <c r="J76" s="77">
        <v>0.47871416159860991</v>
      </c>
      <c r="K76" s="75">
        <v>92</v>
      </c>
      <c r="L76" s="76">
        <v>0</v>
      </c>
      <c r="M76" s="76">
        <v>5.0289999999999999</v>
      </c>
      <c r="N76" s="79">
        <v>6.4000000000000001E-2</v>
      </c>
      <c r="O76" s="76">
        <v>6.5000000000000002E-2</v>
      </c>
      <c r="P76" s="76">
        <v>5.0289999999999999</v>
      </c>
      <c r="Q76" s="77">
        <v>0</v>
      </c>
      <c r="R76" s="77">
        <v>1.2925034798170611E-2</v>
      </c>
      <c r="S76" s="78">
        <v>1.2925034798170611E-2</v>
      </c>
      <c r="T76" s="75">
        <v>92</v>
      </c>
      <c r="U76" s="80">
        <v>0</v>
      </c>
      <c r="V76" s="80">
        <v>4.8164999999999996</v>
      </c>
      <c r="W76" s="80">
        <v>1.1340000000000001</v>
      </c>
      <c r="X76" s="80">
        <v>1.1345000000000001</v>
      </c>
      <c r="Y76" s="80">
        <v>4.8164999999999996</v>
      </c>
      <c r="Z76" s="81">
        <v>0</v>
      </c>
      <c r="AA76" s="81">
        <v>0.24581959819839025</v>
      </c>
      <c r="AB76" s="82">
        <v>0.24581959819839025</v>
      </c>
    </row>
    <row r="77" spans="2:28">
      <c r="B77" s="83">
        <v>93</v>
      </c>
      <c r="C77" s="84">
        <v>0</v>
      </c>
      <c r="D77" s="84">
        <v>4.3760000000000003</v>
      </c>
      <c r="E77" s="84">
        <v>2.0350000000000001</v>
      </c>
      <c r="F77" s="84">
        <v>2.0350000000000001</v>
      </c>
      <c r="G77" s="84">
        <v>4.3760000000000003</v>
      </c>
      <c r="H77" s="85">
        <v>0</v>
      </c>
      <c r="I77" s="84">
        <v>0.46503656307129798</v>
      </c>
      <c r="J77" s="85">
        <v>0.46503656307129798</v>
      </c>
      <c r="K77" s="83">
        <v>93</v>
      </c>
      <c r="L77" s="84">
        <v>0</v>
      </c>
      <c r="M77" s="84">
        <v>4.7469999999999999</v>
      </c>
      <c r="N77" s="86">
        <v>5.1999999999999998E-2</v>
      </c>
      <c r="O77" s="84">
        <v>5.2999999999999999E-2</v>
      </c>
      <c r="P77" s="84">
        <v>4.7469999999999999</v>
      </c>
      <c r="Q77" s="85">
        <v>0</v>
      </c>
      <c r="R77" s="85">
        <v>1.1164946281862228E-2</v>
      </c>
      <c r="S77" s="87">
        <v>1.1164946281862228E-2</v>
      </c>
      <c r="T77" s="83">
        <v>93</v>
      </c>
      <c r="U77" s="88">
        <v>0</v>
      </c>
      <c r="V77" s="88">
        <v>4.5615000000000006</v>
      </c>
      <c r="W77" s="88">
        <v>1.0435000000000001</v>
      </c>
      <c r="X77" s="88">
        <v>1.044</v>
      </c>
      <c r="Y77" s="88">
        <v>4.5615000000000006</v>
      </c>
      <c r="Z77" s="29">
        <v>0</v>
      </c>
      <c r="AA77" s="29">
        <v>0.2381007546765801</v>
      </c>
      <c r="AB77" s="89">
        <v>0.2381007546765801</v>
      </c>
    </row>
    <row r="78" spans="2:28">
      <c r="B78" s="75">
        <v>94</v>
      </c>
      <c r="C78" s="76">
        <v>0</v>
      </c>
      <c r="D78" s="76">
        <v>4.1660000000000004</v>
      </c>
      <c r="E78" s="76">
        <v>1.85</v>
      </c>
      <c r="F78" s="76">
        <v>1.85</v>
      </c>
      <c r="G78" s="76">
        <v>4.1660000000000004</v>
      </c>
      <c r="H78" s="77">
        <v>0</v>
      </c>
      <c r="I78" s="76">
        <v>0.44407105136821889</v>
      </c>
      <c r="J78" s="77">
        <v>0.44407105136821889</v>
      </c>
      <c r="K78" s="75">
        <v>94</v>
      </c>
      <c r="L78" s="76">
        <v>0</v>
      </c>
      <c r="M78" s="76">
        <v>4.4850000000000003</v>
      </c>
      <c r="N78" s="79">
        <v>4.2000000000000003E-2</v>
      </c>
      <c r="O78" s="76">
        <v>4.2000000000000003E-2</v>
      </c>
      <c r="P78" s="76">
        <v>4.4850000000000003</v>
      </c>
      <c r="Q78" s="77">
        <v>0</v>
      </c>
      <c r="R78" s="77">
        <v>9.3645484949832769E-3</v>
      </c>
      <c r="S78" s="78">
        <v>9.3645484949832769E-3</v>
      </c>
      <c r="T78" s="75">
        <v>94</v>
      </c>
      <c r="U78" s="80">
        <v>0</v>
      </c>
      <c r="V78" s="80">
        <v>4.3254999999999999</v>
      </c>
      <c r="W78" s="80">
        <v>0.94600000000000006</v>
      </c>
      <c r="X78" s="80">
        <v>0.94600000000000006</v>
      </c>
      <c r="Y78" s="80">
        <v>4.3254999999999999</v>
      </c>
      <c r="Z78" s="81">
        <v>0</v>
      </c>
      <c r="AA78" s="81">
        <v>0.22671779993160107</v>
      </c>
      <c r="AB78" s="82">
        <v>0.22671779993160107</v>
      </c>
    </row>
    <row r="79" spans="2:28">
      <c r="B79" s="83">
        <v>95</v>
      </c>
      <c r="C79" s="84">
        <v>0</v>
      </c>
      <c r="D79" s="84">
        <v>3.9740000000000002</v>
      </c>
      <c r="E79" s="84">
        <v>1.6830000000000001</v>
      </c>
      <c r="F79" s="84">
        <v>1.6830000000000001</v>
      </c>
      <c r="G79" s="84">
        <v>3.9740000000000002</v>
      </c>
      <c r="H79" s="85">
        <v>0</v>
      </c>
      <c r="I79" s="84">
        <v>0.42350276799194764</v>
      </c>
      <c r="J79" s="85">
        <v>0.42350276799194764</v>
      </c>
      <c r="K79" s="83">
        <v>95</v>
      </c>
      <c r="L79" s="84">
        <v>0</v>
      </c>
      <c r="M79" s="84">
        <v>4.2450000000000001</v>
      </c>
      <c r="N79" s="86">
        <v>3.4000000000000002E-2</v>
      </c>
      <c r="O79" s="84">
        <v>3.4000000000000002E-2</v>
      </c>
      <c r="P79" s="84">
        <v>4.2450000000000001</v>
      </c>
      <c r="Q79" s="85">
        <v>0</v>
      </c>
      <c r="R79" s="85">
        <v>8.0094228504122497E-3</v>
      </c>
      <c r="S79" s="87">
        <v>8.0094228504122497E-3</v>
      </c>
      <c r="T79" s="83">
        <v>95</v>
      </c>
      <c r="U79" s="88">
        <v>0</v>
      </c>
      <c r="V79" s="88">
        <v>4.1095000000000006</v>
      </c>
      <c r="W79" s="88">
        <v>0.85850000000000004</v>
      </c>
      <c r="X79" s="88">
        <v>0.85850000000000004</v>
      </c>
      <c r="Y79" s="88">
        <v>4.1095000000000006</v>
      </c>
      <c r="Z79" s="29">
        <v>0</v>
      </c>
      <c r="AA79" s="29">
        <v>0.21575609542117993</v>
      </c>
      <c r="AB79" s="89">
        <v>0.21575609542117993</v>
      </c>
    </row>
    <row r="80" spans="2:28">
      <c r="B80" s="75">
        <v>96</v>
      </c>
      <c r="C80" s="76">
        <v>0</v>
      </c>
      <c r="D80" s="76">
        <v>3.798</v>
      </c>
      <c r="E80" s="76">
        <v>1.5349999999999999</v>
      </c>
      <c r="F80" s="76">
        <v>1.5349999999999999</v>
      </c>
      <c r="G80" s="76">
        <v>3.798</v>
      </c>
      <c r="H80" s="77">
        <v>0</v>
      </c>
      <c r="I80" s="76">
        <v>0.40416008425487093</v>
      </c>
      <c r="J80" s="77">
        <v>0.40416008425487093</v>
      </c>
      <c r="K80" s="75">
        <v>96</v>
      </c>
      <c r="L80" s="76">
        <v>0</v>
      </c>
      <c r="M80" s="76">
        <v>4.024</v>
      </c>
      <c r="N80" s="79">
        <v>2.7E-2</v>
      </c>
      <c r="O80" s="76">
        <v>2.7E-2</v>
      </c>
      <c r="P80" s="76">
        <v>4.024</v>
      </c>
      <c r="Q80" s="77">
        <v>0</v>
      </c>
      <c r="R80" s="77">
        <v>6.7097415506958248E-3</v>
      </c>
      <c r="S80" s="78">
        <v>6.7097415506958248E-3</v>
      </c>
      <c r="T80" s="75">
        <v>96</v>
      </c>
      <c r="U80" s="80">
        <v>0</v>
      </c>
      <c r="V80" s="80">
        <v>3.911</v>
      </c>
      <c r="W80" s="80">
        <v>0.78099999999999992</v>
      </c>
      <c r="X80" s="80">
        <v>0.78099999999999992</v>
      </c>
      <c r="Y80" s="80">
        <v>3.911</v>
      </c>
      <c r="Z80" s="81">
        <v>0</v>
      </c>
      <c r="AA80" s="81">
        <v>0.20543491290278337</v>
      </c>
      <c r="AB80" s="82">
        <v>0.20543491290278337</v>
      </c>
    </row>
    <row r="81" spans="2:28">
      <c r="B81" s="83">
        <v>97</v>
      </c>
      <c r="C81" s="84">
        <v>0</v>
      </c>
      <c r="D81" s="84">
        <v>3.6389999999999998</v>
      </c>
      <c r="E81" s="84">
        <v>1.371</v>
      </c>
      <c r="F81" s="84">
        <v>1.371</v>
      </c>
      <c r="G81" s="84">
        <v>3.6389999999999998</v>
      </c>
      <c r="H81" s="85">
        <v>0</v>
      </c>
      <c r="I81" s="84">
        <v>0.37675185490519375</v>
      </c>
      <c r="J81" s="85">
        <v>0.37675185490519375</v>
      </c>
      <c r="K81" s="83">
        <v>97</v>
      </c>
      <c r="L81" s="84">
        <v>0</v>
      </c>
      <c r="M81" s="84">
        <v>3.8239999999999998</v>
      </c>
      <c r="N81" s="86">
        <v>2.1000000000000001E-2</v>
      </c>
      <c r="O81" s="84">
        <v>2.1000000000000001E-2</v>
      </c>
      <c r="P81" s="84">
        <v>3.8239999999999998</v>
      </c>
      <c r="Q81" s="85">
        <v>0</v>
      </c>
      <c r="R81" s="85">
        <v>5.4916317991631804E-3</v>
      </c>
      <c r="S81" s="87">
        <v>5.4916317991631804E-3</v>
      </c>
      <c r="T81" s="83">
        <v>97</v>
      </c>
      <c r="U81" s="88">
        <v>0</v>
      </c>
      <c r="V81" s="88">
        <v>3.7314999999999996</v>
      </c>
      <c r="W81" s="88">
        <v>0.69599999999999995</v>
      </c>
      <c r="X81" s="88">
        <v>0.69599999999999995</v>
      </c>
      <c r="Y81" s="88">
        <v>3.7314999999999996</v>
      </c>
      <c r="Z81" s="29">
        <v>0</v>
      </c>
      <c r="AA81" s="29">
        <v>0.19112174335217846</v>
      </c>
      <c r="AB81" s="89">
        <v>0.19112174335217846</v>
      </c>
    </row>
    <row r="82" spans="2:28">
      <c r="B82" s="75">
        <v>98</v>
      </c>
      <c r="C82" s="76">
        <v>0</v>
      </c>
      <c r="D82" s="76">
        <v>3.4950000000000001</v>
      </c>
      <c r="E82" s="76">
        <v>1.216</v>
      </c>
      <c r="F82" s="76">
        <v>1.216</v>
      </c>
      <c r="G82" s="76">
        <v>3.4950000000000001</v>
      </c>
      <c r="H82" s="77">
        <v>0</v>
      </c>
      <c r="I82" s="76">
        <v>0.3479256080114449</v>
      </c>
      <c r="J82" s="77">
        <v>0.3479256080114449</v>
      </c>
      <c r="K82" s="75">
        <v>98</v>
      </c>
      <c r="L82" s="76">
        <v>0</v>
      </c>
      <c r="M82" s="76">
        <v>3.6429999999999998</v>
      </c>
      <c r="N82" s="79">
        <v>1.6E-2</v>
      </c>
      <c r="O82" s="76">
        <v>1.7000000000000001E-2</v>
      </c>
      <c r="P82" s="76">
        <v>3.6429999999999998</v>
      </c>
      <c r="Q82" s="77">
        <v>0</v>
      </c>
      <c r="R82" s="77">
        <v>4.6664836673071652E-3</v>
      </c>
      <c r="S82" s="78">
        <v>4.6664836673071652E-3</v>
      </c>
      <c r="T82" s="75">
        <v>98</v>
      </c>
      <c r="U82" s="80">
        <v>0</v>
      </c>
      <c r="V82" s="80">
        <v>3.569</v>
      </c>
      <c r="W82" s="80">
        <v>0.61599999999999999</v>
      </c>
      <c r="X82" s="80">
        <v>0.61649999999999994</v>
      </c>
      <c r="Y82" s="80">
        <v>3.569</v>
      </c>
      <c r="Z82" s="81">
        <v>0</v>
      </c>
      <c r="AA82" s="81">
        <v>0.17629604583937603</v>
      </c>
      <c r="AB82" s="82">
        <v>0.17629604583937603</v>
      </c>
    </row>
    <row r="83" spans="2:28">
      <c r="B83" s="83">
        <v>99</v>
      </c>
      <c r="C83" s="84">
        <v>0</v>
      </c>
      <c r="D83" s="84">
        <v>3.3639999999999999</v>
      </c>
      <c r="E83" s="84">
        <v>1.0409999999999999</v>
      </c>
      <c r="F83" s="84">
        <v>1.0409999999999999</v>
      </c>
      <c r="G83" s="84">
        <v>3.3639999999999999</v>
      </c>
      <c r="H83" s="85">
        <v>0</v>
      </c>
      <c r="I83" s="84">
        <v>0.30945303210463732</v>
      </c>
      <c r="J83" s="85">
        <v>0.30945303210463732</v>
      </c>
      <c r="K83" s="83">
        <v>99</v>
      </c>
      <c r="L83" s="84">
        <v>0</v>
      </c>
      <c r="M83" s="84">
        <v>3.48</v>
      </c>
      <c r="N83" s="86">
        <v>1.2999999999999999E-2</v>
      </c>
      <c r="O83" s="84">
        <v>1.2999999999999999E-2</v>
      </c>
      <c r="P83" s="84">
        <v>3.48</v>
      </c>
      <c r="Q83" s="85">
        <v>0</v>
      </c>
      <c r="R83" s="85">
        <v>3.7356321839080459E-3</v>
      </c>
      <c r="S83" s="87">
        <v>3.7356321839080459E-3</v>
      </c>
      <c r="T83" s="83">
        <v>99</v>
      </c>
      <c r="U83" s="88">
        <v>0</v>
      </c>
      <c r="V83" s="88">
        <v>3.4219999999999997</v>
      </c>
      <c r="W83" s="88">
        <v>0.52699999999999991</v>
      </c>
      <c r="X83" s="88">
        <v>0.52699999999999991</v>
      </c>
      <c r="Y83" s="88">
        <v>3.4219999999999997</v>
      </c>
      <c r="Z83" s="29">
        <v>0</v>
      </c>
      <c r="AA83" s="29">
        <v>0.15659433214427268</v>
      </c>
      <c r="AB83" s="89">
        <v>0.15659433214427268</v>
      </c>
    </row>
    <row r="84" spans="2:28" ht="15.75" thickBot="1">
      <c r="B84" s="100">
        <v>100</v>
      </c>
      <c r="C84" s="101">
        <v>0</v>
      </c>
      <c r="D84" s="101">
        <v>3.2450000000000001</v>
      </c>
      <c r="E84" s="101">
        <v>0.84799999999999998</v>
      </c>
      <c r="F84" s="101">
        <v>0.84799999999999998</v>
      </c>
      <c r="G84" s="101">
        <v>3.2450000000000001</v>
      </c>
      <c r="H84" s="102">
        <v>0</v>
      </c>
      <c r="I84" s="101">
        <v>0.26132511556240368</v>
      </c>
      <c r="J84" s="102">
        <v>0.26132511556240368</v>
      </c>
      <c r="K84" s="100">
        <v>100</v>
      </c>
      <c r="L84" s="101">
        <v>0</v>
      </c>
      <c r="M84" s="101">
        <v>3.335</v>
      </c>
      <c r="N84" s="103">
        <v>0.01</v>
      </c>
      <c r="O84" s="101">
        <v>0.01</v>
      </c>
      <c r="P84" s="101">
        <v>3.335</v>
      </c>
      <c r="Q84" s="102">
        <v>0</v>
      </c>
      <c r="R84" s="102">
        <v>2.9985007496251873E-3</v>
      </c>
      <c r="S84" s="104">
        <v>2.9985007496251873E-3</v>
      </c>
      <c r="T84" s="100">
        <v>100</v>
      </c>
      <c r="U84" s="105">
        <v>0</v>
      </c>
      <c r="V84" s="105">
        <v>3.29</v>
      </c>
      <c r="W84" s="105">
        <v>0.42899999999999999</v>
      </c>
      <c r="X84" s="105">
        <v>0.42899999999999999</v>
      </c>
      <c r="Y84" s="105">
        <v>3.29</v>
      </c>
      <c r="Z84" s="106">
        <v>0</v>
      </c>
      <c r="AA84" s="106">
        <v>0.13216180815601444</v>
      </c>
      <c r="AB84" s="107">
        <v>0.13216180815601444</v>
      </c>
    </row>
  </sheetData>
  <mergeCells count="4">
    <mergeCell ref="B2:B3"/>
    <mergeCell ref="H2:J2"/>
    <mergeCell ref="Q2:S2"/>
    <mergeCell ref="Z2:AB2"/>
  </mergeCell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18951-6B96-412A-BFF8-CC09BA632DB1}">
  <sheetPr codeName="Tabelle57">
    <tabColor theme="0" tint="-0.249977111117893"/>
  </sheetPr>
  <dimension ref="A1:O49"/>
  <sheetViews>
    <sheetView showGridLines="0" showRowColHeaders="0" zoomScale="145" zoomScaleNormal="145" workbookViewId="0">
      <selection activeCell="B15" sqref="B15:I15"/>
      <extLst>
        <ext xmlns:xlsdti="http://schemas.microsoft.com/office/spreadsheetml/2023/showDataTypeIcons" uri="{77bfe23e-c014-4d31-8a63-9c772dbf06b6}">
          <xlsdti:showDataTypeIcons visible="0"/>
        </ext>
      </extLst>
    </sheetView>
  </sheetViews>
  <sheetFormatPr baseColWidth="10" defaultColWidth="0" defaultRowHeight="15" zeroHeight="1"/>
  <cols>
    <col min="1" max="1" width="3.85546875" customWidth="1"/>
    <col min="2" max="2" width="48.42578125" customWidth="1"/>
    <col min="3" max="3" width="13.7109375" customWidth="1"/>
    <col min="4" max="7" width="13.42578125" customWidth="1"/>
    <col min="8" max="8" width="14" customWidth="1"/>
    <col min="9" max="9" width="13.140625" customWidth="1"/>
    <col min="10" max="10" width="15.28515625" customWidth="1"/>
    <col min="11" max="11" width="8" customWidth="1"/>
    <col min="12" max="13" width="12.5703125" hidden="1" customWidth="1"/>
    <col min="14" max="14" width="34.5703125" hidden="1" customWidth="1"/>
    <col min="15" max="16384" width="11.42578125" hidden="1"/>
  </cols>
  <sheetData>
    <row r="1" spans="1:11">
      <c r="A1" s="392"/>
      <c r="B1" s="838" t="s">
        <v>5217</v>
      </c>
      <c r="C1" s="838"/>
      <c r="D1" s="838"/>
      <c r="E1" s="838"/>
      <c r="F1" s="838"/>
      <c r="G1" s="838"/>
      <c r="H1" s="838"/>
      <c r="I1" s="838"/>
      <c r="J1" s="838"/>
      <c r="K1" s="392"/>
    </row>
    <row r="2" spans="1:11" ht="18.75" customHeight="1">
      <c r="A2" s="392"/>
      <c r="B2" s="839"/>
      <c r="C2" s="839"/>
      <c r="D2" s="839"/>
      <c r="E2" s="839"/>
      <c r="F2" s="839"/>
      <c r="G2" s="839"/>
      <c r="H2" s="839"/>
      <c r="I2" s="839"/>
      <c r="J2" s="839"/>
      <c r="K2" s="392"/>
    </row>
    <row r="3" spans="1:11" ht="15" customHeight="1">
      <c r="A3" s="392"/>
      <c r="B3" s="751" t="s">
        <v>3738</v>
      </c>
      <c r="C3" s="751"/>
      <c r="D3" s="751"/>
      <c r="E3" s="592"/>
      <c r="F3" s="598">
        <f>+Dat_Ber</f>
        <v>46022</v>
      </c>
      <c r="G3" s="752" t="s">
        <v>5206</v>
      </c>
      <c r="H3" s="752" t="s">
        <v>5207</v>
      </c>
      <c r="I3" s="587" t="s">
        <v>5204</v>
      </c>
      <c r="J3" s="599"/>
      <c r="K3" s="643" t="s">
        <v>5235</v>
      </c>
    </row>
    <row r="4" spans="1:11">
      <c r="A4" s="392"/>
      <c r="B4" s="593" t="s">
        <v>5202</v>
      </c>
      <c r="C4" s="600">
        <f>+EzE</f>
        <v>44196</v>
      </c>
      <c r="D4" s="594" t="s">
        <v>5218</v>
      </c>
      <c r="E4" s="594" t="s">
        <v>5219</v>
      </c>
      <c r="F4" s="594" t="s">
        <v>5201</v>
      </c>
      <c r="G4" s="752"/>
      <c r="H4" s="752"/>
      <c r="I4" s="588">
        <f>+Abfindungsberechnung!I5</f>
        <v>53328</v>
      </c>
      <c r="J4" s="599"/>
      <c r="K4" s="643" t="s">
        <v>5234</v>
      </c>
    </row>
    <row r="5" spans="1:11" ht="15" customHeight="1">
      <c r="A5" s="392"/>
      <c r="B5" s="593" t="s">
        <v>5196</v>
      </c>
      <c r="C5" s="601">
        <f>+Dat_GebDat_Pfl</f>
        <v>27759</v>
      </c>
      <c r="D5" s="595">
        <f>+Abfindungsberechnung!E6</f>
        <v>45.03</v>
      </c>
      <c r="E5" s="595" t="str">
        <f>CHOOSE(GeschlechtsNr_Pfl,"m","w","d")</f>
        <v>m</v>
      </c>
      <c r="F5" s="589">
        <f>+Alter_Pfl</f>
        <v>50</v>
      </c>
      <c r="G5" s="633">
        <f>+ReAlter_Pfl</f>
        <v>65.3</v>
      </c>
      <c r="H5" s="590">
        <f>+Leistungsbeginn_Pfl</f>
        <v>51592</v>
      </c>
      <c r="I5" s="745" t="s">
        <v>5216</v>
      </c>
      <c r="J5" s="591">
        <f>+sVA_Rente_Fälligkeit</f>
        <v>70.099999999999994</v>
      </c>
      <c r="K5" s="392"/>
    </row>
    <row r="6" spans="1:11">
      <c r="A6" s="392"/>
      <c r="B6" s="593" t="s">
        <v>3789</v>
      </c>
      <c r="C6" s="601">
        <f>+Dat_BebDat_Ber</f>
        <v>29586</v>
      </c>
      <c r="D6" s="595">
        <f>+Geschlecht_Ber</f>
        <v>40</v>
      </c>
      <c r="E6" s="595" t="str">
        <f>CHOOSE(GeschlechtsNr_Ber,"m","w","d")</f>
        <v>w</v>
      </c>
      <c r="F6" s="589">
        <f>+Alter_Ber</f>
        <v>45</v>
      </c>
      <c r="G6" s="633">
        <f>+RentenalterBer</f>
        <v>65</v>
      </c>
      <c r="H6" s="590">
        <f>+Abfindungsberechnung!H7</f>
        <v>53328</v>
      </c>
      <c r="I6" s="746"/>
      <c r="J6" s="591">
        <f>+Abfindungsberechnung!I7</f>
        <v>65</v>
      </c>
      <c r="K6" s="392"/>
    </row>
    <row r="7" spans="1:11" ht="16.5" customHeight="1" thickBot="1">
      <c r="A7" s="392"/>
      <c r="B7" s="753" t="s">
        <v>5208</v>
      </c>
      <c r="C7" s="753"/>
      <c r="D7" s="749" t="str">
        <f>IFERROR(HYPERLINK(VLOOKUP(Länderwahl,EUEFTA_Rentenrechner,3,FALSE),"→ zum Rentenrechner"),"x Rentenrechner nicht verfügbar")</f>
        <v>→ zum Rentenrechner</v>
      </c>
      <c r="E7" s="750"/>
      <c r="F7" s="634">
        <f>+ReHöhe_EZE_Pfl</f>
        <v>500</v>
      </c>
      <c r="G7" s="754" t="s">
        <v>4430</v>
      </c>
      <c r="H7" s="754"/>
      <c r="I7" s="636">
        <f>+ReAnzahlproJahr</f>
        <v>12</v>
      </c>
      <c r="J7" s="602"/>
      <c r="K7" s="392"/>
    </row>
    <row r="8" spans="1:11" ht="15.75" thickBot="1">
      <c r="A8" s="392"/>
      <c r="B8" s="747" t="str">
        <f>+Abfindungsberechnung!C16</f>
        <v xml:space="preserve">voraussichtliche Höhe der sVA-Rente bei Fälligkeit (1.1.46): 500,0 x (1 + 2,00%)^20,3 x (1 + 2,00%)^4,8 = </v>
      </c>
      <c r="C8" s="748"/>
      <c r="D8" s="748"/>
      <c r="E8" s="748"/>
      <c r="F8" s="637">
        <f>+ReHöhe_Berdat</f>
        <v>821.92902213166792</v>
      </c>
      <c r="G8" s="603" t="s">
        <v>5221</v>
      </c>
      <c r="H8" s="604">
        <f>IF(G5-D5&lt;0,0,G5-D5)</f>
        <v>20.269999999999996</v>
      </c>
      <c r="I8" s="603" t="s">
        <v>5222</v>
      </c>
      <c r="J8" s="605">
        <f>IF(J5-G5&lt;0,0,J5-G5)</f>
        <v>4.7999999999999972</v>
      </c>
      <c r="K8" s="392"/>
    </row>
    <row r="9" spans="1:11" ht="18.75">
      <c r="A9" s="392"/>
      <c r="B9" s="841" t="s">
        <v>5228</v>
      </c>
      <c r="C9" s="841"/>
      <c r="D9" s="841"/>
      <c r="E9" s="841"/>
      <c r="F9" s="841"/>
      <c r="G9" s="841"/>
      <c r="H9" s="841"/>
      <c r="I9" s="841"/>
      <c r="J9" s="841"/>
      <c r="K9" s="392"/>
    </row>
    <row r="10" spans="1:11" s="23" customFormat="1" ht="15" customHeight="1">
      <c r="A10" s="393"/>
      <c r="B10" s="672" t="s">
        <v>3756</v>
      </c>
      <c r="C10" s="672"/>
      <c r="D10" s="672"/>
      <c r="E10" s="672"/>
      <c r="F10" s="672"/>
      <c r="G10" s="672"/>
      <c r="H10" s="672"/>
      <c r="I10" s="672"/>
      <c r="J10" s="463">
        <f>IF(EzE=0,"",EzE)</f>
        <v>44196</v>
      </c>
      <c r="K10" s="393"/>
    </row>
    <row r="11" spans="1:11" s="23" customFormat="1" ht="15" customHeight="1">
      <c r="A11" s="393"/>
      <c r="B11" s="681" t="s">
        <v>4427</v>
      </c>
      <c r="C11" s="664"/>
      <c r="D11" s="664"/>
      <c r="E11" s="664"/>
      <c r="F11" s="664"/>
      <c r="G11" s="664"/>
      <c r="H11" s="664"/>
      <c r="I11" s="665"/>
      <c r="J11" s="635">
        <f>+ReHöhe_EZE_Pfl</f>
        <v>500</v>
      </c>
      <c r="K11" s="393"/>
    </row>
    <row r="12" spans="1:11" s="23" customFormat="1" ht="15" customHeight="1">
      <c r="A12" s="393"/>
      <c r="B12" s="681" t="s">
        <v>4550</v>
      </c>
      <c r="C12" s="664"/>
      <c r="D12" s="664"/>
      <c r="E12" s="664"/>
      <c r="F12" s="664"/>
      <c r="G12" s="664"/>
      <c r="H12" s="664"/>
      <c r="I12" s="665"/>
      <c r="J12" s="462">
        <f>+ReAlter_Pfl</f>
        <v>65.3</v>
      </c>
      <c r="K12" s="393"/>
    </row>
    <row r="13" spans="1:11" s="23" customFormat="1" ht="15" customHeight="1">
      <c r="A13" s="393"/>
      <c r="B13" s="681" t="s">
        <v>4551</v>
      </c>
      <c r="C13" s="664"/>
      <c r="D13" s="664"/>
      <c r="E13" s="664"/>
      <c r="F13" s="664"/>
      <c r="G13" s="664"/>
      <c r="H13" s="664"/>
      <c r="I13" s="665"/>
      <c r="J13" s="462">
        <f>IFERROR(ROUND(YEARFRAC(Dat_GebDat_Pfl,J10,3),2),"")</f>
        <v>45.03</v>
      </c>
      <c r="K13" s="393"/>
    </row>
    <row r="14" spans="1:11" s="23" customFormat="1" ht="15" customHeight="1">
      <c r="A14" s="393"/>
      <c r="B14" s="681" t="str">
        <f>"Anwartschaftszeit bis Rentenbeginn: "&amp;TEXT(C4,"TT.MM.JJJJ")&amp;" bis "&amp;TEXT(H5,"TT.MM.JJJJ")</f>
        <v>Anwartschaftszeit bis Rentenbeginn: 31.12.2020 bis 01.04.2041</v>
      </c>
      <c r="C14" s="664"/>
      <c r="D14" s="664"/>
      <c r="E14" s="664"/>
      <c r="F14" s="664"/>
      <c r="G14" s="664"/>
      <c r="H14" s="664"/>
      <c r="I14" s="665"/>
      <c r="J14" s="464">
        <f>IFERROR(ROUND(IF(J12-J13&lt;0,0,J12-J13),1),"")</f>
        <v>20.3</v>
      </c>
      <c r="K14" s="393"/>
    </row>
    <row r="15" spans="1:11" s="23" customFormat="1" ht="15" customHeight="1">
      <c r="A15" s="393"/>
      <c r="B15" s="681" t="str">
        <f>"Rentenhöhe bei Rentenbeginn: "&amp;IF(Abfindungsberechnung!G15&gt;0,TEXT(J11,"#.##0,00")&amp;" x (1 + "&amp;TEXT(Abfindungsberechnung!G15,"#.##%")&amp;")^"&amp;TEXT(J14,"0,00"),"")</f>
        <v>Rentenhöhe bei Rentenbeginn: 500,00 x (1 + 2%)^20,30</v>
      </c>
      <c r="C15" s="664"/>
      <c r="D15" s="664"/>
      <c r="E15" s="664"/>
      <c r="F15" s="664"/>
      <c r="G15" s="664"/>
      <c r="H15" s="664"/>
      <c r="I15" s="665"/>
      <c r="J15" s="396">
        <f>IFERROR(+J11*(1+ReDyn_Anwartschaft)^'Abfindung Methode 3'!J14,"")</f>
        <v>747.40068423249932</v>
      </c>
      <c r="K15" s="393"/>
    </row>
    <row r="16" spans="1:11" s="23" customFormat="1" ht="15" customHeight="1">
      <c r="A16" s="393"/>
      <c r="B16" s="681" t="str">
        <f>"Lebenserwartung ab  frühestmöglichem Rentenbeginn der ausglpfl. Person "&amp;TEXT(Abfindungsberechnung!H6,"TT.MM.JJJJ")&amp;"  (Pfleil anklicken zur Änderung)"</f>
        <v>Lebenserwartung ab  frühestmöglichem Rentenbeginn der ausglpfl. Person 01.04.2041  (Pfleil anklicken zur Änderung)</v>
      </c>
      <c r="C16" s="664"/>
      <c r="D16" s="664"/>
      <c r="E16" s="664"/>
      <c r="F16" s="664"/>
      <c r="G16" s="664"/>
      <c r="H16" s="664"/>
      <c r="I16" s="665"/>
      <c r="J16" s="477">
        <f>IFERROR(ROUND(VLOOKUP(MAX(J13,J12),CHOOSE(GeschlechtsNr_Pfl,Lx,Ly,Ln),YEAR(Dat_GebDat_Pfl)+IF(MONTH(Dat_GebDat_Pfl)&gt;6,1,0)-1900+2),1),"")</f>
        <v>22.5</v>
      </c>
      <c r="K16" s="393"/>
    </row>
    <row r="17" spans="1:13" s="23" customFormat="1" ht="15" customHeight="1">
      <c r="A17" s="393"/>
      <c r="B17" s="848" t="str">
        <f>"Barwert des ehezeitl. Versorgungserwerbs bezogen auf den Renteneintritt ("&amp;TEXT(C4,"TT.MM.JJJJ")&amp;") : "</f>
        <v xml:space="preserve">Barwert des ehezeitl. Versorgungserwerbs bezogen auf den Renteneintritt (31.12.2020) : </v>
      </c>
      <c r="C17" s="848"/>
      <c r="D17" s="848"/>
      <c r="E17" s="848"/>
      <c r="F17" s="848"/>
      <c r="G17" s="848"/>
      <c r="H17" s="848"/>
      <c r="I17" s="848"/>
      <c r="J17" s="397">
        <f>IFERROR(ROUND(-PV(Rechnungszins-ReDynamik_Leistung,'Abfindung Methode 3'!J16,'Abfindung Methode 3'!J11*12),0),"")</f>
        <v>131879</v>
      </c>
      <c r="K17" s="393"/>
      <c r="L17" s="24" t="s">
        <v>4552</v>
      </c>
      <c r="M17" s="24" t="s">
        <v>4553</v>
      </c>
    </row>
    <row r="18" spans="1:13" s="23" customFormat="1" ht="15" customHeight="1">
      <c r="A18" s="393"/>
      <c r="B18" s="842" t="str">
        <f>"Abzinsung des Barwerts auf das Ehezeitende: "&amp;TEXT(J17,"#.##0")&amp;" x (1 + "&amp;TEXT(Abfindungsberechnung!I17,"0,00%")&amp;")^-"&amp;TEXT(J14,"0,0")</f>
        <v>Abzinsung des Barwerts auf das Ehezeitende: 131.879 x (1 + 2,20%)^-20,3</v>
      </c>
      <c r="C18" s="843"/>
      <c r="D18" s="843"/>
      <c r="E18" s="843"/>
      <c r="F18" s="843"/>
      <c r="G18" s="843"/>
      <c r="H18" s="843"/>
      <c r="I18" s="844"/>
      <c r="J18" s="397">
        <f>IFERROR(ROUND(-PV(Rechnungszins-ReDyn_Anwartschaft,'Abfindung Methode 3'!J14,,'Abfindung Methode 3'!J17),0),"")</f>
        <v>126637</v>
      </c>
      <c r="K18" s="393"/>
      <c r="L18" s="24"/>
      <c r="M18" s="24"/>
    </row>
    <row r="19" spans="1:13" s="23" customFormat="1" ht="15" customHeight="1">
      <c r="A19" s="393"/>
      <c r="B19" s="842" t="str">
        <f>"Erlebenswahrscheinlichkeit zwischen Ehezeitende ("&amp;TEXT(C4,"t.M.JJ")&amp;") und Renteneintritt ("&amp;TEXT(Abfindungsberechnung!H6,"T.M.JJ")&amp;") nach Kohortensterbetafel DESTATIS V2: "&amp;IF(L20&lt;1,TEXT(L19,"#.##0")&amp;" / "&amp;TEXT(M19,"#.##0"),"")</f>
        <v>Erlebenswahrscheinlichkeit zwischen Ehezeitende (31.12.20) und Renteneintritt (1.4.41) nach Kohortensterbetafel DESTATIS V2: 86.551 / 94.998</v>
      </c>
      <c r="C19" s="843"/>
      <c r="D19" s="843"/>
      <c r="E19" s="843"/>
      <c r="F19" s="843"/>
      <c r="G19" s="843"/>
      <c r="H19" s="843"/>
      <c r="I19" s="844"/>
      <c r="J19" s="354">
        <f>IFERROR(L20,"")</f>
        <v>0.91110000000000002</v>
      </c>
      <c r="K19" s="393"/>
      <c r="L19" s="23">
        <f>VLOOKUP(J12,CHOOSE(GeschlechtsNr_Pfl,Kohorte_M,Kohorte_W,Kohorte_D),YEAR(Dat_GebDat_Pfl)+IF(MONTH(Dat_GebDat_Pfl)&gt;6,1,0)-1900+2)</f>
        <v>86551</v>
      </c>
      <c r="M19" s="23">
        <f>VLOOKUP(J13,CHOOSE(GeschlechtsNr_Pfl,Kohorte_M,Kohorte_W,Kohorte_D),YEAR(Dat_GebDat_Pfl)+IF(MONTH(Dat_GebDat_Pfl)&gt;6,1,0)-1900+2)</f>
        <v>94998</v>
      </c>
    </row>
    <row r="20" spans="1:13" s="23" customFormat="1" ht="15" customHeight="1">
      <c r="A20" s="393"/>
      <c r="B20" s="845" t="str">
        <f>"korrigierter Barwert im Ehezeitende: "&amp;TEXT(J17,"#.##0")&amp;" x "&amp;TEXT(J19,"0,00%")&amp;" = "</f>
        <v xml:space="preserve">korrigierter Barwert im Ehezeitende: 131.879 x 91,11% = </v>
      </c>
      <c r="C20" s="846"/>
      <c r="D20" s="846"/>
      <c r="E20" s="846"/>
      <c r="F20" s="846"/>
      <c r="G20" s="846"/>
      <c r="H20" s="846"/>
      <c r="I20" s="847"/>
      <c r="J20" s="472">
        <f>IFERROR(ROUND(IF(J19&lt;1,J19*J18,J18),0),"")</f>
        <v>115379</v>
      </c>
      <c r="K20" s="393"/>
      <c r="L20" s="840">
        <f>ROUND(IF(L19/M19&gt;1,1,L19/M19),4)</f>
        <v>0.91110000000000002</v>
      </c>
      <c r="M20" s="840"/>
    </row>
    <row r="21" spans="1:13" s="23" customFormat="1" ht="15" customHeight="1">
      <c r="A21" s="393"/>
      <c r="B21" s="771" t="s">
        <v>4426</v>
      </c>
      <c r="C21" s="772"/>
      <c r="D21" s="772"/>
      <c r="E21" s="772"/>
      <c r="F21" s="772"/>
      <c r="G21" s="773"/>
      <c r="H21" s="469">
        <v>1</v>
      </c>
      <c r="I21" s="354">
        <f>+M21</f>
        <v>6.8900000000000003E-2</v>
      </c>
      <c r="J21" s="396">
        <f>IFERROR(IF(info_IRZuschlag,+J20*I21,0),"")</f>
        <v>7949.6131000000005</v>
      </c>
      <c r="K21" s="393"/>
      <c r="L21" s="341" t="b">
        <v>0</v>
      </c>
      <c r="M21" s="26">
        <f>IF(J12&gt;J13,ROUND(VLOOKUP(Alter_Pfl,CHOOSE(J12-59,HRIT60,HRIR61,HRIR62,HRIR63,HRIR64,HRIR65,HRIR66,HRIR67),CHOOSE(GeschlechtsNr_Pfl,7,16,25))*IR_Quote,4),0)</f>
        <v>6.8900000000000003E-2</v>
      </c>
    </row>
    <row r="22" spans="1:13" s="23" customFormat="1" ht="15" customHeight="1">
      <c r="A22" s="393"/>
      <c r="B22" s="771" t="s">
        <v>4426</v>
      </c>
      <c r="C22" s="772"/>
      <c r="D22" s="772"/>
      <c r="E22" s="772"/>
      <c r="F22" s="772"/>
      <c r="G22" s="773"/>
      <c r="H22" s="425">
        <v>0.6</v>
      </c>
      <c r="I22" s="471">
        <f>Hinterbliebenenzuschlag</f>
        <v>0.17649999999999999</v>
      </c>
      <c r="J22" s="396">
        <f>IFERROR(IF(info_HRZuschlag,J20*I22,0),"")</f>
        <v>0</v>
      </c>
      <c r="K22" s="393"/>
      <c r="L22" s="26"/>
      <c r="M22" s="26">
        <f>ROUND(VLOOKUP(J13,CHOOSE(ReAlter_Pfl-59,HRIR60,HRIR61,HRIR62,HRIR63,HRIR64,HRIR65,HRIR66,HRIR67),CHOOSE(GeschlechtsNr_Pfl,8,17,26))*HR_Quote,4)</f>
        <v>0.17949999999999999</v>
      </c>
    </row>
    <row r="23" spans="1:13" s="23" customFormat="1" ht="15" customHeight="1">
      <c r="A23" s="393"/>
      <c r="B23" s="785" t="str">
        <f>"Zwischensumme: Barwert zum Ehezeitende = "&amp;TEXT(J20,"#.##0")&amp;IF(info_IRZuschlag," + "&amp;TEXT(J21,"#.##0"),"")&amp;IF(info_HRZuschlag," + "&amp;TEXT(J22,"#.##0"),"")&amp;" = "</f>
        <v xml:space="preserve">Zwischensumme: Barwert zum Ehezeitende = 115.379 + 7.950 = </v>
      </c>
      <c r="C23" s="786"/>
      <c r="D23" s="786"/>
      <c r="E23" s="786"/>
      <c r="F23" s="786"/>
      <c r="G23" s="786"/>
      <c r="H23" s="786"/>
      <c r="I23" s="787"/>
      <c r="J23" s="472">
        <f>IFERROR(ROUND(+J22+J21+J20,0),"")</f>
        <v>123329</v>
      </c>
      <c r="K23" s="393"/>
      <c r="L23" s="26"/>
      <c r="M23" s="26"/>
    </row>
    <row r="24" spans="1:13" s="23" customFormat="1" ht="15" customHeight="1">
      <c r="A24" s="393"/>
      <c r="B24" s="836" t="s">
        <v>5227</v>
      </c>
      <c r="C24" s="837"/>
      <c r="D24" s="837"/>
      <c r="E24" s="837"/>
      <c r="F24" s="837"/>
      <c r="G24" s="834" t="s">
        <v>5226</v>
      </c>
      <c r="H24" s="835"/>
      <c r="I24" s="391"/>
      <c r="J24" s="312">
        <f>IF(I24&gt;0,I24,Rechnungszins)</f>
        <v>2.1999999999999999E-2</v>
      </c>
      <c r="K24" s="393"/>
    </row>
    <row r="25" spans="1:13" s="23" customFormat="1" ht="15" customHeight="1">
      <c r="A25" s="393"/>
      <c r="B25" s="836" t="str">
        <f>"Aufzinsungszeit vom Ehezeitende ("&amp;TEXT(C4,"TT.MM.JJJJ")&amp;") bis Berechnungstag ("&amp;TEXT(F3,"TT.MM.JJJJ")&amp;") in Jahren = "</f>
        <v xml:space="preserve">Aufzinsungszeit vom Ehezeitende (31.12.2020) bis Berechnungstag (31.12.2025) in Jahren = </v>
      </c>
      <c r="C25" s="837"/>
      <c r="D25" s="837"/>
      <c r="E25" s="837"/>
      <c r="F25" s="837"/>
      <c r="G25" s="837"/>
      <c r="H25" s="837"/>
      <c r="I25" s="858"/>
      <c r="J25" s="154">
        <f>IFERROR(ROUND(YEARFRAC(J10,F3,3),2),"")</f>
        <v>5</v>
      </c>
      <c r="K25" s="393"/>
    </row>
    <row r="26" spans="1:13" s="23" customFormat="1" ht="15" customHeight="1">
      <c r="A26" s="393"/>
      <c r="B26" s="859" t="str">
        <f>"Zwischensumme des Abfindungsbetrages (Aufzinsung auf Berechnungsstichtag): "&amp;TEXT(J23,"#.##0,00")&amp;" x (1 + "&amp;TEXT(J24,"0,00%")&amp;")^"&amp;TEXT(J25,"0,00")</f>
        <v>Zwischensumme des Abfindungsbetrages (Aufzinsung auf Berechnungsstichtag): 123.329,00 x (1 + 2,20%)^5,00</v>
      </c>
      <c r="C26" s="860"/>
      <c r="D26" s="860"/>
      <c r="E26" s="860"/>
      <c r="F26" s="860"/>
      <c r="G26" s="860"/>
      <c r="H26" s="860"/>
      <c r="I26" s="861"/>
      <c r="J26" s="472">
        <f>IFERROR(ROUND(-FV(J24,J25,,J23),0),"")</f>
        <v>137505</v>
      </c>
      <c r="K26" s="393"/>
    </row>
    <row r="27" spans="1:13" s="23" customFormat="1" ht="18.95" customHeight="1">
      <c r="A27" s="393"/>
      <c r="B27" s="681" t="s">
        <v>3763</v>
      </c>
      <c r="C27" s="664"/>
      <c r="D27" s="664"/>
      <c r="E27" s="664"/>
      <c r="F27" s="664"/>
      <c r="G27" s="664"/>
      <c r="H27" s="665"/>
      <c r="I27" s="642">
        <f>+Abfindungsberechnung!F21</f>
        <v>0.1</v>
      </c>
      <c r="J27" s="396">
        <f>IFERROR(IF(L27,IF(I27&lt;0,I27*J$26,-I27*J$26),0),"")</f>
        <v>0</v>
      </c>
      <c r="K27" s="393"/>
      <c r="L27" s="342" t="b">
        <v>0</v>
      </c>
    </row>
    <row r="28" spans="1:13" s="23" customFormat="1" ht="15" customHeight="1">
      <c r="A28" s="393"/>
      <c r="B28" s="681" t="s">
        <v>3764</v>
      </c>
      <c r="C28" s="664"/>
      <c r="D28" s="664"/>
      <c r="E28" s="664"/>
      <c r="F28" s="664"/>
      <c r="G28" s="664"/>
      <c r="H28" s="665"/>
      <c r="I28" s="642">
        <f>+Abfindungsberechnung!F22</f>
        <v>0.1</v>
      </c>
      <c r="J28" s="396">
        <f>IFERROR(IF(L28,IF(L28,IF(I28&lt;0,I28*J$26,-I28*J$26),0),0),"")</f>
        <v>0</v>
      </c>
      <c r="K28" s="393"/>
      <c r="L28" s="342" t="b">
        <v>0</v>
      </c>
    </row>
    <row r="29" spans="1:13" s="23" customFormat="1" ht="21" customHeight="1">
      <c r="A29" s="393"/>
      <c r="B29" s="849" t="s">
        <v>3765</v>
      </c>
      <c r="C29" s="850"/>
      <c r="D29" s="850"/>
      <c r="E29" s="850"/>
      <c r="F29" s="850"/>
      <c r="G29" s="850"/>
      <c r="H29" s="850"/>
      <c r="I29" s="851"/>
      <c r="J29" s="478">
        <f>ROUND(SUM(J26:J28),0)</f>
        <v>137505</v>
      </c>
      <c r="K29" s="393"/>
    </row>
    <row r="30" spans="1:13" ht="15.75">
      <c r="A30" s="392"/>
      <c r="B30" s="852" t="s">
        <v>4554</v>
      </c>
      <c r="C30" s="853"/>
      <c r="D30" s="853"/>
      <c r="E30" s="853"/>
      <c r="F30" s="853"/>
      <c r="G30" s="853"/>
      <c r="H30" s="853"/>
      <c r="I30" s="854"/>
      <c r="J30" s="479">
        <f>AbfindungMethode1</f>
        <v>146992</v>
      </c>
      <c r="K30" s="392"/>
    </row>
    <row r="31" spans="1:13" ht="15.75">
      <c r="A31" s="392"/>
      <c r="B31" s="855" t="s">
        <v>4555</v>
      </c>
      <c r="C31" s="856"/>
      <c r="D31" s="856"/>
      <c r="E31" s="856"/>
      <c r="F31" s="856"/>
      <c r="G31" s="856"/>
      <c r="H31" s="856"/>
      <c r="I31" s="857"/>
      <c r="J31" s="480">
        <f>AbfindungMethode2</f>
        <v>124442</v>
      </c>
      <c r="K31" s="392"/>
    </row>
    <row r="32" spans="1:13" ht="15" customHeight="1">
      <c r="A32" s="392"/>
      <c r="B32" s="392"/>
      <c r="C32" s="392"/>
      <c r="D32" s="392"/>
      <c r="E32" s="392"/>
      <c r="F32" s="392"/>
      <c r="G32" s="392"/>
      <c r="H32" s="392"/>
      <c r="I32" s="392"/>
      <c r="J32" s="392"/>
      <c r="K32" s="392"/>
    </row>
    <row r="36" spans="14:15" hidden="1">
      <c r="N36" s="316" t="s">
        <v>2720</v>
      </c>
      <c r="O36" s="315">
        <f>+AbfindungMethode3</f>
        <v>137505</v>
      </c>
    </row>
    <row r="37" spans="14:15" hidden="1">
      <c r="N37" s="316" t="s">
        <v>4272</v>
      </c>
      <c r="O37">
        <f>ROUND(O36*VLOOKUP(Abfindungsberechnung!D5,'Parameter DRV'!T5:V100,2),4)</f>
        <v>18.230699999999999</v>
      </c>
    </row>
    <row r="38" spans="14:15" hidden="1">
      <c r="N38" s="316" t="s">
        <v>4413</v>
      </c>
      <c r="O38">
        <f>VLOOKUP(Abfindungsberechnung!D5,'Parameter DRV'!G5:I100,2)</f>
        <v>34.19</v>
      </c>
    </row>
    <row r="39" spans="14:15" hidden="1">
      <c r="N39" s="316" t="s">
        <v>4414</v>
      </c>
      <c r="O39" s="255">
        <f>+O38*O37</f>
        <v>623.3076329999999</v>
      </c>
    </row>
    <row r="40" spans="14:15" hidden="1">
      <c r="N40" s="316" t="s">
        <v>4420</v>
      </c>
      <c r="O40" s="318">
        <f>+Dat_GebDat_Ber</f>
        <v>29586</v>
      </c>
    </row>
    <row r="41" spans="14:15" hidden="1">
      <c r="N41" s="316" t="s">
        <v>4421</v>
      </c>
      <c r="O41">
        <f>ROUND(YEARFRAC(Dat_GebDat_Ber,Dat_Ber,3),1)</f>
        <v>45</v>
      </c>
    </row>
    <row r="42" spans="14:15" hidden="1">
      <c r="N42" s="316" t="s">
        <v>4422</v>
      </c>
      <c r="O42" s="318" t="e">
        <f>+Abfindungsberechnung!#REF!</f>
        <v>#REF!</v>
      </c>
    </row>
    <row r="43" spans="14:15" hidden="1">
      <c r="N43" s="316" t="s">
        <v>4423</v>
      </c>
      <c r="O43" t="e">
        <f>ROUND(YEARFRAC(O40,O42,3),1)</f>
        <v>#REF!</v>
      </c>
    </row>
    <row r="44" spans="14:15" hidden="1">
      <c r="N44" s="316" t="s">
        <v>4415</v>
      </c>
      <c r="O44">
        <f>+AnwZeit_Ber_BerDatbusDRVRente</f>
        <v>22</v>
      </c>
    </row>
    <row r="45" spans="14:15" hidden="1">
      <c r="N45" s="316" t="s">
        <v>4419</v>
      </c>
      <c r="O45" s="255" t="e">
        <f>+O39*(1+'Abfindung Methode 1'!B17) ^AnwZeit_Ber_BerDatbusDRVRente</f>
        <v>#VALUE!</v>
      </c>
    </row>
    <row r="46" spans="14:15" hidden="1">
      <c r="N46" s="316" t="s">
        <v>4424</v>
      </c>
      <c r="O46" t="e">
        <f>ROUND(VLOOKUP(O43,CHOOSE(GeschlechtsNr_Ber,Lx,Ly,Ld),YEAR('Abfindung Methode 2'!#REF!)-1900+2),1)</f>
        <v>#REF!</v>
      </c>
    </row>
    <row r="47" spans="14:15" hidden="1">
      <c r="N47" s="316" t="s">
        <v>4425</v>
      </c>
      <c r="O47" s="255" t="e">
        <f>-PV(-'Abfindung Methode 1'!B17,'Abfindung Methode 2'!#REF!,'Abfindung Methode 2'!#REF!*12)</f>
        <v>#VALUE!</v>
      </c>
    </row>
    <row r="49" customFormat="1" hidden="1"/>
  </sheetData>
  <sheetProtection algorithmName="SHA-512" hashValue="68uaB36YfAOydnOCO3nHjdUi1ySmpaTMhpR4yA71QnC5n1igdzmVtZCg0/35caHUhjepiZauhE2IiMdCdOPMJg==" saltValue="gBiUURQLkn1hp8nRROHbIg==" spinCount="100000" sheet="1" objects="1" scenarios="1"/>
  <mergeCells count="34">
    <mergeCell ref="B29:I29"/>
    <mergeCell ref="B30:I30"/>
    <mergeCell ref="B31:I31"/>
    <mergeCell ref="B25:I25"/>
    <mergeCell ref="B26:I26"/>
    <mergeCell ref="B28:H28"/>
    <mergeCell ref="L20:M20"/>
    <mergeCell ref="B9:J9"/>
    <mergeCell ref="B11:I11"/>
    <mergeCell ref="B12:I12"/>
    <mergeCell ref="B13:I13"/>
    <mergeCell ref="B14:I14"/>
    <mergeCell ref="B15:I15"/>
    <mergeCell ref="B16:I16"/>
    <mergeCell ref="B18:I18"/>
    <mergeCell ref="B19:I19"/>
    <mergeCell ref="B20:I20"/>
    <mergeCell ref="B10:I10"/>
    <mergeCell ref="B17:I17"/>
    <mergeCell ref="B3:D3"/>
    <mergeCell ref="G3:G4"/>
    <mergeCell ref="H3:H4"/>
    <mergeCell ref="I5:I6"/>
    <mergeCell ref="B1:J2"/>
    <mergeCell ref="B22:G22"/>
    <mergeCell ref="G24:H24"/>
    <mergeCell ref="B24:F24"/>
    <mergeCell ref="B27:H27"/>
    <mergeCell ref="B7:C7"/>
    <mergeCell ref="D7:E7"/>
    <mergeCell ref="G7:H7"/>
    <mergeCell ref="B8:E8"/>
    <mergeCell ref="B21:G21"/>
    <mergeCell ref="B23:I23"/>
  </mergeCells>
  <conditionalFormatting sqref="I27:I28">
    <cfRule type="expression" dxfId="11" priority="5">
      <formula>I27=""</formula>
    </cfRule>
  </conditionalFormatting>
  <conditionalFormatting sqref="J24">
    <cfRule type="expression" dxfId="10" priority="3">
      <formula>J24=""</formula>
    </cfRule>
  </conditionalFormatting>
  <dataValidations count="6">
    <dataValidation type="decimal" allowBlank="1" showInputMessage="1" showErrorMessage="1" errorTitle="Eingabefehler" error="Es sind nur Zahleneingaben &lt;100 zulässig" sqref="G6" xr:uid="{C4817404-5DDE-488F-A61F-00479D0625A6}">
      <formula1>1</formula1>
      <formula2>100</formula2>
    </dataValidation>
    <dataValidation type="date" operator="greaterThan" allowBlank="1" showInputMessage="1" showErrorMessage="1" errorTitle="Eingabefehler!" error="Es sind nur Datumseingaben ab 1.1.1920 zulässig" sqref="C4:C5 F3" xr:uid="{785D9FF1-9031-45DB-A6A0-7F37C90B23C0}">
      <formula1>7306</formula1>
    </dataValidation>
    <dataValidation allowBlank="1" showInputMessage="1" showErrorMessage="1" errorTitle="Eingabefehler" error="Es sind nur Zahleneingaben &lt; 10.000 zulässig" sqref="F7:F8" xr:uid="{7E7B77E1-E1A5-40BD-B57C-C6BA87A225FE}"/>
    <dataValidation allowBlank="1" showInputMessage="1" showErrorMessage="1" errorTitle="Eingabefehler!" error="Es sind nur Zahleneingaben &lt;18 zulässig_x000a_" sqref="I7" xr:uid="{D95D8875-7261-4D4A-B4A0-8C10B4A82B51}"/>
    <dataValidation type="decimal" allowBlank="1" showInputMessage="1" showErrorMessage="1" errorTitle="Eingabefehler!" error="Es sind nur Zahleneingaben &lt;100 zulässig!" sqref="G5" xr:uid="{7F79A1F0-5213-48D1-845B-FC98788BE6A5}">
      <formula1>1</formula1>
      <formula2>100</formula2>
    </dataValidation>
    <dataValidation type="date" operator="greaterThan" allowBlank="1" showInputMessage="1" showErrorMessage="1" errorTitle="Eingabefehler" error="Es sind nur Datumseingaben ab 1.1.1920 zulässig" sqref="C6" xr:uid="{8FA63F61-9B9B-4B06-8FEB-A4F47837FDA7}">
      <formula1>7306</formula1>
    </dataValidation>
  </dataValidations>
  <hyperlinks>
    <hyperlink ref="G5" location="ReAlter_Pfl" display="ReAlter_Pfl" xr:uid="{3F080656-BE7F-4105-91FE-939C46F854CF}"/>
    <hyperlink ref="G6" location="ReAlter_Ber" display="ReAlter_Ber" xr:uid="{D618A43A-9439-4BD4-899A-145D355417EE}"/>
    <hyperlink ref="F7" location="ReHöhe_EZE_Pfl" display="ReHöhe_EZE_Pfl" xr:uid="{8F150589-0DEA-4534-A18D-0C64B8AF1C84}"/>
    <hyperlink ref="F8" location="Rentenhöhe_Fälligkeit" display="Rentenhöhe_Fälligkeit" xr:uid="{82BBB146-75D1-4B06-8AD4-6A6717ED1F8F}"/>
    <hyperlink ref="I7" location="ReAnzahlproJahr" display="ReAnzahlproJahr" xr:uid="{C46F736C-4C4D-4F30-8535-05C10050AE40}"/>
    <hyperlink ref="J11" location="ReHöhe_EZE_Pfl" display="ReHöhe_EZE_Pfl" xr:uid="{33E9F051-6138-4B72-A27D-A1C1360820AB}"/>
    <hyperlink ref="I27" location="Sozialversicherungsabschlag" display="Sozialversicherungsabschlag" xr:uid="{C940645D-F319-4BF4-BD68-0024AD568122}"/>
    <hyperlink ref="I28" location="Steuerabschlag" display="Steuerabschlag" xr:uid="{F5CFAAD6-3025-43A1-9866-3FE00B059176}"/>
  </hyperlink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9569" r:id="rId3" name="Check Box 1">
              <controlPr defaultSize="0" autoFill="0" autoLine="0" autoPict="0">
                <anchor moveWithCells="1">
                  <from>
                    <xdr:col>1</xdr:col>
                    <xdr:colOff>19050</xdr:colOff>
                    <xdr:row>26</xdr:row>
                    <xdr:rowOff>9525</xdr:rowOff>
                  </from>
                  <to>
                    <xdr:col>1</xdr:col>
                    <xdr:colOff>1590675</xdr:colOff>
                    <xdr:row>26</xdr:row>
                    <xdr:rowOff>200025</xdr:rowOff>
                  </to>
                </anchor>
              </controlPr>
            </control>
          </mc:Choice>
        </mc:AlternateContent>
        <mc:AlternateContent xmlns:mc="http://schemas.openxmlformats.org/markup-compatibility/2006">
          <mc:Choice Requires="x14">
            <control shapeId="109570" r:id="rId4" name="Check Box 2">
              <controlPr defaultSize="0" autoFill="0" autoLine="0" autoPict="0">
                <anchor moveWithCells="1">
                  <from>
                    <xdr:col>1</xdr:col>
                    <xdr:colOff>28575</xdr:colOff>
                    <xdr:row>26</xdr:row>
                    <xdr:rowOff>238125</xdr:rowOff>
                  </from>
                  <to>
                    <xdr:col>1</xdr:col>
                    <xdr:colOff>1600200</xdr:colOff>
                    <xdr:row>28</xdr:row>
                    <xdr:rowOff>9525</xdr:rowOff>
                  </to>
                </anchor>
              </controlPr>
            </control>
          </mc:Choice>
        </mc:AlternateContent>
        <mc:AlternateContent xmlns:mc="http://schemas.openxmlformats.org/markup-compatibility/2006">
          <mc:Choice Requires="x14">
            <control shapeId="109574" r:id="rId5" name="Check Box 6">
              <controlPr defaultSize="0" autoFill="0" autoLine="0" autoPict="0">
                <anchor moveWithCells="1">
                  <from>
                    <xdr:col>1</xdr:col>
                    <xdr:colOff>9525</xdr:colOff>
                    <xdr:row>20</xdr:row>
                    <xdr:rowOff>0</xdr:rowOff>
                  </from>
                  <to>
                    <xdr:col>1</xdr:col>
                    <xdr:colOff>2105025</xdr:colOff>
                    <xdr:row>20</xdr:row>
                    <xdr:rowOff>180975</xdr:rowOff>
                  </to>
                </anchor>
              </controlPr>
            </control>
          </mc:Choice>
        </mc:AlternateContent>
        <mc:AlternateContent xmlns:mc="http://schemas.openxmlformats.org/markup-compatibility/2006">
          <mc:Choice Requires="x14">
            <control shapeId="109575" r:id="rId6" name="Check Box 7">
              <controlPr defaultSize="0" autoFill="0" autoLine="0" autoPict="0">
                <anchor moveWithCells="1">
                  <from>
                    <xdr:col>1</xdr:col>
                    <xdr:colOff>9525</xdr:colOff>
                    <xdr:row>21</xdr:row>
                    <xdr:rowOff>0</xdr:rowOff>
                  </from>
                  <to>
                    <xdr:col>1</xdr:col>
                    <xdr:colOff>2876550</xdr:colOff>
                    <xdr:row>22</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8ADE4-4085-4F31-A47A-ED2AEF2216E3}">
  <sheetPr codeName="Tabelle54">
    <tabColor rgb="FFFFFF00"/>
  </sheetPr>
  <dimension ref="A1:AJ50"/>
  <sheetViews>
    <sheetView showGridLines="0" showRowColHeaders="0" zoomScale="115" zoomScaleNormal="115" workbookViewId="0">
      <pane xSplit="3" ySplit="2" topLeftCell="D3" activePane="bottomRight" state="frozen"/>
      <selection pane="topRight" activeCell="D1" sqref="D1"/>
      <selection pane="bottomLeft" activeCell="A3" sqref="A3"/>
      <selection pane="bottomRight" activeCell="D3" sqref="D3:E18"/>
      <extLst>
        <ext xmlns:xlsdti="http://schemas.microsoft.com/office/spreadsheetml/2023/showDataTypeIcons" uri="{77bfe23e-c014-4d31-8a63-9c772dbf06b6}">
          <xlsdti:showDataTypeIcons visible="0"/>
        </ext>
      </extLst>
    </sheetView>
  </sheetViews>
  <sheetFormatPr baseColWidth="10" defaultColWidth="0" defaultRowHeight="18.75"/>
  <cols>
    <col min="1" max="1" width="4.140625" style="132" customWidth="1"/>
    <col min="2" max="2" width="21" style="147" customWidth="1"/>
    <col min="3" max="3" width="21" customWidth="1"/>
    <col min="4" max="34" width="55.5703125" customWidth="1"/>
    <col min="35" max="36" width="55.5703125" hidden="1" customWidth="1"/>
    <col min="37" max="16384" width="11.42578125" hidden="1"/>
  </cols>
  <sheetData>
    <row r="1" spans="1:8" ht="21" customHeight="1">
      <c r="B1" s="867" t="s">
        <v>4526</v>
      </c>
      <c r="C1" s="721"/>
      <c r="D1" s="865" t="s">
        <v>4213</v>
      </c>
      <c r="E1" s="865"/>
      <c r="F1" s="864" t="s">
        <v>4527</v>
      </c>
      <c r="G1" s="864"/>
      <c r="H1" s="864"/>
    </row>
    <row r="2" spans="1:8" s="23" customFormat="1" ht="15" customHeight="1">
      <c r="A2" s="131"/>
      <c r="B2" s="721"/>
      <c r="C2" s="721"/>
      <c r="D2" s="865"/>
      <c r="E2" s="865"/>
      <c r="F2" s="864"/>
      <c r="G2" s="864"/>
      <c r="H2" s="864"/>
    </row>
    <row r="3" spans="1:8" s="365" customFormat="1" ht="15" customHeight="1">
      <c r="A3" s="364"/>
      <c r="B3" s="372" t="s">
        <v>0</v>
      </c>
      <c r="C3" s="368" t="str">
        <f>+T20</f>
        <v>Malta</v>
      </c>
      <c r="D3" s="868" t="s">
        <v>4525</v>
      </c>
      <c r="E3" s="869"/>
      <c r="F3" s="874" t="s">
        <v>4524</v>
      </c>
      <c r="G3" s="875"/>
      <c r="H3" s="876"/>
    </row>
    <row r="4" spans="1:8" s="365" customFormat="1" ht="15" customHeight="1">
      <c r="A4" s="364"/>
      <c r="B4" s="367" t="str">
        <f>+K_Bu</f>
        <v>Bulgarien</v>
      </c>
      <c r="C4" s="369" t="str">
        <f>+U20</f>
        <v>Niederlande</v>
      </c>
      <c r="D4" s="870"/>
      <c r="E4" s="871"/>
      <c r="F4" s="877"/>
      <c r="G4" s="878"/>
      <c r="H4" s="879"/>
    </row>
    <row r="5" spans="1:8" s="365" customFormat="1" ht="14.1" customHeight="1">
      <c r="A5" s="364"/>
      <c r="B5" s="367" t="str">
        <f>+F20</f>
        <v>Dänemark</v>
      </c>
      <c r="C5" s="369" t="str">
        <f>+V20</f>
        <v>Norwegen</v>
      </c>
      <c r="D5" s="870"/>
      <c r="E5" s="871"/>
      <c r="F5" s="877"/>
      <c r="G5" s="878"/>
      <c r="H5" s="879"/>
    </row>
    <row r="6" spans="1:8" s="365" customFormat="1" ht="14.1" customHeight="1">
      <c r="A6" s="364"/>
      <c r="B6" s="367" t="str">
        <f>+G20</f>
        <v>Deutschland</v>
      </c>
      <c r="C6" s="369" t="str">
        <f>+W20</f>
        <v>Österreich</v>
      </c>
      <c r="D6" s="870"/>
      <c r="E6" s="871"/>
      <c r="F6" s="877"/>
      <c r="G6" s="878"/>
      <c r="H6" s="879"/>
    </row>
    <row r="7" spans="1:8" s="365" customFormat="1" ht="14.1" customHeight="1">
      <c r="A7" s="364"/>
      <c r="B7" s="367" t="str">
        <f>+H20</f>
        <v>Estland</v>
      </c>
      <c r="C7" s="370" t="str">
        <f>+X20</f>
        <v>Polen</v>
      </c>
      <c r="D7" s="870"/>
      <c r="E7" s="871"/>
      <c r="F7" s="877"/>
      <c r="G7" s="878"/>
      <c r="H7" s="879"/>
    </row>
    <row r="8" spans="1:8" s="365" customFormat="1" ht="14.1" customHeight="1">
      <c r="A8" s="364"/>
      <c r="B8" s="367" t="str">
        <f>+I20</f>
        <v>Finnland</v>
      </c>
      <c r="C8" s="370" t="str">
        <f>+Y20</f>
        <v>Portugal</v>
      </c>
      <c r="D8" s="870"/>
      <c r="E8" s="871"/>
      <c r="F8" s="877"/>
      <c r="G8" s="878"/>
      <c r="H8" s="879"/>
    </row>
    <row r="9" spans="1:8" s="365" customFormat="1" ht="14.1" customHeight="1">
      <c r="A9" s="364"/>
      <c r="B9" s="367" t="str">
        <f>+J20</f>
        <v>Frankreich</v>
      </c>
      <c r="C9" s="370" t="str">
        <f>+Z20</f>
        <v>Rumänien</v>
      </c>
      <c r="D9" s="870"/>
      <c r="E9" s="871"/>
      <c r="F9" s="877"/>
      <c r="G9" s="878"/>
      <c r="H9" s="879"/>
    </row>
    <row r="10" spans="1:8" s="365" customFormat="1" ht="14.1" customHeight="1">
      <c r="A10" s="364"/>
      <c r="B10" s="367" t="str">
        <f>+K20</f>
        <v>Griechenland</v>
      </c>
      <c r="C10" s="370" t="str">
        <f>+AA20</f>
        <v>Schweden</v>
      </c>
      <c r="D10" s="870"/>
      <c r="E10" s="871"/>
      <c r="F10" s="877"/>
      <c r="G10" s="878"/>
      <c r="H10" s="879"/>
    </row>
    <row r="11" spans="1:8" s="365" customFormat="1" ht="14.1" customHeight="1">
      <c r="A11" s="364"/>
      <c r="B11" s="367" t="str">
        <f>+L20</f>
        <v>Irland</v>
      </c>
      <c r="C11" s="370" t="str">
        <f>+AB20</f>
        <v>Schweiz</v>
      </c>
      <c r="D11" s="870"/>
      <c r="E11" s="871"/>
      <c r="F11" s="877"/>
      <c r="G11" s="878"/>
      <c r="H11" s="879"/>
    </row>
    <row r="12" spans="1:8" s="365" customFormat="1" ht="14.1" customHeight="1">
      <c r="A12" s="364"/>
      <c r="B12" s="367" t="str">
        <f>+M20</f>
        <v>Island</v>
      </c>
      <c r="C12" s="370" t="str">
        <f>+AC20</f>
        <v>Slowakei</v>
      </c>
      <c r="D12" s="870"/>
      <c r="E12" s="871"/>
      <c r="F12" s="877"/>
      <c r="G12" s="878"/>
      <c r="H12" s="879"/>
    </row>
    <row r="13" spans="1:8" s="365" customFormat="1" ht="14.1" customHeight="1">
      <c r="A13" s="364"/>
      <c r="B13" s="367" t="str">
        <f>+N20</f>
        <v>Italien</v>
      </c>
      <c r="C13" s="370" t="str">
        <f>+AD20</f>
        <v>Slowenien</v>
      </c>
      <c r="D13" s="870"/>
      <c r="E13" s="871"/>
      <c r="F13" s="877"/>
      <c r="G13" s="878"/>
      <c r="H13" s="879"/>
    </row>
    <row r="14" spans="1:8" s="365" customFormat="1" ht="14.1" customHeight="1">
      <c r="A14" s="364"/>
      <c r="B14" s="367" t="str">
        <f>+O20</f>
        <v>Kroatien</v>
      </c>
      <c r="C14" s="370" t="str">
        <f>+AE20</f>
        <v>Spanien</v>
      </c>
      <c r="D14" s="870"/>
      <c r="E14" s="871"/>
      <c r="F14" s="877"/>
      <c r="G14" s="878"/>
      <c r="H14" s="879"/>
    </row>
    <row r="15" spans="1:8" s="365" customFormat="1" ht="14.1" customHeight="1">
      <c r="A15" s="364"/>
      <c r="B15" s="367" t="str">
        <f>+P20</f>
        <v>Lettland</v>
      </c>
      <c r="C15" s="370" t="str">
        <f>+AF20</f>
        <v>Tschechien</v>
      </c>
      <c r="D15" s="870"/>
      <c r="E15" s="871"/>
      <c r="F15" s="877"/>
      <c r="G15" s="878"/>
      <c r="H15" s="879"/>
    </row>
    <row r="16" spans="1:8" s="365" customFormat="1" ht="14.1" customHeight="1">
      <c r="A16" s="364"/>
      <c r="B16" s="367" t="str">
        <f>+Q20</f>
        <v>Liechtenstein</v>
      </c>
      <c r="C16" s="370" t="str">
        <f>+AG20</f>
        <v>Ungarn</v>
      </c>
      <c r="D16" s="870"/>
      <c r="E16" s="871"/>
      <c r="F16" s="877"/>
      <c r="G16" s="878"/>
      <c r="H16" s="879"/>
    </row>
    <row r="17" spans="1:34" s="365" customFormat="1" ht="14.1" customHeight="1">
      <c r="A17" s="364"/>
      <c r="B17" s="367" t="str">
        <f>+R20</f>
        <v>Litauen</v>
      </c>
      <c r="C17" s="370" t="str">
        <f>+AH20</f>
        <v>Zypern</v>
      </c>
      <c r="D17" s="870"/>
      <c r="E17" s="871"/>
      <c r="F17" s="877"/>
      <c r="G17" s="878"/>
      <c r="H17" s="879"/>
    </row>
    <row r="18" spans="1:34" s="365" customFormat="1" ht="14.1" customHeight="1">
      <c r="A18" s="364"/>
      <c r="B18" s="367" t="str">
        <f>+S20</f>
        <v>Luxemburg</v>
      </c>
      <c r="C18" s="371"/>
      <c r="D18" s="872"/>
      <c r="E18" s="873"/>
      <c r="F18" s="880"/>
      <c r="G18" s="881"/>
      <c r="H18" s="882"/>
    </row>
    <row r="19" spans="1:34" ht="15">
      <c r="B19" s="866" t="s">
        <v>4275</v>
      </c>
      <c r="C19" s="866"/>
      <c r="D19" s="253" t="str">
        <f>+B19</f>
        <v>Alle Felder sind verlinkt, auch wenn nicht unterstrichen!</v>
      </c>
      <c r="E19" s="253" t="str">
        <f>+D19</f>
        <v>Alle Felder sind verlinkt, auch wenn nicht unterstrichen!</v>
      </c>
      <c r="F19" s="253" t="str">
        <f t="shared" ref="F19:AH19" si="0">+E19</f>
        <v>Alle Felder sind verlinkt, auch wenn nicht unterstrichen!</v>
      </c>
      <c r="G19" s="253" t="str">
        <f t="shared" si="0"/>
        <v>Alle Felder sind verlinkt, auch wenn nicht unterstrichen!</v>
      </c>
      <c r="H19" s="253" t="str">
        <f t="shared" si="0"/>
        <v>Alle Felder sind verlinkt, auch wenn nicht unterstrichen!</v>
      </c>
      <c r="I19" s="253" t="str">
        <f t="shared" si="0"/>
        <v>Alle Felder sind verlinkt, auch wenn nicht unterstrichen!</v>
      </c>
      <c r="J19" s="253" t="str">
        <f t="shared" si="0"/>
        <v>Alle Felder sind verlinkt, auch wenn nicht unterstrichen!</v>
      </c>
      <c r="K19" s="253" t="str">
        <f t="shared" si="0"/>
        <v>Alle Felder sind verlinkt, auch wenn nicht unterstrichen!</v>
      </c>
      <c r="L19" s="253" t="str">
        <f t="shared" si="0"/>
        <v>Alle Felder sind verlinkt, auch wenn nicht unterstrichen!</v>
      </c>
      <c r="M19" s="253" t="str">
        <f t="shared" si="0"/>
        <v>Alle Felder sind verlinkt, auch wenn nicht unterstrichen!</v>
      </c>
      <c r="N19" s="253" t="str">
        <f t="shared" si="0"/>
        <v>Alle Felder sind verlinkt, auch wenn nicht unterstrichen!</v>
      </c>
      <c r="O19" s="253" t="str">
        <f t="shared" si="0"/>
        <v>Alle Felder sind verlinkt, auch wenn nicht unterstrichen!</v>
      </c>
      <c r="P19" s="253" t="str">
        <f t="shared" si="0"/>
        <v>Alle Felder sind verlinkt, auch wenn nicht unterstrichen!</v>
      </c>
      <c r="Q19" s="253" t="str">
        <f t="shared" si="0"/>
        <v>Alle Felder sind verlinkt, auch wenn nicht unterstrichen!</v>
      </c>
      <c r="R19" s="253" t="str">
        <f t="shared" si="0"/>
        <v>Alle Felder sind verlinkt, auch wenn nicht unterstrichen!</v>
      </c>
      <c r="S19" s="253" t="str">
        <f t="shared" si="0"/>
        <v>Alle Felder sind verlinkt, auch wenn nicht unterstrichen!</v>
      </c>
      <c r="T19" s="253" t="str">
        <f t="shared" si="0"/>
        <v>Alle Felder sind verlinkt, auch wenn nicht unterstrichen!</v>
      </c>
      <c r="U19" s="253" t="str">
        <f t="shared" si="0"/>
        <v>Alle Felder sind verlinkt, auch wenn nicht unterstrichen!</v>
      </c>
      <c r="V19" s="253" t="str">
        <f t="shared" si="0"/>
        <v>Alle Felder sind verlinkt, auch wenn nicht unterstrichen!</v>
      </c>
      <c r="W19" s="253" t="str">
        <f t="shared" si="0"/>
        <v>Alle Felder sind verlinkt, auch wenn nicht unterstrichen!</v>
      </c>
      <c r="X19" s="253" t="str">
        <f t="shared" si="0"/>
        <v>Alle Felder sind verlinkt, auch wenn nicht unterstrichen!</v>
      </c>
      <c r="Y19" s="253" t="str">
        <f t="shared" si="0"/>
        <v>Alle Felder sind verlinkt, auch wenn nicht unterstrichen!</v>
      </c>
      <c r="Z19" s="253" t="str">
        <f t="shared" si="0"/>
        <v>Alle Felder sind verlinkt, auch wenn nicht unterstrichen!</v>
      </c>
      <c r="AA19" s="253" t="str">
        <f t="shared" si="0"/>
        <v>Alle Felder sind verlinkt, auch wenn nicht unterstrichen!</v>
      </c>
      <c r="AB19" s="253" t="str">
        <f t="shared" si="0"/>
        <v>Alle Felder sind verlinkt, auch wenn nicht unterstrichen!</v>
      </c>
      <c r="AC19" s="253" t="str">
        <f t="shared" si="0"/>
        <v>Alle Felder sind verlinkt, auch wenn nicht unterstrichen!</v>
      </c>
      <c r="AD19" s="253" t="str">
        <f t="shared" si="0"/>
        <v>Alle Felder sind verlinkt, auch wenn nicht unterstrichen!</v>
      </c>
      <c r="AE19" s="253" t="str">
        <f t="shared" si="0"/>
        <v>Alle Felder sind verlinkt, auch wenn nicht unterstrichen!</v>
      </c>
      <c r="AF19" s="253" t="str">
        <f t="shared" si="0"/>
        <v>Alle Felder sind verlinkt, auch wenn nicht unterstrichen!</v>
      </c>
      <c r="AG19" s="253" t="str">
        <f t="shared" si="0"/>
        <v>Alle Felder sind verlinkt, auch wenn nicht unterstrichen!</v>
      </c>
      <c r="AH19" s="253" t="str">
        <f t="shared" si="0"/>
        <v>Alle Felder sind verlinkt, auch wenn nicht unterstrichen!</v>
      </c>
    </row>
    <row r="20" spans="1:34" s="366" customFormat="1" ht="28.5" customHeight="1">
      <c r="A20" s="254"/>
      <c r="B20" s="863" t="s">
        <v>2882</v>
      </c>
      <c r="C20" s="863"/>
      <c r="D20" s="373" t="s">
        <v>0</v>
      </c>
      <c r="E20" s="373" t="s">
        <v>1</v>
      </c>
      <c r="F20" s="373" t="s">
        <v>2</v>
      </c>
      <c r="G20" s="373" t="s">
        <v>3</v>
      </c>
      <c r="H20" s="373" t="s">
        <v>4</v>
      </c>
      <c r="I20" s="373" t="s">
        <v>5</v>
      </c>
      <c r="J20" s="373" t="s">
        <v>6</v>
      </c>
      <c r="K20" s="373" t="s">
        <v>7</v>
      </c>
      <c r="L20" s="373" t="s">
        <v>8</v>
      </c>
      <c r="M20" s="373" t="s">
        <v>9</v>
      </c>
      <c r="N20" s="373" t="s">
        <v>10</v>
      </c>
      <c r="O20" s="373" t="s">
        <v>11</v>
      </c>
      <c r="P20" s="373" t="s">
        <v>12</v>
      </c>
      <c r="Q20" s="373" t="s">
        <v>13</v>
      </c>
      <c r="R20" s="373" t="s">
        <v>14</v>
      </c>
      <c r="S20" s="373" t="s">
        <v>15</v>
      </c>
      <c r="T20" s="373" t="s">
        <v>16</v>
      </c>
      <c r="U20" s="373" t="s">
        <v>17</v>
      </c>
      <c r="V20" s="373" t="s">
        <v>18</v>
      </c>
      <c r="W20" s="373" t="s">
        <v>19</v>
      </c>
      <c r="X20" s="373" t="s">
        <v>20</v>
      </c>
      <c r="Y20" s="373" t="s">
        <v>21</v>
      </c>
      <c r="Z20" s="373" t="s">
        <v>22</v>
      </c>
      <c r="AA20" s="373" t="s">
        <v>23</v>
      </c>
      <c r="AB20" s="373" t="s">
        <v>24</v>
      </c>
      <c r="AC20" s="373" t="s">
        <v>25</v>
      </c>
      <c r="AD20" s="373" t="s">
        <v>26</v>
      </c>
      <c r="AE20" s="373" t="s">
        <v>27</v>
      </c>
      <c r="AF20" s="373" t="s">
        <v>3501</v>
      </c>
      <c r="AG20" s="373" t="s">
        <v>29</v>
      </c>
      <c r="AH20" s="373" t="s">
        <v>30</v>
      </c>
    </row>
    <row r="21" spans="1:34" ht="135">
      <c r="A21" s="28">
        <v>1</v>
      </c>
      <c r="B21" s="862" t="s">
        <v>3790</v>
      </c>
      <c r="C21" s="862"/>
      <c r="D21" s="176" t="s">
        <v>4215</v>
      </c>
      <c r="E21" s="176" t="s">
        <v>4217</v>
      </c>
      <c r="F21" s="176" t="s">
        <v>4218</v>
      </c>
      <c r="G21" s="176" t="s">
        <v>3794</v>
      </c>
      <c r="H21" s="176" t="s">
        <v>3795</v>
      </c>
      <c r="I21" s="176" t="s">
        <v>3796</v>
      </c>
      <c r="J21" s="176" t="s">
        <v>3797</v>
      </c>
      <c r="K21" s="176" t="s">
        <v>3838</v>
      </c>
      <c r="L21" s="176" t="s">
        <v>3839</v>
      </c>
      <c r="M21" s="176" t="s">
        <v>3840</v>
      </c>
      <c r="N21" s="176" t="s">
        <v>3841</v>
      </c>
      <c r="O21" s="176" t="s">
        <v>3842</v>
      </c>
      <c r="P21" s="176" t="s">
        <v>3843</v>
      </c>
      <c r="Q21" s="176" t="s">
        <v>3904</v>
      </c>
      <c r="R21" s="176" t="s">
        <v>3905</v>
      </c>
      <c r="S21" s="176" t="s">
        <v>3906</v>
      </c>
      <c r="T21" s="176" t="s">
        <v>3907</v>
      </c>
      <c r="U21" s="176" t="s">
        <v>3908</v>
      </c>
      <c r="V21" s="176" t="s">
        <v>3909</v>
      </c>
      <c r="W21" s="176" t="s">
        <v>3970</v>
      </c>
      <c r="X21" s="176" t="s">
        <v>3971</v>
      </c>
      <c r="Y21" s="176" t="s">
        <v>3972</v>
      </c>
      <c r="Z21" s="176" t="s">
        <v>3973</v>
      </c>
      <c r="AA21" s="176" t="s">
        <v>3974</v>
      </c>
      <c r="AB21" s="176" t="s">
        <v>4025</v>
      </c>
      <c r="AC21" s="176" t="s">
        <v>4026</v>
      </c>
      <c r="AD21" s="176" t="s">
        <v>4027</v>
      </c>
      <c r="AE21" s="176" t="s">
        <v>4028</v>
      </c>
      <c r="AF21" s="176" t="s">
        <v>4029</v>
      </c>
      <c r="AG21" s="176" t="s">
        <v>4030</v>
      </c>
      <c r="AH21" s="176" t="s">
        <v>4031</v>
      </c>
    </row>
    <row r="22" spans="1:34" ht="105">
      <c r="A22" s="28">
        <v>2</v>
      </c>
      <c r="B22" s="862" t="s">
        <v>3791</v>
      </c>
      <c r="C22" s="862"/>
      <c r="D22" s="180" t="s">
        <v>4216</v>
      </c>
      <c r="E22" s="180" t="s">
        <v>4220</v>
      </c>
      <c r="F22" s="180" t="s">
        <v>4221</v>
      </c>
      <c r="G22" s="180" t="s">
        <v>3798</v>
      </c>
      <c r="H22" s="180" t="s">
        <v>3799</v>
      </c>
      <c r="I22" s="180" t="s">
        <v>3800</v>
      </c>
      <c r="J22" s="180" t="s">
        <v>3801</v>
      </c>
      <c r="K22" s="180" t="s">
        <v>3844</v>
      </c>
      <c r="L22" s="180" t="s">
        <v>3845</v>
      </c>
      <c r="M22" s="180" t="s">
        <v>3846</v>
      </c>
      <c r="N22" s="180" t="s">
        <v>3847</v>
      </c>
      <c r="O22" s="180" t="s">
        <v>3848</v>
      </c>
      <c r="P22" s="180" t="s">
        <v>3849</v>
      </c>
      <c r="Q22" s="180" t="s">
        <v>3910</v>
      </c>
      <c r="R22" s="180" t="s">
        <v>3911</v>
      </c>
      <c r="S22" s="180" t="s">
        <v>3912</v>
      </c>
      <c r="T22" s="180" t="s">
        <v>3913</v>
      </c>
      <c r="U22" s="180" t="s">
        <v>3914</v>
      </c>
      <c r="V22" s="180" t="s">
        <v>3915</v>
      </c>
      <c r="W22" s="180" t="s">
        <v>3975</v>
      </c>
      <c r="X22" s="180" t="s">
        <v>3976</v>
      </c>
      <c r="Y22" s="180" t="s">
        <v>3977</v>
      </c>
      <c r="Z22" s="180" t="s">
        <v>3978</v>
      </c>
      <c r="AA22" s="180" t="s">
        <v>3979</v>
      </c>
      <c r="AB22" s="180" t="s">
        <v>4032</v>
      </c>
      <c r="AC22" s="180" t="s">
        <v>4033</v>
      </c>
      <c r="AD22" s="180" t="s">
        <v>4034</v>
      </c>
      <c r="AE22" s="180" t="s">
        <v>4035</v>
      </c>
      <c r="AF22" s="180" t="s">
        <v>4036</v>
      </c>
      <c r="AG22" s="180" t="s">
        <v>4037</v>
      </c>
      <c r="AH22" s="180" t="s">
        <v>4038</v>
      </c>
    </row>
    <row r="23" spans="1:34" ht="120">
      <c r="A23" s="28">
        <v>3</v>
      </c>
      <c r="B23" s="862" t="s">
        <v>4485</v>
      </c>
      <c r="C23" s="862"/>
      <c r="D23" s="176" t="s">
        <v>4219</v>
      </c>
      <c r="E23" s="176" t="s">
        <v>4223</v>
      </c>
      <c r="F23" s="176" t="s">
        <v>4224</v>
      </c>
      <c r="G23" s="176" t="s">
        <v>3802</v>
      </c>
      <c r="H23" s="176" t="s">
        <v>3803</v>
      </c>
      <c r="I23" s="176" t="s">
        <v>3804</v>
      </c>
      <c r="J23" s="176" t="s">
        <v>3805</v>
      </c>
      <c r="K23" s="176" t="s">
        <v>3850</v>
      </c>
      <c r="L23" s="176" t="s">
        <v>3851</v>
      </c>
      <c r="M23" s="176" t="s">
        <v>3852</v>
      </c>
      <c r="N23" s="176" t="s">
        <v>3853</v>
      </c>
      <c r="O23" s="176" t="s">
        <v>3854</v>
      </c>
      <c r="P23" s="176" t="s">
        <v>3855</v>
      </c>
      <c r="Q23" s="176" t="s">
        <v>3916</v>
      </c>
      <c r="R23" s="176" t="s">
        <v>3917</v>
      </c>
      <c r="S23" s="176" t="s">
        <v>3918</v>
      </c>
      <c r="T23" s="176" t="s">
        <v>3919</v>
      </c>
      <c r="U23" s="176" t="s">
        <v>3920</v>
      </c>
      <c r="V23" s="176" t="s">
        <v>3921</v>
      </c>
      <c r="W23" s="176" t="s">
        <v>3980</v>
      </c>
      <c r="X23" s="176" t="s">
        <v>3981</v>
      </c>
      <c r="Y23" s="176" t="s">
        <v>3982</v>
      </c>
      <c r="Z23" s="176" t="s">
        <v>3983</v>
      </c>
      <c r="AA23" s="176" t="s">
        <v>3984</v>
      </c>
      <c r="AB23" s="176" t="s">
        <v>4039</v>
      </c>
      <c r="AC23" s="176" t="s">
        <v>4040</v>
      </c>
      <c r="AD23" s="176" t="s">
        <v>4041</v>
      </c>
      <c r="AE23" s="176" t="s">
        <v>4042</v>
      </c>
      <c r="AF23" s="176" t="s">
        <v>4043</v>
      </c>
      <c r="AG23" s="176" t="s">
        <v>4044</v>
      </c>
      <c r="AH23" s="176" t="s">
        <v>4045</v>
      </c>
    </row>
    <row r="24" spans="1:34" ht="75">
      <c r="A24" s="28">
        <v>4</v>
      </c>
      <c r="B24" s="862" t="s">
        <v>4482</v>
      </c>
      <c r="C24" s="862"/>
      <c r="D24" s="180" t="s">
        <v>4222</v>
      </c>
      <c r="E24" s="180" t="s">
        <v>4226</v>
      </c>
      <c r="F24" s="180" t="s">
        <v>4227</v>
      </c>
      <c r="G24" s="180" t="s">
        <v>3836</v>
      </c>
      <c r="H24" s="180" t="s">
        <v>3806</v>
      </c>
      <c r="I24" s="180" t="s">
        <v>3807</v>
      </c>
      <c r="J24" s="180" t="s">
        <v>3837</v>
      </c>
      <c r="K24" s="180" t="s">
        <v>3856</v>
      </c>
      <c r="L24" s="180" t="s">
        <v>3857</v>
      </c>
      <c r="M24" s="180" t="s">
        <v>3858</v>
      </c>
      <c r="N24" s="180" t="s">
        <v>3859</v>
      </c>
      <c r="O24" s="180" t="s">
        <v>3860</v>
      </c>
      <c r="P24" s="180" t="s">
        <v>3861</v>
      </c>
      <c r="Q24" s="180" t="s">
        <v>3922</v>
      </c>
      <c r="R24" s="180" t="s">
        <v>3923</v>
      </c>
      <c r="S24" s="180" t="s">
        <v>3924</v>
      </c>
      <c r="T24" s="180" t="s">
        <v>3925</v>
      </c>
      <c r="U24" s="180" t="s">
        <v>3926</v>
      </c>
      <c r="V24" s="180" t="s">
        <v>3927</v>
      </c>
      <c r="W24" s="180" t="s">
        <v>3985</v>
      </c>
      <c r="X24" s="180" t="s">
        <v>3986</v>
      </c>
      <c r="Y24" s="180" t="s">
        <v>3987</v>
      </c>
      <c r="Z24" s="180" t="s">
        <v>3988</v>
      </c>
      <c r="AA24" s="180" t="s">
        <v>3989</v>
      </c>
      <c r="AB24" s="180" t="s">
        <v>4046</v>
      </c>
      <c r="AC24" s="180" t="s">
        <v>4047</v>
      </c>
      <c r="AD24" s="180" t="s">
        <v>4048</v>
      </c>
      <c r="AE24" s="180" t="s">
        <v>4049</v>
      </c>
      <c r="AF24" s="180" t="s">
        <v>4050</v>
      </c>
      <c r="AG24" s="180" t="s">
        <v>4051</v>
      </c>
      <c r="AH24" s="180" t="s">
        <v>4052</v>
      </c>
    </row>
    <row r="25" spans="1:34" ht="90">
      <c r="A25" s="28">
        <v>5</v>
      </c>
      <c r="B25" s="862" t="s">
        <v>4211</v>
      </c>
      <c r="C25" s="862"/>
      <c r="D25" s="175" t="s">
        <v>4225</v>
      </c>
      <c r="E25" s="176" t="s">
        <v>4229</v>
      </c>
      <c r="F25" s="176" t="s">
        <v>4230</v>
      </c>
      <c r="G25" s="176" t="s">
        <v>3808</v>
      </c>
      <c r="H25" s="176" t="s">
        <v>3809</v>
      </c>
      <c r="I25" s="176" t="s">
        <v>3810</v>
      </c>
      <c r="J25" s="176" t="s">
        <v>3811</v>
      </c>
      <c r="K25" s="176" t="s">
        <v>3862</v>
      </c>
      <c r="L25" s="175" t="s">
        <v>3863</v>
      </c>
      <c r="M25" s="175" t="s">
        <v>3864</v>
      </c>
      <c r="N25" s="175" t="s">
        <v>3865</v>
      </c>
      <c r="O25" s="175" t="s">
        <v>3866</v>
      </c>
      <c r="P25" s="175" t="s">
        <v>3867</v>
      </c>
      <c r="Q25" s="175" t="s">
        <v>3928</v>
      </c>
      <c r="R25" s="175" t="s">
        <v>3929</v>
      </c>
      <c r="S25" s="175" t="s">
        <v>3930</v>
      </c>
      <c r="T25" s="175" t="s">
        <v>3931</v>
      </c>
      <c r="U25" s="175" t="s">
        <v>3932</v>
      </c>
      <c r="V25" s="175" t="s">
        <v>3933</v>
      </c>
      <c r="W25" s="175" t="s">
        <v>3990</v>
      </c>
      <c r="X25" s="175" t="s">
        <v>3991</v>
      </c>
      <c r="Y25" s="175" t="s">
        <v>3992</v>
      </c>
      <c r="Z25" s="175" t="s">
        <v>3993</v>
      </c>
      <c r="AA25" s="175" t="s">
        <v>3994</v>
      </c>
      <c r="AB25" s="175" t="s">
        <v>4053</v>
      </c>
      <c r="AC25" s="175" t="s">
        <v>4054</v>
      </c>
      <c r="AD25" s="175" t="s">
        <v>4055</v>
      </c>
      <c r="AE25" s="175" t="s">
        <v>4056</v>
      </c>
      <c r="AF25" s="175" t="s">
        <v>4057</v>
      </c>
      <c r="AG25" s="175" t="s">
        <v>4058</v>
      </c>
      <c r="AH25" s="175" t="s">
        <v>4059</v>
      </c>
    </row>
    <row r="26" spans="1:34" ht="105">
      <c r="A26" s="28">
        <v>6</v>
      </c>
      <c r="B26" s="883" t="s">
        <v>4212</v>
      </c>
      <c r="C26" s="884"/>
      <c r="D26" s="179" t="s">
        <v>4228</v>
      </c>
      <c r="E26" s="180" t="s">
        <v>4232</v>
      </c>
      <c r="F26" s="180" t="s">
        <v>4233</v>
      </c>
      <c r="G26" s="180" t="s">
        <v>3812</v>
      </c>
      <c r="H26" s="180" t="s">
        <v>3813</v>
      </c>
      <c r="I26" s="180" t="s">
        <v>3814</v>
      </c>
      <c r="J26" s="180" t="s">
        <v>3815</v>
      </c>
      <c r="K26" s="180" t="s">
        <v>3868</v>
      </c>
      <c r="L26" s="177" t="s">
        <v>3869</v>
      </c>
      <c r="M26" s="177" t="s">
        <v>3870</v>
      </c>
      <c r="N26" s="177" t="s">
        <v>3871</v>
      </c>
      <c r="O26" s="177" t="s">
        <v>3872</v>
      </c>
      <c r="P26" s="177" t="s">
        <v>3873</v>
      </c>
      <c r="Q26" s="177" t="s">
        <v>3934</v>
      </c>
      <c r="R26" s="177" t="s">
        <v>3935</v>
      </c>
      <c r="S26" s="177" t="s">
        <v>3936</v>
      </c>
      <c r="T26" s="177" t="s">
        <v>3937</v>
      </c>
      <c r="U26" s="177" t="s">
        <v>3938</v>
      </c>
      <c r="V26" s="177" t="s">
        <v>3939</v>
      </c>
      <c r="W26" s="177" t="s">
        <v>3995</v>
      </c>
      <c r="X26" s="177" t="s">
        <v>3996</v>
      </c>
      <c r="Y26" s="177" t="s">
        <v>3997</v>
      </c>
      <c r="Z26" s="177" t="s">
        <v>3998</v>
      </c>
      <c r="AA26" s="177" t="s">
        <v>3999</v>
      </c>
      <c r="AB26" s="177" t="s">
        <v>4060</v>
      </c>
      <c r="AC26" s="177" t="s">
        <v>4061</v>
      </c>
      <c r="AD26" s="177" t="s">
        <v>4062</v>
      </c>
      <c r="AE26" s="177" t="s">
        <v>4063</v>
      </c>
      <c r="AF26" s="177" t="s">
        <v>4064</v>
      </c>
      <c r="AG26" s="177" t="s">
        <v>4065</v>
      </c>
      <c r="AH26" s="177" t="s">
        <v>4066</v>
      </c>
    </row>
    <row r="27" spans="1:34" ht="120">
      <c r="A27" s="28">
        <v>7</v>
      </c>
      <c r="B27" s="883" t="s">
        <v>4483</v>
      </c>
      <c r="C27" s="884"/>
      <c r="D27" s="176" t="s">
        <v>4231</v>
      </c>
      <c r="E27" s="176" t="s">
        <v>4235</v>
      </c>
      <c r="F27" s="176" t="s">
        <v>4236</v>
      </c>
      <c r="G27" s="176" t="s">
        <v>3816</v>
      </c>
      <c r="H27" s="176" t="s">
        <v>3817</v>
      </c>
      <c r="I27" s="176" t="s">
        <v>3818</v>
      </c>
      <c r="J27" s="176" t="s">
        <v>3819</v>
      </c>
      <c r="K27" s="176" t="s">
        <v>3874</v>
      </c>
      <c r="L27" s="175" t="s">
        <v>3875</v>
      </c>
      <c r="M27" s="175" t="s">
        <v>3876</v>
      </c>
      <c r="N27" s="175" t="s">
        <v>3877</v>
      </c>
      <c r="O27" s="175" t="s">
        <v>3878</v>
      </c>
      <c r="P27" s="175" t="s">
        <v>3879</v>
      </c>
      <c r="Q27" s="175" t="s">
        <v>3940</v>
      </c>
      <c r="R27" s="175" t="s">
        <v>3941</v>
      </c>
      <c r="S27" s="175" t="s">
        <v>3942</v>
      </c>
      <c r="T27" s="175" t="s">
        <v>3943</v>
      </c>
      <c r="U27" s="175" t="s">
        <v>3944</v>
      </c>
      <c r="V27" s="175" t="s">
        <v>3945</v>
      </c>
      <c r="W27" s="175" t="s">
        <v>4000</v>
      </c>
      <c r="X27" s="175" t="s">
        <v>4001</v>
      </c>
      <c r="Y27" s="175" t="s">
        <v>4002</v>
      </c>
      <c r="Z27" s="175" t="s">
        <v>4003</v>
      </c>
      <c r="AA27" s="175" t="s">
        <v>4004</v>
      </c>
      <c r="AB27" s="175" t="s">
        <v>4100</v>
      </c>
      <c r="AC27" s="175" t="s">
        <v>4067</v>
      </c>
      <c r="AD27" s="175" t="s">
        <v>4068</v>
      </c>
      <c r="AE27" s="175" t="s">
        <v>4069</v>
      </c>
      <c r="AF27" s="175" t="s">
        <v>4070</v>
      </c>
      <c r="AG27" s="175" t="s">
        <v>4071</v>
      </c>
      <c r="AH27" s="175" t="s">
        <v>4072</v>
      </c>
    </row>
    <row r="28" spans="1:34" ht="90">
      <c r="A28" s="28">
        <v>8</v>
      </c>
      <c r="B28" s="883" t="s">
        <v>4486</v>
      </c>
      <c r="C28" s="884"/>
      <c r="D28" s="180" t="s">
        <v>4234</v>
      </c>
      <c r="E28" s="180" t="s">
        <v>4238</v>
      </c>
      <c r="F28" s="180" t="s">
        <v>4239</v>
      </c>
      <c r="G28" s="180" t="s">
        <v>3820</v>
      </c>
      <c r="H28" s="180" t="s">
        <v>3821</v>
      </c>
      <c r="I28" s="180" t="s">
        <v>3822</v>
      </c>
      <c r="J28" s="180" t="s">
        <v>3823</v>
      </c>
      <c r="K28" s="180" t="s">
        <v>3880</v>
      </c>
      <c r="L28" s="178" t="s">
        <v>3881</v>
      </c>
      <c r="M28" s="178" t="s">
        <v>3882</v>
      </c>
      <c r="N28" s="178" t="s">
        <v>3883</v>
      </c>
      <c r="O28" s="178" t="s">
        <v>3884</v>
      </c>
      <c r="P28" s="178" t="s">
        <v>3885</v>
      </c>
      <c r="Q28" s="178" t="s">
        <v>3946</v>
      </c>
      <c r="R28" s="178" t="s">
        <v>3947</v>
      </c>
      <c r="S28" s="178" t="s">
        <v>3948</v>
      </c>
      <c r="T28" s="178" t="s">
        <v>3949</v>
      </c>
      <c r="U28" s="178" t="s">
        <v>3950</v>
      </c>
      <c r="V28" s="178" t="s">
        <v>3951</v>
      </c>
      <c r="W28" s="178" t="s">
        <v>4005</v>
      </c>
      <c r="X28" s="178" t="s">
        <v>4006</v>
      </c>
      <c r="Y28" s="178" t="s">
        <v>4007</v>
      </c>
      <c r="Z28" s="178" t="s">
        <v>4008</v>
      </c>
      <c r="AA28" s="178" t="s">
        <v>4009</v>
      </c>
      <c r="AB28" s="178" t="s">
        <v>4073</v>
      </c>
      <c r="AC28" s="178" t="s">
        <v>4074</v>
      </c>
      <c r="AD28" s="178" t="s">
        <v>4075</v>
      </c>
      <c r="AE28" s="178" t="s">
        <v>4076</v>
      </c>
      <c r="AF28" s="178" t="s">
        <v>4077</v>
      </c>
      <c r="AG28" s="178" t="s">
        <v>4078</v>
      </c>
      <c r="AH28" s="178" t="s">
        <v>4079</v>
      </c>
    </row>
    <row r="29" spans="1:34" ht="90">
      <c r="A29" s="28">
        <v>9</v>
      </c>
      <c r="B29" s="883" t="s">
        <v>4484</v>
      </c>
      <c r="C29" s="884"/>
      <c r="D29" s="176" t="s">
        <v>4237</v>
      </c>
      <c r="E29" s="176" t="s">
        <v>4241</v>
      </c>
      <c r="F29" s="176" t="s">
        <v>4242</v>
      </c>
      <c r="G29" s="176" t="s">
        <v>3824</v>
      </c>
      <c r="H29" s="176" t="s">
        <v>3825</v>
      </c>
      <c r="I29" s="176" t="s">
        <v>3826</v>
      </c>
      <c r="J29" s="176" t="s">
        <v>3827</v>
      </c>
      <c r="K29" s="176" t="s">
        <v>3886</v>
      </c>
      <c r="L29" s="175" t="s">
        <v>3887</v>
      </c>
      <c r="M29" s="175" t="s">
        <v>3888</v>
      </c>
      <c r="N29" s="175" t="s">
        <v>3889</v>
      </c>
      <c r="O29" s="175" t="s">
        <v>3890</v>
      </c>
      <c r="P29" s="175" t="s">
        <v>3891</v>
      </c>
      <c r="Q29" s="175" t="s">
        <v>3952</v>
      </c>
      <c r="R29" s="175" t="s">
        <v>3953</v>
      </c>
      <c r="S29" s="175" t="s">
        <v>3954</v>
      </c>
      <c r="T29" s="175" t="s">
        <v>3955</v>
      </c>
      <c r="U29" s="175" t="s">
        <v>3956</v>
      </c>
      <c r="V29" s="175" t="s">
        <v>3957</v>
      </c>
      <c r="W29" s="175" t="s">
        <v>4010</v>
      </c>
      <c r="X29" s="175" t="s">
        <v>4011</v>
      </c>
      <c r="Y29" s="175" t="s">
        <v>4012</v>
      </c>
      <c r="Z29" s="175" t="s">
        <v>4013</v>
      </c>
      <c r="AA29" s="175" t="s">
        <v>4014</v>
      </c>
      <c r="AB29" s="175" t="s">
        <v>4080</v>
      </c>
      <c r="AC29" s="175" t="s">
        <v>4081</v>
      </c>
      <c r="AD29" s="175" t="s">
        <v>4082</v>
      </c>
      <c r="AE29" s="175" t="s">
        <v>4083</v>
      </c>
      <c r="AF29" s="175" t="s">
        <v>4084</v>
      </c>
      <c r="AG29" s="175" t="s">
        <v>4085</v>
      </c>
      <c r="AH29" s="175" t="s">
        <v>4086</v>
      </c>
    </row>
    <row r="30" spans="1:34" ht="105">
      <c r="A30" s="28">
        <v>10</v>
      </c>
      <c r="B30" s="883" t="s">
        <v>3792</v>
      </c>
      <c r="C30" s="884"/>
      <c r="D30" s="179" t="s">
        <v>4240</v>
      </c>
      <c r="E30" s="180" t="s">
        <v>4244</v>
      </c>
      <c r="F30" s="180" t="s">
        <v>4245</v>
      </c>
      <c r="G30" s="180" t="s">
        <v>3828</v>
      </c>
      <c r="H30" s="180" t="s">
        <v>3829</v>
      </c>
      <c r="I30" s="180" t="s">
        <v>3830</v>
      </c>
      <c r="J30" s="180" t="s">
        <v>3831</v>
      </c>
      <c r="K30" s="180" t="s">
        <v>3892</v>
      </c>
      <c r="L30" s="179" t="s">
        <v>3893</v>
      </c>
      <c r="M30" s="179" t="s">
        <v>3894</v>
      </c>
      <c r="N30" s="179" t="s">
        <v>3895</v>
      </c>
      <c r="O30" s="179" t="s">
        <v>3896</v>
      </c>
      <c r="P30" s="179" t="s">
        <v>3897</v>
      </c>
      <c r="Q30" s="179" t="s">
        <v>3958</v>
      </c>
      <c r="R30" s="179" t="s">
        <v>3959</v>
      </c>
      <c r="S30" s="179" t="s">
        <v>3960</v>
      </c>
      <c r="T30" s="179" t="s">
        <v>3961</v>
      </c>
      <c r="U30" s="179" t="s">
        <v>3962</v>
      </c>
      <c r="V30" s="179" t="s">
        <v>3963</v>
      </c>
      <c r="W30" s="179" t="s">
        <v>4015</v>
      </c>
      <c r="X30" s="179" t="s">
        <v>4016</v>
      </c>
      <c r="Y30" s="179" t="s">
        <v>4017</v>
      </c>
      <c r="Z30" s="179" t="s">
        <v>4018</v>
      </c>
      <c r="AA30" s="179" t="s">
        <v>4019</v>
      </c>
      <c r="AB30" s="179" t="s">
        <v>4087</v>
      </c>
      <c r="AC30" s="179" t="s">
        <v>4088</v>
      </c>
      <c r="AD30" s="179" t="s">
        <v>4089</v>
      </c>
      <c r="AE30" s="179" t="s">
        <v>4090</v>
      </c>
      <c r="AF30" s="179" t="s">
        <v>4091</v>
      </c>
      <c r="AG30" s="179" t="s">
        <v>4092</v>
      </c>
      <c r="AH30" s="179" t="s">
        <v>4093</v>
      </c>
    </row>
    <row r="31" spans="1:34" ht="90">
      <c r="A31" s="28">
        <v>11</v>
      </c>
      <c r="B31" s="883" t="s">
        <v>3793</v>
      </c>
      <c r="C31" s="884"/>
      <c r="D31" s="175" t="s">
        <v>4243</v>
      </c>
      <c r="E31" s="176" t="s">
        <v>4101</v>
      </c>
      <c r="F31" s="176" t="s">
        <v>4102</v>
      </c>
      <c r="G31" s="176" t="s">
        <v>3832</v>
      </c>
      <c r="H31" s="176" t="s">
        <v>3833</v>
      </c>
      <c r="I31" s="176" t="s">
        <v>3834</v>
      </c>
      <c r="J31" s="176" t="s">
        <v>3835</v>
      </c>
      <c r="K31" s="176" t="s">
        <v>3898</v>
      </c>
      <c r="L31" s="175" t="s">
        <v>3899</v>
      </c>
      <c r="M31" s="175" t="s">
        <v>3900</v>
      </c>
      <c r="N31" s="175" t="s">
        <v>3901</v>
      </c>
      <c r="O31" s="175" t="s">
        <v>3902</v>
      </c>
      <c r="P31" s="175" t="s">
        <v>3903</v>
      </c>
      <c r="Q31" s="175" t="s">
        <v>3964</v>
      </c>
      <c r="R31" s="175" t="s">
        <v>3965</v>
      </c>
      <c r="S31" s="175" t="s">
        <v>3966</v>
      </c>
      <c r="T31" s="175" t="s">
        <v>3967</v>
      </c>
      <c r="U31" s="175" t="s">
        <v>3968</v>
      </c>
      <c r="V31" s="175" t="s">
        <v>3969</v>
      </c>
      <c r="W31" s="175" t="s">
        <v>4020</v>
      </c>
      <c r="X31" s="175" t="s">
        <v>4021</v>
      </c>
      <c r="Y31" s="175" t="s">
        <v>4022</v>
      </c>
      <c r="Z31" s="175" t="s">
        <v>4023</v>
      </c>
      <c r="AA31" s="175" t="s">
        <v>4024</v>
      </c>
      <c r="AB31" s="175" t="s">
        <v>4094</v>
      </c>
      <c r="AC31" s="175" t="s">
        <v>4095</v>
      </c>
      <c r="AD31" s="175" t="s">
        <v>4096</v>
      </c>
      <c r="AE31" s="175" t="s">
        <v>4097</v>
      </c>
      <c r="AF31" s="175" t="s">
        <v>4098</v>
      </c>
      <c r="AG31" s="175" t="s">
        <v>4095</v>
      </c>
      <c r="AH31" s="175" t="s">
        <v>4099</v>
      </c>
    </row>
    <row r="32" spans="1:34" ht="15">
      <c r="B32" s="182"/>
      <c r="K32" s="252"/>
    </row>
    <row r="33" spans="4:11">
      <c r="K33" s="252"/>
    </row>
    <row r="34" spans="4:11">
      <c r="K34" s="252"/>
    </row>
    <row r="35" spans="4:11">
      <c r="D35" s="21"/>
      <c r="K35" s="252"/>
    </row>
    <row r="37" spans="4:11">
      <c r="D37" s="156"/>
      <c r="E37" s="156"/>
      <c r="F37" s="156"/>
      <c r="G37" s="156"/>
    </row>
    <row r="38" spans="4:11">
      <c r="D38" s="181"/>
      <c r="E38" s="170"/>
      <c r="F38" s="170"/>
      <c r="G38" s="170"/>
    </row>
    <row r="39" spans="4:11">
      <c r="D39" s="181"/>
      <c r="E39" s="170"/>
      <c r="F39" s="170"/>
      <c r="G39" s="170"/>
    </row>
    <row r="40" spans="4:11">
      <c r="D40" s="181"/>
      <c r="E40" s="157"/>
      <c r="F40" s="170"/>
      <c r="G40" s="170"/>
    </row>
    <row r="41" spans="4:11">
      <c r="D41" s="181"/>
      <c r="E41" s="170"/>
      <c r="F41" s="170"/>
      <c r="G41" s="170"/>
    </row>
    <row r="42" spans="4:11">
      <c r="D42" s="181"/>
      <c r="E42" s="157"/>
      <c r="F42" s="170"/>
      <c r="G42" s="170"/>
    </row>
    <row r="43" spans="4:11">
      <c r="D43" s="181"/>
      <c r="E43" s="157"/>
      <c r="F43" s="170"/>
      <c r="G43" s="170"/>
    </row>
    <row r="44" spans="4:11">
      <c r="D44" s="181"/>
      <c r="E44" s="170"/>
      <c r="F44" s="170"/>
      <c r="G44" s="170"/>
    </row>
    <row r="45" spans="4:11">
      <c r="D45" s="181"/>
      <c r="E45" s="170"/>
      <c r="F45" s="170"/>
      <c r="G45" s="170"/>
    </row>
    <row r="46" spans="4:11">
      <c r="D46" s="181"/>
      <c r="E46" s="170"/>
      <c r="F46" s="170"/>
      <c r="G46" s="170"/>
    </row>
    <row r="47" spans="4:11">
      <c r="D47" s="181"/>
      <c r="E47" s="157"/>
      <c r="F47" s="170"/>
      <c r="G47" s="170"/>
    </row>
    <row r="48" spans="4:11">
      <c r="D48" s="181"/>
      <c r="E48" s="157"/>
      <c r="F48" s="170"/>
      <c r="G48" s="170"/>
    </row>
    <row r="50" spans="4:4">
      <c r="D50" s="182"/>
    </row>
  </sheetData>
  <sheetProtection algorithmName="SHA-512" hashValue="WmYoZE4W1e8I01z5asV5KO3rCLuV71xCo2kN+5SqLmQ2WLw7N2NV5+vaOL/GL/M40tO8bCbk951PwZ+ARz65Gg==" saltValue="D4AYIAGnSnU8Ti6kNigpsw==" spinCount="100000" sheet="1" objects="1" scenarios="1"/>
  <mergeCells count="18">
    <mergeCell ref="B31:C31"/>
    <mergeCell ref="B30:C30"/>
    <mergeCell ref="B22:C22"/>
    <mergeCell ref="B23:C23"/>
    <mergeCell ref="B24:C24"/>
    <mergeCell ref="B26:C26"/>
    <mergeCell ref="B27:C27"/>
    <mergeCell ref="B28:C28"/>
    <mergeCell ref="B29:C29"/>
    <mergeCell ref="B25:C25"/>
    <mergeCell ref="B21:C21"/>
    <mergeCell ref="B20:C20"/>
    <mergeCell ref="F1:H2"/>
    <mergeCell ref="D1:E2"/>
    <mergeCell ref="B19:C19"/>
    <mergeCell ref="B1:C2"/>
    <mergeCell ref="D3:E18"/>
    <mergeCell ref="F3:H18"/>
  </mergeCells>
  <conditionalFormatting sqref="B3">
    <cfRule type="expression" dxfId="9" priority="32">
      <formula>B3=Länderwahl</formula>
    </cfRule>
    <cfRule type="expression" dxfId="8" priority="33">
      <formula>B3=Länderwahl</formula>
    </cfRule>
  </conditionalFormatting>
  <conditionalFormatting sqref="B4:B6">
    <cfRule type="expression" dxfId="7" priority="1">
      <formula>B4=Länderwahl</formula>
    </cfRule>
  </conditionalFormatting>
  <conditionalFormatting sqref="B7">
    <cfRule type="expression" dxfId="6" priority="31">
      <formula>B7=Länderwahl</formula>
    </cfRule>
  </conditionalFormatting>
  <conditionalFormatting sqref="B8:B16">
    <cfRule type="expression" dxfId="5" priority="21">
      <formula>B8=Länderwahl</formula>
    </cfRule>
  </conditionalFormatting>
  <conditionalFormatting sqref="B17:B18">
    <cfRule type="expression" dxfId="4" priority="19">
      <formula>B17=Länderwahl</formula>
    </cfRule>
  </conditionalFormatting>
  <conditionalFormatting sqref="C3:C14">
    <cfRule type="expression" dxfId="3" priority="7">
      <formula>C3=Länderwahl</formula>
    </cfRule>
  </conditionalFormatting>
  <conditionalFormatting sqref="C15">
    <cfRule type="expression" priority="6">
      <formula>C15=Länderwahl</formula>
    </cfRule>
  </conditionalFormatting>
  <conditionalFormatting sqref="C16:C17">
    <cfRule type="expression" dxfId="2" priority="4">
      <formula>C16=Länderwahl</formula>
    </cfRule>
  </conditionalFormatting>
  <hyperlinks>
    <hyperlink ref="J31" r:id="rId1" tooltip="The French Social Security System Introduction - France" display="https://www.cleiss.fr/docs/regimes/regime_france/an_0.html?utm_source=chatgpt.com" xr:uid="{9552435A-C4CD-4C4E-AF6E-9FD93902ED6B}"/>
    <hyperlink ref="I31" r:id="rId2" tooltip="Social insurance contributions" display="https://www.vero.fi/en/businesses-and-corporations/taxes-and-charges/being-an-employer/social-insurance-contributions/?utm_source=chatgpt.com" xr:uid="{79E11247-AEAB-41DE-9120-7278C81AC775}"/>
    <hyperlink ref="H31" r:id="rId3" tooltip="The old age pension — Pensionikeskus" display="https://www.pensionikeskus.ee/en/i-pillar/state-pension/old-age-pension/" xr:uid="{CA27E343-8CC4-4406-959C-F9B3DB11F76F}"/>
    <hyperlink ref="G31" r:id="rId4" tooltip="Kranken- und Pflegeversicherung der Rentner" display="https://www.deutsche-rentenversicherung.de/DRV/DE/Rente/In-der-Rente/Kranken-und-Pflegeversicherung-der-Rentner/kranken-und-pflegeversicherung-der-rentner_node.html?utm_source=chatgpt.com" xr:uid="{C73D8A54-B641-45DC-848C-BCB386B5121D}"/>
    <hyperlink ref="J30" r:id="rId5" tooltip="I am a non-resident. Declaration of wages, salaries and ..." display="https://www.impots.gouv.fr/international-particulier/questions/assessment-and-declaration-wages-salaries-and-pensions?utm_source=chatgpt.com" xr:uid="{D6EDB550-7A87-4C8F-A13B-C59280F24789}"/>
    <hyperlink ref="I30" r:id="rId6" tooltip="Current information on pensions and taxation - Finnish ..." display="https://www.etk.fi/en/finnish-pension-system/pensions/overview-of-pensions/current-information-on-pensions-and-taxation/?utm_source=chatgpt.com" xr:uid="{F82B8A55-1352-43E6-9D6B-423D0817D940}"/>
    <hyperlink ref="H30" r:id="rId7" tooltip="Basic exemption at pensionable age | Estonian Tax and Customs Board" display="https://www.emta.ee/en/private-client/taxes-and-payment/tax-incentives/basic-exemption-pensionable-age" xr:uid="{18C79CCA-E190-4F47-B4F2-256E90AB5767}"/>
    <hyperlink ref="G30" r:id="rId8" tooltip="Steueranteil für Neu-Rentner liegt 2026 bei 84 Prozent" display="https://www.deutsche-rentenversicherung.de/DRV/DE/Ueber-uns-und-Presse/Presse/Meldungen/2026/20260216-steueranteil-neurentner.html?utm_source=chatgpt.com" xr:uid="{835F04EE-857B-491E-B5AB-9808662A8B41}"/>
    <hyperlink ref="J29" r:id="rId9" tooltip="My rights" display="https://www.lassuranceretraite.fr/portail-info/hors-menu/traductions/english/my-rights.html" xr:uid="{1B9B6A69-D2A9-4398-AA9D-5B086EA91A4D}"/>
    <hyperlink ref="I29" r:id="rId10" tooltip="Survivors' Pension - Finnish Centre for Pensions" display="https://www.etk.fi/en/finnish-pension-system/pensions/earnings-related-pension-benefits/survivors-pension/?utm_source=chatgpt.com" xr:uid="{841AE059-24A2-44C3-9646-6D43A0EA7DA0}"/>
    <hyperlink ref="H29" r:id="rId11" tooltip="State Pension Insurance Act–Riigi Teataja" display="https://www.riigiteataja.ee/en/eli/504022019001/consolide" xr:uid="{C149878F-59D8-4FC1-B92F-A08059A4E086}"/>
    <hyperlink ref="G29" r:id="rId12" tooltip="Geschiedenenrente" display="https://www.deutsche-rentenversicherung.de/SharedDocs/Glossareintraege/DE/G/geschiedenenrente.html?utm_source=chatgpt.com" xr:uid="{8B5AEA8D-A6A5-481B-9DA4-2F0AC81BB276}"/>
    <hyperlink ref="J28" r:id="rId13" tooltip="My rights" display="https://www.lassuranceretraite.fr/portail-info/hors-menu/traductions/english/my-rights.html" xr:uid="{38077EB5-5902-436E-BEB1-DFF35788931C}"/>
    <hyperlink ref="I28" r:id="rId14" tooltip="Survivors' pensions when you lose a family wage earner - Työeläke.fi" display="https://www.tyoelake.fi/en/different-pensions/survivors-pensions-when-you-lose-a-family-wage-earner/" xr:uid="{2B04FE80-42D3-4D03-8764-FFE7DD7D43DE}"/>
    <hyperlink ref="H28" r:id="rId15" tooltip="State Pension Insurance Act–Riigi Teataja" display="https://www.riigiteataja.ee/en/eli/504022019001/consolide" xr:uid="{57800AA1-5044-496C-BDF5-4C5D756A0EE4}"/>
    <hyperlink ref="G28" r:id="rId16" tooltip="Renten für Hinterbliebene" display="https://www.deutsche-rentenversicherung.de/DRV/DE/Rente/Allgemeine-Informationen/Rentenarten-und-Leistungen/Renten-an-Hinterbliebene/renten-an-hinterbliebene_node.html?utm_source=chatgpt.com" xr:uid="{ECCA8CA3-63F5-42C2-ADA3-9ABE8200C9A9}"/>
    <hyperlink ref="J27" r:id="rId17" tooltip="Social Security invalidity pension" display="https://www.service-public.gouv.fr/particuliers/vosdroits/F672?lang=en&amp;utm_source=chatgpt.com" xr:uid="{5C68B992-CF2A-4A7C-AB20-F63753EEC4AF}"/>
    <hyperlink ref="I27" r:id="rId18" tooltip="Disability pension if your working ability has been reduced - Työeläke.fi" display="https://www.tyoelake.fi/en/different-pensions/disability-pension-if-your-working-ability-has-been-reduced/" xr:uid="{FED22184-2D2E-48DC-BE54-636289CE8856}"/>
    <hyperlink ref="H27" r:id="rId19" tooltip="Work Ability Allowance Act–Riigi Teataja" display="https://www.riigiteataja.ee/en/eli/502012026001/consolide" xr:uid="{1F69265E-8BB9-442F-BE0F-BB217739BF9C}"/>
    <hyperlink ref="G27" r:id="rId20" tooltip="Erwerbsminderung" display="https://www.deutsche-rentenversicherung.de/SharedDocs/Glossareintraege/DE/E/erwerbsminderung.html?utm_source=chatgpt.com" xr:uid="{F7A64152-31BE-418D-B2C6-ED5D255CC782}"/>
    <hyperlink ref="J26" r:id="rId21" tooltip="Pensions de retraite de base : quelle revalorisation au 1er ..." display="https://www.service-public.gouv.fr/particuliers/actualites/A17919?utm_source=chatgpt.com" xr:uid="{D2F04A2C-AAFC-43E3-84A7-A9897DB32A9E}"/>
    <hyperlink ref="I26" r:id="rId22" tooltip="Pension indexes" display="https://www.tyoelake.fi/en/how-much-pension/pension-indexes/?utm_source=chatgpt.com" xr:uid="{D3AC61A4-C515-4014-8057-37313E1CC929}"/>
    <hyperlink ref="H26" r:id="rId23" tooltip="Pension indexation | Sotsiaalkindlustusamet" display="https://sotsiaalkindlustusamet.ee/en/pension-and-benefits/pension-amount/pension-indexation" xr:uid="{479FC2D1-9840-42EF-BC7A-3ADC34CF6088}"/>
    <hyperlink ref="G26" r:id="rId24" tooltip="Rentenanpassung" display="https://www.deutsche-rentenversicherung.de/SharedDocs/Glossareintraege/DE/R/rentenanpassung.html?utm_source=chatgpt.com" xr:uid="{6CA43AF2-9691-4B44-B44B-B984BF732673}"/>
    <hyperlink ref="J25" r:id="rId25" tooltip="The French social security system - Retirement" display="https://www.cleiss.fr/docs/regimes/regime_france/an_3.html" xr:uid="{B9D237D1-DDC3-4D68-B7E0-014A5D9029F9}"/>
    <hyperlink ref="I25" r:id="rId26" tooltip="Earnings-related Pension Indexes - Finnish Centre for ..." display="https://www.etk.fi/en/finnish-pension-system/pensions/pension-indexation/earnings-related-pension-indexes/?utm_source=chatgpt.com" xr:uid="{0A5D9C42-B5BA-4D9B-931F-1D9A44CBCACF}"/>
    <hyperlink ref="H25" r:id="rId27" tooltip="The old age pension — Pensionikeskus" display="https://www.pensionikeskus.ee/en/i-pillar/state-pension/old-age-pension/" xr:uid="{F3E24C56-DDB7-4CFD-BFE1-9ED8AB58F48D}"/>
    <hyperlink ref="G25" r:id="rId28" tooltip="Wie wird meine Rente berechnet" display="https://www.deutsche-rentenversicherung.de/DRV/DE/Rente/Allgemeine-Informationen/Wie-wird-meine-Rente-berechnet/wie-wird-meine-rente-berechnet_node.html?utm_source=chatgpt.com" xr:uid="{7CADCBF2-A3D1-446F-A176-8D3A7868DC0D}"/>
    <hyperlink ref="I24" r:id="rId29" tooltip="Old-age pension" display="https://www.kela.fi/old-age-pension?utm_source=chatgpt.com" xr:uid="{F2485A37-E917-4EAE-8347-AC078BA2BB00}"/>
    <hyperlink ref="H24" r:id="rId30" tooltip="State Pension Insurance Act–Riigi Teataja" display="https://www.riigiteataja.ee/en/eli/504022019001/consolide" xr:uid="{6F1C8F93-3DF1-4133-B9E5-B0D90E03FDFD}"/>
    <hyperlink ref="J23" r:id="rId31" tooltip="The French social security system - Rates and ceilings of Social Security and unemployment contributions" display="https://www.cleiss.fr/docs/regimes/regime_france/an_a2.html" xr:uid="{D21D8017-3DAE-4C68-9FB8-E6527B1C36D6}"/>
    <hyperlink ref="I23" r:id="rId32" tooltip="Pension Contributions - Finnish Centre for Pensions" display="https://www.etk.fi/en/finnish-pension-system/financing-and-investments/pension-contributions/?utm_source=chatgpt.com" xr:uid="{13BF9E55-05B2-4762-86AF-1E46FA51991E}"/>
    <hyperlink ref="H23" r:id="rId33" tooltip="The old age pension — Pensionikeskus" display="https://www.pensionikeskus.ee/en/i-pillar/state-pension/old-age-pension/" xr:uid="{6151255A-96A3-424C-8F9F-69516FE7776D}"/>
    <hyperlink ref="G23" r:id="rId34" tooltip="Die Sozialversicherungsrechengrößen 2026" display="https://www.deutsche-rentenversicherung.de/KnappschaftBahnSee/DE/Aktuelles/Meldungen/2026/2026_01_02_Sozialversicherungsrechengroessen2026.html?utm_source=chatgpt.com" xr:uid="{B458602A-317A-4490-BC6F-382D216C1A32}"/>
    <hyperlink ref="J22" r:id="rId35" tooltip="The French social security system - Retirement" display="https://www.cleiss.fr/docs/regimes/regime_france/an_3.html" xr:uid="{82B4C8B2-4E7A-4BC3-A4B9-9A9663ACEFA6}"/>
    <hyperlink ref="I22" r:id="rId36" tooltip="Pension Contributions - Finnish Centre for Pensions" display="https://www.etk.fi/en/finnish-pension-system/financing-and-investments/pension-contributions/?utm_source=chatgpt.com" xr:uid="{F632AC7B-C7B7-49A1-B7BF-35250D1C7332}"/>
    <hyperlink ref="H22" r:id="rId37" tooltip="Retirement age | Sotsiaalkindlustusamet" display="https://sotsiaalkindlustusamet.ee/en/pension-and-benefits/applying-pension/retirement-age" xr:uid="{2E493552-79B5-4B15-8D53-A347F0C78669}"/>
    <hyperlink ref="G22" r:id="rId38" tooltip="Die reguläre Altersrente" display="https://www.deutsche-rentenversicherung.de/DRV/DE/Rente/Allgemeine-Informationen/Rentenarten-und-Leistungen/Die-regulaere-Altersrente/die-regulaere-altersrente_node.html?utm_source=chatgpt.com" xr:uid="{27E16D6D-F950-41D1-9A9D-D9BB49513EAE}"/>
    <hyperlink ref="J21" r:id="rId39" tooltip="How many quarters does an employee need to have to benefit from a full pension? | Service Public" display="https://www.service-public.gouv.fr/particuliers/vosdroits/F35063?lang=en" xr:uid="{02FCD6F3-C081-474C-9B3B-8C44DD786413}"/>
    <hyperlink ref="I21" r:id="rId40" tooltip="Determining the retirement age for the old-age pension" display="https://www.etk.fi/en/finnish-pension-system/pensions/determining-the-life-expectancy-coefficient-and-retirement-age/determining-the-retirement-age-for-the-old-age-pension/?utm_source=chatgpt.com" xr:uid="{9E9BC220-F365-495D-BAD6-FC55A5F96E35}"/>
    <hyperlink ref="H21" r:id="rId41" tooltip="Retirement age | Sotsiaalkindlustusamet" display="Noch nicht endgültig bezifferbar. Das allgemeine Rentenalter liegt 2026 bei 65 Jahren und wird ab 2027 an die Lebenserwartung gekoppelt; Änderungen werden jeweils zwei Jahre vorher festgelegt und dürfen höchstens drei Monate pro Jahr betragen. Für Jahrgang 1976, der 2041 65 wird, ist daher das konkrete Regelalter heute nicht abschließend festgelegt. (Sotsiaalkindlustusamet)" xr:uid="{0365A16D-5814-41AF-9E5B-35E3545AD74E}"/>
    <hyperlink ref="G21" r:id="rId42" tooltip="Renten für langjährig und besonders langjährig Versicherte" display="https://www.deutsche-rentenversicherung.de/DRV/DE/Rente/Allgemeine-Informationen/Rentenarten-und-Leistungen/Altersrente-fuer-langjaehrig-Versicherte/Altersrente_fuer_langjaehrig_Versicherte.html?utm_source=chatgpt.com" xr:uid="{E05C8274-8C01-461D-A83C-0798884AB903}"/>
    <hyperlink ref="K21" r:id="rId43" tooltip="Primary pension - Ministry of Labour and Social Affairs" display="https://ypergasias.gov.gr/en/social-security/pensions/primary-pension/" xr:uid="{5D0B63A1-0658-4F29-9558-05E290FC56CA}"/>
    <hyperlink ref="L21" r:id="rId44" tooltip="_x000a_            _x000a_                _x000a_            _x000a_            _x000a_                _x000a_                    State Pension (Contributory)_x000a_                _x000a_            _x000a_            _x000a_                _x000a_            _x000a_        " display="https://www.gov.ie/en/department-of-social-protection/services/state-pension-contributory/" xr:uid="{F8675425-189C-4D54-A5C4-BA3A19405D1F}"/>
    <hyperlink ref="M21" r:id="rId45" tooltip="The Icelandic Pension System | Nordic cooperation" display="https://www.norden.org/en/info-norden/icelandic-pension-system" xr:uid="{929CEFD7-68F3-408F-8C27-41A827A944C7}"/>
    <hyperlink ref="N21" r:id="rId46" tooltip="Portale Inps - Old-age pension" display="https://www.inps.it/it/en/dettaglio-scheda.en.schede-servizio-strumento.schede-servizi.pensione-di-vecchiaia.html" xr:uid="{8B7A8151-E998-4045-85C2-D7F65476CE70}"/>
    <hyperlink ref="O21" r:id="rId47" tooltip="Old-age pension – Migracije" display="https://migracije.hr/old-age-pension/?lang=en" xr:uid="{CAF35428-BB04-4737-94D5-51BF8347AE52}"/>
    <hyperlink ref="P21" r:id="rId48" tooltip="Granting and payment of an old-age pension | Valsts sociālās apdrošināšanas aģentūra" display="https://www.vsaa.gov.lv/en/services/granting-and-payment-old-age-pension" xr:uid="{0BC3B570-9643-46D0-AEE4-2A95197284D1}"/>
    <hyperlink ref="K22" r:id="rId49" tooltip="Primary pension - Ministry of Labour and Social Affairs" display="https://ypergasias.gov.gr/en/social-security/pensions/primary-pension/" xr:uid="{3B5B588A-1579-454A-B412-DE44CCB771FC}"/>
    <hyperlink ref="L22" r:id="rId50" tooltip="_x000a_            _x000a_                _x000a_            _x000a_            _x000a_                _x000a_                    State Pension (Contributory)_x000a_                _x000a_            _x000a_            _x000a_                _x000a_            _x000a_        " display="https://www.gov.ie/en/department-of-social-protection/services/state-pension-contributory/" xr:uid="{1E1721C1-0E27-4107-8C42-1E0F88CAA6C7}"/>
    <hyperlink ref="M22" r:id="rId51" tooltip="The Icelandic Pension System | Nordic cooperation" display="https://www.norden.org/en/info-norden/icelandic-pension-system" xr:uid="{82C110F9-87B7-433D-956D-C22D8DD205C3}"/>
    <hyperlink ref="N22" r:id="rId52" tooltip="Portale Inps - Old-age pension" display="https://www.inps.it/it/en/dettaglio-scheda.en.schede-servizio-strumento.schede-servizi.pensione-di-vecchiaia.html" xr:uid="{E6417AE3-E061-4142-ACC9-4325DD218063}"/>
    <hyperlink ref="O22" r:id="rId53" tooltip="How Is Your Pension Determined? | Hrvatski zavod za mirovinsko osiguranje" display="https://www.mirovinsko.hr/en/how-is-your-pension-determined/188" xr:uid="{DD4A0A18-6CF4-4065-A2B1-2E74BA9FEAFB}"/>
    <hyperlink ref="P22" r:id="rId54" tooltip="Pension policy | Labklājības ministrija" display="https://www.lm.gov.lv/en/pension-policy" xr:uid="{A97C4E3A-9BEC-4A51-9DE6-0F4BF02D6B3D}"/>
    <hyperlink ref="K23" r:id="rId55" tooltip="Insurance contributions - Ministry of Labour and Social Affairs" display="https://ypergasias.gov.gr/en/social-security/insured-persons/insurance-contributions/?utm_source=chatgpt.com" xr:uid="{BEA1E6E9-0851-4F4E-A865-84FEE49E2D3F}"/>
    <hyperlink ref="L23" r:id="rId56" tooltip="Applying for the State Pension (Contributory)" display="https://www.citizensinformation.ie/en/social-welfare/older-and-retired-people/state-pension-contributory/" xr:uid="{64AE760F-E9C2-47D3-9006-31C13F8B1C7F}"/>
    <hyperlink ref="M23" r:id="rId57" tooltip="Iceland - Individual - Other taxes" display="https://taxsummaries.pwc.com/iceland/individual/other-taxes" xr:uid="{E0294C77-1F43-4D81-B500-0DCB8BE44D1C}"/>
    <hyperlink ref="N23" r:id="rId58" tooltip="Portale Inps - Old-age pension" display="https://www.inps.it/it/en/dettaglio-scheda.en.schede-servizio-strumento.schede-servizi.pensione-di-vecchiaia.html" xr:uid="{70DC8934-C9CF-4DF5-86F5-3CDDEDE36112}"/>
    <hyperlink ref="O23" r:id="rId59" tooltip="Contributions" display="https://migracije.hr/contributions/?lang=en&amp;utm_source=chatgpt.com" xr:uid="{B96A0C1C-BE16-49F1-AD37-F986DCB140DE}"/>
    <hyperlink ref="P23" r:id="rId60" tooltip="Pension policy | Labklājības ministrija" display="https://www.lm.gov.lv/en/pension-policy" xr:uid="{2EC9B904-63CD-49BE-93FD-E4FBA1C09D68}"/>
    <hyperlink ref="K24" r:id="rId61" tooltip="Primary pension - Ministry of Labour and Social Affairs" display="https://ypergasias.gov.gr/en/social-security/pensions/primary-pension/" xr:uid="{25B26DC7-4176-43EA-9B51-8E796CD6E880}"/>
    <hyperlink ref="L24" r:id="rId62" tooltip="MyWelfare, Department of Social Protection - Online Services" display="https://services.mywelfare.ie/en/topics/pensions-and-older-people/state-pension/" xr:uid="{B43490CF-AC88-4206-B380-52648B06F0B9}"/>
    <hyperlink ref="M24" r:id="rId63" tooltip="The Icelandic Pension System | Nordic cooperation" display="https://www.norden.org/en/info-norden/icelandic-pension-system" xr:uid="{FFEB1CA7-4628-4446-8E8F-5A81C6FF31E6}"/>
    <hyperlink ref="N24" r:id="rId64" tooltip="Social Security Programs Throughout the World: Europe, 2018 - Italy" display="https://www.ssa.gov/policy/docs/progdesc/ssptw/2018-2019/europe/italy.html" xr:uid="{F5955F59-7FC0-43ED-910B-0C2A9BD7F4F3}"/>
    <hyperlink ref="O24" r:id="rId65" tooltip="National Benefit for the Elderly (National Pension)" display="https://www.mirovinsko.hr/en/national-benefit-for-the-elderly-national-pension-1911/1910?utm_source=chatgpt.com" xr:uid="{1B817B40-DF37-4E3B-8189-912CA42E2E43}"/>
    <hyperlink ref="P24" r:id="rId66" tooltip="State pensions | Labklājības ministrija" display="https://www.lm.gov.lv/en/state-pensions-0" xr:uid="{BEEDB2B2-7BA8-4F83-92B7-278FF41A5233}"/>
    <hyperlink ref="K25" r:id="rId67" tooltip="Primary pension - Ministry of Labour and Social Affairs" display="https://ypergasias.gov.gr/en/social-security/pensions/primary-pension/" xr:uid="{C6E4085C-CE66-41EA-B645-9B625BA1A590}"/>
    <hyperlink ref="L25" r:id="rId68" tooltip="Applying for the State Pension (Contributory)" display="https://www.citizensinformation.ie/en/social-welfare/older-and-retired-people/state-pension-contributory/" xr:uid="{A5353F2E-9280-43AE-926D-F017F91E10D6}"/>
    <hyperlink ref="M25" r:id="rId69" tooltip="The Icelandic Pension System | Nordic cooperation" display="https://www.norden.org/en/info-norden/icelandic-pension-system" xr:uid="{D91AFD76-3065-4F28-A1D3-EEEC8442FEB4}"/>
    <hyperlink ref="N25" r:id="rId70" tooltip="Social Security Programs Throughout the World: Europe, 2018 - Italy" display="https://www.ssa.gov/policy/docs/progdesc/ssptw/2018-2019/europe/italy.html" xr:uid="{C83AE0D8-01A3-4E60-9CEF-F092270FE17D}"/>
    <hyperlink ref="O25" r:id="rId71" tooltip="How Is Your Pension Determined? | Hrvatski zavod za mirovinsko osiguranje" display="https://www.mirovinsko.hr/en/how-is-your-pension-determined/188" xr:uid="{5F3111D1-FA09-4587-BFF9-BA5657D93EE1}"/>
    <hyperlink ref="P25" r:id="rId72" tooltip="Pension policy | Labklājības ministrija" display="https://www.lm.gov.lv/en/pension-policy" xr:uid="{E4946433-A383-41FA-AAA3-44A4ED3BDC23}"/>
    <hyperlink ref="K26" r:id="rId73" tooltip="Greece" display="https://www.issa.int/sites/default/files/documents/2024-12/Greece.pdf?utm_source=chatgpt.com" xr:uid="{014114DD-5210-4852-AFBC-7E5B819E37FD}"/>
    <hyperlink ref="L26" r:id="rId74" tooltip="Budget 2026" display="https://www.gov.ie/en/department-of-social-protection/publications/budget-2026/?utm_source=chatgpt.com" xr:uid="{1416A374-BA11-4E1F-A267-AB51B2C99B0F}"/>
    <hyperlink ref="M26" r:id="rId75" tooltip="The Icelandic Pension System | Nordic cooperation" display="https://www.norden.org/en/info-norden/icelandic-pension-system" xr:uid="{1517EAA3-F02C-4B8B-AB5A-002502087828}"/>
    <hyperlink ref="N26" r:id="rId76" tooltip="Social Security Programs Throughout the World: Europe, 2018 - Italy" display="https://www.ssa.gov/policy/docs/progdesc/ssptw/2018-2019/europe/italy.html" xr:uid="{AAD511A2-0D34-4F92-AD64-196F200571D7}"/>
    <hyperlink ref="O26" r:id="rId77" tooltip="HZMO confirms: Increased pensions are arriving ahead of ..." display="https://www.portal.hr/en/novosti/hr/104050-iz-hzmo-a-doznajemo-isplata-uvecanih-mirovina-planirana-i-prije-zakonskog-roka?utm_source=chatgpt.com" xr:uid="{47493E08-DA0A-485B-97C0-9B21670E6254}"/>
    <hyperlink ref="P26" r:id="rId78" tooltip="Old-age pension | Labklājības ministrija" display="https://www.lm.gov.lv/en/old-age-pension" xr:uid="{7CC636D8-561F-4DAD-866D-C6E5F4C485FB}"/>
    <hyperlink ref="K27" r:id="rId79" tooltip="Primary pension - Ministry of Labour and Social Affairs" display="https://ypergasias.gov.gr/en/social-security/pensions/primary-pension/" xr:uid="{612583F7-3B2F-49F8-ADAD-3000533AF2A6}"/>
    <hyperlink ref="L27" r:id="rId80" tooltip="_x000a_            _x000a_                _x000a_            _x000a_            _x000a_                _x000a_                    Invalidity Pension_x000a_                _x000a_            _x000a_            _x000a_                _x000a_            _x000a_        " display="https://www.gov.ie/en/department-of-social-protection/services/invalidity-pension/" xr:uid="{D9079534-F6A4-45FC-8F32-85502613E8BD}"/>
    <hyperlink ref="M27" r:id="rId81" tooltip="Disability pension in Iceland | Nordic cooperation" display="https://www.norden.org/en/info-norden/disability-pension-iceland" xr:uid="{AB8ADDF9-6CC4-47E7-876D-62547B35955B}"/>
    <hyperlink ref="N27" r:id="rId82" tooltip="Pensions and social security – Ambasciata d'Italia Panama" display="https://ambpanama.esteri.it/en/servizi-consolari-e-visti/servizi-per-il-cittadino-italiano/pensioni-e-sicurezza-sociale/" xr:uid="{152F3EF9-1D6B-4204-8FFD-0C50CF9F4430}"/>
    <hyperlink ref="O27" r:id="rId83" tooltip="Ministarstvo Republike Hrvatske - Pensions" display="https://mss.gov.hr/pension/pensions/124" xr:uid="{8BD010DC-1A10-4961-B995-7E7FCBDCBDAC}"/>
    <hyperlink ref="P27" r:id="rId84" tooltip="Disability pension | Labklājības ministrija" display="https://www.lm.gov.lv/en/disability-pension" xr:uid="{BE53F21B-E763-462D-B11D-5C8A5FD3008C}"/>
    <hyperlink ref="K28" r:id="rId85" tooltip="Primary pension - Ministry of Labour and Social Affairs" display="https://ypergasias.gov.gr/en/social-security/pensions/primary-pension/" xr:uid="{25013D95-90DB-48D1-AA2E-907E2B4F7182}"/>
    <hyperlink ref="L28" r:id="rId86" tooltip="_x000a_            _x000a_                _x000a_            _x000a_            _x000a_                _x000a_                    Operational Guidelines: Bereaved Partner’s (Contributory) Pension_x000a_                _x000a_            _x000a_            _x000a_                _x000a_            _x000a_        " display="https://www.gov.ie/en/department-of-social-protection/publications/operational-guidelines-bereaved-partners-contributory-pension/" xr:uid="{FCD0764D-A4F3-438B-AE15-36C6B9FF2E38}"/>
    <hyperlink ref="M28" r:id="rId87" tooltip="SSA - POMS: GN 01763.020 - Icelandic Benefits Eligibility Requirements - 04/25/2019" display="https://secure.ssa.gov/apps10/poms.nsf/lnx/0201763020" xr:uid="{C6BB8371-3B16-4DAC-9209-2B6006646D1A}"/>
    <hyperlink ref="N28" r:id="rId88" tooltip="Social Security Programs Throughout the World: Europe, 2018 - Italy" display="https://www.ssa.gov/policy/docs/progdesc/ssptw/2018-2019/europe/italy.html" xr:uid="{FDC109CE-4AF4-4519-B8FC-F3CDC416A333}"/>
    <hyperlink ref="O28" r:id="rId89" tooltip="Your social security rights in Croatia" display="https://employment-social-affairs.ec.europa.eu/document/download/3f43aab0-d0c5-4c70-a7d2-f56fa6ee565c_en?prefLang=lt&amp;utm_source=chatgpt.com" xr:uid="{EB1AC2F5-7B00-4E2E-820A-7C5AB200B06C}"/>
    <hyperlink ref="P28" r:id="rId90" tooltip="State pensions | Labklājības ministrija" display="https://www.lm.gov.lv/en/state-pensions-0" xr:uid="{FC24CC25-7BAB-47B5-92AB-D39561A1C216}"/>
    <hyperlink ref="K29" r:id="rId91" tooltip="Primary pension - Ministry of Labour and Social Affairs" display="https://ypergasias.gov.gr/en/social-security/pensions/primary-pension/" xr:uid="{83B9372C-8BDF-48B3-B7BA-2D2F3E22E8F9}"/>
    <hyperlink ref="L29" r:id="rId92" tooltip="_x000a_            _x000a_                _x000a_            _x000a_            _x000a_                _x000a_                    Operational Guidelines: Bereaved Partner’s (Contributory) Pension_x000a_                _x000a_            _x000a_            _x000a_                _x000a_            _x000a_        " display="https://www.gov.ie/en/department-of-social-protection/publications/operational-guidelines-bereaved-partners-contributory-pension/" xr:uid="{418EF9F5-F31B-445C-AC45-C1562AAF4BA6}"/>
    <hyperlink ref="M29" r:id="rId93" tooltip="SSA - POMS: GN 01763.020 - Icelandic Benefits Eligibility Requirements - 04/25/2019" display="https://secure.ssa.gov/apps10/poms.nsf/lnx/0201763020" xr:uid="{0405FA16-C97E-44D3-AF8F-C68B7FEFA02B}"/>
    <hyperlink ref="N29" r:id="rId94" tooltip="Pensions and Social Security – Consolato Generale d'Italia a Edimburgo" display="https://consedimburgo.esteri.it/en/servizi-consolari-e-visti/servizi-per-il-cittadino-italiano/pensioni-e-sicurezza-sociale/" xr:uid="{8AD5A638-3F7A-46AA-8D50-E7C15E5C05C4}"/>
    <hyperlink ref="O29" r:id="rId95" tooltip="Ministarstvo Republike Hrvatske - Pensions" display="https://mss.gov.hr/pension/pensions/124" xr:uid="{95FEEDC3-2B59-4E35-A7C8-3E8EBF039A31}"/>
    <hyperlink ref="P29" r:id="rId96" tooltip="Granting and payment of survivor's pension | Valsts sociālās apdrošināšanas aģentūra" display="https://www.vsaa.gov.lv/en/services/granting-and-payment-survivors-pension" xr:uid="{D70115C8-8673-4F51-A6D0-E706FC054448}"/>
    <hyperlink ref="K30" r:id="rId97" tooltip="Taxation of pensioners that live in Greece" display="https://www.gov.gr/en/sdg/work-and-retirement/taxation/pensioners-that-live-in-one-eu-country-but-receive-their-pension-from-another/pensioners-that-live-in-one-eu-country-but-receive-their-pension-from-another?utm_source=chatgpt.com" xr:uid="{F4B8B339-6A14-4CED-AE3E-4BAB350DD23D}"/>
    <hyperlink ref="L30" r:id="rId98" tooltip="_x000a_            _x000a_                _x000a_            _x000a_            _x000a_                _x000a_                    State Pension (Contributory)_x000a_                _x000a_            _x000a_            _x000a_                _x000a_            _x000a_        " display="https://www.gov.ie/en/department-of-social-protection/services/state-pension-contributory/" xr:uid="{997AA27F-EF47-40A5-A23F-6C1C1F4EDBA2}"/>
    <hyperlink ref="M30" r:id="rId99" tooltip="Taxation - LSR" display="https://www.lsr.is/en/pensions/division-a/taxation/" xr:uid="{3CF1771B-4069-48D1-B22D-A2D574F80916}"/>
    <hyperlink ref="N30" r:id="rId100" tooltip="Taxation of pensions received from other EU countries" display="https://www.agenziaentrate.gov.it/portale/web/english/taxation-of-pensions-received-from-other-eu-countries?utm_source=chatgpt.com" xr:uid="{26DF2CE8-7278-40F4-B345-2B93F708AE29}"/>
    <hyperlink ref="O30" r:id="rId101" tooltip="Pensioner" display="https://porezna-uprava.gov.hr/en/pensioner/7391?utm_source=chatgpt.com" xr:uid="{F4A01EB8-8FFE-4518-AE00-5D1410DD012F}"/>
    <hyperlink ref="P30" r:id="rId102" tooltip="Granting and payment of an old-age pension | Valsts sociālās apdrošināšanas aģentūra" display="https://www.vsaa.gov.lv/en/services/granting-and-payment-old-age-pension" xr:uid="{8A6D3113-BA2D-483E-B0C9-D8B26613BA30}"/>
    <hyperlink ref="K31" r:id="rId103" tooltip="Statutory Old Age Pension Scheme" display="https://www.mpisoc.mpg.de/en/social-law/research/research-projects/pension-maps/project-website/griechenland/statutory-old-age-pension-scheme/?utm_source=chatgpt.com" xr:uid="{A862AFF5-8B36-40D7-9D57-A9D2EBA03597}"/>
    <hyperlink ref="L31" r:id="rId104" tooltip="Taxation of pensions" display="https://www.citizensinformation.ie/en/money-and-tax/personal-finance/pensions/taxation-of-pensions/?utm_source=chatgpt.com" xr:uid="{67A449CB-6DEB-4279-B0DE-21916C797953}"/>
    <hyperlink ref="M31" r:id="rId105" tooltip="Taxation - LSR" display="https://www.lsr.is/en/pensions/division-a/taxation/" xr:uid="{C5880C63-8500-48B8-9229-2236EA8AF962}"/>
    <hyperlink ref="N31" r:id="rId106" tooltip="Italy - Individual - Other taxes - Worldwide Tax Summaries" display="https://taxsummaries.pwc.com/italy/individual/other-taxes?utm_source=chatgpt.com" xr:uid="{5CAC0626-1564-409B-8F20-923303223BBB}"/>
    <hyperlink ref="O31" r:id="rId107" tooltip="Contributions" display="https://migracije.hr/contributions/?lang=en&amp;utm_source=chatgpt.com" xr:uid="{D449E3DA-B5E6-4122-8733-E716800D07A4}"/>
    <hyperlink ref="P31" r:id="rId108" tooltip="Granting and payment of an old-age pension | Valsts sociālās apdrošināšanas aģentūra" display="https://www.vsaa.gov.lv/en/services/granting-and-payment-old-age-pension" xr:uid="{EE5555BB-EFF7-4735-A3B2-B397D3F4D8DB}"/>
    <hyperlink ref="Q21" r:id="rId109" tooltip="Rentenalter | AHV - IV" display="https://www.ahv.li/leistungen/ahv/rentenalter?utm_source=chatgpt.com" xr:uid="{A6CE77BB-46EF-43C7-BA15-04D8BA6161FC}"/>
    <hyperlink ref="R21" r:id="rId110" tooltip="Pensions at a Glance 2023" display="https://www.oecd.org/content/dam/oecd/en/publications/reports/2024/10/pensions-at-a-glance-2023-country-notes_2e11a061/lithuania_1b66ebef/563e5d3f-en.pdf?utm_source=chatgpt.com" xr:uid="{DB2295D1-E8A1-4C65-93E0-A14FC615A2D1}"/>
    <hyperlink ref="S21" r:id="rId111" tooltip="Retirement in Luxembourg" display="https://www.bgl.lu/en/individuals/blog/life-plans/retirement-in-luxembourg.html?utm_source=chatgpt.com" xr:uid="{151ECC1C-A583-4C24-8E1C-EEA6CBFB12E3}"/>
    <hyperlink ref="T21" r:id="rId112" tooltip="Retirement Pension (DSS)" display="https://www.servizz.gov.mt/en/Pages/Inclusion_-Equality-and-Social-Welfare/Social-Solidarity/Benefits-and-Services/Contributory-Pensions/WEB-00641/default.aspx?utm_source=chatgpt.com" xr:uid="{711C9C6D-F34D-4B21-8812-A49F98CA86E2}"/>
    <hyperlink ref="U21" r:id="rId113" tooltip="Your AOW pension age" display="https://www.svb.nl/en/aow-pension/aow-pension-age/your-aow-pension-age?utm_source=chatgpt.com" xr:uid="{DE369828-6791-4771-BAFF-1657EFE6C7D4}"/>
    <hyperlink ref="V21" r:id="rId114" tooltip="Retirement pension" display="https://www.nav.no/alderspensjon/en?utm_source=chatgpt.com" xr:uid="{9F8405AA-EF15-43F7-BA43-DDC2D74916F8}"/>
    <hyperlink ref="Q22" r:id="rId115" tooltip="Rentenberechnung | AHV - IV" display="https://www.ahv.li/leistungen/ahv/rentenberechnung?utm_source=chatgpt.com" xr:uid="{45F5C834-DD30-4F90-AA71-62002414E01C}"/>
    <hyperlink ref="R22" r:id="rId116" tooltip="Social insurance old-age pensions" display="https://socmin.lrv.lt/en/activities/social-insurance-1/social-insurance-benefits/social-insurance-old-age-pensions/?utm_source=chatgpt.com" xr:uid="{6FA9A137-B704-4856-B7E4-4BE5DA421DAC}"/>
    <hyperlink ref="S22" r:id="rId117" tooltip="Applying for an early old-age pension from the age of 57 or ..." display="https://guichet.public.lu/en/citoyens/travail/pension/assurance-pension/retraite-pension-anticipee.html?utm_source=chatgpt.com" xr:uid="{17671BBB-FCE5-4DB9-9F99-71437AB3BBE5}"/>
    <hyperlink ref="T22" r:id="rId118" tooltip="Your Social Security Pension" display="https://www.mfsa.mt/service-detail/your-social-security-pension/?utm_source=chatgpt.com" xr:uid="{DFEEA9C4-FC18-4F6E-B5C4-6A54086949B2}"/>
    <hyperlink ref="U22" r:id="rId119" tooltip="Pension schemes in the Netherlands" display="https://business.gov.nl/regulations/pension/?utm_source=chatgpt.com" xr:uid="{01458EC8-5BF1-4FDF-8B00-BF536C4ACB85}"/>
    <hyperlink ref="V22" r:id="rId120" tooltip="Retirement pension" display="https://www.nav.no/alderspensjon/en?utm_source=chatgpt.com" xr:uid="{B22C7E14-C40A-4507-A9A9-2CA72042E6AA}"/>
    <hyperlink ref="Q23" r:id="rId121" tooltip="Europe, 2018 - Liechtenstein" display="https://www.ssa.gov/policy/docs/progdesc/ssptw/2018-2019/europe/liechtenstein.html?utm_source=chatgpt.com" xr:uid="{50BBAB69-8388-441F-AAE5-395485E1F53A}"/>
    <hyperlink ref="R23" r:id="rId122" tooltip="Social insurance contributions" display="https://socmin.lrv.lt/en/activities/social-insurance-1/social-insurance-contributions/?utm_source=chatgpt.com" xr:uid="{55975FB5-F6CC-4580-8FEE-3B88B9992F8B}"/>
    <hyperlink ref="S23" r:id="rId123" tooltip="Old age pensions" display="https://www.csl.lu/en/your-rights/social-security/pensions/old-age-pensions/?utm_source=chatgpt.com" xr:uid="{60B9AE6B-2924-4A66-BCE9-123DE4188601}"/>
    <hyperlink ref="T23" r:id="rId124" tooltip="Pension Income in Malta" display="https://mtca.gov.mt/personal-tax/pensioners/pension-income-in-malta?utm_source=chatgpt.com" xr:uid="{819A3B4E-065E-4FE0-979A-C0BE0935E19A}"/>
    <hyperlink ref="U23" r:id="rId125" tooltip="National and employee insurance schemes (social security)" display="https://business.gov.nl/regulations/employee-insurance-schemes-national-insurance/?utm_source=chatgpt.com" xr:uid="{1C4AC33E-F388-479C-925D-17F10B5447EA}"/>
    <hyperlink ref="V23" r:id="rId126" tooltip="Statutory Old Age Pension Scheme as Part of the National ..." display="https://www.mpisoc.mpg.de/en/social-law/research/research-projects/pension-maps/project-website/norwegen/statutory-old-age-pension-scheme-as-part-of-the-national-insurance-system/?utm_source=chatgpt.com" xr:uid="{0C91D627-C2D7-4B45-8F5E-6F8AA49ECD1D}"/>
    <hyperlink ref="Q24" r:id="rId127" tooltip="Rentenberechnung | AHV - IV" display="https://www.ahv.li/leistungen/ahv/rentenberechnung?utm_source=chatgpt.com" xr:uid="{9B698A07-F02E-4DA9-A205-3FC013F36CCA}"/>
    <hyperlink ref="R24" r:id="rId128" tooltip="Social insurance old-age pensions" display="https://socmin.lrv.lt/en/activities/social-insurance-1/social-insurance-benefits/social-insurance-old-age-pensions/?utm_source=chatgpt.com" xr:uid="{7621F792-ACFA-44AD-B0FC-C693A6CFF465}"/>
    <hyperlink ref="S24" r:id="rId129" tooltip="Retirement in Luxembourg" display="https://www.bgl.lu/en/individuals/blog/life-plans/retirement-in-luxembourg.html?utm_source=chatgpt.com" xr:uid="{AE3E95F4-35C7-4323-B5A9-8FFF0CBF6802}"/>
    <hyperlink ref="T24" r:id="rId130" tooltip="Your Social Security Pension" display="https://www.mfsa.mt/service-detail/your-social-security-pension/?utm_source=chatgpt.com" xr:uid="{38A53183-5ABE-4A25-BF17-D37102C276DB}"/>
    <hyperlink ref="U24" r:id="rId131" tooltip="Pension schemes in the Netherlands" display="https://business.gov.nl/regulations/pension/?utm_source=chatgpt.com" xr:uid="{CD9AC1B3-030C-4F2E-B1D4-B22946453392}"/>
    <hyperlink ref="V24" r:id="rId132" tooltip="Retirement pension" display="https://www.nav.no/alderspensjon/en?utm_source=chatgpt.com" xr:uid="{D0BF52A2-2631-4E98-A7AD-F38D97449204}"/>
    <hyperlink ref="Q25" r:id="rId133" tooltip="Rentenberechnung | AHV - IV" display="https://www.ahv.li/leistungen/ahv/rentenberechnung?utm_source=chatgpt.com" xr:uid="{716A057C-6D37-46DD-B350-4A3ED53D1226}"/>
    <hyperlink ref="R25" r:id="rId134" tooltip="Social insurance old-age pensions" display="https://socmin.lrv.lt/en/activities/social-insurance-1/social-insurance-benefits/social-insurance-old-age-pensions/?utm_source=chatgpt.com" xr:uid="{A87E9D67-3096-47A9-A44E-93880AD097C7}"/>
    <hyperlink ref="S25" r:id="rId135" tooltip="THE GENERAL PENSION INSURANCE SCHEME" display="https://www.csl.lu/app/uploads/2023/05/csl_pensions_en_2023.pdf?utm_source=chatgpt.com" xr:uid="{15DD2023-0EF6-4C0C-8227-478EE05E3765}"/>
    <hyperlink ref="T25" r:id="rId136" tooltip="Retirement Income and Inflation - Gemma - Know, Plan, Act." display="https://gemma.gov.mt/retirement-income-and-inflation/?utm_source=chatgpt.com" xr:uid="{AF452C7C-301E-4F8C-8572-8E9749346866}"/>
    <hyperlink ref="U25" r:id="rId137" tooltip="Voluntarily filling any gaps in state pension (AOW) ..." display="https://www.government.nl/themes/work/state-pension-aow/voluntarily-filling-any-gaps-in-state-pension-aow-qualifying-years?utm_source=chatgpt.com" xr:uid="{887CE747-15C3-4061-9908-E60A26FF9C97}"/>
    <hyperlink ref="V25" r:id="rId138" tooltip="Statutory Old Age Pension Scheme as Part of the National ..." display="https://www.mpisoc.mpg.de/en/social-law/research/research-projects/pension-maps/project-website/norwegen/statutory-old-age-pension-scheme-as-part-of-the-national-insurance-system/?utm_source=chatgpt.com" xr:uid="{4F247D09-7B17-4486-B591-FE8087A54E6A}"/>
    <hyperlink ref="Q26" r:id="rId139" tooltip="Your social security rights in Liechtenstein" display="https://ec.europa.eu/social/BlobServlet?docId=13743&amp;langId=en&amp;utm_source=chatgpt.com" xr:uid="{43D5928B-7E20-4553-BF6C-DA14E0E94EF5}"/>
    <hyperlink ref="R26" r:id="rId140" tooltip="IOPS Country Profile: LITHUANIA" display="https://www.oecd.org/content/dam/iops/en/country-profiles/Lithuania-country-profile-IOPS.pdf?utm_source=chatgpt.com" xr:uid="{83782300-7E28-4FF8-8269-0921DC4656B2}"/>
    <hyperlink ref="S26" r:id="rId141" tooltip="Survivor's pension in case of the death of a spouse or partner" display="https://guichet.public.lu/en/citoyens/aides/sante/prestations-survivants/pension-survie.html?utm_source=chatgpt.com" xr:uid="{BC17A2DC-2C27-4EF9-913E-FFD961400EF1}"/>
    <hyperlink ref="T26" r:id="rId142" tooltip="Contributory Pensions" display="https://www.servizz.gov.mt/en/Pages/Inclusion_-Equality-and-Social-Welfare/Social-Solidarity/Benefits-and-Services/Contributory-Pensions/default.aspx?utm_source=chatgpt.com" xr:uid="{369B4AEE-D2F7-4A07-8492-A7DF07362184}"/>
    <hyperlink ref="U26" r:id="rId143" tooltip="AOW pension amounts | AOW | SVB" display="https://www.svb.nl/en/aow-pension/aow-pension-rates/aow-pension-rates?utm_source=chatgpt.com" xr:uid="{0D972500-764D-4C85-8FFF-926FC8AA682F}"/>
    <hyperlink ref="V26" r:id="rId144" tooltip="Statutory Old Age Pension Scheme as Part of the National ..." display="https://www.mpisoc.mpg.de/en/social-law/research/research-projects/pension-maps/project-website/norwegen/statutory-old-age-pension-scheme-as-part-of-the-national-insurance-system/?utm_source=chatgpt.com" xr:uid="{21269C33-664C-49D6-98BB-A230FBFDA4D0}"/>
    <hyperlink ref="Q27" r:id="rId145" tooltip="Rentenhöhe | AHV - IV" display="https://www.ahv.li/leistungen/iv/rentenhoehe?utm_source=chatgpt.com" xr:uid="{54E25311-8D95-401C-B2C9-9ABFC9E47717}"/>
    <hyperlink ref="R27" r:id="rId146" tooltip="Social insurance disability pension" display="https://socmin.lrv.lt/en/activities/social-insurance-1/social-insurance-benefits/social-insurance-disability-pension/?utm_source=chatgpt.com" xr:uid="{3CF0F7F6-19CA-41FC-B0B5-26E5C767365F}"/>
    <hyperlink ref="S27" r:id="rId147" tooltip="General points" display="https://cnap.public.lu/en/pensions/generalites.html?utm_source=chatgpt.com" xr:uid="{D4902C41-6554-4173-A067-E92D6F201E8E}"/>
    <hyperlink ref="T27" r:id="rId148" tooltip="Invalidity Pension - Social Security" display="https://socialsecurity.gov.mt/en/information-and-applications-for-benefits-and-services/contributory-pensions/invalidity-pension/?utm_source=chatgpt.com" xr:uid="{067B2F1D-9E3C-42FD-BC73-02565F8412FB}"/>
    <hyperlink ref="U27" r:id="rId149" tooltip="The WIA benefit for your employee" display="https://business.gov.nl/staff/health-and-safety/the-wia-benefit-for-your-employee/?utm_source=chatgpt.com" xr:uid="{198E273E-4BD2-4288-9A07-C0CA6CC2FC34}"/>
    <hyperlink ref="V27" r:id="rId150" tooltip="Disability Benefits" display="https://www.regjeringen.no/en/topics/pensions-and-welfare/innsikt/the-social-security-system/disability-benefits/id2008615/?utm_source=chatgpt.com" xr:uid="{428BD4EF-134A-4CB5-8D67-3528E9CFDA22}"/>
    <hyperlink ref="Q28" r:id="rId151" tooltip="Verwitwetenrente | AHV - IV - FAK" display="https://www.ahv.li/leistungen/ahv/verwitwetenrente?utm_source=chatgpt.com" xr:uid="{19ACDA6F-E491-4ABE-BD29-8754265B20D0}"/>
    <hyperlink ref="R28" r:id="rId152" tooltip="Social insurance pensions for widows ..." display="https://socmin.lrv.lt/en/activities/social-insurance-1/social-insurance-benefits/social-insurance-pensions-for-widows-widowers-and-orphans/?utm_source=chatgpt.com" xr:uid="{4C803C39-B535-489A-BE43-8FECE6B3E950}"/>
    <hyperlink ref="S28" r:id="rId153" tooltip="Survivor's pension in case of the death of a spouse or partner" display="https://guichet.public.lu/en/citoyens/aides/sante/prestations-survivants/pension-survie.html?utm_source=chatgpt.com" xr:uid="{6D76D078-96BF-4C0A-BF41-8E7EB30F530B}"/>
    <hyperlink ref="T28" r:id="rId154" tooltip="Widow/er's Pension - Social Security" display="https://socialsecurity.gov.mt/en/information-and-applications-for-benefits-and-services/contributory-pensions/contributory-widow-ers-pension/?utm_source=chatgpt.com" xr:uid="{5840B6DE-4D95-4F3B-9602-78944092EB42}"/>
    <hyperlink ref="U28" r:id="rId155" tooltip="Applying for an Anw survivor benefit" display="https://www.government.nl/themes/taxes-benefits-and-allowances/surviving-dependants-act/applying-for-surviving-dependants-benefit-anw-uitkering?utm_source=chatgpt.com" xr:uid="{F3A8B7DA-9559-40CE-A1DC-84701723FA41}"/>
    <hyperlink ref="V28" r:id="rId156" tooltip="Survivor's pension" display="https://www.nav.no/gjenlevendepensjon/en?utm_source=chatgpt.com" xr:uid="{EFA2AAB0-29C2-4DA6-8CC6-980525AF13D9}"/>
    <hyperlink ref="Q29" r:id="rId157" tooltip="Verwitwetenrente | AHV - IV - FAK" display="https://www.ahv.li/leistungen/ahv/verwitwetenrente?utm_source=chatgpt.com" xr:uid="{8B500120-0A31-4D1E-A246-2B6CA52CD097}"/>
    <hyperlink ref="R29" r:id="rId158" tooltip="Social insurance pensions for widows ..." display="https://socmin.lrv.lt/en/activities/social-insurance-1/social-insurance-benefits/social-insurance-pensions-for-widows-widowers-and-orphans/?utm_source=chatgpt.com" xr:uid="{62CA657C-5437-4809-A84C-198218253816}"/>
    <hyperlink ref="S29" r:id="rId159" tooltip="Calculating the survival pension" display="https://cnap.public.lu/en/pensions/pension-survie/pension-survie1.html?utm_source=chatgpt.com" xr:uid="{EA08BD66-6FC3-4BDC-A568-EAAFFFB1C7DC}"/>
    <hyperlink ref="T29" r:id="rId160" tooltip="Widow/er's Pension CAN - Social Security" display="https://socialsecurity.gov.mt/en/information-and-applications-for-benefits-and-services/bilateral-agreements/widow-ers-pension-can/?utm_source=chatgpt.com" xr:uid="{290FD7D6-A7F9-4231-8309-5FF14F297418}"/>
    <hyperlink ref="U29" r:id="rId161" tooltip="Qualifying conditions if your partner or ex-partner has died" display="https://www.svb.nl/en/anw/what-are-the-conditions/read-more-about-the-the-qualifying-conditions-that-apply-if-your-partner-or-ex-partner-has-died?utm_source=chatgpt.com" xr:uid="{8814CFF0-629C-497F-AFF5-C9D55CBE75E0}"/>
    <hyperlink ref="V29" r:id="rId162" tooltip="Receiving a pension" display="https://www.nav.no/har-pensjon/en?utm_source=chatgpt.com" xr:uid="{9D3A1AD1-F533-44A9-AE09-0A3268CFB3F6}"/>
    <hyperlink ref="Q30" r:id="rId163" tooltip="Translation of Liechtenstein Law" display="https://www.regierung.li/files/medienarchiv/640-0-22-09-2022-en.pdf?utm_source=chatgpt.com" xr:uid="{FF7F3499-598C-46EB-8272-32375FC03DC5}"/>
    <hyperlink ref="R30" r:id="rId164" tooltip="Lithuanian country fiche on pension projections 2021 Ageing ..." display="https://economy-finance.ec.europa.eu/system/files/2021-05/lt_-_ar_2021_final_pension_fiche.pdf?utm_source=chatgpt.com" xr:uid="{CA4EAA54-B4C8-428A-AEF6-9E9D9057E74D}"/>
    <hyperlink ref="S30" r:id="rId165" tooltip="General points" display="https://cnap.public.lu/en/pensions/generalites.html?utm_source=chatgpt.com" xr:uid="{5044935E-8FA3-4F1A-B0E6-FAA8D0CA7AE0}"/>
    <hyperlink ref="T30" r:id="rId166" tooltip="Tax Exemption on Pension Income Received after 61 years ..." display="https://mtca.gov.mt/personal-tax/pensioners/tax-exemption-on-pension-income-received-after-61-years-of-age?utm_source=chatgpt.com" xr:uid="{F56A3A73-56AD-48EF-9F69-9C3DDC53A908}"/>
    <hyperlink ref="U30" r:id="rId167" tooltip="Deductions | AOW | SVB" display="https://www.svb.nl/en/aow-pension/aow-pension-rates/what-is-deducted-from-your-aow-pension?utm_source=chatgpt.com" xr:uid="{0B2708E1-BDDB-4839-8F48-DC711F6C42A5}"/>
    <hyperlink ref="V30" r:id="rId168" tooltip="Statutory Old Age Pension Scheme as Part of the National ..." display="https://www.mpisoc.mpg.de/en/social-law/research/research-projects/pension-maps/project-website/norwegen/statutory-old-age-pension-scheme-as-part-of-the-national-insurance-system/?utm_source=chatgpt.com" xr:uid="{52713152-A274-4F0A-A0EC-B746B69AF8E3}"/>
    <hyperlink ref="Q31" r:id="rId169" tooltip="Ende der Beitragspflicht - Liechtensteinische AHV-IV-FAK" display="https://www.ahv.li/beitraege/beitragspflicht/ende?utm_source=chatgpt.com" xr:uid="{3BAA4B20-6CCE-4A16-9A78-E62C86984DA0}"/>
    <hyperlink ref="R31" r:id="rId170" tooltip="Social insurance contributions" display="https://socmin.lrv.lt/en/activities/social-insurance-1/social-insurance-contributions/?utm_source=chatgpt.com" xr:uid="{88F15068-D944-44C4-9959-536E59A7BB6C}"/>
    <hyperlink ref="S31" r:id="rId171" tooltip="General points" display="https://cnap.public.lu/en/pensions/generalites.html?utm_source=chatgpt.com" xr:uid="{4E136637-89C6-4AD8-90EF-8DBD829D89C1}"/>
    <hyperlink ref="T31" r:id="rId172" tooltip="Social Security Contribution Rates" display="https://mtca.gov.mt/personal-tax/fss/social-security-contribution-rates/social-security-contribution-rates?utm_source=chatgpt.com" xr:uid="{D1A2CD2C-171C-4B0C-AB81-3C200E9843B2}"/>
    <hyperlink ref="U31" r:id="rId173" tooltip="Deductions | AOW | SVB" display="https://www.svb.nl/en/aow-pension/aow-pension-rates/what-is-deducted-from-your-aow-pension?utm_source=chatgpt.com" xr:uid="{20E8BE04-B3AA-4430-8A97-02F2536804C0}"/>
    <hyperlink ref="V31" r:id="rId174" tooltip="National Insurance contributions - The Norwegian Tax ..." display="https://www.skatteetaten.no/en/rates/national-insurance-contributions/?utm_source=chatgpt.com" xr:uid="{C94D29CA-79C8-42B0-B8F0-8D26FB5E3F67}"/>
    <hyperlink ref="W21" r:id="rId175" tooltip="Lebenslage: Ich gehe oder bin in Pension" display="https://www.oesterreich.gv.at/de/lebenslagen/Ich-gehe-oder-bin-in-Pension?utm_source=chatgpt.com" xr:uid="{05B0D820-A1B1-4FFC-99F4-ABE7C1C10EAD}"/>
    <hyperlink ref="X21" r:id="rId176" tooltip="Old-age pensions operating under the new rules" display="https://lang.zus.pl/benefits/old-age-pensions/old-age-pensions-operating-under-the-new-rules?utm_source=chatgpt.com" xr:uid="{B71F8B46-E68F-4CF0-9EED-8A0022BCC2EE}"/>
    <hyperlink ref="Y21" r:id="rId177" tooltip="Request the old-age pension - gov.pt" display="https://www2.gov.pt/en/servicos/requerer-a-pensao-de-velhice" xr:uid="{C0BD068E-AAD7-4AA3-8BB6-9A18B587576A}"/>
    <hyperlink ref="Z21" r:id="rId178" tooltip="Your rights country by country" display="https://ec.europa.eu/social/BlobServlet?docId=13772&amp;langId=en&amp;utm_source=chatgpt.com" xr:uid="{13F7AB48-F58F-473B-81ED-747C9494595B}"/>
    <hyperlink ref="AA21" r:id="rId179" tooltip="Recommended retirement age – when can I start drawing my national public pension?  | Pensionsmyndigheten" display="https://www.pensionsmyndigheten.se/other-languages/english-engelska/english-engelska/recommended-retirement-age" xr:uid="{40E6B7E0-C2FA-468B-B79E-4116CA6DA943}"/>
    <hyperlink ref="W22" r:id="rId180" tooltip="Höhe der Alterspension" display="https://www.oesterreich.gv.at/de/themen/arbeit_beruf_und_pension/pension/2/1/Seite.270132?utm_source=chatgpt.com" xr:uid="{8F81D6CB-AAA3-4961-A4A0-EFD3BD46BB26}"/>
    <hyperlink ref="X22" r:id="rId181" tooltip="Old-age pensions operating under the new rules" display="https://lang.zus.pl/benefits/old-age-pensions/old-age-pensions-operating-under-the-new-rules?utm_source=chatgpt.com" xr:uid="{6A128327-2B7E-49A8-87C2-CBE7D2FC4691}"/>
    <hyperlink ref="Y22" r:id="rId182" tooltip="Request the old-age pension - gov.pt" display="https://www2.gov.pt/en/servicos/requerer-a-pensao-de-velhice" xr:uid="{1B77C060-0264-43DD-8D9F-7012917F5012}"/>
    <hyperlink ref="Z22" r:id="rId183" tooltip="Your rights country by country" display="https://ec.europa.eu/social/BlobServlet?docId=13772&amp;langId=en" xr:uid="{BE2E5632-84A3-4201-9D82-5FBC51BC3529}"/>
    <hyperlink ref="AA22" r:id="rId184" tooltip="The Swedish pension system" display="https://www.pensionsmyndigheten.se/other-languages/english-engelska/english-engelska/pension-system-in-sweden?utm_source=chatgpt.com" xr:uid="{A4E7B807-0010-4E76-85DC-C4D20E3EEB81}"/>
    <hyperlink ref="W23" r:id="rId185" tooltip="Höhe der Alterspension" display="https://www.oesterreich.gv.at/de/themen/arbeit_beruf_und_pension/pension/2/1/Seite.270132?utm_source=chatgpt.com" xr:uid="{023D4506-CAFB-458F-8E18-561BC87BE192}"/>
    <hyperlink ref="X23" r:id="rId186" tooltip="Wskaźniki waloryzacji rocznej" display="https://www.zus.pl/baza-wiedzy/skladki-wskazniki-odsetki/wskazniki/waloryzacja-skladki-i-kapitalu-poczatkowego/wskazniki-waloryzacji-rocznej?utm_source=chatgpt.com" xr:uid="{EC15944D-6382-4A91-8BB6-89A7E5B31A1B}"/>
    <hyperlink ref="Y23" r:id="rId187" tooltip="Request the old-age pension - gov.pt" display="https://www2.gov.pt/en/servicos/requerer-a-pensao-de-velhice" xr:uid="{41431969-AD1C-45D6-BFE6-685AA5F34DA9}"/>
    <hyperlink ref="Z23" r:id="rId188" tooltip="_x000a__x0009__x000a__x0009__x0009_Statutory Old Age Pension Scheme_x000a__x0009__x000a_ | Max-Planck-Institut für Sozialrecht und Sozialpolitik - MPISOC" display="https://www.mpisoc.mpg.de/en/social-law/research/research-projects/pension-maps/project-website/romania/statutory-old-age-pension-scheme/" xr:uid="{5C56B049-09CD-45CF-AD91-130534116A4E}"/>
    <hyperlink ref="AA23" r:id="rId189" tooltip="The Swedish pension system" display="https://www.pensionsmyndigheten.se/other-languages/english-engelska/english-engelska/pension-system-in-sweden?utm_source=chatgpt.com" xr:uid="{3FEDEC68-4058-4D5D-9C29-988DE80255DB}"/>
    <hyperlink ref="W24" r:id="rId190" tooltip="Höhe der Alterspension" display="https://www.oesterreich.gv.at/de/themen/arbeit_beruf_und_pension/pension/2/1/Seite.270132?utm_source=chatgpt.com" xr:uid="{82D663FC-B63F-4529-BB31-121761061E67}"/>
    <hyperlink ref="X24" r:id="rId191" tooltip="Old-age pensions operating under the new rules" display="https://lang.zus.pl/benefits/old-age-pensions/old-age-pensions-operating-under-the-new-rules?utm_source=chatgpt.com" xr:uid="{4364EE98-90B2-41B1-B7B0-634023F20F3B}"/>
    <hyperlink ref="Y24" r:id="rId192" tooltip="Request the old-age pension - gov.pt" display="https://www2.gov.pt/en/servicos/requerer-a-pensao-de-velhice" xr:uid="{59342E41-22AD-4271-AC86-676DDA0448EA}"/>
    <hyperlink ref="Z24" r:id="rId193" tooltip="Your rights country by country" display="https://ec.europa.eu/social/BlobServlet?docId=13772&amp;langId=en&amp;utm_source=chatgpt.com" xr:uid="{6322C6E9-4EE5-4D18-A46B-476F5F38D3B7}"/>
    <hyperlink ref="AA24" r:id="rId194" tooltip="The Swedish pension system | Pensionsmyndigheten" display="https://www.pensionsmyndigheten.se/other-languages/english-engelska/english-engelska/pension-system-in-sweden" xr:uid="{0BD77F12-D4DC-4277-950A-F7736CA73498}"/>
    <hyperlink ref="W25" r:id="rId195" tooltip="Höhe der Alterspension" display="https://www.oesterreich.gv.at/de/themen/arbeit_beruf_und_pension/pension/2/1/Seite.270132?utm_source=chatgpt.com" xr:uid="{10F1B3A4-B0BB-487B-A749-9EDC7C65C40C}"/>
    <hyperlink ref="X25" r:id="rId196" tooltip="Wskaźniki waloryzacji rocznej" display="https://www.zus.pl/baza-wiedzy/skladki-wskazniki-odsetki/wskazniki/waloryzacja-skladki-i-kapitalu-poczatkowego/wskazniki-waloryzacji-rocznej?utm_source=chatgpt.com" xr:uid="{25C54651-52F5-4D01-89E2-832B9CD20DAC}"/>
    <hyperlink ref="Y25" r:id="rId197" tooltip="INVALIDITY AND OLD-AGE Calculation of the pension, ..." display="https://www.dgaep.gov.pt/stap/EN/infoPage.cfm?KeepThis=true&amp;TB_iframe=true&amp;height=580&amp;objid=013242ea-f602-4aa6-aca4-003084601596&amp;width=520&amp;utm_source=chatgpt.com" xr:uid="{7B5E9822-0F27-4BFD-BA16-55214FF952C8}"/>
    <hyperlink ref="Z25" r:id="rId198" tooltip="_x000a__x0009__x000a__x0009__x0009_Statutory Old Age Pension Scheme_x000a__x0009__x000a_ | Max-Planck-Institut für Sozialrecht und Sozialpolitik - MPISOC" display="https://www.mpisoc.mpg.de/en/social-law/research/research-projects/pension-maps/project-website/romania/statutory-old-age-pension-scheme/" xr:uid="{9E5FB259-AC3C-4971-9A45-91D967B20ACD}"/>
    <hyperlink ref="AA25" r:id="rId199" tooltip="6. Changes in the Value of the Pension System" display="https://www.pensionsmyndigheten.se/statistik/publikationer/orange-report-2020/6-changes-in-the-value-of-the-pension-system.html?utm_source=chatgpt.com" xr:uid="{21125BB3-63D3-4A41-86AE-866C79E02D19}"/>
    <hyperlink ref="W26" r:id="rId200" tooltip="Informationen zur Pensionserhöhung in Österreich" display="https://www.sozialministerium.gv.at/Themen/Soziales/Sozialversicherung/Pensionsversicherung/Pensionserh%C3%B6hung.html?utm_source=chatgpt.com" xr:uid="{93F4873B-6270-4EEF-B2E3-A1F2BFA7D348}"/>
    <hyperlink ref="X26" r:id="rId201" tooltip="Od marca emerytury i renty w górę" display="https://www.zus.pl/-/od-marca-emerytury-i-renty-w-g%C3%B3r%C4%99?utm_source=chatgpt.com" xr:uid="{72B14A16-4F75-4694-BE4D-D61F671DBF39}"/>
    <hyperlink ref="Y26" r:id="rId202" tooltip="General Social Security Scheme" display="https://www.mpisoc.mpg.de/en/social-law/research/research-projects/pension-maps/project-website/portugal/general-social-security-scheme/?utm_source=chatgpt.com" xr:uid="{8386881C-0D69-49C0-8E9C-C67780B58513}"/>
    <hyperlink ref="Z26" r:id="rId203" tooltip="_x000a__x0009__x000a__x0009__x0009_Statutory Old Age Pension Scheme_x000a__x0009__x000a_ | Max-Planck-Institut für Sozialrecht und Sozialpolitik - MPISOC" display="https://www.mpisoc.mpg.de/en/social-law/research/research-projects/pension-maps/project-website/romania/statutory-old-age-pension-scheme/" xr:uid="{567F00E3-A231-44F1-BB97-ECC449F04699}"/>
    <hyperlink ref="AA26" r:id="rId204" tooltip="6. Changes in the Value of the Pension System" display="https://www.pensionsmyndigheten.se/statistik/publikationer/orange-report-2020/6-changes-in-the-value-of-the-pension-system.html?utm_source=chatgpt.com" xr:uid="{A35AB9E8-7AA1-41C8-BC11-1CDE2FAC3012}"/>
    <hyperlink ref="W27" r:id="rId205" tooltip="Invaliditäts- bzw. Berufsunfähigkeitspension – Arbeiter und ..." display="https://www.oesterreich.gv.at/de/themen/menschen_mit_behinderungen/pension_und_behinderung/Seite.1280200?utm_source=chatgpt.com" xr:uid="{039249A1-E3BF-4C3C-9DA6-EC57FAD76D1F}"/>
    <hyperlink ref="X27" r:id="rId206" tooltip="Disability pensions" display="https://lang.zus.pl/benefits/disability-pensions?utm_source=chatgpt.com" xr:uid="{2829BCA3-BFC8-4827-9162-6924384994CF}"/>
    <hyperlink ref="Y27" r:id="rId207" tooltip="Guia Prático Pensão de Invalidez" display="https://www.seg-social.pt/ptss/pssd/documento/cmc1zu99c00lykl2y7f0avytg?utm_source=chatgpt.com" xr:uid="{12937E83-1E32-41CE-99F9-C7E9E5AE9B1C}"/>
    <hyperlink ref="Z27" r:id="rId208" tooltip="Your rights country by country" display="https://ec.europa.eu/social/BlobServlet?docId=13772&amp;langId=en" xr:uid="{390258BC-97A5-48E2-B776-B2D2EB34A4A1}"/>
    <hyperlink ref="AA27" r:id="rId209" tooltip="Sickness compensation - Försäkringskassan" display="https://www.forsakringskassan.se/english/sick/sick-for-one-year-or-longer/sickness-compensation" xr:uid="{F6C6D38B-2C97-4A0A-BB67-F561F1D95AB1}"/>
    <hyperlink ref="W28" r:id="rId210" tooltip="Höhe der Witwerpension" display="https://www.oesterreich.gv.at/de/themen/arbeit_beruf_und_pension/pension/2/6/Seite.270412?utm_source=chatgpt.com" xr:uid="{0D6AE28E-F76A-48E1-A70E-4E94C956AF2A}"/>
    <hyperlink ref="X28" r:id="rId211" tooltip="Survivor's pensions" display="https://lang.zus.pl/benefits/survivor-s-pensions?utm_source=chatgpt.com" xr:uid="{C4EEFB7C-BD19-488E-B024-AC4471722323}"/>
    <hyperlink ref="Y28" r:id="rId212" tooltip="Apply for a survivor's pension - gov.pt" display="https://www2.gov.pt/en/servicos/requerer-a-pensao-de-sobrevivencia" xr:uid="{1DA667B5-3D34-45BA-893D-73D26D1B995F}"/>
    <hyperlink ref="Z28" r:id="rId213" tooltip="Your rights country by country" display="https://ec.europa.eu/social/BlobServlet?docId=13772&amp;langId=en&amp;utm_source=chatgpt.com" xr:uid="{2E029C46-CB73-40EA-B6FB-88EA15DE4EA1}"/>
    <hyperlink ref="AA28" r:id="rId214" tooltip="Survivor's pension – financial support in the event of death | Pensionsmyndigheten" display="https://www.pensionsmyndigheten.se/other-languages/english-engelska/english-engelska/survivors-pension-financial-support-in-the-event-of-death" xr:uid="{AE4C8D8F-DC23-41BE-95E7-38DDDFB8CA99}"/>
    <hyperlink ref="W29" r:id="rId215" tooltip="Survivors' Pensions" display="https://www.sozialministerium.gv.at/en/Topics/Social-Affairs/Social-Insurance/Pension-Insurance/Types-of-Pension/Survivors%E2%80%99-Pensions.html?utm_source=chatgpt.com" xr:uid="{3D053FC7-5894-4934-B181-721C01217C29}"/>
    <hyperlink ref="X29" r:id="rId216" tooltip="Uprawnieni członkowie rodziny spełniający określone ..." display="https://www.zus.pl/uprawnieni-czlonkowie-rodziny-spelniajacy-okreslone-warunki-do-renty-rodzinnej?utm_source=chatgpt.com" xr:uid="{BEB7ED24-F87C-4BAC-917C-54A29EB68BA6}"/>
    <hyperlink ref="Y29" r:id="rId217" tooltip="Apply for a survivor's pension - gov.pt" display="https://www2.gov.pt/en/servicos/requerer-a-pensao-de-sobrevivencia" xr:uid="{AA40B893-65BC-487B-8B21-06DCAFB3A608}"/>
    <hyperlink ref="Z29" r:id="rId218" tooltip="Your rights country by country" display="https://ec.europa.eu/social/BlobServlet?docId=13772&amp;langId=en&amp;utm_source=chatgpt.com" xr:uid="{E4CD87F7-065D-45B0-B634-FFBD907E674B}"/>
    <hyperlink ref="AA29" r:id="rId219" tooltip="Survivor's pension – financial support in the event of death | Pensionsmyndigheten" display="https://www.pensionsmyndigheten.se/other-languages/english-engelska/english-engelska/survivors-pension-financial-support-in-the-event-of-death" xr:uid="{09BF1884-FB87-450F-8D12-0F888F0EFED1}"/>
    <hyperlink ref="W30" r:id="rId220" tooltip="Lebenslage: Ich gehe oder bin in Pension" display="https://www.oesterreich.gv.at/de/lebenslagen/Ich-gehe-oder-bin-in-Pension?utm_source=chatgpt.com" xr:uid="{D5F13F38-A63E-45BB-87D1-59E8A7C87201}"/>
    <hyperlink ref="X30" r:id="rId221" tooltip="Income tax rates for pensioners (SDG) - podatki.gov.pl" display="https://podatki-arch.mf.gov.pl/en/pensioners/income-tax-rates-for-pensioners/?utm_source=chatgpt.com" xr:uid="{ADE63E28-A40F-4BD3-9753-627F3CEE2F2E}"/>
    <hyperlink ref="Y30" r:id="rId222" tooltip="General Social Security Scheme" display="https://www.mpisoc.mpg.de/en/social-law/research/research-projects/pension-maps/project-website/portugal/general-social-security-scheme/?utm_source=chatgpt.com" xr:uid="{4A2E1892-0200-4DB3-88F4-F7CA9C0E0AB5}"/>
    <hyperlink ref="Z30" r:id="rId223" tooltip="Your rights country by country" display="https://ec.europa.eu/social/BlobServlet?docId=13772&amp;langId=en&amp;utm_source=chatgpt.com" xr:uid="{A37A02A7-646C-4417-A7C4-5CD043B9505D}"/>
    <hyperlink ref="W31" r:id="rId224" tooltip="Krankenversicherung in der Pension" display="https://www.bvaeb.at/cdscontent/?contentid=10007.860032&amp;portal=bvaebbportal&amp;utm_source=chatgpt.com" xr:uid="{E44E4CC5-8199-4C13-B324-1994DC19E088}"/>
    <hyperlink ref="X31" r:id="rId225" tooltip="Social Security in Poland (2025)" display="https://www.zus.pl/documents/10182/167615/Social%2BSecurity%2Bin%2BPoland.pdf/71ffe1b1-c142-48fa-a67b-0c7e1cec6eb6?t=1690378989364" xr:uid="{8C3A8494-5668-4055-A0FE-7C56ADF9E8EF}"/>
    <hyperlink ref="Y31" r:id="rId226" tooltip="General Social Security Scheme" display="https://www.mpisoc.mpg.de/en/social-law/research/research-projects/pension-maps/project-website/portugal/general-social-security-scheme/?utm_source=chatgpt.com" xr:uid="{63787880-5B89-4255-AB65-DE3CA6DB7656}"/>
    <hyperlink ref="Z31" r:id="rId227" tooltip="_x000a__x0009__x000a__x0009__x0009_Statutory Old Age Pension Scheme_x000a__x0009__x000a_ | Max-Planck-Institut für Sozialrecht und Sozialpolitik - MPISOC" display="https://www.mpisoc.mpg.de/en/social-law/research/research-projects/pension-maps/project-website/romania/statutory-old-age-pension-scheme/" xr:uid="{E76A7D51-30AC-49F4-889C-FB07601787E0}"/>
    <hyperlink ref="AB21" r:id="rId228" tooltip="Flexible retirement" display="https://www.ahv-iv.ch/p/3.04.e?utm_source=chatgpt.com" xr:uid="{B711FEE4-31DD-49FF-A54A-D52B645E2FCE}"/>
    <hyperlink ref="AC21" r:id="rId229" tooltip="How to apply for an early old age pension" display="https://socpoist.sk/en/life-situations/pension/how-apply-early-old-age-pension?utm_source=chatgpt.com" xr:uid="{5C5050D8-76CB-4788-BDCC-431F3CC40787}"/>
    <hyperlink ref="AD21" r:id="rId230" tooltip="Recent pension reforms: Pensions at a Glance 2025" display="https://www.oecd.org/en/publications/pensions-at-a-glance-2025_e40274c1-en/full-report/recent-pension-reforms_146d2687.html?utm_source=chatgpt.com" xr:uid="{6908A7A7-0784-492D-AE3B-678C948CA9BD}"/>
    <hyperlink ref="AE21" r:id="rId231" tooltip="Totalization Agreement with Spain | International Programs" display="https://www.ssa.gov/international/Agreement_Pamphlets/spain.html?utm_source=chatgpt.com" xr:uid="{04B044D0-05AC-4827-BE95-A079E4FC9616}"/>
    <hyperlink ref="AF21" r:id="rId232" tooltip="Pensions at a Glance 2025: Czechia" display="https://www.oecd.org/en/publications/pensions-at-a-glance-2025-country-notes_8a53ef12-en/czechia_dd7aae9d-en.html?utm_source=chatgpt.com" xr:uid="{D006DC5F-218E-4414-BD46-291E2E3348CB}"/>
    <hyperlink ref="AG21" r:id="rId233" tooltip="Pensions at a Glance 2023" display="https://www.oecd.org/content/dam/oecd/en/publications/reports/2024/10/pensions-at-a-glance-2023-country-notes_2e11a061/hungary_606f6906/91bb0bca-en.pdf?utm_source=chatgpt.com" xr:uid="{3908D332-1212-407B-910E-0B4BDAF2FC7B}"/>
    <hyperlink ref="AH21" r:id="rId234" tooltip="Social Insurance Services - FAQ" display="https://www.mlsi.gov.cy/mlsi/sid/sidv2.nsf/2732b55311a819d1c2257a30001fbe29/f702d60872e9353cc2257a30001fd75d?OpenDocument=&amp;utm_source=chatgpt.com" xr:uid="{2DF33E8D-B458-4E89-804F-63EC69C4610B}"/>
    <hyperlink ref="AB22" r:id="rId235" tooltip="OASI contributions" display="https://www.ch.ch/en/retirement/old-age-pension/the-first-pillar/oasi-contributions?utm_source=chatgpt.com" xr:uid="{C0C18D8F-48A1-4D35-8CFB-578488D367D1}"/>
    <hyperlink ref="AC22" r:id="rId236" tooltip="How to apply for an old age pension" display="https://socpoist.sk/en/life-situations/pension/how-apply-old-age-pension?utm_source=chatgpt.com" xr:uid="{66D09ED1-8630-4687-BA39-83756673610F}"/>
    <hyperlink ref="AD22" r:id="rId237" tooltip="When can I retire? Icon your Europe" display="https://www.zpiz.si/content2020en/when-can-i-retire?utm_source=chatgpt.com" xr:uid="{AAC12E88-D7B2-4636-9C14-927AF1822018}"/>
    <hyperlink ref="AE22" r:id="rId238" tooltip="Totalization Agreement with Spain | International Programs" display="https://www.ssa.gov/international/Agreement_Pamphlets/spain.html?utm_source=chatgpt.com" xr:uid="{5C9F8A3E-C987-42D5-93EC-EE1C609BDC54}"/>
    <hyperlink ref="AF22" r:id="rId239" tooltip="Pension insurance - ČSSZ Web Other Languages" display="https://www.cssz.cz/web/lang/duchodove-pojisteni1?lang=en&amp;utm_source=chatgpt.com" xr:uid="{A48786AB-6F01-4397-9A63-F8A05A88034A}"/>
    <hyperlink ref="AG22" r:id="rId240" tooltip="Social Insurance Pension Scheme" display="https://www.mpisoc.mpg.de/en/social-law/research/research-projects/pension-maps/project-website/hungary/social-insurance-pension-scheme/?utm_source=chatgpt.com" xr:uid="{2DDD87B3-680D-436C-9431-DAD35F05986E}"/>
    <hyperlink ref="AH22" r:id="rId241" tooltip="Cyprus" display="https://www.issa.int/sites/default/files/documents/2024-12/Cyprus.pdf?utm_source=chatgpt.com" xr:uid="{8C6AEAAA-9C18-4D9B-870A-F3E4827EA3F5}"/>
    <hyperlink ref="AB23" r:id="rId242" tooltip="The Schweizer AHV System: What It is &amp; How It Works ..." display="https://relocation-genevoise.ch/en/blog/schweizer-ahv?utm_source=chatgpt.com" xr:uid="{FDF93B7A-A0BB-47C7-B22A-70EE9A5DE02D}"/>
    <hyperlink ref="AC23" r:id="rId243" tooltip="Comprehensive Overview of Slovakia's Pension System ..." display="https://cms.law/en/int/expert-guides/cms-expert-guide-to-pensions/slovakia?utm_source=chatgpt.com" xr:uid="{069BC79F-05AE-4495-B409-9ECA6D4FD3D0}"/>
    <hyperlink ref="AD23" r:id="rId244" tooltip="Social security and insurance" display="https://spot.gov.si/en/info/employees/social-security-and-insurance?utm_source=chatgpt.com" xr:uid="{0B3C6862-C8FC-4AC9-80EB-64639D70F82B}"/>
    <hyperlink ref="AE23" r:id="rId245" tooltip="Spain - Individual - Other taxes - Worldwide Tax Summaries" display="https://taxsummaries.pwc.com/spain/individual/other-taxes?utm_source=chatgpt.com" xr:uid="{5A59D695-5594-4173-8352-F4C67BB390B0}"/>
    <hyperlink ref="AF23" r:id="rId246" tooltip="FACT SHEET Czech Republic November 2025" display="https://ec.europa.eu/eurostat/documents/7158500/12335606/CZ_T2900_factsheet.pdf/bb5f356b-0894-1e24-42cd-db408cf310f2?t=1612348297319&amp;utm_source=chatgpt.com" xr:uid="{5E8C75C0-382F-4630-BAB2-DFDD5A223CCE}"/>
    <hyperlink ref="AG23" r:id="rId247" tooltip="Social Insurance Pension Scheme" display="https://www.mpisoc.mpg.de/en/social-law/research/research-projects/pension-maps/project-website/hungary/social-insurance-pension-scheme/?utm_source=chatgpt.com" xr:uid="{766AB4F2-AC1D-41ED-80DD-D5350DE18658}"/>
    <hyperlink ref="AH23" r:id="rId248" tooltip="Cyprus - Individual - Other taxes - Worldwide Tax Summaries" display="https://taxsummaries.pwc.com/cyprus/individual/other-taxes?utm_source=chatgpt.com" xr:uid="{8D630D8A-E12F-428F-9848-2ACF44DCC3D9}"/>
    <hyperlink ref="AB24" r:id="rId249" tooltip="OASI contributions" display="https://www.ch.ch/en/retirement/old-age-pension/the-first-pillar/oasi-contributions?utm_source=chatgpt.com" xr:uid="{DF200CE1-46D7-4E8C-B7B9-08F4C677A824}"/>
    <hyperlink ref="AC24" r:id="rId250" tooltip="Social insurance and security - Research In Slovakia - SAIA, n.o." display="https://www.researchinslovakia.saia.sk/en/main/work-and-daily-life/social-insurace-and-security/?utm_source=chatgpt.com" xr:uid="{ED25DF1F-1700-443C-BFF6-2E9B40D6ED0D}"/>
    <hyperlink ref="AD24" r:id="rId251" tooltip="When can I retire? Icon your Europe" display="https://www.zpiz.si/content2020en/when-can-i-retire?utm_source=chatgpt.com" xr:uid="{B9A967C8-171B-4D8A-A09F-0E9AA901BC93}"/>
    <hyperlink ref="AE24" r:id="rId252" tooltip="Pensions - EURAXESS Spain" display="https://www.euraxess.es/spain/information-assistance/spanish-social-security-and-pensions/pensions?utm_source=chatgpt.com" xr:uid="{BE7E3865-296D-4BF7-AD69-22B6597B4589}"/>
    <hyperlink ref="AF24" r:id="rId253" tooltip="Pension insurance - ČSSZ Web Other Languages" display="https://www.cssz.cz/web/lang/duchodove-pojisteni1?lang=en&amp;utm_source=chatgpt.com" xr:uid="{58876399-01BC-4581-94A9-AF18DF8F6E7D}"/>
    <hyperlink ref="AG24" r:id="rId254" tooltip="Pension ABC" display="https://www.findyourpension.eu/provider-list/pension-abc/default-b0809394c9?utm_source=chatgpt.com" xr:uid="{76DD6C2E-B5CF-430A-A35B-95B0A9A82964}"/>
    <hyperlink ref="AH24" r:id="rId255" tooltip="Social Insurance Services - FAQ" display="https://www.mlsi.gov.cy/mlsi/sid/sidv2.nsf/2732b55311a819d1c2257a30001fbe29/f702d60872e9353cc2257a30001fd75d?OpenDocument=&amp;utm_source=chatgpt.com" xr:uid="{4B11DF2F-E39E-456D-A156-27FC6AC99582}"/>
    <hyperlink ref="AB25" r:id="rId256" tooltip="Glossary | Social insurances | Information Center OASI/DI" display="https://www.ahv-iv.ch/en/Social-insurances/Glossary?utm_source=chatgpt.com" xr:uid="{97F95BE4-885C-43EB-9092-CB5BC29DB9A8}"/>
    <hyperlink ref="AC25" r:id="rId257" tooltip="Insuree's Electronic Account" display="https://www.socpoist.sk/en/top-topics/insurees-electronic-account?utm_source=chatgpt.com" xr:uid="{DE987180-94B2-4E93-96D0-06A642759BC4}"/>
    <hyperlink ref="AD25" r:id="rId258" tooltip="When can I retire? Icon your Europe" display="https://www.zpiz.si/content2020en/when-can-i-retire?utm_source=chatgpt.com" xr:uid="{F996722F-CDB1-4EEB-9350-B1C74182EC02}"/>
    <hyperlink ref="AE25" r:id="rId259" tooltip="Totalization Agreement with Spain | International Programs" display="https://www.ssa.gov/international/Agreement_Pamphlets/spain.html?utm_source=chatgpt.com" xr:uid="{4D9A6A8C-9D78-4B41-A2AB-68D939B20412}"/>
    <hyperlink ref="AF25" r:id="rId260" tooltip="Retirement age - ČSSZ Web Other Languages" display="https://www.cssz.cz/web/lang/duchodovy-vek?lang=en&amp;utm_source=chatgpt.com" xr:uid="{976E1947-469B-4849-9ECB-7C8F55E584C6}"/>
    <hyperlink ref="AG25" r:id="rId261" tooltip="Social Insurance Pension Scheme" display="https://www.mpisoc.mpg.de/en/social-law/research/research-projects/pension-maps/project-website/hungary/social-insurance-pension-scheme/?utm_source=chatgpt.com" xr:uid="{DC90BF13-4CF5-46D0-A992-A769D84A894D}"/>
    <hyperlink ref="AH25" r:id="rId262" tooltip="Pension Rights - EURAXESS Cyprus" display="https://www.euraxess.org.cy/cyprus/information-assistance/pension-rights?utm_source=chatgpt.com" xr:uid="{0C9D6DF9-E245-42D5-BC29-BEA757DCF28F}"/>
    <hyperlink ref="AB26" r:id="rId263" tooltip="Changes for employers on January 1, 2025" display="https://www.loyco.ch/en/actualites/changes-for-employers-on-january-1-2025/?utm_source=chatgpt.com" xr:uid="{902BF18D-1571-445C-9294-FF885AFFFCDC}"/>
    <hyperlink ref="AC26" r:id="rId264" tooltip="Europe, 2018 - Slovakia" display="https://www.ssa.gov/policy/docs/progdesc/ssptw/2018-2019/europe/slovakia.html?utm_source=chatgpt.com" xr:uid="{C0A0F106-4854-44B8-B0EA-4254D8062EFB}"/>
    <hyperlink ref="AD26" r:id="rId265" tooltip="Slovenia (EN)" display="https://www.oecd.org/content/dam/oecd/en/publications/reports/2025/11/pensions-at-a-glance-2025-country-notes_e320013d/slovenia_0588d6f3/7e509dba-en.pdf?utm_source=chatgpt.com" xr:uid="{948DF0A9-EA74-4C48-8470-82D8C241487D}"/>
    <hyperlink ref="AE26" r:id="rId266" tooltip="Pension increase and revaluation in 2026 - La Moncloa" display="https://www.lamoncloa.gob.es/lang/en/gobierno/news/paginas/2025/pension-increase-and-revaluation.aspx?utm_source=chatgpt.com" xr:uid="{69B6E835-FD97-4E94-A240-0611E775851E}"/>
    <hyperlink ref="AF26" r:id="rId267" tooltip="Retirement age - ČSSZ Web Other Languages" display="https://www.cssz.cz/web/lang/duchodovy-vek?lang=en&amp;utm_source=chatgpt.com" xr:uid="{CFD6DE91-2EA6-45E0-AA34-575E2DE63C8C}"/>
    <hyperlink ref="AG26" r:id="rId268" tooltip="Hungary" display="https://www.issa.int/sites/default/files/documents/2024-12/Hungary.pdf?utm_source=chatgpt.com" xr:uid="{62B4CA90-0898-4663-B04E-70B6B02B5760}"/>
    <hyperlink ref="AH26" r:id="rId269" tooltip="Cyprus" display="https://www.issa.int/sites/default/files/documents/2024-12/Cyprus.pdf?utm_source=chatgpt.com" xr:uid="{7AF6ED7B-7C54-4658-BE75-3A05BC4D1031}"/>
    <hyperlink ref="AC27" r:id="rId270" tooltip="How to apply for an invalidity pension" display="https://socpoist.sk/en/life-situations/pension/how-apply-invalidity-pension?utm_source=chatgpt.com" xr:uid="{E35E7C9E-4AEE-487D-A293-F34D9FC4DBF4}"/>
    <hyperlink ref="AD27" r:id="rId271" tooltip="Pension ABC" display="https://www.findyourpension.eu/provider-list/pension-abc/default-f4f85c47e1?utm_source=chatgpt.com" xr:uid="{5FA44A72-D528-457D-BE08-181E1C0572BC}"/>
    <hyperlink ref="AE27" r:id="rId272" tooltip="Social security benefits and pensions" display="https://administracion.gob.es/pag_Home/en/Tu-espacio-europeo/derechos-obligaciones/ciudadanos/trabajo-jubilacion/seguridad-social-pensiones/info-general.html?utm_source=chatgpt.com" xr:uid="{5A74254A-1851-4A79-A1B6-DEAB417073D8}"/>
    <hyperlink ref="AF27" r:id="rId273" tooltip="Disability pension - gov.cz" display="https://portal.gov.cz/en/sluzby-vs/disability-pension-S83?utm_source=chatgpt.com" xr:uid="{F567B6B3-E8B3-4914-9B6F-679C14A15AFF}"/>
    <hyperlink ref="AG27" r:id="rId274" tooltip="Your social security rights in Hungary - European Commission" display="https://ec.europa.eu/social/BlobServlet?docId=13766&amp;langId=en&amp;utm_source=chatgpt.com" xr:uid="{A29664EF-1BE1-4B4A-BBD5-7153DD00760C}"/>
    <hyperlink ref="AH27" r:id="rId275" tooltip="Cyprus" display="https://www.issa.int/sites/default/files/documents/2024-12/Cyprus.pdf?utm_source=chatgpt.com" xr:uid="{06A4A22B-0A27-4A8C-8B85-A7F6065FD808}"/>
    <hyperlink ref="AB28" r:id="rId276" tooltip="Glossary | Social insurances | Information Center OASI/DI" display="https://www.ahv-iv.ch/en/Social-insurances/Glossary?utm_source=chatgpt.com" xr:uid="{704EB4DD-978B-4882-9B2C-0795D59AF1E1}"/>
    <hyperlink ref="AC28" r:id="rId277" tooltip="How to apply for a widow's pension" display="https://socpoist.sk/en/life-situations/pension/how-apply-widows-pension?utm_source=chatgpt.com" xr:uid="{DE391E0F-03CC-4DEC-97D4-3F60886A667D}"/>
    <hyperlink ref="AD28" r:id="rId278" tooltip="Europe, 2018 - Slovenia" display="https://www.ssa.gov/policy/docs/progdesc/ssptw/2018-2019/europe/slovenia.html?utm_source=chatgpt.com" xr:uid="{3891C82C-B6EE-46F2-9401-8BDD91763087}"/>
    <hyperlink ref="AE28" r:id="rId279" tooltip="Seguridad Social: Benefits / Pensions for Workers" display="https://www.seg-social.es/wps/portal/wss/internet/Trabajadores/PrestacionesPensionesTrabajadores/42924/42925/42926?utm_source=chatgpt.com" xr:uid="{00448ECD-49A3-4582-92B6-C577F048697A}"/>
    <hyperlink ref="AF28" r:id="rId280" tooltip="the application is processed by the Czech Social Security ..." display="https://portal.gov.cz/en/sluzby-vs/widows-and-widowers-pension--the-application-is-processed-by-the-czech-social-security-administration-S84?utm_source=chatgpt.com" xr:uid="{F7D77723-7CAF-41EA-A02C-772AB38CC0A7}"/>
    <hyperlink ref="AG28" r:id="rId281" tooltip="The widow(er)'s pension" display="https://www.allamkincstar.gov.hu/en/Pension/survivors-benefits/the-widowers-pension?utm_source=chatgpt.com" xr:uid="{C0C90AA9-1D71-4C9B-B7D1-01BA989BDDC2}"/>
    <hyperlink ref="AH28" r:id="rId282" tooltip="Cyprus" display="https://www.issa.int/sites/default/files/documents/2024-12/Cyprus.pdf?utm_source=chatgpt.com" xr:uid="{BBB73D66-4811-441C-B672-5B2A924BD129}"/>
    <hyperlink ref="AB29" r:id="rId283" tooltip="3.03 - OASI Survivors' Pensions" display="https://www.ahv-iv.ch/p/3.03.e?utm_source=chatgpt.com" xr:uid="{270A533A-7CAA-4BBC-B915-F6C0D3256DF9}"/>
    <hyperlink ref="AC29" r:id="rId284" tooltip="How to apply for a widow's pension" display="https://socpoist.sk/en/life-situations/pension/how-apply-widows-pension?utm_source=chatgpt.com" xr:uid="{A343A432-8D87-4BF1-855D-6E590A178751}"/>
    <hyperlink ref="AD29" r:id="rId285" tooltip="How is the widow-er's pension assessed if a divorced ..." display="https://www.zpiz.si/content2020en/assessment-of-a-widow-ers-pension?utm_source=chatgpt.com" xr:uid="{D9D63E41-149A-4018-BA54-FAA4A0BC091D}"/>
    <hyperlink ref="AE29" r:id="rId286" tooltip="Seguridad Social: Benefits / Pensions for Workers" display="https://www.seg-social.es/wps/portal/wss/internet/Trabajadores/PrestacionesPensionesTrabajadores/10964/10966/28489/28490?utm_source=chatgpt.com" xr:uid="{86EC25B1-D1F6-4EDE-9046-1B50E349B36E}"/>
    <hyperlink ref="AF29" r:id="rId287" tooltip="Widow's/widower's pension - ČSSZ Web Other Languages" display="https://www.cssz.cz/web/lang/vdovsky/vdovecky?lang=en&amp;utm_source=chatgpt.com" xr:uid="{52D0AEA5-9393-4C64-B32D-63AB795F7868}"/>
    <hyperlink ref="AG29" r:id="rId288" tooltip="Hungary" display="https://www.issa.int/sites/default/files/documents/2024-12/Hungary.pdf?utm_source=chatgpt.com" xr:uid="{77F3A49A-402C-4B63-ADB1-63D1D0383BB1}"/>
    <hyperlink ref="AH29" r:id="rId289" tooltip="Cyprus" display="https://www.issa.int/sites/default/files/documents/2024-12/Cyprus.pdf?utm_source=chatgpt.com" xr:uid="{AA002545-9348-41C4-AAC2-E5D46CBF3A77}"/>
    <hyperlink ref="AB30" r:id="rId290" tooltip="Pension Tax in Switzerland: What Expats &amp; Retirees Need ..." display="https://fiduciaire-genevoise.ch/en/blog/pension-tax-in-switzerland-what-expats-retirees-need-to-know?utm_source=chatgpt.com" xr:uid="{9B27A2C8-3F5A-4DFF-8322-33A2C97A6338}"/>
    <hyperlink ref="AC30" r:id="rId291" tooltip="Statutory Old Age Pension Scheme" display="https://www.mpisoc.mpg.de/en/social-law/research/research-projects/pension-maps/project-website/slovakia/statutory-old-age-pension-scheme/?utm_source=chatgpt.com" xr:uid="{FAB039F6-F862-40C0-ACC1-8150900EB0A4}"/>
    <hyperlink ref="AD30" r:id="rId292" tooltip="I reside in Slovenia and receive my pension from abroad" display="https://www.fu.gov.si/en/life_events_individuals/i_reside_in_slovenia_and_receive_my_pension_from_abroad?utm_source=chatgpt.com" xr:uid="{7D0664ED-96B3-4A11-A8B4-D138CDD47124}"/>
    <hyperlink ref="AE30" r:id="rId293" tooltip="Specific issues regarding taxation of other income without ..." display="https://sede.agenciatributaria.gob.es/Sede/en_gb/no-residentes/irnr-sin-establecimiento-permanente/cuestiones-especificas-sobre-tributacion-otras-convenio/pensiones-satisfechas-seguridad-social-espanola.html?utm_source=chatgpt.com" xr:uid="{076A98BA-F412-4334-B1B9-42EF8F41A4D8}"/>
    <hyperlink ref="AF30" r:id="rId294" tooltip="Comprehensive Overview of Czech Republic Pension ..." display="https://cms.law/en/int/expert-guides/cms-expert-guide-to-pensions/czech-republic?utm_source=chatgpt.com" xr:uid="{7E804B84-B493-4499-AE4F-E0581ACDD604}"/>
    <hyperlink ref="AG30" r:id="rId295" tooltip="Social Insurance Pension Scheme" display="https://www.mpisoc.mpg.de/en/social-law/research/research-projects/pension-maps/project-website/hungary/social-insurance-pension-scheme/?utm_source=chatgpt.com" xr:uid="{A80958F3-82A0-4099-A875-FDA4C01B70E6}"/>
    <hyperlink ref="AH30" r:id="rId296" tooltip="Guide to complete 2023 income tax return for individuals" display="https://www.mof.gov.cy/mof/tax/taxdep.nsf/All/63BFCDA304B95940C2258B2C002BE389/%24file/Guide for tax return 2023.pdf?OpenElement=&amp;utm_source=chatgpt.com" xr:uid="{BF91B9DF-4A2E-4511-A2A1-DAC037AD3F20}"/>
    <hyperlink ref="AB31" r:id="rId297" tooltip="Non-employed contributions to Old-Age and Survivors' ..." display="https://www.ahv-iv.ch/p/2.03.e?utm_source=chatgpt.com" xr:uid="{318AFFD8-07B9-441D-9DAB-92C1E82797A5}"/>
    <hyperlink ref="AC31" r:id="rId298" tooltip="Statutory Old Age Pension Scheme" display="https://www.mpisoc.mpg.de/en/social-law/research/research-projects/pension-maps/project-website/slovakia/statutory-old-age-pension-scheme/?utm_source=chatgpt.com" xr:uid="{0B38EF53-3B3E-43BB-9C28-00A281D6AA60}"/>
    <hyperlink ref="AD31" r:id="rId299" tooltip="I reside in Slovenia and receive my pension from abroad" display="https://www.fu.gov.si/en/life_events_individuals/i_reside_in_slovenia_and_receive_my_pension_from_abroad?utm_source=chatgpt.com" xr:uid="{A478B9CC-1DD7-4B50-B39E-6A4F2070E6E0}"/>
    <hyperlink ref="AE31" r:id="rId300" tooltip="Spain - Individual - Other taxes - Worldwide Tax Summaries" display="https://taxsummaries.pwc.com/spain/individual/other-taxes?utm_source=chatgpt.com" xr:uid="{0E79ED52-14F6-494D-B013-12DD8A0FCCF8}"/>
    <hyperlink ref="AF31" r:id="rId301" tooltip="Czech Republic - Individual - Other taxes" display="https://taxsummaries.pwc.com/czech-republic/individual/other-taxes?utm_source=chatgpt.com" xr:uid="{831D47B3-0C97-4464-94BB-92C80BCF1CEA}"/>
    <hyperlink ref="AG31" r:id="rId302" tooltip="Social Insurance Pension Scheme" display="https://www.mpisoc.mpg.de/en/social-law/research/research-projects/pension-maps/project-website/hungary/social-insurance-pension-scheme/?utm_source=chatgpt.com" xr:uid="{3F28023D-2809-4197-88AC-E59F3C1D327D}"/>
    <hyperlink ref="AH31" r:id="rId303" tooltip="Cyprus - Individual - Other taxes - Worldwide Tax Summaries" display="https://taxsummaries.pwc.com/cyprus/individual/other-taxes?utm_source=chatgpt.com" xr:uid="{C1047A29-5972-46E3-B7D8-C867DBF414DF}"/>
    <hyperlink ref="B4" location="K_Bu" display="K_Bu" xr:uid="{78E58D14-35FD-4983-A0F2-D5FC97894659}"/>
    <hyperlink ref="B5" location="K_DK" display="K_DK" xr:uid="{B0AAE6BD-85B9-4380-B1D3-A40B211EB719}"/>
    <hyperlink ref="B6" location="K_D" display="K_D" xr:uid="{A58098ED-427D-4E5B-930C-004B84DB18EF}"/>
    <hyperlink ref="B7" location="K_EST" display="K_EST" xr:uid="{F6867F3A-BCCD-46E5-98E7-957F15A803B2}"/>
    <hyperlink ref="B8" location="K_FI" display="K_FI" xr:uid="{EAF10EF8-9BA1-4CEB-B625-6DFD1B332EE5}"/>
    <hyperlink ref="B9" location="K_F" display="K_F" xr:uid="{772C6ED5-64A0-4858-88DC-D662D683D592}"/>
    <hyperlink ref="B10" location="K_GR" display="K_GR" xr:uid="{620CF4DC-B900-40E7-BFE4-49CB096BA3DC}"/>
    <hyperlink ref="B11" location="K_IRL" display="K_IRL" xr:uid="{D02A9F8E-0382-41B9-9498-ABF91C973B42}"/>
    <hyperlink ref="B12" location="K_IS" display="K_IS" xr:uid="{F2DB7B21-477C-411F-AE58-27698E073A86}"/>
    <hyperlink ref="B13" location="K_I" display="K_I" xr:uid="{9E3D0C01-8B38-4D57-ADFE-F770B9640624}"/>
    <hyperlink ref="B14" location="K_KR" display="K_KR" xr:uid="{8C382441-2C74-4C48-8A79-49AC2923CB88}"/>
    <hyperlink ref="B15" location="K_LV" display="K_LV" xr:uid="{52CA2817-1FB2-498C-9F2B-A22C0E726DD7}"/>
    <hyperlink ref="B16" location="K_FI" display="K_FI" xr:uid="{5B952FF3-11C0-424A-9798-61D40E64F8E3}"/>
    <hyperlink ref="B17" location="K_LI" display="K_LI" xr:uid="{F59FC8B7-67E5-48EA-8C30-425EEA35CCC9}"/>
    <hyperlink ref="B18" location="K_L" display="K_L" xr:uid="{67B054FF-8985-41AD-838C-4F402E5A091B}"/>
    <hyperlink ref="C3" location="K_M" display="K_M" xr:uid="{9A6EA8A8-C7FF-43F9-98E5-848204C2F1D5}"/>
    <hyperlink ref="C4" location="K_NL" display="K_NL" xr:uid="{523A3F41-8845-481C-BD9E-44734F7037BA}"/>
    <hyperlink ref="C5" location="K_N" display="K_N" xr:uid="{A81B2152-8157-4940-9209-CB697B50210F}"/>
    <hyperlink ref="C6" location="K_A" display="K_A" xr:uid="{A2EF8A2A-6640-48FE-9F4E-02BB558E873B}"/>
    <hyperlink ref="C7" location="K_Pl" display="K_Pl" xr:uid="{3C99C2A0-A76F-4617-8A25-D21D5F5106DA}"/>
    <hyperlink ref="C8" location="K_PO" display="K_PO" xr:uid="{FA15831F-CC7F-4D18-9D96-EC9FA9CF2AFF}"/>
    <hyperlink ref="C9" location="K_RO" display="K_RO" xr:uid="{5C525515-0B8E-42C8-A521-DFCAEBB0CCB8}"/>
    <hyperlink ref="C10" location="K_S" display="K_S" xr:uid="{EA40E6D0-DE24-4992-BC02-02CA66E80A52}"/>
    <hyperlink ref="C11" location="K_CH" display="K_CH" xr:uid="{163B6BA6-7693-49BF-8481-6704C9A5F76E}"/>
    <hyperlink ref="C12" location="K_SK" display="K_SK" xr:uid="{F2367EAB-BF27-413A-BE3F-CDE6580878F9}"/>
    <hyperlink ref="C13" location="K_SLO" display="K_SLO" xr:uid="{27FB3F24-3E57-402D-8C0D-2155D431672A}"/>
    <hyperlink ref="C14" location="K_E" display="K_E" xr:uid="{82369F17-94F6-4E00-9E49-31A962328F5A}"/>
    <hyperlink ref="C15" location="K_CZ" display="K_CZ" xr:uid="{EFA1E487-3F0C-4950-8B6A-BD8255F0C2DC}"/>
    <hyperlink ref="C16" location="K_H" display="K_H" xr:uid="{94BE7A88-C047-4E1F-9596-903F629747B6}"/>
    <hyperlink ref="C17" location="K_CY" display="K_CY" xr:uid="{74E8E5BA-18FE-4C0A-8BA6-B771B4CBD48E}"/>
    <hyperlink ref="D21" r:id="rId304" tooltip="            Pension_x000a_     | Settling in Belgium" display="https://settlinginbelgium.be/en/work-and-retirement/retirement" xr:uid="{0AA3D5D5-9A5C-4FD4-BC4D-45E03BAD1BC0}"/>
    <hyperlink ref="D22" r:id="rId305" tooltip="When can I retire? | Federal Pensions Service" display="https://www.sfpd.fgov.be/en/retirement-age/when/?utm_source=chatgpt.com" xr:uid="{F0D26277-86F8-486D-9268-A2EB8D8A723B}"/>
    <hyperlink ref="D24" r:id="rId306" tooltip="            Pension_x000a_     | Settling in Belgium" display="https://settlinginbelgium.be/en/work-and-retirement/retirement" xr:uid="{7FF36458-E793-4887-ABA5-DA1FB5CA689B}"/>
    <hyperlink ref="D27" r:id="rId307" tooltip="Social Security Programs Throughout the World" display="https://www.ssa.gov/policy/docs/progdesc/ssptw/2018-2019/europe/belgium.html?utm_source=chatgpt.com" xr:uid="{4B5020BD-347B-463E-B68B-8FE29AFB819D}"/>
    <hyperlink ref="D28" r:id="rId308" tooltip="mentary table on pension schemes in social insurance ( ..." display="https://www.plan.be/sites/default/files/documents/REP_T29_12928_EN.pdf?utm_source=chatgpt.com" xr:uid="{182CB56E-6068-4B2D-975F-18D790E4AE6D}"/>
    <hyperlink ref="D29" r:id="rId309" tooltip="            Pension_x000a_     | Settling in Belgium" display="https://settlinginbelgium.be/en/work-and-retirement/retirement" xr:uid="{977BBDAF-28B2-4C4D-94E2-686A2D8B8851}"/>
    <hyperlink ref="E21" r:id="rId310" tooltip="OECD Economic Surveys: Bulgaria 2026 (EN)" display="https://www.oecd.org/content/dam/oecd/en/publications/reports/2026/02/oecd-economic-surveys-bulgaria-2026_4dccf790/08af497f-en.pdf" xr:uid="{0C17AD42-3934-44EC-AE6E-79B59B5A766F}"/>
    <hyperlink ref="E22" r:id="rId311" tooltip="OECD Economic Surveys: Bulgaria 2026 (EN)" display="https://www.oecd.org/content/dam/oecd/en/publications/reports/2026/02/oecd-economic-surveys-bulgaria-2026_4dccf790/08af497f-en.pdf" xr:uid="{DBBDB6B1-82E8-4748-BD0F-23E9E9B9ADBD}"/>
    <hyperlink ref="E23" r:id="rId312" tooltip="Your rights country by country" display="https://ec.europa.eu/social/BlobServlet?docId=13741&amp;langId=en" xr:uid="{187603E5-7F01-4EAE-A5A3-93286EDDFC24}"/>
    <hyperlink ref="E24" r:id="rId313" tooltip="OECD Economic Surveys: Bulgaria 2026 (EN)" display="https://www.oecd.org/content/dam/oecd/en/publications/reports/2026/02/oecd-economic-surveys-bulgaria-2026_4dccf790/08af497f-en.pdf" xr:uid="{8A908CC9-FE83-4777-A391-74CF073913DE}"/>
    <hyperlink ref="E25" r:id="rId314" tooltip="OECD Economic Surveys: Bulgaria 2026 (EN)" display="https://www.oecd.org/content/dam/oecd/en/publications/reports/2026/02/oecd-economic-surveys-bulgaria-2026_4dccf790/08af497f-en.pdf" xr:uid="{A0FB714C-F1AA-48E9-9A15-90C8C2296F3A}"/>
    <hyperlink ref="E26" r:id="rId315" tooltip="Your rights country by country" display="https://ec.europa.eu/social/BlobServlet?docId=13741&amp;langId=en" xr:uid="{62D459B3-0AEE-4D5E-9A01-9E33BAD9AF4A}"/>
    <hyperlink ref="E27" r:id="rId316" tooltip="Your rights country by country" display="https://ec.europa.eu/social/BlobServlet?docId=13741&amp;langId=en" xr:uid="{F9416A5F-811F-4334-9C65-36BBE01006B1}"/>
    <hyperlink ref="E28" r:id="rId317" tooltip="Your rights country by country" display="https://ec.europa.eu/social/BlobServlet?docId=13741&amp;langId=en" xr:uid="{1C7E24BA-3864-4DD9-A57B-9193C68574D3}"/>
    <hyperlink ref="E29" r:id="rId318" tooltip="Retiring from work - pfg.bg" display="https://pfg.bg/en/4/50/53/56?utm_source=chatgpt.com" xr:uid="{44168752-AAAF-4B77-9F1E-80AF5BAB92AA}"/>
    <hyperlink ref="E30" r:id="rId319" tooltip="OECD Economic Surveys: Bulgaria 2026 (EN)" display="https://www.oecd.org/content/dam/oecd/en/publications/reports/2026/02/oecd-economic-surveys-bulgaria-2026_4dccf790/08af497f-en.pdf" xr:uid="{95AB0AA9-93BA-4A66-82EE-238FC90134DA}"/>
    <hyperlink ref="F21" r:id="rId320" tooltip="_x000a__x000a_State Pension_x000a_" display="https://lifeindenmark.borger.dk/pension/state-pension" xr:uid="{1C34D0DF-49CE-4E94-A583-2ABEC4853A39}"/>
    <hyperlink ref="F22" r:id="rId321" tooltip="_x000a__x000a_State Pension_x000a_" display="https://lifeindenmark.borger.dk/pension/state-pension" xr:uid="{B7371E7C-BD15-40D0-B9B5-3C350C81C602}"/>
    <hyperlink ref="F23" r:id="rId322" tooltip="_x000a__x000a_State Pension_x000a_" display="https://lifeindenmark.borger.dk/pension/state-pension" xr:uid="{40A596FC-57DB-4219-81A7-50307C846378}"/>
    <hyperlink ref="F24" r:id="rId323" tooltip="_x000a__x000a_State Pension_x000a_" display="https://lifeindenmark.borger.dk/pension/state-pension" xr:uid="{8F4F46C5-A64E-42B6-AD1F-979A1567C208}"/>
    <hyperlink ref="F25" r:id="rId324" tooltip="Pensions at a Glance 2023" display="https://www.oecd.org/content/dam/oecd/en/publications/reports/2024/10/pensions-at-a-glance-2023-country-notes_2e11a061/denmark_3a2242da/c6cac6ed-en.pdf?utm_source=chatgpt.com" xr:uid="{55CA8652-9908-4883-BD27-E5EF1DBA1D0C}"/>
    <hyperlink ref="F26" r:id="rId325" tooltip="_x000a__x000a_Disability pension_x000a_" display="https://lifeindenmark.borger.dk/pension/disability-pension" xr:uid="{9F8A72A1-030E-4CF2-BB45-DD9CC15F3B8D}"/>
    <hyperlink ref="F27" r:id="rId326" tooltip="_x000a__x000a_Survivor benefits_x000a_" display="https://lifeindenmark.borger.dk/healthcare/death-and-funerals/survivor-benefits" xr:uid="{56D5C9F6-7673-48C9-A13B-1A615BC82CC1}"/>
    <hyperlink ref="F28" r:id="rId327" tooltip="_x000a__x000a_Survivor benefits_x000a_" display="https://lifeindenmark.borger.dk/healthcare/death-and-funerals/survivor-benefits" xr:uid="{5109AF9C-DABF-4506-B262-160FDBDCBD02}"/>
    <hyperlink ref="F29" r:id="rId328" tooltip="_x000a__x000a_Tax on Danish and non-Danish pensions_x000a_" display="https://lifeindenmark.borger.dk/pension/tax-on-danish-and-non-danish-pensions" xr:uid="{28324F72-5BC5-49FF-AF71-526B0A8C763F}"/>
    <hyperlink ref="F30" r:id="rId329" tooltip="_x000a__x000a_Tax on Danish and non-Danish pensions_x000a_" display="https://lifeindenmark.borger.dk/pension/tax-on-danish-and-non-danish-pensions" xr:uid="{67ED3B08-83A2-4EBB-AA34-0289FAF80937}"/>
    <hyperlink ref="B3" location="K_B" display="Belgien" xr:uid="{10A2FC8C-9860-493B-8D8B-D923022D69EA}"/>
    <hyperlink ref="B20:C20" location="Thema" display="Thema" xr:uid="{215706FE-3B1C-4013-89D0-CF1B4D842824}"/>
  </hyperlinks>
  <pageMargins left="0.7" right="0.7" top="0.78740157499999996" bottom="0.78740157499999996" header="0.3" footer="0.3"/>
  <drawing r:id="rId33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6C474-8B4E-4E54-8CC4-DB9B56295F1E}">
  <sheetPr codeName="Tabelle2"/>
  <dimension ref="A1:F111"/>
  <sheetViews>
    <sheetView workbookViewId="0">
      <pane xSplit="5" ySplit="2" topLeftCell="F3" activePane="bottomRight" state="frozen"/>
      <selection activeCell="F2" sqref="F2"/>
      <selection pane="topRight" activeCell="F2" sqref="F2"/>
      <selection pane="bottomLeft" activeCell="F2" sqref="F2"/>
      <selection pane="bottomRight" activeCell="F1" sqref="F1"/>
    </sheetView>
  </sheetViews>
  <sheetFormatPr baseColWidth="10" defaultColWidth="0" defaultRowHeight="15" zeroHeight="1"/>
  <cols>
    <col min="1" max="1" width="5" customWidth="1"/>
    <col min="2" max="2" width="5.140625" customWidth="1"/>
    <col min="3" max="3" width="5.140625" style="130" customWidth="1"/>
    <col min="4" max="4" width="6.5703125" style="130" customWidth="1"/>
    <col min="5" max="5" width="20.85546875" customWidth="1"/>
    <col min="6" max="6" width="120.7109375" customWidth="1"/>
    <col min="7" max="16384" width="29" hidden="1"/>
  </cols>
  <sheetData>
    <row r="1" spans="1:6" ht="64.5" customHeight="1">
      <c r="B1" s="135" t="s">
        <v>2726</v>
      </c>
      <c r="C1" s="135" t="s">
        <v>2739</v>
      </c>
      <c r="D1" s="135" t="s">
        <v>2728</v>
      </c>
      <c r="E1" s="128" t="s">
        <v>3506</v>
      </c>
      <c r="F1" s="16" t="s">
        <v>0</v>
      </c>
    </row>
    <row r="2" spans="1:6" ht="39.75" customHeight="1">
      <c r="A2" s="138"/>
      <c r="B2" s="136"/>
      <c r="C2" s="136"/>
      <c r="D2" s="136"/>
      <c r="E2" s="134"/>
      <c r="F2" s="173" t="str" cm="1">
        <f t="array" ref="F2">_xlfn.TEXTJOIN("; ", TRUE, IF(Entscheidungen!A2:A100=F1, Entscheidungen!B2:B100, ""))</f>
        <v/>
      </c>
    </row>
    <row r="3" spans="1:6" ht="195">
      <c r="A3" s="17">
        <f>ROW()</f>
        <v>3</v>
      </c>
      <c r="B3" s="18" t="s">
        <v>2740</v>
      </c>
      <c r="C3" s="19"/>
      <c r="D3" s="19" t="str">
        <f>+E3</f>
        <v>Geltende Rechtsgrundlage</v>
      </c>
      <c r="E3" s="31" t="s">
        <v>2724</v>
      </c>
      <c r="F3" s="6" t="s">
        <v>2741</v>
      </c>
    </row>
    <row r="4" spans="1:6" ht="110.25">
      <c r="A4" s="17">
        <f>ROW()</f>
        <v>4</v>
      </c>
      <c r="B4" s="18" t="s">
        <v>2740</v>
      </c>
      <c r="C4" s="129"/>
      <c r="D4" s="19" t="str">
        <f t="shared" ref="D4:D34" si="0">+E4</f>
        <v>Grundprinzipien</v>
      </c>
      <c r="E4" s="32" t="s">
        <v>2709</v>
      </c>
      <c r="F4" s="6" t="s">
        <v>2742</v>
      </c>
    </row>
    <row r="5" spans="1:6" ht="188.25">
      <c r="A5" s="17">
        <f>ROW()</f>
        <v>5</v>
      </c>
      <c r="B5" s="18" t="s">
        <v>2740</v>
      </c>
      <c r="C5" s="129"/>
      <c r="D5" s="19" t="str">
        <f t="shared" si="0"/>
        <v>Gedecktes Risiko: Definition</v>
      </c>
      <c r="E5" s="32" t="s">
        <v>2891</v>
      </c>
      <c r="F5" s="13" t="s">
        <v>3740</v>
      </c>
    </row>
    <row r="6" spans="1:6" ht="144">
      <c r="A6" s="17">
        <f>ROW()</f>
        <v>6</v>
      </c>
      <c r="B6" s="18" t="s">
        <v>2740</v>
      </c>
      <c r="C6" s="19" t="s">
        <v>2653</v>
      </c>
      <c r="D6" s="19" t="str">
        <f t="shared" si="0"/>
        <v>Versicherte Personen</v>
      </c>
      <c r="E6" s="33" t="s">
        <v>2653</v>
      </c>
      <c r="F6" s="6" t="s">
        <v>2743</v>
      </c>
    </row>
    <row r="7" spans="1:6" ht="273">
      <c r="A7" s="17">
        <f>ROW()</f>
        <v>7</v>
      </c>
      <c r="B7" s="18" t="s">
        <v>2740</v>
      </c>
      <c r="C7" s="19" t="str">
        <f>+E6</f>
        <v>Versicherte Personen</v>
      </c>
      <c r="D7" s="19" t="str">
        <f t="shared" si="0"/>
        <v>Ausnahmen von der Versicherungspflicht</v>
      </c>
      <c r="E7" s="33" t="s">
        <v>2685</v>
      </c>
      <c r="F7" s="6" t="s">
        <v>125</v>
      </c>
    </row>
    <row r="8" spans="1:6" ht="194.25">
      <c r="A8" s="17">
        <f>ROW()</f>
        <v>8</v>
      </c>
      <c r="B8" s="18" t="s">
        <v>2740</v>
      </c>
      <c r="C8" s="19" t="s">
        <v>149</v>
      </c>
      <c r="D8" s="19" t="str">
        <f t="shared" si="0"/>
        <v>1. Anwartschaftszeit</v>
      </c>
      <c r="E8" s="33" t="s">
        <v>2744</v>
      </c>
      <c r="F8" s="13" t="s">
        <v>3743</v>
      </c>
    </row>
    <row r="9" spans="1:6" ht="409.5">
      <c r="A9" s="17">
        <f>ROW()</f>
        <v>9</v>
      </c>
      <c r="B9" s="18" t="s">
        <v>2740</v>
      </c>
      <c r="C9" s="19" t="s">
        <v>149</v>
      </c>
      <c r="D9" s="19" t="str">
        <f t="shared" si="0"/>
        <v xml:space="preserve">2. Begutachtungskriterien und Kategorien der Arbeitsunfähigkeit/Arbeitsfähigkeit  </v>
      </c>
      <c r="E9" s="33" t="s">
        <v>2745</v>
      </c>
      <c r="F9" s="6" t="s">
        <v>2746</v>
      </c>
    </row>
    <row r="10" spans="1:6" ht="222">
      <c r="A10" s="17">
        <f>ROW()</f>
        <v>10</v>
      </c>
      <c r="B10" s="18" t="s">
        <v>2740</v>
      </c>
      <c r="C10" s="19" t="s">
        <v>149</v>
      </c>
      <c r="D10" s="19" t="str">
        <f t="shared" si="0"/>
        <v>3. Zeitraum der Leistungszahlung</v>
      </c>
      <c r="E10" s="33" t="s">
        <v>2747</v>
      </c>
      <c r="F10" s="6" t="s">
        <v>2748</v>
      </c>
    </row>
    <row r="11" spans="1:6" ht="120">
      <c r="A11" s="17">
        <f>ROW()</f>
        <v>11</v>
      </c>
      <c r="B11" s="18" t="s">
        <v>2740</v>
      </c>
      <c r="C11" s="19" t="s">
        <v>2749</v>
      </c>
      <c r="D11" s="19" t="str">
        <f t="shared" si="0"/>
        <v>1. Gutachter</v>
      </c>
      <c r="E11" s="33" t="s">
        <v>2750</v>
      </c>
      <c r="F11" s="13" t="s">
        <v>3741</v>
      </c>
    </row>
    <row r="12" spans="1:6" ht="104.25">
      <c r="A12" s="17">
        <f>ROW()</f>
        <v>12</v>
      </c>
      <c r="B12" s="18" t="s">
        <v>2740</v>
      </c>
      <c r="C12" s="19" t="s">
        <v>2749</v>
      </c>
      <c r="D12" s="19" t="str">
        <f t="shared" si="0"/>
        <v xml:space="preserve">2. Überprüfung  </v>
      </c>
      <c r="E12" s="33" t="s">
        <v>2751</v>
      </c>
      <c r="F12" s="6" t="s">
        <v>2752</v>
      </c>
    </row>
    <row r="13" spans="1:6" ht="291.75">
      <c r="A13" s="17">
        <f>ROW()</f>
        <v>13</v>
      </c>
      <c r="B13" s="18" t="s">
        <v>2740</v>
      </c>
      <c r="C13" s="19" t="s">
        <v>2695</v>
      </c>
      <c r="D13" s="19" t="str">
        <f t="shared" si="0"/>
        <v>1. Berechnungsmethode bzw. Rentenformel</v>
      </c>
      <c r="E13" s="33" t="s">
        <v>2753</v>
      </c>
      <c r="F13" s="13" t="s">
        <v>3742</v>
      </c>
    </row>
    <row r="14" spans="1:6" ht="343.5">
      <c r="A14" s="17">
        <f>ROW()</f>
        <v>14</v>
      </c>
      <c r="B14" s="18" t="s">
        <v>2740</v>
      </c>
      <c r="C14" s="19" t="s">
        <v>2695</v>
      </c>
      <c r="D14" s="19" t="str">
        <f t="shared" si="0"/>
        <v>2. Referenzeinkommen bzw. Berechnungsgrundlage</v>
      </c>
      <c r="E14" s="33" t="s">
        <v>2754</v>
      </c>
      <c r="F14" s="20" t="s">
        <v>2755</v>
      </c>
    </row>
    <row r="15" spans="1:6" ht="226.5">
      <c r="A15" s="17">
        <f>ROW()</f>
        <v>15</v>
      </c>
      <c r="B15" s="18" t="s">
        <v>2740</v>
      </c>
      <c r="C15" s="19" t="s">
        <v>2695</v>
      </c>
      <c r="D15" s="19" t="str">
        <f t="shared" si="0"/>
        <v>3. Mindest- und Höchstleistungen</v>
      </c>
      <c r="E15" s="33" t="s">
        <v>2756</v>
      </c>
      <c r="F15" s="6" t="s">
        <v>4591</v>
      </c>
    </row>
    <row r="16" spans="1:6" ht="405">
      <c r="A16" s="17">
        <f>ROW()</f>
        <v>16</v>
      </c>
      <c r="B16" s="18" t="s">
        <v>2740</v>
      </c>
      <c r="C16" s="19" t="s">
        <v>2695</v>
      </c>
      <c r="D16" s="19" t="str">
        <f t="shared" si="0"/>
        <v>4. Anrechenbare oder als Beitragszeiten gewertete Zeiträume</v>
      </c>
      <c r="E16" s="33" t="s">
        <v>2757</v>
      </c>
      <c r="F16" s="6" t="s">
        <v>2758</v>
      </c>
    </row>
    <row r="17" spans="1:6" ht="242.25">
      <c r="A17" s="17">
        <f>ROW()</f>
        <v>17</v>
      </c>
      <c r="B17" s="18" t="s">
        <v>2740</v>
      </c>
      <c r="C17" s="19" t="s">
        <v>2695</v>
      </c>
      <c r="D17" s="19" t="str">
        <f t="shared" si="0"/>
        <v xml:space="preserve">5. Zulagen für Unterhaltsberechtigte  </v>
      </c>
      <c r="E17" s="33" t="s">
        <v>2759</v>
      </c>
      <c r="F17" s="6" t="s">
        <v>2760</v>
      </c>
    </row>
    <row r="18" spans="1:6" ht="135">
      <c r="A18" s="17">
        <f>ROW()</f>
        <v>18</v>
      </c>
      <c r="B18" s="18" t="s">
        <v>2740</v>
      </c>
      <c r="C18" s="19" t="str">
        <f>+E18</f>
        <v>Sonstige Leistungen</v>
      </c>
      <c r="D18" s="19" t="str">
        <f>+E18</f>
        <v>Sonstige Leistungen</v>
      </c>
      <c r="E18" s="32" t="s">
        <v>2678</v>
      </c>
      <c r="F18" s="6" t="s">
        <v>4592</v>
      </c>
    </row>
    <row r="19" spans="1:6" ht="293.25">
      <c r="A19" s="17">
        <f>ROW()</f>
        <v>19</v>
      </c>
      <c r="B19" s="18" t="s">
        <v>2740</v>
      </c>
      <c r="C19" s="19" t="s">
        <v>2761</v>
      </c>
      <c r="D19" s="19" t="str">
        <f t="shared" si="0"/>
        <v>Umschulung, berufsbezogene Rehabilitation</v>
      </c>
      <c r="E19" s="33" t="s">
        <v>2762</v>
      </c>
      <c r="F19" s="6" t="s">
        <v>4593</v>
      </c>
    </row>
    <row r="20" spans="1:6" ht="409.5">
      <c r="A20" s="17">
        <f>ROW()</f>
        <v>20</v>
      </c>
      <c r="B20" s="18" t="s">
        <v>2740</v>
      </c>
      <c r="C20" s="19" t="s">
        <v>2761</v>
      </c>
      <c r="D20" s="19" t="str">
        <f t="shared" si="0"/>
        <v xml:space="preserve">Bevorzugte und reservierte Beschäftigung von Menschen mit Behinderungen  </v>
      </c>
      <c r="E20" s="33" t="s">
        <v>2763</v>
      </c>
      <c r="F20" s="6" t="s">
        <v>2764</v>
      </c>
    </row>
    <row r="21" spans="1:6" ht="171.75">
      <c r="A21" s="17">
        <f>ROW()</f>
        <v>21</v>
      </c>
      <c r="B21" s="18" t="s">
        <v>2740</v>
      </c>
      <c r="C21" s="19" t="s">
        <v>2765</v>
      </c>
      <c r="D21" s="19" t="str">
        <f t="shared" si="0"/>
        <v>Indexbindung/Anpassung</v>
      </c>
      <c r="E21" s="32" t="s">
        <v>2766</v>
      </c>
      <c r="F21" s="6" t="s">
        <v>2767</v>
      </c>
    </row>
    <row r="22" spans="1:6" ht="242.25">
      <c r="A22" s="17">
        <f>ROW()</f>
        <v>22</v>
      </c>
      <c r="B22" s="18" t="s">
        <v>2740</v>
      </c>
      <c r="C22" s="19" t="s">
        <v>2765</v>
      </c>
      <c r="D22" s="19" t="str">
        <f>+E22</f>
        <v>Kumulation mit Erwerbseinkommen</v>
      </c>
      <c r="E22" s="32" t="s">
        <v>2723</v>
      </c>
      <c r="F22" s="6" t="s">
        <v>2768</v>
      </c>
    </row>
    <row r="23" spans="1:6" ht="275.25">
      <c r="A23" s="17">
        <f>ROW()</f>
        <v>23</v>
      </c>
      <c r="B23" s="18" t="s">
        <v>2740</v>
      </c>
      <c r="C23" s="19" t="s">
        <v>2765</v>
      </c>
      <c r="D23" s="19" t="str">
        <f t="shared" si="0"/>
        <v>Kumulation mit anderen Sozialleistungen</v>
      </c>
      <c r="E23" s="32" t="s">
        <v>2696</v>
      </c>
      <c r="F23" s="6" t="s">
        <v>2769</v>
      </c>
    </row>
    <row r="24" spans="1:6" ht="232.5">
      <c r="A24" s="17">
        <f>ROW()</f>
        <v>24</v>
      </c>
      <c r="B24" s="18" t="s">
        <v>2740</v>
      </c>
      <c r="C24" s="19" t="s">
        <v>2701</v>
      </c>
      <c r="D24" s="19" t="str">
        <f t="shared" si="0"/>
        <v>1. Besteuerung von Geldleistungen</v>
      </c>
      <c r="E24" s="33" t="s">
        <v>2770</v>
      </c>
      <c r="F24" s="6" t="s">
        <v>2771</v>
      </c>
    </row>
    <row r="25" spans="1:6" ht="387">
      <c r="A25" s="17">
        <f>ROW()</f>
        <v>25</v>
      </c>
      <c r="B25" s="18" t="s">
        <v>2740</v>
      </c>
      <c r="C25" s="19" t="s">
        <v>2701</v>
      </c>
      <c r="D25" s="19" t="str">
        <f t="shared" si="0"/>
        <v>2. Einkommensgrenze für Besteuerung von Geldleistungen</v>
      </c>
      <c r="E25" s="33" t="s">
        <v>2772</v>
      </c>
      <c r="F25" s="6" t="s">
        <v>788</v>
      </c>
    </row>
    <row r="26" spans="1:6" ht="288.75">
      <c r="A26" s="17">
        <f>ROW()</f>
        <v>26</v>
      </c>
      <c r="B26" s="18" t="s">
        <v>2740</v>
      </c>
      <c r="C26" s="19" t="s">
        <v>2701</v>
      </c>
      <c r="D26" s="19" t="str">
        <f t="shared" si="0"/>
        <v>3. Auf Leistungen anfallende Sozialabgaben</v>
      </c>
      <c r="E26" s="33" t="s">
        <v>2773</v>
      </c>
      <c r="F26" s="6" t="s">
        <v>2774</v>
      </c>
    </row>
    <row r="27" spans="1:6" ht="138">
      <c r="A27" s="17">
        <f>ROW()</f>
        <v>27</v>
      </c>
      <c r="B27" s="18" t="s">
        <v>2740</v>
      </c>
      <c r="C27" s="19" t="s">
        <v>2775</v>
      </c>
      <c r="D27" s="19" t="str">
        <f t="shared" si="0"/>
        <v>Anwendungsbereich</v>
      </c>
      <c r="E27" s="33" t="s">
        <v>2708</v>
      </c>
      <c r="F27" s="6" t="s">
        <v>2776</v>
      </c>
    </row>
    <row r="28" spans="1:6" ht="110.25">
      <c r="A28" s="17">
        <f>ROW()</f>
        <v>28</v>
      </c>
      <c r="B28" s="18" t="s">
        <v>2740</v>
      </c>
      <c r="C28" s="19" t="s">
        <v>2775</v>
      </c>
      <c r="D28" s="19" t="str">
        <f t="shared" si="0"/>
        <v>Grundprinzipien</v>
      </c>
      <c r="E28" s="33" t="s">
        <v>2709</v>
      </c>
      <c r="F28" s="6" t="s">
        <v>2776</v>
      </c>
    </row>
    <row r="29" spans="1:6" ht="224.25">
      <c r="A29" s="17">
        <f>ROW()</f>
        <v>29</v>
      </c>
      <c r="B29" s="18" t="s">
        <v>2740</v>
      </c>
      <c r="C29" s="19" t="s">
        <v>2775</v>
      </c>
      <c r="D29" s="19" t="str">
        <f t="shared" si="0"/>
        <v>Voraussetzungen für die Deckung</v>
      </c>
      <c r="E29" s="33" t="s">
        <v>2710</v>
      </c>
      <c r="F29" s="6" t="s">
        <v>2776</v>
      </c>
    </row>
    <row r="30" spans="1:6" ht="409.5">
      <c r="A30" s="17">
        <f>ROW()</f>
        <v>30</v>
      </c>
      <c r="B30" s="18" t="s">
        <v>2740</v>
      </c>
      <c r="C30" s="19" t="s">
        <v>2775</v>
      </c>
      <c r="D30" s="19" t="str">
        <f t="shared" si="0"/>
        <v>Kombination von selbstständiger und unselbstständiger Tätigkeit</v>
      </c>
      <c r="E30" s="33" t="s">
        <v>2698</v>
      </c>
      <c r="F30" s="6" t="s">
        <v>2776</v>
      </c>
    </row>
    <row r="31" spans="1:6" ht="376.5">
      <c r="A31" s="17">
        <f>ROW()</f>
        <v>31</v>
      </c>
      <c r="B31" s="18" t="s">
        <v>2740</v>
      </c>
      <c r="C31" s="19" t="s">
        <v>2695</v>
      </c>
      <c r="D31" s="19" t="str">
        <f t="shared" si="0"/>
        <v xml:space="preserve">Voraussetzungen für den Zugang zu Diensten/Leistungen </v>
      </c>
      <c r="E31" s="33" t="s">
        <v>2699</v>
      </c>
      <c r="F31" s="6" t="s">
        <v>2777</v>
      </c>
    </row>
    <row r="32" spans="1:6" ht="253.5">
      <c r="A32" s="17">
        <f>ROW()</f>
        <v>32</v>
      </c>
      <c r="B32" s="18" t="s">
        <v>2740</v>
      </c>
      <c r="C32" s="19" t="s">
        <v>2695</v>
      </c>
      <c r="D32" s="19" t="str">
        <f t="shared" si="0"/>
        <v>Beträge, Dauer und Kostenbeteiligung</v>
      </c>
      <c r="E32" s="33" t="s">
        <v>2700</v>
      </c>
      <c r="F32" s="6" t="s">
        <v>2778</v>
      </c>
    </row>
    <row r="33" spans="1:6" ht="216">
      <c r="A33" s="17">
        <f>ROW()</f>
        <v>33</v>
      </c>
      <c r="B33" s="18" t="s">
        <v>2740</v>
      </c>
      <c r="C33" s="19" t="s">
        <v>2695</v>
      </c>
      <c r="D33" s="19" t="str">
        <f t="shared" si="0"/>
        <v>Besteuerung von Geldleistungen</v>
      </c>
      <c r="E33" s="33" t="s">
        <v>2681</v>
      </c>
      <c r="F33" s="6" t="s">
        <v>2776</v>
      </c>
    </row>
    <row r="34" spans="1:6" ht="276.75">
      <c r="A34" s="17">
        <f>ROW()</f>
        <v>34</v>
      </c>
      <c r="B34" s="18" t="s">
        <v>2740</v>
      </c>
      <c r="C34" s="19" t="s">
        <v>2695</v>
      </c>
      <c r="D34" s="19" t="str">
        <f t="shared" si="0"/>
        <v xml:space="preserve"> Auf Leistungen anfallende Sozialabgaben</v>
      </c>
      <c r="E34" s="33" t="s">
        <v>2779</v>
      </c>
      <c r="F34" s="6" t="s">
        <v>2776</v>
      </c>
    </row>
    <row r="35" spans="1:6" ht="285">
      <c r="A35" s="17">
        <f>ROW()</f>
        <v>35</v>
      </c>
      <c r="B35" s="18" t="s">
        <v>2780</v>
      </c>
      <c r="C35" s="19" t="str">
        <f>+D35</f>
        <v>Geltende Rechtsgrundlage</v>
      </c>
      <c r="D35" s="19" t="str">
        <f>+E35</f>
        <v>Geltende Rechtsgrundlage</v>
      </c>
      <c r="E35" s="32" t="s">
        <v>2724</v>
      </c>
      <c r="F35" s="6" t="s">
        <v>31</v>
      </c>
    </row>
    <row r="36" spans="1:6" ht="225">
      <c r="A36" s="17">
        <f>ROW()</f>
        <v>36</v>
      </c>
      <c r="B36" s="18" t="s">
        <v>2780</v>
      </c>
      <c r="C36" s="19" t="str">
        <f>+D36</f>
        <v>Grundprinzipien</v>
      </c>
      <c r="D36" s="19" t="str">
        <f>+E36</f>
        <v>Grundprinzipien</v>
      </c>
      <c r="E36" s="32" t="s">
        <v>2709</v>
      </c>
      <c r="F36" s="6" t="s">
        <v>62</v>
      </c>
    </row>
    <row r="37" spans="1:6" ht="159.75">
      <c r="A37" s="17">
        <f>ROW()</f>
        <v>37</v>
      </c>
      <c r="B37" s="18" t="s">
        <v>2780</v>
      </c>
      <c r="C37" s="19" t="s">
        <v>2708</v>
      </c>
      <c r="D37" s="19" t="str">
        <f>+E37</f>
        <v>1. Versicherte Personen</v>
      </c>
      <c r="E37" s="33" t="s">
        <v>2781</v>
      </c>
      <c r="F37" s="6" t="s">
        <v>94</v>
      </c>
    </row>
    <row r="38" spans="1:6" ht="371.25">
      <c r="A38" s="17">
        <f>ROW()</f>
        <v>38</v>
      </c>
      <c r="B38" s="18" t="s">
        <v>2780</v>
      </c>
      <c r="C38" s="19" t="s">
        <v>2708</v>
      </c>
      <c r="D38" s="19" t="str">
        <f t="shared" ref="D38:D58" si="1">+E38</f>
        <v>2. Ausnahmen von der Deckung  der Pflichtversicherung</v>
      </c>
      <c r="E38" s="33" t="s">
        <v>2782</v>
      </c>
      <c r="F38" s="6" t="s">
        <v>125</v>
      </c>
    </row>
    <row r="39" spans="1:6" ht="194.25">
      <c r="A39" s="17">
        <f>ROW()</f>
        <v>39</v>
      </c>
      <c r="B39" s="18" t="s">
        <v>2780</v>
      </c>
      <c r="C39" s="19" t="s">
        <v>149</v>
      </c>
      <c r="D39" s="19" t="str">
        <f t="shared" si="1"/>
        <v>1. Rentenalter</v>
      </c>
      <c r="E39" s="33" t="s">
        <v>2784</v>
      </c>
      <c r="F39" s="6" t="s">
        <v>4594</v>
      </c>
    </row>
    <row r="40" spans="1:6" ht="409.5">
      <c r="A40" s="17">
        <f>ROW()</f>
        <v>40</v>
      </c>
      <c r="B40" s="18" t="s">
        <v>2780</v>
      </c>
      <c r="C40" s="19" t="s">
        <v>149</v>
      </c>
      <c r="D40" s="19" t="str">
        <f t="shared" si="1"/>
        <v>2. Anwartschaftszeit und sonstige Anspruchsvoraussetzungen für den Bezug einer Altersrente</v>
      </c>
      <c r="E40" s="33" t="s">
        <v>2785</v>
      </c>
      <c r="F40" s="6" t="s">
        <v>181</v>
      </c>
    </row>
    <row r="41" spans="1:6" ht="194.25">
      <c r="A41" s="17">
        <f>ROW()</f>
        <v>41</v>
      </c>
      <c r="B41" s="18" t="s">
        <v>2780</v>
      </c>
      <c r="C41" s="19" t="s">
        <v>149</v>
      </c>
      <c r="D41" s="19" t="str">
        <f t="shared" si="1"/>
        <v>3. Vorruhestand</v>
      </c>
      <c r="E41" s="33" t="s">
        <v>2786</v>
      </c>
      <c r="F41" s="6" t="s">
        <v>4601</v>
      </c>
    </row>
    <row r="42" spans="1:6" ht="264">
      <c r="A42" s="17">
        <f>ROW()</f>
        <v>42</v>
      </c>
      <c r="B42" s="18" t="s">
        <v>2780</v>
      </c>
      <c r="C42" s="19" t="s">
        <v>149</v>
      </c>
      <c r="D42" s="19" t="str">
        <f t="shared" si="1"/>
        <v>4. Beschwerliche und gefährliche Arbeit</v>
      </c>
      <c r="E42" s="33" t="s">
        <v>2787</v>
      </c>
      <c r="F42" s="6" t="s">
        <v>243</v>
      </c>
    </row>
    <row r="43" spans="1:6" ht="194.25">
      <c r="A43" s="17">
        <f>ROW()</f>
        <v>43</v>
      </c>
      <c r="B43" s="18" t="s">
        <v>2780</v>
      </c>
      <c r="C43" s="19" t="s">
        <v>149</v>
      </c>
      <c r="D43" s="19" t="str">
        <f t="shared" si="1"/>
        <v>5. Rentenaufschub</v>
      </c>
      <c r="E43" s="33" t="s">
        <v>2788</v>
      </c>
      <c r="F43" s="6" t="s">
        <v>272</v>
      </c>
    </row>
    <row r="44" spans="1:6" ht="174">
      <c r="A44" s="17">
        <f>ROW()</f>
        <v>44</v>
      </c>
      <c r="B44" s="18" t="s">
        <v>2780</v>
      </c>
      <c r="C44" s="19" t="s">
        <v>2695</v>
      </c>
      <c r="D44" s="19" t="str">
        <f t="shared" si="1"/>
        <v>1. Bestimmende Faktoren</v>
      </c>
      <c r="E44" s="33" t="s">
        <v>2789</v>
      </c>
      <c r="F44" s="6" t="s">
        <v>297</v>
      </c>
    </row>
    <row r="45" spans="1:6" ht="349.5">
      <c r="A45" s="17">
        <f>ROW()</f>
        <v>45</v>
      </c>
      <c r="B45" s="18" t="s">
        <v>2780</v>
      </c>
      <c r="C45" s="19" t="s">
        <v>2695</v>
      </c>
      <c r="D45" s="19" t="str">
        <f t="shared" si="1"/>
        <v>2. Berechnungsmethode, Rentenformel bzw. Beträge</v>
      </c>
      <c r="E45" s="33" t="s">
        <v>2790</v>
      </c>
      <c r="F45" s="6" t="s">
        <v>328</v>
      </c>
    </row>
    <row r="46" spans="1:6" ht="343.5">
      <c r="A46" s="17">
        <f>ROW()</f>
        <v>46</v>
      </c>
      <c r="B46" s="18" t="s">
        <v>2780</v>
      </c>
      <c r="C46" s="19" t="s">
        <v>2695</v>
      </c>
      <c r="D46" s="19" t="str">
        <f t="shared" si="1"/>
        <v>3. Referenzeinkommen bzw. Berechnungsgrundlage</v>
      </c>
      <c r="E46" s="33" t="s">
        <v>2791</v>
      </c>
      <c r="F46" s="6" t="s">
        <v>4595</v>
      </c>
    </row>
    <row r="47" spans="1:6" ht="405">
      <c r="A47" s="17">
        <f>ROW()</f>
        <v>47</v>
      </c>
      <c r="B47" s="18" t="s">
        <v>2780</v>
      </c>
      <c r="C47" s="19" t="s">
        <v>2695</v>
      </c>
      <c r="D47" s="19" t="str">
        <f t="shared" si="1"/>
        <v>4. Anrechenbare oder als Beitragszeiten gewertete Zeiträume</v>
      </c>
      <c r="E47" s="33" t="s">
        <v>2757</v>
      </c>
      <c r="F47" s="6" t="s">
        <v>390</v>
      </c>
    </row>
    <row r="48" spans="1:6" ht="409.5">
      <c r="A48" s="17">
        <f>ROW()</f>
        <v>48</v>
      </c>
      <c r="B48" s="18" t="s">
        <v>2780</v>
      </c>
      <c r="C48" s="19" t="s">
        <v>2695</v>
      </c>
      <c r="D48" s="19" t="str">
        <f t="shared" si="1"/>
        <v>5. Rückkauf von Versicherungszeiten</v>
      </c>
      <c r="E48" s="33" t="s">
        <v>2792</v>
      </c>
      <c r="F48" s="6" t="s">
        <v>4596</v>
      </c>
    </row>
    <row r="49" spans="1:6" ht="246">
      <c r="A49" s="17">
        <f>ROW()</f>
        <v>49</v>
      </c>
      <c r="B49" s="18" t="s">
        <v>2780</v>
      </c>
      <c r="C49" s="19" t="s">
        <v>2695</v>
      </c>
      <c r="D49" s="19" t="str">
        <f t="shared" si="1"/>
        <v>6.  Zulagen für Unterhaltsberechtigte</v>
      </c>
      <c r="E49" s="33" t="s">
        <v>2892</v>
      </c>
      <c r="F49" s="6" t="s">
        <v>446</v>
      </c>
    </row>
    <row r="50" spans="1:6" ht="409.5">
      <c r="A50" s="17">
        <f>ROW()</f>
        <v>50</v>
      </c>
      <c r="B50" s="18" t="s">
        <v>2780</v>
      </c>
      <c r="C50" s="19" t="s">
        <v>2695</v>
      </c>
      <c r="D50" s="19" t="str">
        <f t="shared" si="1"/>
        <v>7. Besondere Zulagen</v>
      </c>
      <c r="E50" s="33" t="s">
        <v>2793</v>
      </c>
      <c r="F50" s="6" t="s">
        <v>4597</v>
      </c>
    </row>
    <row r="51" spans="1:6" ht="409.5">
      <c r="A51" s="17">
        <f>ROW()</f>
        <v>51</v>
      </c>
      <c r="B51" s="18" t="s">
        <v>2780</v>
      </c>
      <c r="C51" s="19" t="s">
        <v>2695</v>
      </c>
      <c r="D51" s="19" t="str">
        <f t="shared" si="1"/>
        <v>8. Mindestrente und bedürftigkeitsabhängige Leistung</v>
      </c>
      <c r="E51" s="33" t="s">
        <v>2794</v>
      </c>
      <c r="F51" s="13" t="s">
        <v>4598</v>
      </c>
    </row>
    <row r="52" spans="1:6" ht="101.25">
      <c r="A52" s="17">
        <f>ROW()</f>
        <v>52</v>
      </c>
      <c r="B52" s="18" t="s">
        <v>2780</v>
      </c>
      <c r="C52" s="19" t="s">
        <v>2695</v>
      </c>
      <c r="D52" s="19" t="str">
        <f t="shared" si="1"/>
        <v>9. Höchstrente</v>
      </c>
      <c r="E52" s="33" t="s">
        <v>2795</v>
      </c>
      <c r="F52" s="6" t="s">
        <v>530</v>
      </c>
    </row>
    <row r="53" spans="1:6" ht="119.25">
      <c r="A53" s="17">
        <f>ROW()</f>
        <v>53</v>
      </c>
      <c r="B53" s="18" t="s">
        <v>2780</v>
      </c>
      <c r="C53" s="19" t="s">
        <v>2695</v>
      </c>
      <c r="D53" s="19" t="str">
        <f t="shared" si="1"/>
        <v>10. Vorruhestand</v>
      </c>
      <c r="E53" s="33" t="s">
        <v>2796</v>
      </c>
      <c r="F53" s="6" t="s">
        <v>556</v>
      </c>
    </row>
    <row r="54" spans="1:6" ht="272.25">
      <c r="A54" s="17">
        <f>ROW()</f>
        <v>54</v>
      </c>
      <c r="B54" s="18" t="s">
        <v>2780</v>
      </c>
      <c r="C54" s="19" t="s">
        <v>2695</v>
      </c>
      <c r="D54" s="19" t="str">
        <f t="shared" si="1"/>
        <v>11. Beschwerliche und gefährliche Arbeit</v>
      </c>
      <c r="E54" s="33" t="s">
        <v>2797</v>
      </c>
      <c r="F54" s="6" t="s">
        <v>585</v>
      </c>
    </row>
    <row r="55" spans="1:6" ht="87.75">
      <c r="A55" s="17">
        <f>ROW()</f>
        <v>55</v>
      </c>
      <c r="B55" s="18" t="s">
        <v>2780</v>
      </c>
      <c r="C55" s="19" t="s">
        <v>2695</v>
      </c>
      <c r="D55" s="19" t="str">
        <f t="shared" si="1"/>
        <v>12. Teilrente</v>
      </c>
      <c r="E55" s="33" t="s">
        <v>2798</v>
      </c>
      <c r="F55" s="6" t="s">
        <v>610</v>
      </c>
    </row>
    <row r="56" spans="1:6" ht="171.75">
      <c r="A56" s="17">
        <f>ROW()</f>
        <v>56</v>
      </c>
      <c r="B56" s="18" t="s">
        <v>2780</v>
      </c>
      <c r="C56" s="19" t="s">
        <v>2695</v>
      </c>
      <c r="D56" s="19" t="str">
        <f t="shared" si="1"/>
        <v>13. Aufgeschobene Rente</v>
      </c>
      <c r="E56" s="33" t="s">
        <v>2893</v>
      </c>
      <c r="F56" s="6" t="s">
        <v>637</v>
      </c>
    </row>
    <row r="57" spans="1:6" ht="179.25">
      <c r="A57" s="17">
        <f>ROW()</f>
        <v>57</v>
      </c>
      <c r="B57" s="18" t="s">
        <v>2780</v>
      </c>
      <c r="C57" s="19" t="s">
        <v>2799</v>
      </c>
      <c r="D57" s="19" t="s">
        <v>2799</v>
      </c>
      <c r="E57" s="32" t="s">
        <v>2799</v>
      </c>
      <c r="F57" s="6" t="s">
        <v>668</v>
      </c>
    </row>
    <row r="58" spans="1:6" ht="409.5">
      <c r="A58" s="17">
        <f>ROW()</f>
        <v>58</v>
      </c>
      <c r="B58" s="18" t="s">
        <v>2780</v>
      </c>
      <c r="C58" s="19" t="s">
        <v>2799</v>
      </c>
      <c r="D58" s="19" t="str">
        <f t="shared" si="1"/>
        <v xml:space="preserve">Kumulation mit Erwerbseinkommen </v>
      </c>
      <c r="E58" s="32" t="s">
        <v>2697</v>
      </c>
      <c r="F58" s="6" t="s">
        <v>4599</v>
      </c>
    </row>
    <row r="59" spans="1:6" ht="286.5">
      <c r="A59" s="17">
        <f>ROW()</f>
        <v>59</v>
      </c>
      <c r="B59" s="18" t="s">
        <v>2780</v>
      </c>
      <c r="C59" s="19" t="s">
        <v>2799</v>
      </c>
      <c r="D59" s="19" t="s">
        <v>2800</v>
      </c>
      <c r="E59" s="32" t="s">
        <v>2696</v>
      </c>
      <c r="F59" s="6" t="s">
        <v>730</v>
      </c>
    </row>
    <row r="60" spans="1:6" ht="225.75">
      <c r="A60" s="17">
        <f>ROW()</f>
        <v>60</v>
      </c>
      <c r="B60" s="18" t="s">
        <v>2780</v>
      </c>
      <c r="C60" s="19" t="s">
        <v>761</v>
      </c>
      <c r="D60" s="19" t="str">
        <f t="shared" ref="D60:D70" si="2">+E60</f>
        <v>1. Besteuerung von Renten</v>
      </c>
      <c r="E60" s="33" t="s">
        <v>2801</v>
      </c>
      <c r="F60" s="6" t="s">
        <v>762</v>
      </c>
    </row>
    <row r="61" spans="1:6" ht="335.25">
      <c r="A61" s="17">
        <f>ROW()</f>
        <v>61</v>
      </c>
      <c r="B61" s="18" t="s">
        <v>2780</v>
      </c>
      <c r="C61" s="19" t="s">
        <v>761</v>
      </c>
      <c r="D61" s="19" t="str">
        <f t="shared" si="2"/>
        <v>2. Einkommensgrenze für Besteuerung von Renten</v>
      </c>
      <c r="E61" s="33" t="s">
        <v>2802</v>
      </c>
      <c r="F61" s="6" t="s">
        <v>788</v>
      </c>
    </row>
    <row r="62" spans="1:6" ht="264">
      <c r="A62" s="17">
        <f>ROW()</f>
        <v>62</v>
      </c>
      <c r="B62" s="18" t="s">
        <v>2780</v>
      </c>
      <c r="C62" s="19" t="s">
        <v>761</v>
      </c>
      <c r="D62" s="19" t="str">
        <f t="shared" si="2"/>
        <v>3. Auf Renten anfallende Sozialabgaben</v>
      </c>
      <c r="E62" s="33" t="s">
        <v>2803</v>
      </c>
      <c r="F62" s="6" t="s">
        <v>816</v>
      </c>
    </row>
    <row r="63" spans="1:6" ht="138">
      <c r="A63" s="17">
        <f>ROW()</f>
        <v>63</v>
      </c>
      <c r="B63" s="18" t="s">
        <v>2804</v>
      </c>
      <c r="C63" s="19" t="str">
        <f>+E63</f>
        <v>Anwendungsbereich</v>
      </c>
      <c r="D63" s="19" t="str">
        <f t="shared" si="2"/>
        <v>Anwendungsbereich</v>
      </c>
      <c r="E63" s="33" t="s">
        <v>2708</v>
      </c>
      <c r="F63" s="6" t="s">
        <v>838</v>
      </c>
    </row>
    <row r="64" spans="1:6" ht="132.75">
      <c r="A64" s="17">
        <f>ROW()</f>
        <v>64</v>
      </c>
      <c r="B64" s="18" t="s">
        <v>2804</v>
      </c>
      <c r="C64" s="19" t="s">
        <v>2775</v>
      </c>
      <c r="D64" s="19" t="str">
        <f t="shared" si="2"/>
        <v>Grundprinzipien</v>
      </c>
      <c r="E64" s="33" t="s">
        <v>2709</v>
      </c>
      <c r="F64" s="6" t="s">
        <v>863</v>
      </c>
    </row>
    <row r="65" spans="1:6" ht="224.25">
      <c r="A65" s="17">
        <f>ROW()</f>
        <v>65</v>
      </c>
      <c r="B65" s="18" t="s">
        <v>2804</v>
      </c>
      <c r="C65" s="19" t="s">
        <v>2775</v>
      </c>
      <c r="D65" s="19" t="str">
        <f t="shared" si="2"/>
        <v>Voraussetzungen für die Deckung</v>
      </c>
      <c r="E65" s="33" t="s">
        <v>2710</v>
      </c>
      <c r="F65" s="6" t="s">
        <v>892</v>
      </c>
    </row>
    <row r="66" spans="1:6" ht="409.5">
      <c r="A66" s="17">
        <f>ROW()</f>
        <v>66</v>
      </c>
      <c r="B66" s="18" t="s">
        <v>2804</v>
      </c>
      <c r="C66" s="19" t="s">
        <v>2775</v>
      </c>
      <c r="D66" s="19" t="str">
        <f t="shared" si="2"/>
        <v>Kombination von selbstständiger und unselbstständiger Tätigkeit</v>
      </c>
      <c r="E66" s="33" t="s">
        <v>2698</v>
      </c>
      <c r="F66" s="6" t="s">
        <v>918</v>
      </c>
    </row>
    <row r="67" spans="1:6" ht="376.5">
      <c r="A67" s="17">
        <f>ROW()</f>
        <v>67</v>
      </c>
      <c r="B67" s="18" t="s">
        <v>2804</v>
      </c>
      <c r="C67" s="19" t="s">
        <v>2695</v>
      </c>
      <c r="D67" s="19" t="str">
        <f t="shared" si="2"/>
        <v xml:space="preserve">Voraussetzungen für den Zugang zu Diensten/Leistungen </v>
      </c>
      <c r="E67" s="33" t="s">
        <v>2699</v>
      </c>
      <c r="F67" s="6" t="s">
        <v>939</v>
      </c>
    </row>
    <row r="68" spans="1:6" ht="253.5">
      <c r="A68" s="17">
        <f>ROW()</f>
        <v>68</v>
      </c>
      <c r="B68" s="18" t="s">
        <v>2804</v>
      </c>
      <c r="C68" s="19" t="s">
        <v>2695</v>
      </c>
      <c r="D68" s="19" t="str">
        <f t="shared" si="2"/>
        <v>Beträge, Dauer und Kostenbeteiligung</v>
      </c>
      <c r="E68" s="33" t="s">
        <v>2700</v>
      </c>
      <c r="F68" s="6" t="s">
        <v>952</v>
      </c>
    </row>
    <row r="69" spans="1:6" ht="216">
      <c r="A69" s="17">
        <f>ROW()</f>
        <v>69</v>
      </c>
      <c r="B69" s="18" t="s">
        <v>2804</v>
      </c>
      <c r="C69" s="19" t="s">
        <v>2695</v>
      </c>
      <c r="D69" s="19" t="str">
        <f t="shared" si="2"/>
        <v>Besteuerung von Geldleistungen</v>
      </c>
      <c r="E69" s="33" t="s">
        <v>2681</v>
      </c>
      <c r="F69" s="6" t="s">
        <v>965</v>
      </c>
    </row>
    <row r="70" spans="1:6" ht="272.25">
      <c r="A70" s="17">
        <f>ROW()</f>
        <v>70</v>
      </c>
      <c r="B70" s="18" t="s">
        <v>2804</v>
      </c>
      <c r="C70" s="19" t="s">
        <v>2695</v>
      </c>
      <c r="D70" s="19" t="str">
        <f t="shared" si="2"/>
        <v>Auf Leistungen anfallende Sozialabgaben</v>
      </c>
      <c r="E70" s="33" t="s">
        <v>2683</v>
      </c>
      <c r="F70" s="6" t="s">
        <v>979</v>
      </c>
    </row>
    <row r="71" spans="1:6" ht="285">
      <c r="A71" s="17">
        <f>ROW()</f>
        <v>71</v>
      </c>
      <c r="B71" s="164" t="s">
        <v>2702</v>
      </c>
      <c r="C71" s="164" t="str">
        <f t="shared" ref="C71:D75" si="3">+D71</f>
        <v>Geltende Rechtsgrundlage</v>
      </c>
      <c r="D71" s="164" t="str">
        <f t="shared" si="3"/>
        <v>Geltende Rechtsgrundlage</v>
      </c>
      <c r="E71" s="32" t="s">
        <v>2724</v>
      </c>
      <c r="F71" s="6" t="s">
        <v>990</v>
      </c>
    </row>
    <row r="72" spans="1:6" ht="81.75">
      <c r="A72" s="17">
        <f>ROW()</f>
        <v>72</v>
      </c>
      <c r="B72" s="164" t="s">
        <v>2702</v>
      </c>
      <c r="C72" s="164" t="str">
        <f t="shared" si="3"/>
        <v>Grundprinzipien</v>
      </c>
      <c r="D72" s="164" t="str">
        <f t="shared" si="3"/>
        <v>Grundprinzipien</v>
      </c>
      <c r="E72" s="32" t="s">
        <v>2709</v>
      </c>
      <c r="F72" s="6" t="s">
        <v>1016</v>
      </c>
    </row>
    <row r="73" spans="1:6" ht="240.75">
      <c r="A73" s="17">
        <f>ROW()</f>
        <v>73</v>
      </c>
      <c r="B73" s="164" t="s">
        <v>2702</v>
      </c>
      <c r="C73" s="164" t="str">
        <f t="shared" si="3"/>
        <v>Anwendungsbereich (in Bezug auf Verstorbene)</v>
      </c>
      <c r="D73" s="164" t="str">
        <f t="shared" si="3"/>
        <v>Anwendungsbereich (in Bezug auf Verstorbene)</v>
      </c>
      <c r="E73" s="32" t="s">
        <v>2725</v>
      </c>
      <c r="F73" s="6" t="s">
        <v>1047</v>
      </c>
    </row>
    <row r="74" spans="1:6" ht="402.75">
      <c r="A74" s="17">
        <f>ROW()</f>
        <v>74</v>
      </c>
      <c r="B74" s="164" t="s">
        <v>2702</v>
      </c>
      <c r="C74" s="164" t="str">
        <f t="shared" si="3"/>
        <v>Ausnahmen von der Deckung der Pflichtversicherung (in Bezug auf Verstorbene)</v>
      </c>
      <c r="D74" s="164" t="str">
        <f t="shared" si="3"/>
        <v>Ausnahmen von der Deckung der Pflichtversicherung (in Bezug auf Verstorbene)</v>
      </c>
      <c r="E74" s="32" t="s">
        <v>2729</v>
      </c>
      <c r="F74" s="6" t="s">
        <v>125</v>
      </c>
    </row>
    <row r="75" spans="1:6" ht="110.25">
      <c r="A75" s="17">
        <f>ROW()</f>
        <v>75</v>
      </c>
      <c r="B75" s="164" t="s">
        <v>2702</v>
      </c>
      <c r="C75" s="164" t="str">
        <f t="shared" si="3"/>
        <v>Berechtigte Personen</v>
      </c>
      <c r="D75" s="164" t="str">
        <f t="shared" si="3"/>
        <v>Berechtigte Personen</v>
      </c>
      <c r="E75" s="32" t="s">
        <v>2730</v>
      </c>
      <c r="F75" s="13" t="s">
        <v>3745</v>
      </c>
    </row>
    <row r="76" spans="1:6" ht="77.25">
      <c r="A76" s="17">
        <f>ROW()</f>
        <v>76</v>
      </c>
      <c r="B76" s="164" t="s">
        <v>2702</v>
      </c>
      <c r="C76" s="165"/>
      <c r="D76" s="165"/>
      <c r="E76" s="32" t="s">
        <v>2783</v>
      </c>
      <c r="F76" s="6"/>
    </row>
    <row r="77" spans="1:6" ht="144.75">
      <c r="A77" s="17">
        <f>ROW()</f>
        <v>77</v>
      </c>
      <c r="B77" s="164" t="s">
        <v>2702</v>
      </c>
      <c r="C77" s="164" t="s">
        <v>2805</v>
      </c>
      <c r="D77" s="164" t="str">
        <f t="shared" ref="D77:D90" si="4">+E77</f>
        <v>1. Verstorbener Versicherter</v>
      </c>
      <c r="E77" s="33" t="s">
        <v>2806</v>
      </c>
      <c r="F77" s="6" t="s">
        <v>1122</v>
      </c>
    </row>
    <row r="78" spans="1:6" ht="141.75">
      <c r="A78" s="17">
        <f>ROW()</f>
        <v>78</v>
      </c>
      <c r="B78" s="164" t="s">
        <v>2702</v>
      </c>
      <c r="C78" s="164" t="s">
        <v>2805</v>
      </c>
      <c r="D78" s="164" t="str">
        <f t="shared" si="4"/>
        <v>2. Hinterbliebener Ehegatte</v>
      </c>
      <c r="E78" s="33" t="s">
        <v>2807</v>
      </c>
      <c r="F78" s="13" t="s">
        <v>3744</v>
      </c>
    </row>
    <row r="79" spans="1:6" ht="139.5">
      <c r="A79" s="17">
        <f>ROW()</f>
        <v>79</v>
      </c>
      <c r="B79" s="164" t="s">
        <v>2702</v>
      </c>
      <c r="C79" s="164" t="s">
        <v>2805</v>
      </c>
      <c r="D79" s="164" t="str">
        <f t="shared" si="4"/>
        <v>3. Geschiedener Ehegatte</v>
      </c>
      <c r="E79" s="33" t="s">
        <v>2808</v>
      </c>
      <c r="F79" s="6" t="s">
        <v>1184</v>
      </c>
    </row>
    <row r="80" spans="1:6" ht="164.25">
      <c r="A80" s="17">
        <f>ROW()</f>
        <v>80</v>
      </c>
      <c r="B80" s="164" t="s">
        <v>2702</v>
      </c>
      <c r="C80" s="164" t="s">
        <v>2805</v>
      </c>
      <c r="D80" s="164" t="str">
        <f t="shared" si="4"/>
        <v>4. Hinterbliebene Lebenspartner</v>
      </c>
      <c r="E80" s="33" t="s">
        <v>2809</v>
      </c>
      <c r="F80" s="6" t="s">
        <v>1192</v>
      </c>
    </row>
    <row r="81" spans="1:6" ht="139.5">
      <c r="A81" s="17">
        <f>ROW()</f>
        <v>81</v>
      </c>
      <c r="B81" s="164" t="s">
        <v>2702</v>
      </c>
      <c r="C81" s="164" t="s">
        <v>2805</v>
      </c>
      <c r="D81" s="164" t="str">
        <f t="shared" si="4"/>
        <v>5. Kinder</v>
      </c>
      <c r="E81" s="33" t="s">
        <v>2810</v>
      </c>
      <c r="F81" s="6" t="s">
        <v>1234</v>
      </c>
    </row>
    <row r="82" spans="1:6" ht="139.5">
      <c r="A82" s="17">
        <f>ROW()</f>
        <v>82</v>
      </c>
      <c r="B82" s="164" t="s">
        <v>2702</v>
      </c>
      <c r="C82" s="164" t="s">
        <v>2805</v>
      </c>
      <c r="D82" s="164" t="str">
        <f t="shared" si="4"/>
        <v>6. Andere Personen</v>
      </c>
      <c r="E82" s="33" t="s">
        <v>2811</v>
      </c>
      <c r="F82" s="6" t="s">
        <v>1265</v>
      </c>
    </row>
    <row r="83" spans="1:6" ht="409.5">
      <c r="A83" s="17">
        <f>ROW()</f>
        <v>83</v>
      </c>
      <c r="B83" s="164" t="s">
        <v>2702</v>
      </c>
      <c r="C83" s="164" t="s">
        <v>2695</v>
      </c>
      <c r="D83" s="164" t="str">
        <f t="shared" si="4"/>
        <v>1. Hinterbliebener Ehegatte, geschiedener Ehegatte, hinterbliebene Lebenspartner</v>
      </c>
      <c r="E83" s="33" t="s">
        <v>2812</v>
      </c>
      <c r="F83" s="13" t="s">
        <v>3746</v>
      </c>
    </row>
    <row r="84" spans="1:6" ht="213">
      <c r="A84" s="17">
        <f>ROW()</f>
        <v>84</v>
      </c>
      <c r="B84" s="164" t="s">
        <v>2702</v>
      </c>
      <c r="C84" s="164" t="s">
        <v>2695</v>
      </c>
      <c r="D84" s="164" t="str">
        <f t="shared" si="4"/>
        <v>2. Hinterbliebener Ehegatte: Wiederheirat</v>
      </c>
      <c r="E84" s="33" t="s">
        <v>2813</v>
      </c>
      <c r="F84" s="6" t="s">
        <v>1313</v>
      </c>
    </row>
    <row r="85" spans="1:6" ht="77.25">
      <c r="A85" s="17">
        <f>ROW()</f>
        <v>85</v>
      </c>
      <c r="B85" s="164" t="s">
        <v>2702</v>
      </c>
      <c r="C85" s="164" t="s">
        <v>2695</v>
      </c>
      <c r="D85" s="164" t="str">
        <f t="shared" si="4"/>
        <v>3. Kinder</v>
      </c>
      <c r="E85" s="33" t="s">
        <v>2814</v>
      </c>
      <c r="F85" s="6" t="s">
        <v>1342</v>
      </c>
    </row>
    <row r="86" spans="1:6" ht="112.5">
      <c r="A86" s="17">
        <f>ROW()</f>
        <v>86</v>
      </c>
      <c r="B86" s="164" t="s">
        <v>2702</v>
      </c>
      <c r="C86" s="164" t="s">
        <v>2695</v>
      </c>
      <c r="D86" s="164" t="str">
        <f t="shared" si="4"/>
        <v>4. Andere Berechtigte</v>
      </c>
      <c r="E86" s="33" t="s">
        <v>2815</v>
      </c>
      <c r="F86" s="6" t="s">
        <v>373</v>
      </c>
    </row>
    <row r="87" spans="1:6" ht="292.5">
      <c r="A87" s="17">
        <f>ROW()</f>
        <v>87</v>
      </c>
      <c r="B87" s="164" t="s">
        <v>2702</v>
      </c>
      <c r="C87" s="164" t="s">
        <v>2695</v>
      </c>
      <c r="D87" s="164" t="str">
        <f t="shared" si="4"/>
        <v xml:space="preserve"> 5. Höchster zahlbarer Gesamtbetrag für alle Berechtigten</v>
      </c>
      <c r="E87" s="33" t="s">
        <v>2816</v>
      </c>
      <c r="F87" s="6" t="s">
        <v>373</v>
      </c>
    </row>
    <row r="88" spans="1:6" ht="116.25">
      <c r="A88" s="17">
        <f>ROW()</f>
        <v>88</v>
      </c>
      <c r="B88" s="164" t="s">
        <v>2702</v>
      </c>
      <c r="C88" s="164" t="s">
        <v>2695</v>
      </c>
      <c r="D88" s="164" t="str">
        <f t="shared" si="4"/>
        <v>6. Sonstige Leistungen</v>
      </c>
      <c r="E88" s="33" t="s">
        <v>2817</v>
      </c>
      <c r="F88" s="6" t="s">
        <v>1413</v>
      </c>
    </row>
    <row r="89" spans="1:6" ht="96.75">
      <c r="A89" s="17">
        <f>ROW()</f>
        <v>89</v>
      </c>
      <c r="B89" s="164" t="s">
        <v>2702</v>
      </c>
      <c r="C89" s="164" t="s">
        <v>2695</v>
      </c>
      <c r="D89" s="164" t="str">
        <f>+E89</f>
        <v>7. Mindestleistung</v>
      </c>
      <c r="E89" s="33" t="s">
        <v>2818</v>
      </c>
      <c r="F89" s="6" t="s">
        <v>1442</v>
      </c>
    </row>
    <row r="90" spans="1:6" ht="93.75">
      <c r="A90" s="17">
        <f>ROW()</f>
        <v>90</v>
      </c>
      <c r="B90" s="164" t="s">
        <v>2702</v>
      </c>
      <c r="C90" s="164" t="s">
        <v>2695</v>
      </c>
      <c r="D90" s="164" t="str">
        <f t="shared" si="4"/>
        <v xml:space="preserve"> 8. Höchstleistung</v>
      </c>
      <c r="E90" s="33" t="s">
        <v>2819</v>
      </c>
      <c r="F90" s="6" t="s">
        <v>1470</v>
      </c>
    </row>
    <row r="91" spans="1:6" ht="135.75">
      <c r="A91" s="17">
        <f>ROW()</f>
        <v>91</v>
      </c>
      <c r="B91" s="164" t="s">
        <v>2702</v>
      </c>
      <c r="C91" s="164" t="s">
        <v>2799</v>
      </c>
      <c r="D91" s="164" t="str">
        <f>+C91</f>
        <v>Indexbindung / Anpassung</v>
      </c>
      <c r="E91" s="32" t="s">
        <v>2799</v>
      </c>
      <c r="F91" s="6" t="s">
        <v>1491</v>
      </c>
    </row>
    <row r="92" spans="1:6" ht="240">
      <c r="A92" s="17">
        <f>ROW()</f>
        <v>92</v>
      </c>
      <c r="B92" s="164" t="s">
        <v>2702</v>
      </c>
      <c r="C92" s="164" t="s">
        <v>2799</v>
      </c>
      <c r="D92" s="164" t="str">
        <f t="shared" ref="D92:D105" si="5">+E92</f>
        <v>Kumulation mit Erwerbseinkommen</v>
      </c>
      <c r="E92" s="32" t="s">
        <v>2723</v>
      </c>
      <c r="F92" s="6" t="s">
        <v>4600</v>
      </c>
    </row>
    <row r="93" spans="1:6" ht="207">
      <c r="A93" s="17">
        <f>ROW()</f>
        <v>93</v>
      </c>
      <c r="B93" s="164" t="s">
        <v>2702</v>
      </c>
      <c r="C93" s="164" t="s">
        <v>2799</v>
      </c>
      <c r="D93" s="164" t="str">
        <f t="shared" si="5"/>
        <v>Kumulation mit anderen Sozialleistungen</v>
      </c>
      <c r="E93" s="32" t="s">
        <v>2696</v>
      </c>
      <c r="F93" s="6" t="s">
        <v>1552</v>
      </c>
    </row>
    <row r="94" spans="1:6" ht="178.5">
      <c r="A94" s="17">
        <f>ROW()</f>
        <v>94</v>
      </c>
      <c r="B94" s="164" t="s">
        <v>2702</v>
      </c>
      <c r="C94" s="164" t="s">
        <v>2701</v>
      </c>
      <c r="D94" s="164" t="str">
        <f t="shared" si="5"/>
        <v>1. Besteuerung von Geldleistungen</v>
      </c>
      <c r="E94" s="33" t="s">
        <v>2770</v>
      </c>
      <c r="F94" s="6" t="s">
        <v>1583</v>
      </c>
    </row>
    <row r="95" spans="1:6" ht="294.75">
      <c r="A95" s="17">
        <f>ROW()</f>
        <v>95</v>
      </c>
      <c r="B95" s="164" t="s">
        <v>2702</v>
      </c>
      <c r="C95" s="164" t="s">
        <v>2701</v>
      </c>
      <c r="D95" s="164" t="str">
        <f t="shared" si="5"/>
        <v>2. Einkommensgrenze für Besteuerung von Geldleistungen</v>
      </c>
      <c r="E95" s="33" t="s">
        <v>2772</v>
      </c>
      <c r="F95" s="6" t="s">
        <v>788</v>
      </c>
    </row>
    <row r="96" spans="1:6" ht="222">
      <c r="A96" s="17">
        <f>ROW()</f>
        <v>96</v>
      </c>
      <c r="B96" s="164" t="s">
        <v>2702</v>
      </c>
      <c r="C96" s="164" t="s">
        <v>2701</v>
      </c>
      <c r="D96" s="164" t="str">
        <f t="shared" si="5"/>
        <v>3. Auf Leistungen anfallende Sozialabgaben</v>
      </c>
      <c r="E96" s="33" t="s">
        <v>2773</v>
      </c>
      <c r="F96" s="6" t="s">
        <v>1625</v>
      </c>
    </row>
    <row r="97" spans="1:6" ht="104.25">
      <c r="A97" s="17">
        <f>ROW()</f>
        <v>97</v>
      </c>
      <c r="B97" s="164" t="s">
        <v>2702</v>
      </c>
      <c r="C97" s="164" t="s">
        <v>2775</v>
      </c>
      <c r="D97" s="164" t="str">
        <f t="shared" si="5"/>
        <v>Anwendungsbereich</v>
      </c>
      <c r="E97" s="33" t="s">
        <v>2708</v>
      </c>
      <c r="F97" s="6" t="s">
        <v>1642</v>
      </c>
    </row>
    <row r="98" spans="1:6" ht="81.75">
      <c r="A98" s="17">
        <f>ROW()</f>
        <v>98</v>
      </c>
      <c r="B98" s="164" t="s">
        <v>2702</v>
      </c>
      <c r="C98" s="164" t="s">
        <v>2775</v>
      </c>
      <c r="D98" s="164" t="str">
        <f t="shared" si="5"/>
        <v>Grundprinzipien</v>
      </c>
      <c r="E98" s="33" t="s">
        <v>2709</v>
      </c>
      <c r="F98" s="6" t="s">
        <v>1656</v>
      </c>
    </row>
    <row r="99" spans="1:6" ht="171">
      <c r="A99" s="17">
        <f>ROW()</f>
        <v>99</v>
      </c>
      <c r="B99" s="164" t="s">
        <v>2702</v>
      </c>
      <c r="C99" s="164" t="s">
        <v>2775</v>
      </c>
      <c r="D99" s="164" t="str">
        <f t="shared" si="5"/>
        <v>Voraussetzungen für die Deckung</v>
      </c>
      <c r="E99" s="33" t="s">
        <v>2710</v>
      </c>
      <c r="F99" s="6" t="s">
        <v>1673</v>
      </c>
    </row>
    <row r="100" spans="1:6" ht="328.5">
      <c r="A100" s="17">
        <f>ROW()</f>
        <v>100</v>
      </c>
      <c r="B100" s="164" t="s">
        <v>2702</v>
      </c>
      <c r="C100" s="164" t="s">
        <v>2775</v>
      </c>
      <c r="D100" s="164" t="str">
        <f t="shared" si="5"/>
        <v>Kombination von selbstständiger und unselbstständiger Tätigkeit</v>
      </c>
      <c r="E100" s="33" t="s">
        <v>2698</v>
      </c>
      <c r="F100" s="6" t="s">
        <v>1682</v>
      </c>
    </row>
    <row r="101" spans="1:6" ht="288.75">
      <c r="A101" s="17">
        <f>ROW()</f>
        <v>101</v>
      </c>
      <c r="B101" s="164" t="s">
        <v>2702</v>
      </c>
      <c r="C101" s="164" t="s">
        <v>2775</v>
      </c>
      <c r="D101" s="164" t="str">
        <f t="shared" si="5"/>
        <v xml:space="preserve">Voraussetzungen für den Zugang zu Diensten/Leistungen </v>
      </c>
      <c r="E101" s="33" t="s">
        <v>2699</v>
      </c>
      <c r="F101" s="6" t="s">
        <v>1692</v>
      </c>
    </row>
    <row r="102" spans="1:6" ht="194.25">
      <c r="A102" s="17">
        <f>ROW()</f>
        <v>102</v>
      </c>
      <c r="B102" s="164" t="s">
        <v>2702</v>
      </c>
      <c r="C102" s="164" t="s">
        <v>2775</v>
      </c>
      <c r="D102" s="164" t="str">
        <f t="shared" si="5"/>
        <v>Beträge, Dauer und Kostenbeteiligung</v>
      </c>
      <c r="E102" s="33" t="s">
        <v>2700</v>
      </c>
      <c r="F102" s="6" t="s">
        <v>1698</v>
      </c>
    </row>
    <row r="103" spans="1:6" ht="162.75">
      <c r="A103" s="17">
        <f>ROW()</f>
        <v>103</v>
      </c>
      <c r="B103" s="164" t="s">
        <v>2702</v>
      </c>
      <c r="C103" s="164" t="s">
        <v>2775</v>
      </c>
      <c r="D103" s="164" t="str">
        <f t="shared" si="5"/>
        <v>Besteuerung und Sozialabgaben</v>
      </c>
      <c r="E103" s="33" t="s">
        <v>2701</v>
      </c>
      <c r="F103" s="6"/>
    </row>
    <row r="104" spans="1:6" ht="166.5">
      <c r="A104" s="17">
        <f>ROW()</f>
        <v>104</v>
      </c>
      <c r="B104" s="164" t="s">
        <v>2702</v>
      </c>
      <c r="C104" s="164" t="s">
        <v>2775</v>
      </c>
      <c r="D104" s="164" t="str">
        <f t="shared" si="5"/>
        <v>Besteuerung von Geldleistungen</v>
      </c>
      <c r="E104" s="33" t="s">
        <v>2681</v>
      </c>
      <c r="F104" s="6" t="s">
        <v>1702</v>
      </c>
    </row>
    <row r="105" spans="1:6" ht="209.25">
      <c r="A105" s="17">
        <f>ROW()</f>
        <v>105</v>
      </c>
      <c r="B105" s="164" t="s">
        <v>2702</v>
      </c>
      <c r="C105" s="164" t="s">
        <v>2775</v>
      </c>
      <c r="D105" s="164" t="str">
        <f t="shared" si="5"/>
        <v>Auf Leistungen anfallende Sozialabgaben</v>
      </c>
      <c r="E105" s="33" t="s">
        <v>2683</v>
      </c>
      <c r="F105" s="6" t="s">
        <v>1692</v>
      </c>
    </row>
    <row r="106" spans="1:6" ht="15.75">
      <c r="B106" s="166"/>
      <c r="C106" s="166"/>
      <c r="D106" s="166"/>
    </row>
    <row r="107" spans="1:6" ht="15.75">
      <c r="B107" s="166"/>
      <c r="C107" s="166"/>
      <c r="D107" s="166"/>
    </row>
    <row r="108" spans="1:6" ht="15.75">
      <c r="B108" s="166"/>
      <c r="C108" s="166"/>
      <c r="D108" s="166"/>
    </row>
    <row r="109" spans="1:6" ht="15.75">
      <c r="B109" s="166"/>
      <c r="C109" s="166"/>
      <c r="D109" s="166"/>
    </row>
    <row r="110" spans="1:6" ht="15.75">
      <c r="B110" s="166"/>
      <c r="C110" s="166"/>
      <c r="D110" s="166"/>
    </row>
    <row r="111" spans="1:6" ht="15.75">
      <c r="B111" s="166"/>
      <c r="C111" s="166"/>
      <c r="D111" s="166"/>
    </row>
  </sheetData>
  <sheetProtection formatColumns="0" autoFilter="0"/>
  <autoFilter ref="A2:XFC105" xr:uid="{E3B6C474-8B4E-4E54-8CC4-DB9B56295F1E}"/>
  <pageMargins left="0.7" right="0.7" top="0.78740157499999996" bottom="0.78740157499999996"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685E8-5077-413D-816F-47E01BF4FA63}">
  <sheetPr codeName="Tabelle3"/>
  <dimension ref="A1:F113"/>
  <sheetViews>
    <sheetView workbookViewId="0">
      <pane xSplit="5" ySplit="2" topLeftCell="F14" activePane="bottomRight" state="frozen"/>
      <selection activeCell="F2" sqref="F2"/>
      <selection pane="topRight" activeCell="F2" sqref="F2"/>
      <selection pane="bottomLeft" activeCell="F2" sqref="F2"/>
      <selection pane="bottomRight" activeCell="F14" sqref="F14"/>
    </sheetView>
  </sheetViews>
  <sheetFormatPr baseColWidth="10" defaultColWidth="0" defaultRowHeight="15" zeroHeight="1"/>
  <cols>
    <col min="1" max="1" width="5" customWidth="1"/>
    <col min="2" max="3" width="5.140625" customWidth="1"/>
    <col min="4" max="4" width="6.5703125" style="130" customWidth="1"/>
    <col min="5" max="5" width="20.85546875" customWidth="1"/>
    <col min="6" max="6" width="120.7109375" customWidth="1"/>
    <col min="7" max="16384" width="26.5703125" hidden="1"/>
  </cols>
  <sheetData>
    <row r="1" spans="1:6" ht="64.5" customHeight="1">
      <c r="B1" s="885" t="s">
        <v>2726</v>
      </c>
      <c r="C1" s="887" t="s">
        <v>2739</v>
      </c>
      <c r="D1" s="887" t="s">
        <v>2728</v>
      </c>
      <c r="E1" s="128" t="s">
        <v>3506</v>
      </c>
      <c r="F1" s="16" t="s">
        <v>1</v>
      </c>
    </row>
    <row r="2" spans="1:6" ht="39.75" customHeight="1">
      <c r="A2" s="138"/>
      <c r="B2" s="886"/>
      <c r="C2" s="888"/>
      <c r="D2" s="888"/>
      <c r="E2" s="134"/>
      <c r="F2" s="173" t="str" cm="1">
        <f t="array" ref="F2">_xlfn.TEXTJOIN("; ", TRUE, IF(Entscheidungen!A2:A100=F1, Entscheidungen!B2:B100, ""))</f>
        <v/>
      </c>
    </row>
    <row r="3" spans="1:6" ht="90.75" customHeight="1">
      <c r="A3" s="17">
        <f>ROW()</f>
        <v>3</v>
      </c>
      <c r="B3" s="18" t="s">
        <v>2740</v>
      </c>
      <c r="C3" s="18"/>
      <c r="D3" s="19" t="str">
        <f>+E3</f>
        <v>Geltende Rechtsgrundlage</v>
      </c>
      <c r="E3" s="31" t="s">
        <v>2724</v>
      </c>
      <c r="F3" s="13" t="s">
        <v>2820</v>
      </c>
    </row>
    <row r="4" spans="1:6" ht="110.25">
      <c r="A4" s="17">
        <f>ROW()</f>
        <v>4</v>
      </c>
      <c r="B4" s="18" t="s">
        <v>2740</v>
      </c>
      <c r="C4" s="1"/>
      <c r="D4" s="19" t="str">
        <f t="shared" ref="D4:D34" si="0">+E4</f>
        <v>Grundprinzipien</v>
      </c>
      <c r="E4" s="32" t="s">
        <v>2709</v>
      </c>
      <c r="F4" s="6" t="s">
        <v>2821</v>
      </c>
    </row>
    <row r="5" spans="1:6" ht="405">
      <c r="A5" s="17">
        <f>ROW()</f>
        <v>5</v>
      </c>
      <c r="B5" s="18" t="s">
        <v>2740</v>
      </c>
      <c r="C5" s="1"/>
      <c r="D5" s="19" t="str">
        <f t="shared" si="0"/>
        <v>Gedecktes Risiko: Definition</v>
      </c>
      <c r="E5" s="32" t="s">
        <v>2891</v>
      </c>
      <c r="F5" s="13" t="s">
        <v>4572</v>
      </c>
    </row>
    <row r="6" spans="1:6" ht="409.5" customHeight="1">
      <c r="A6" s="17">
        <f>ROW()</f>
        <v>6</v>
      </c>
      <c r="B6" s="18" t="s">
        <v>2740</v>
      </c>
      <c r="C6" s="18" t="s">
        <v>2653</v>
      </c>
      <c r="D6" s="19" t="str">
        <f t="shared" si="0"/>
        <v>Versicherte Personen</v>
      </c>
      <c r="E6" s="33" t="s">
        <v>2653</v>
      </c>
      <c r="F6" s="6" t="s">
        <v>2822</v>
      </c>
    </row>
    <row r="7" spans="1:6" ht="273">
      <c r="A7" s="17">
        <f>ROW()</f>
        <v>7</v>
      </c>
      <c r="B7" s="18" t="s">
        <v>2740</v>
      </c>
      <c r="C7" s="18" t="str">
        <f>+E6</f>
        <v>Versicherte Personen</v>
      </c>
      <c r="D7" s="19" t="str">
        <f t="shared" si="0"/>
        <v>Ausnahmen von der Versicherungspflicht</v>
      </c>
      <c r="E7" s="33" t="s">
        <v>2685</v>
      </c>
      <c r="F7" s="13" t="s">
        <v>4573</v>
      </c>
    </row>
    <row r="8" spans="1:6" ht="225" customHeight="1">
      <c r="A8" s="17">
        <f>ROW()</f>
        <v>8</v>
      </c>
      <c r="B8" s="18" t="s">
        <v>2740</v>
      </c>
      <c r="C8" s="19" t="s">
        <v>149</v>
      </c>
      <c r="D8" s="19" t="str">
        <f t="shared" si="0"/>
        <v>1. Anwartschaftszeit</v>
      </c>
      <c r="E8" s="33" t="s">
        <v>2744</v>
      </c>
      <c r="F8" s="13" t="s">
        <v>4574</v>
      </c>
    </row>
    <row r="9" spans="1:6" ht="409.5">
      <c r="A9" s="17">
        <f>ROW()</f>
        <v>9</v>
      </c>
      <c r="B9" s="18" t="s">
        <v>2740</v>
      </c>
      <c r="C9" s="19" t="s">
        <v>149</v>
      </c>
      <c r="D9" s="19" t="str">
        <f t="shared" si="0"/>
        <v xml:space="preserve">2. Begutachtungskriterien und Kategorien der Arbeitsunfähigkeit/Arbeitsfähigkeit  </v>
      </c>
      <c r="E9" s="33" t="s">
        <v>2745</v>
      </c>
      <c r="F9" s="6" t="s">
        <v>2823</v>
      </c>
    </row>
    <row r="10" spans="1:6" ht="222">
      <c r="A10" s="17">
        <f>ROW()</f>
        <v>10</v>
      </c>
      <c r="B10" s="18" t="s">
        <v>2740</v>
      </c>
      <c r="C10" s="19" t="s">
        <v>149</v>
      </c>
      <c r="D10" s="19" t="str">
        <f t="shared" si="0"/>
        <v>3. Zeitraum der Leistungszahlung</v>
      </c>
      <c r="E10" s="33" t="s">
        <v>2747</v>
      </c>
      <c r="F10" s="6" t="s">
        <v>2824</v>
      </c>
    </row>
    <row r="11" spans="1:6" ht="225" customHeight="1">
      <c r="A11" s="17">
        <f>ROW()</f>
        <v>11</v>
      </c>
      <c r="B11" s="18" t="s">
        <v>2740</v>
      </c>
      <c r="C11" s="19" t="s">
        <v>2749</v>
      </c>
      <c r="D11" s="19" t="str">
        <f t="shared" si="0"/>
        <v>1. Gutachter</v>
      </c>
      <c r="E11" s="33" t="s">
        <v>2750</v>
      </c>
      <c r="F11" s="6" t="s">
        <v>2825</v>
      </c>
    </row>
    <row r="12" spans="1:6" ht="135" customHeight="1">
      <c r="A12" s="17">
        <f>ROW()</f>
        <v>12</v>
      </c>
      <c r="B12" s="18" t="s">
        <v>2740</v>
      </c>
      <c r="C12" s="19" t="s">
        <v>2749</v>
      </c>
      <c r="D12" s="19" t="str">
        <f t="shared" si="0"/>
        <v xml:space="preserve">2. Überprüfung  </v>
      </c>
      <c r="E12" s="33" t="s">
        <v>2751</v>
      </c>
      <c r="F12" s="6" t="s">
        <v>2826</v>
      </c>
    </row>
    <row r="13" spans="1:6" ht="330" customHeight="1">
      <c r="A13" s="17">
        <f>ROW()</f>
        <v>13</v>
      </c>
      <c r="B13" s="18" t="s">
        <v>2740</v>
      </c>
      <c r="C13" s="18" t="s">
        <v>2695</v>
      </c>
      <c r="D13" s="19" t="str">
        <f t="shared" si="0"/>
        <v>1. Berechnungsmethode bzw. Rentenformel</v>
      </c>
      <c r="E13" s="33" t="s">
        <v>2753</v>
      </c>
      <c r="F13" s="13" t="s">
        <v>4575</v>
      </c>
    </row>
    <row r="14" spans="1:6" ht="345" customHeight="1">
      <c r="A14" s="17">
        <f>ROW()</f>
        <v>14</v>
      </c>
      <c r="B14" s="18" t="s">
        <v>2740</v>
      </c>
      <c r="C14" s="18" t="s">
        <v>2695</v>
      </c>
      <c r="D14" s="19" t="str">
        <f t="shared" si="0"/>
        <v>2. Referenzeinkommen bzw. Berechnungsgrundlage</v>
      </c>
      <c r="E14" s="33" t="s">
        <v>2754</v>
      </c>
      <c r="F14" s="13" t="s">
        <v>4576</v>
      </c>
    </row>
    <row r="15" spans="1:6" ht="300" customHeight="1">
      <c r="A15" s="17">
        <f>ROW()</f>
        <v>15</v>
      </c>
      <c r="B15" s="18" t="s">
        <v>2740</v>
      </c>
      <c r="C15" s="18" t="s">
        <v>2695</v>
      </c>
      <c r="D15" s="19" t="str">
        <f t="shared" si="0"/>
        <v>3. Mindest- und Höchstleistungen</v>
      </c>
      <c r="E15" s="33" t="s">
        <v>2756</v>
      </c>
      <c r="F15" s="13" t="s">
        <v>4577</v>
      </c>
    </row>
    <row r="16" spans="1:6" ht="405">
      <c r="A16" s="17">
        <f>ROW()</f>
        <v>16</v>
      </c>
      <c r="B16" s="18" t="s">
        <v>2740</v>
      </c>
      <c r="C16" s="18" t="s">
        <v>2695</v>
      </c>
      <c r="D16" s="19" t="str">
        <f t="shared" si="0"/>
        <v>4. Anrechenbare oder als Beitragszeiten gewertete Zeiträume</v>
      </c>
      <c r="E16" s="33" t="s">
        <v>2757</v>
      </c>
      <c r="F16" s="13" t="s">
        <v>4578</v>
      </c>
    </row>
    <row r="17" spans="1:6" ht="242.25">
      <c r="A17" s="17">
        <f>ROW()</f>
        <v>17</v>
      </c>
      <c r="B17" s="18" t="s">
        <v>2740</v>
      </c>
      <c r="C17" s="18" t="s">
        <v>2695</v>
      </c>
      <c r="D17" s="19" t="str">
        <f t="shared" si="0"/>
        <v xml:space="preserve">5. Zulagen für Unterhaltsberechtigte  </v>
      </c>
      <c r="E17" s="33" t="s">
        <v>2759</v>
      </c>
      <c r="F17" s="6" t="s">
        <v>447</v>
      </c>
    </row>
    <row r="18" spans="1:6" ht="255" customHeight="1">
      <c r="A18" s="17">
        <f>ROW()</f>
        <v>18</v>
      </c>
      <c r="B18" s="18" t="s">
        <v>2740</v>
      </c>
      <c r="C18" s="18" t="str">
        <f>+E18</f>
        <v>Sonstige Leistungen</v>
      </c>
      <c r="D18" s="19" t="str">
        <f>+E18</f>
        <v>Sonstige Leistungen</v>
      </c>
      <c r="E18" s="32" t="s">
        <v>2678</v>
      </c>
      <c r="F18" s="13" t="s">
        <v>4579</v>
      </c>
    </row>
    <row r="19" spans="1:6" ht="409.5" customHeight="1">
      <c r="A19" s="17">
        <f>ROW()</f>
        <v>19</v>
      </c>
      <c r="B19" s="18" t="s">
        <v>2740</v>
      </c>
      <c r="C19" s="18" t="s">
        <v>2761</v>
      </c>
      <c r="D19" s="19" t="str">
        <f t="shared" si="0"/>
        <v>Umschulung, berufsbezogene Rehabilitation</v>
      </c>
      <c r="E19" s="33" t="s">
        <v>2762</v>
      </c>
      <c r="F19" s="13" t="s">
        <v>4580</v>
      </c>
    </row>
    <row r="20" spans="1:6" ht="409.5">
      <c r="A20" s="17">
        <f>ROW()</f>
        <v>20</v>
      </c>
      <c r="B20" s="18" t="s">
        <v>2740</v>
      </c>
      <c r="C20" s="18" t="s">
        <v>2761</v>
      </c>
      <c r="D20" s="19" t="str">
        <f t="shared" si="0"/>
        <v xml:space="preserve">Bevorzugte und reservierte Beschäftigung von Menschen mit Behinderungen  </v>
      </c>
      <c r="E20" s="33" t="s">
        <v>2763</v>
      </c>
      <c r="F20" s="6" t="s">
        <v>2827</v>
      </c>
    </row>
    <row r="21" spans="1:6" ht="171.75">
      <c r="A21" s="17">
        <f>ROW()</f>
        <v>21</v>
      </c>
      <c r="B21" s="18" t="s">
        <v>2740</v>
      </c>
      <c r="C21" s="18" t="s">
        <v>2765</v>
      </c>
      <c r="D21" s="19" t="str">
        <f t="shared" si="0"/>
        <v>Indexbindung/Anpassung</v>
      </c>
      <c r="E21" s="32" t="s">
        <v>2766</v>
      </c>
      <c r="F21" s="6" t="s">
        <v>2828</v>
      </c>
    </row>
    <row r="22" spans="1:6" ht="242.25">
      <c r="A22" s="17">
        <f>ROW()</f>
        <v>22</v>
      </c>
      <c r="B22" s="18" t="s">
        <v>2740</v>
      </c>
      <c r="C22" s="18" t="s">
        <v>2765</v>
      </c>
      <c r="D22" s="19" t="str">
        <f>+E22</f>
        <v>Kumulation mit Erwerbseinkommen</v>
      </c>
      <c r="E22" s="32" t="s">
        <v>2723</v>
      </c>
      <c r="F22" s="6" t="s">
        <v>2829</v>
      </c>
    </row>
    <row r="23" spans="1:6" ht="409.5" customHeight="1">
      <c r="A23" s="17">
        <f>ROW()</f>
        <v>23</v>
      </c>
      <c r="B23" s="18" t="s">
        <v>2740</v>
      </c>
      <c r="C23" s="18" t="s">
        <v>2765</v>
      </c>
      <c r="D23" s="19" t="str">
        <f t="shared" si="0"/>
        <v>Kumulation mit anderen Sozialleistungen</v>
      </c>
      <c r="E23" s="32" t="s">
        <v>2696</v>
      </c>
      <c r="F23" s="6" t="s">
        <v>4588</v>
      </c>
    </row>
    <row r="24" spans="1:6" ht="232.5">
      <c r="A24" s="17">
        <f>ROW()</f>
        <v>24</v>
      </c>
      <c r="B24" s="18" t="s">
        <v>2740</v>
      </c>
      <c r="C24" s="18" t="s">
        <v>2701</v>
      </c>
      <c r="D24" s="19" t="str">
        <f t="shared" si="0"/>
        <v>1. Besteuerung von Geldleistungen</v>
      </c>
      <c r="E24" s="33" t="s">
        <v>2770</v>
      </c>
      <c r="F24" s="6" t="s">
        <v>775</v>
      </c>
    </row>
    <row r="25" spans="1:6" ht="387">
      <c r="A25" s="17">
        <f>ROW()</f>
        <v>25</v>
      </c>
      <c r="B25" s="18" t="s">
        <v>2740</v>
      </c>
      <c r="C25" s="18" t="s">
        <v>2701</v>
      </c>
      <c r="D25" s="19" t="str">
        <f t="shared" si="0"/>
        <v>2. Einkommensgrenze für Besteuerung von Geldleistungen</v>
      </c>
      <c r="E25" s="33" t="s">
        <v>2772</v>
      </c>
      <c r="F25" s="6" t="s">
        <v>2830</v>
      </c>
    </row>
    <row r="26" spans="1:6" ht="288.75">
      <c r="A26" s="17">
        <f>ROW()</f>
        <v>26</v>
      </c>
      <c r="B26" s="18" t="s">
        <v>2740</v>
      </c>
      <c r="C26" s="18" t="s">
        <v>2701</v>
      </c>
      <c r="D26" s="19" t="str">
        <f t="shared" si="0"/>
        <v>3. Auf Leistungen anfallende Sozialabgaben</v>
      </c>
      <c r="E26" s="33" t="s">
        <v>2773</v>
      </c>
      <c r="F26" s="6" t="s">
        <v>817</v>
      </c>
    </row>
    <row r="27" spans="1:6" ht="138">
      <c r="A27" s="17">
        <f>ROW()</f>
        <v>27</v>
      </c>
      <c r="B27" s="18" t="s">
        <v>2740</v>
      </c>
      <c r="C27" s="18" t="s">
        <v>2775</v>
      </c>
      <c r="D27" s="19" t="str">
        <f t="shared" si="0"/>
        <v>Anwendungsbereich</v>
      </c>
      <c r="E27" s="33" t="s">
        <v>2708</v>
      </c>
      <c r="F27" s="6" t="s">
        <v>2831</v>
      </c>
    </row>
    <row r="28" spans="1:6" ht="110.25">
      <c r="A28" s="17">
        <f>ROW()</f>
        <v>28</v>
      </c>
      <c r="B28" s="18" t="s">
        <v>2740</v>
      </c>
      <c r="C28" s="18" t="s">
        <v>2775</v>
      </c>
      <c r="D28" s="19" t="str">
        <f t="shared" si="0"/>
        <v>Grundprinzipien</v>
      </c>
      <c r="E28" s="33" t="s">
        <v>2709</v>
      </c>
      <c r="F28" s="6" t="s">
        <v>864</v>
      </c>
    </row>
    <row r="29" spans="1:6" ht="224.25">
      <c r="A29" s="17">
        <f>ROW()</f>
        <v>29</v>
      </c>
      <c r="B29" s="18" t="s">
        <v>2740</v>
      </c>
      <c r="C29" s="18" t="s">
        <v>2775</v>
      </c>
      <c r="D29" s="19" t="str">
        <f t="shared" si="0"/>
        <v>Voraussetzungen für die Deckung</v>
      </c>
      <c r="E29" s="33" t="s">
        <v>2710</v>
      </c>
      <c r="F29" s="6" t="s">
        <v>1674</v>
      </c>
    </row>
    <row r="30" spans="1:6" ht="409.5">
      <c r="A30" s="17">
        <f>ROW()</f>
        <v>30</v>
      </c>
      <c r="B30" s="18" t="s">
        <v>2740</v>
      </c>
      <c r="C30" s="18" t="s">
        <v>2775</v>
      </c>
      <c r="D30" s="19" t="str">
        <f t="shared" si="0"/>
        <v>Kombination von selbstständiger und unselbstständiger Tätigkeit</v>
      </c>
      <c r="E30" s="33" t="s">
        <v>2698</v>
      </c>
      <c r="F30" s="6" t="s">
        <v>2832</v>
      </c>
    </row>
    <row r="31" spans="1:6" ht="376.5">
      <c r="A31" s="17">
        <f>ROW()</f>
        <v>31</v>
      </c>
      <c r="B31" s="18" t="s">
        <v>2740</v>
      </c>
      <c r="C31" s="18" t="s">
        <v>2695</v>
      </c>
      <c r="D31" s="19" t="str">
        <f t="shared" si="0"/>
        <v xml:space="preserve">Voraussetzungen für den Zugang zu Diensten/Leistungen </v>
      </c>
      <c r="E31" s="33" t="s">
        <v>2699</v>
      </c>
      <c r="F31" s="6" t="s">
        <v>4581</v>
      </c>
    </row>
    <row r="32" spans="1:6" ht="253.5">
      <c r="A32" s="17">
        <f>ROW()</f>
        <v>32</v>
      </c>
      <c r="B32" s="18" t="s">
        <v>2740</v>
      </c>
      <c r="C32" s="18" t="s">
        <v>2695</v>
      </c>
      <c r="D32" s="19" t="str">
        <f t="shared" si="0"/>
        <v>Beträge, Dauer und Kostenbeteiligung</v>
      </c>
      <c r="E32" s="33" t="s">
        <v>2700</v>
      </c>
      <c r="F32" s="6" t="s">
        <v>917</v>
      </c>
    </row>
    <row r="33" spans="1:6" ht="216">
      <c r="A33" s="17">
        <f>ROW()</f>
        <v>33</v>
      </c>
      <c r="B33" s="18" t="s">
        <v>2740</v>
      </c>
      <c r="C33" s="18" t="s">
        <v>2695</v>
      </c>
      <c r="D33" s="19" t="str">
        <f t="shared" si="0"/>
        <v>Besteuerung von Geldleistungen</v>
      </c>
      <c r="E33" s="33" t="s">
        <v>2681</v>
      </c>
      <c r="F33" s="6" t="s">
        <v>966</v>
      </c>
    </row>
    <row r="34" spans="1:6" ht="276.75">
      <c r="A34" s="17">
        <f>ROW()</f>
        <v>34</v>
      </c>
      <c r="B34" s="18" t="s">
        <v>2740</v>
      </c>
      <c r="C34" s="18" t="s">
        <v>2695</v>
      </c>
      <c r="D34" s="19" t="str">
        <f t="shared" si="0"/>
        <v xml:space="preserve"> Auf Leistungen anfallende Sozialabgaben</v>
      </c>
      <c r="E34" s="33" t="s">
        <v>2779</v>
      </c>
      <c r="F34" s="6" t="s">
        <v>980</v>
      </c>
    </row>
    <row r="35" spans="1:6" ht="177">
      <c r="A35" s="17">
        <f>ROW()</f>
        <v>35</v>
      </c>
      <c r="B35" s="18" t="s">
        <v>2780</v>
      </c>
      <c r="C35" s="18" t="str">
        <f>+D35</f>
        <v>Geltende Rechtsgrundlage</v>
      </c>
      <c r="D35" s="19" t="str">
        <f>+E35</f>
        <v>Geltende Rechtsgrundlage</v>
      </c>
      <c r="E35" s="32" t="s">
        <v>2724</v>
      </c>
      <c r="F35" s="6" t="s">
        <v>32</v>
      </c>
    </row>
    <row r="36" spans="1:6" ht="409.5" customHeight="1">
      <c r="A36" s="17">
        <f>ROW()</f>
        <v>36</v>
      </c>
      <c r="B36" s="18" t="s">
        <v>2780</v>
      </c>
      <c r="C36" s="18" t="str">
        <f>+D36</f>
        <v>Grundprinzipien</v>
      </c>
      <c r="D36" s="19" t="str">
        <f>+E36</f>
        <v>Grundprinzipien</v>
      </c>
      <c r="E36" s="32" t="s">
        <v>2709</v>
      </c>
      <c r="F36" s="6" t="s">
        <v>4582</v>
      </c>
    </row>
    <row r="37" spans="1:6" ht="159.75">
      <c r="A37" s="17">
        <f>ROW()</f>
        <v>37</v>
      </c>
      <c r="B37" s="18" t="s">
        <v>2780</v>
      </c>
      <c r="C37" s="18" t="s">
        <v>2708</v>
      </c>
      <c r="D37" s="19" t="str">
        <f>+E37</f>
        <v>1. Versicherte Personen</v>
      </c>
      <c r="E37" s="33" t="s">
        <v>2781</v>
      </c>
      <c r="F37" s="6" t="s">
        <v>95</v>
      </c>
    </row>
    <row r="38" spans="1:6" ht="371.25">
      <c r="A38" s="17">
        <f>ROW()</f>
        <v>38</v>
      </c>
      <c r="B38" s="18" t="s">
        <v>2780</v>
      </c>
      <c r="C38" s="18" t="s">
        <v>2708</v>
      </c>
      <c r="D38" s="19" t="str">
        <f t="shared" ref="D38:D58" si="1">+E38</f>
        <v>2. Ausnahmen von der Deckung  der Pflichtversicherung</v>
      </c>
      <c r="E38" s="33" t="s">
        <v>2782</v>
      </c>
      <c r="F38" s="6" t="s">
        <v>95</v>
      </c>
    </row>
    <row r="39" spans="1:6" ht="285" customHeight="1">
      <c r="A39" s="17">
        <f>ROW()</f>
        <v>39</v>
      </c>
      <c r="B39" s="18" t="s">
        <v>2780</v>
      </c>
      <c r="C39" s="18" t="s">
        <v>149</v>
      </c>
      <c r="D39" s="19" t="str">
        <f t="shared" si="1"/>
        <v>1. Rentenalter</v>
      </c>
      <c r="E39" s="33" t="s">
        <v>2784</v>
      </c>
      <c r="F39" s="6" t="s">
        <v>4583</v>
      </c>
    </row>
    <row r="40" spans="1:6" ht="285" customHeight="1">
      <c r="A40" s="17">
        <f>ROW()</f>
        <v>40</v>
      </c>
      <c r="B40" s="18" t="s">
        <v>2780</v>
      </c>
      <c r="C40" s="18" t="s">
        <v>149</v>
      </c>
      <c r="D40" s="19" t="str">
        <f t="shared" si="1"/>
        <v>2. Anwartschaftszeit und sonstige Anspruchsvoraussetzungen für den Bezug einer Altersrente</v>
      </c>
      <c r="E40" s="33" t="s">
        <v>2785</v>
      </c>
      <c r="F40" s="6" t="s">
        <v>182</v>
      </c>
    </row>
    <row r="41" spans="1:6" ht="194.25">
      <c r="A41" s="17">
        <f>ROW()</f>
        <v>41</v>
      </c>
      <c r="B41" s="18" t="s">
        <v>2780</v>
      </c>
      <c r="C41" s="18" t="s">
        <v>149</v>
      </c>
      <c r="D41" s="19" t="str">
        <f t="shared" si="1"/>
        <v>3. Vorruhestand</v>
      </c>
      <c r="E41" s="33" t="s">
        <v>2786</v>
      </c>
      <c r="F41" s="6" t="s">
        <v>213</v>
      </c>
    </row>
    <row r="42" spans="1:6" ht="409.5">
      <c r="A42" s="17">
        <f>ROW()</f>
        <v>42</v>
      </c>
      <c r="B42" s="18" t="s">
        <v>2780</v>
      </c>
      <c r="C42" s="18" t="s">
        <v>149</v>
      </c>
      <c r="D42" s="19" t="str">
        <f t="shared" si="1"/>
        <v>4. Beschwerliche und gefährliche Arbeit</v>
      </c>
      <c r="E42" s="33" t="s">
        <v>2787</v>
      </c>
      <c r="F42" s="6" t="s">
        <v>4584</v>
      </c>
    </row>
    <row r="43" spans="1:6" ht="194.25">
      <c r="A43" s="17">
        <f>ROW()</f>
        <v>43</v>
      </c>
      <c r="B43" s="18" t="s">
        <v>2780</v>
      </c>
      <c r="C43" s="18" t="s">
        <v>149</v>
      </c>
      <c r="D43" s="19" t="str">
        <f t="shared" si="1"/>
        <v>5. Rentenaufschub</v>
      </c>
      <c r="E43" s="33" t="s">
        <v>2788</v>
      </c>
      <c r="F43" s="6" t="s">
        <v>273</v>
      </c>
    </row>
    <row r="44" spans="1:6" ht="195" customHeight="1">
      <c r="A44" s="17">
        <f>ROW()</f>
        <v>44</v>
      </c>
      <c r="B44" s="18" t="s">
        <v>2780</v>
      </c>
      <c r="C44" s="18" t="s">
        <v>2695</v>
      </c>
      <c r="D44" s="19" t="str">
        <f t="shared" si="1"/>
        <v>1. Bestimmende Faktoren</v>
      </c>
      <c r="E44" s="33" t="s">
        <v>2789</v>
      </c>
      <c r="F44" s="6" t="s">
        <v>4585</v>
      </c>
    </row>
    <row r="45" spans="1:6" ht="195" customHeight="1">
      <c r="A45" s="17">
        <f>ROW()</f>
        <v>45</v>
      </c>
      <c r="B45" s="18" t="s">
        <v>2780</v>
      </c>
      <c r="C45" s="18" t="s">
        <v>2695</v>
      </c>
      <c r="D45" s="19" t="str">
        <f t="shared" si="1"/>
        <v>2. Berechnungsmethode, Rentenformel bzw. Beträge</v>
      </c>
      <c r="E45" s="33" t="s">
        <v>2790</v>
      </c>
      <c r="F45" s="6" t="s">
        <v>329</v>
      </c>
    </row>
    <row r="46" spans="1:6" ht="409.5" customHeight="1">
      <c r="A46" s="17">
        <f>ROW()</f>
        <v>46</v>
      </c>
      <c r="B46" s="18" t="s">
        <v>2780</v>
      </c>
      <c r="C46" s="18" t="s">
        <v>2695</v>
      </c>
      <c r="D46" s="19" t="str">
        <f t="shared" si="1"/>
        <v>3. Referenzeinkommen bzw. Berechnungsgrundlage</v>
      </c>
      <c r="E46" s="33" t="s">
        <v>2791</v>
      </c>
      <c r="F46" s="13" t="s">
        <v>4589</v>
      </c>
    </row>
    <row r="47" spans="1:6" ht="409.5" customHeight="1">
      <c r="A47" s="17">
        <f>ROW()</f>
        <v>47</v>
      </c>
      <c r="B47" s="18" t="s">
        <v>2780</v>
      </c>
      <c r="C47" s="18" t="s">
        <v>2695</v>
      </c>
      <c r="D47" s="19" t="str">
        <f t="shared" si="1"/>
        <v>4. Anrechenbare oder als Beitragszeiten gewertete Zeiträume</v>
      </c>
      <c r="E47" s="33" t="s">
        <v>2757</v>
      </c>
      <c r="F47" s="6" t="s">
        <v>4586</v>
      </c>
    </row>
    <row r="48" spans="1:6" ht="285" customHeight="1">
      <c r="A48" s="17">
        <f>ROW()</f>
        <v>48</v>
      </c>
      <c r="B48" s="18" t="s">
        <v>2780</v>
      </c>
      <c r="C48" s="18" t="s">
        <v>2695</v>
      </c>
      <c r="D48" s="19" t="str">
        <f t="shared" si="1"/>
        <v>5. Rückkauf von Versicherungszeiten</v>
      </c>
      <c r="E48" s="33" t="s">
        <v>2792</v>
      </c>
      <c r="F48" s="6" t="s">
        <v>4587</v>
      </c>
    </row>
    <row r="49" spans="1:6" ht="285" customHeight="1">
      <c r="A49" s="17">
        <f>ROW()</f>
        <v>49</v>
      </c>
      <c r="B49" s="18" t="s">
        <v>2780</v>
      </c>
      <c r="C49" s="18" t="s">
        <v>2695</v>
      </c>
      <c r="D49" s="19" t="str">
        <f t="shared" si="1"/>
        <v>6.  Zulagen für Unterhaltsberechtigte</v>
      </c>
      <c r="E49" s="33" t="s">
        <v>2892</v>
      </c>
      <c r="F49" s="6" t="s">
        <v>447</v>
      </c>
    </row>
    <row r="50" spans="1:6" ht="145.5">
      <c r="A50" s="17">
        <f>ROW()</f>
        <v>50</v>
      </c>
      <c r="B50" s="18" t="s">
        <v>2780</v>
      </c>
      <c r="C50" s="18" t="s">
        <v>2695</v>
      </c>
      <c r="D50" s="19" t="str">
        <f t="shared" si="1"/>
        <v>7. Besondere Zulagen</v>
      </c>
      <c r="E50" s="33" t="s">
        <v>2793</v>
      </c>
      <c r="F50" s="6" t="s">
        <v>472</v>
      </c>
    </row>
    <row r="51" spans="1:6" ht="360.75">
      <c r="A51" s="17">
        <f>ROW()</f>
        <v>51</v>
      </c>
      <c r="B51" s="18" t="s">
        <v>2780</v>
      </c>
      <c r="C51" s="18" t="s">
        <v>2695</v>
      </c>
      <c r="D51" s="19" t="str">
        <f t="shared" si="1"/>
        <v>8. Mindestrente und bedürftigkeitsabhängige Leistung</v>
      </c>
      <c r="E51" s="33" t="s">
        <v>2794</v>
      </c>
      <c r="F51" s="6" t="s">
        <v>500</v>
      </c>
    </row>
    <row r="52" spans="1:6" ht="101.25">
      <c r="A52" s="17">
        <f>ROW()</f>
        <v>52</v>
      </c>
      <c r="B52" s="18" t="s">
        <v>2780</v>
      </c>
      <c r="C52" s="18" t="s">
        <v>2695</v>
      </c>
      <c r="D52" s="19" t="str">
        <f t="shared" si="1"/>
        <v>9. Höchstrente</v>
      </c>
      <c r="E52" s="33" t="s">
        <v>2795</v>
      </c>
      <c r="F52" s="6" t="s">
        <v>95</v>
      </c>
    </row>
    <row r="53" spans="1:6" ht="119.25">
      <c r="A53" s="17">
        <f>ROW()</f>
        <v>53</v>
      </c>
      <c r="B53" s="18" t="s">
        <v>2780</v>
      </c>
      <c r="C53" s="18" t="s">
        <v>2695</v>
      </c>
      <c r="D53" s="19" t="str">
        <f t="shared" si="1"/>
        <v>10. Vorruhestand</v>
      </c>
      <c r="E53" s="33" t="s">
        <v>2796</v>
      </c>
      <c r="F53" s="6" t="s">
        <v>557</v>
      </c>
    </row>
    <row r="54" spans="1:6" ht="272.25">
      <c r="A54" s="17">
        <f>ROW()</f>
        <v>54</v>
      </c>
      <c r="B54" s="18" t="s">
        <v>2780</v>
      </c>
      <c r="C54" s="18" t="s">
        <v>2695</v>
      </c>
      <c r="D54" s="19" t="str">
        <f t="shared" si="1"/>
        <v>11. Beschwerliche und gefährliche Arbeit</v>
      </c>
      <c r="E54" s="33" t="s">
        <v>2797</v>
      </c>
      <c r="F54" s="6" t="s">
        <v>586</v>
      </c>
    </row>
    <row r="55" spans="1:6" ht="87.75">
      <c r="A55" s="17">
        <f>ROW()</f>
        <v>55</v>
      </c>
      <c r="B55" s="18" t="s">
        <v>2780</v>
      </c>
      <c r="C55" s="18" t="s">
        <v>2695</v>
      </c>
      <c r="D55" s="19" t="str">
        <f t="shared" si="1"/>
        <v>12. Teilrente</v>
      </c>
      <c r="E55" s="33" t="s">
        <v>2798</v>
      </c>
      <c r="F55" s="6" t="s">
        <v>611</v>
      </c>
    </row>
    <row r="56" spans="1:6" ht="171.75">
      <c r="A56" s="17">
        <f>ROW()</f>
        <v>56</v>
      </c>
      <c r="B56" s="18" t="s">
        <v>2780</v>
      </c>
      <c r="C56" s="18" t="s">
        <v>2695</v>
      </c>
      <c r="D56" s="19" t="str">
        <f t="shared" si="1"/>
        <v>13. Aufgeschobene Rente</v>
      </c>
      <c r="E56" s="33" t="s">
        <v>2893</v>
      </c>
      <c r="F56" s="6" t="s">
        <v>638</v>
      </c>
    </row>
    <row r="57" spans="1:6" ht="179.25">
      <c r="A57" s="17">
        <f>ROW()</f>
        <v>57</v>
      </c>
      <c r="B57" s="18" t="s">
        <v>2780</v>
      </c>
      <c r="C57" s="18" t="s">
        <v>2799</v>
      </c>
      <c r="D57" s="19" t="s">
        <v>2799</v>
      </c>
      <c r="E57" s="32" t="s">
        <v>2799</v>
      </c>
      <c r="F57" s="6" t="s">
        <v>669</v>
      </c>
    </row>
    <row r="58" spans="1:6" ht="242.25">
      <c r="A58" s="17">
        <f>ROW()</f>
        <v>58</v>
      </c>
      <c r="B58" s="18" t="s">
        <v>2780</v>
      </c>
      <c r="C58" s="18" t="s">
        <v>2799</v>
      </c>
      <c r="D58" s="19" t="str">
        <f t="shared" si="1"/>
        <v xml:space="preserve">Kumulation mit Erwerbseinkommen </v>
      </c>
      <c r="E58" s="32" t="s">
        <v>2697</v>
      </c>
      <c r="F58" s="6" t="s">
        <v>700</v>
      </c>
    </row>
    <row r="59" spans="1:6" ht="286.5">
      <c r="A59" s="17">
        <f>ROW()</f>
        <v>59</v>
      </c>
      <c r="B59" s="18" t="s">
        <v>2780</v>
      </c>
      <c r="C59" s="18" t="s">
        <v>2799</v>
      </c>
      <c r="D59" s="19" t="s">
        <v>2800</v>
      </c>
      <c r="E59" s="32" t="s">
        <v>2696</v>
      </c>
      <c r="F59" s="6" t="s">
        <v>731</v>
      </c>
    </row>
    <row r="60" spans="1:6" ht="225.75">
      <c r="A60" s="17">
        <f>ROW()</f>
        <v>60</v>
      </c>
      <c r="B60" s="18" t="s">
        <v>2780</v>
      </c>
      <c r="C60" s="18" t="s">
        <v>761</v>
      </c>
      <c r="D60" s="19" t="str">
        <f t="shared" ref="D60:D70" si="2">+E60</f>
        <v>1. Besteuerung von Renten</v>
      </c>
      <c r="E60" s="33" t="s">
        <v>2801</v>
      </c>
      <c r="F60" s="6" t="s">
        <v>763</v>
      </c>
    </row>
    <row r="61" spans="1:6" ht="335.25">
      <c r="A61" s="17">
        <f>ROW()</f>
        <v>61</v>
      </c>
      <c r="B61" s="18" t="s">
        <v>2780</v>
      </c>
      <c r="C61" s="18" t="s">
        <v>761</v>
      </c>
      <c r="D61" s="19" t="str">
        <f t="shared" si="2"/>
        <v>2. Einkommensgrenze für Besteuerung von Renten</v>
      </c>
      <c r="E61" s="33" t="s">
        <v>2802</v>
      </c>
      <c r="F61" s="6" t="s">
        <v>789</v>
      </c>
    </row>
    <row r="62" spans="1:6" ht="264">
      <c r="A62" s="17">
        <f>ROW()</f>
        <v>62</v>
      </c>
      <c r="B62" s="18" t="s">
        <v>2780</v>
      </c>
      <c r="C62" s="18" t="s">
        <v>761</v>
      </c>
      <c r="D62" s="19" t="str">
        <f t="shared" si="2"/>
        <v>3. Auf Renten anfallende Sozialabgaben</v>
      </c>
      <c r="E62" s="33" t="s">
        <v>2803</v>
      </c>
      <c r="F62" s="6" t="s">
        <v>817</v>
      </c>
    </row>
    <row r="63" spans="1:6" ht="138">
      <c r="A63" s="17">
        <f>ROW()</f>
        <v>63</v>
      </c>
      <c r="B63" s="18" t="s">
        <v>2804</v>
      </c>
      <c r="C63" s="18" t="str">
        <f>+E63</f>
        <v>Anwendungsbereich</v>
      </c>
      <c r="D63" s="19" t="str">
        <f t="shared" si="2"/>
        <v>Anwendungsbereich</v>
      </c>
      <c r="E63" s="33" t="s">
        <v>2708</v>
      </c>
      <c r="F63" s="6" t="s">
        <v>839</v>
      </c>
    </row>
    <row r="64" spans="1:6" ht="132.75">
      <c r="A64" s="17">
        <f>ROW()</f>
        <v>64</v>
      </c>
      <c r="B64" s="18" t="s">
        <v>2804</v>
      </c>
      <c r="C64" s="18" t="s">
        <v>2775</v>
      </c>
      <c r="D64" s="19" t="str">
        <f t="shared" si="2"/>
        <v>Grundprinzipien</v>
      </c>
      <c r="E64" s="33" t="s">
        <v>2709</v>
      </c>
      <c r="F64" s="6" t="s">
        <v>864</v>
      </c>
    </row>
    <row r="65" spans="1:6" ht="224.25">
      <c r="A65" s="17">
        <f>ROW()</f>
        <v>65</v>
      </c>
      <c r="B65" s="18" t="s">
        <v>2804</v>
      </c>
      <c r="C65" s="18" t="s">
        <v>2775</v>
      </c>
      <c r="D65" s="19" t="str">
        <f t="shared" si="2"/>
        <v>Voraussetzungen für die Deckung</v>
      </c>
      <c r="E65" s="33" t="s">
        <v>2710</v>
      </c>
      <c r="F65" s="6" t="s">
        <v>893</v>
      </c>
    </row>
    <row r="66" spans="1:6" ht="409.5">
      <c r="A66" s="17">
        <f>ROW()</f>
        <v>66</v>
      </c>
      <c r="B66" s="18" t="s">
        <v>2804</v>
      </c>
      <c r="C66" s="18" t="s">
        <v>2775</v>
      </c>
      <c r="D66" s="19" t="str">
        <f t="shared" si="2"/>
        <v>Kombination von selbstständiger und unselbstständiger Tätigkeit</v>
      </c>
      <c r="E66" s="33" t="s">
        <v>2698</v>
      </c>
      <c r="F66" s="6" t="s">
        <v>919</v>
      </c>
    </row>
    <row r="67" spans="1:6" ht="376.5">
      <c r="A67" s="17">
        <f>ROW()</f>
        <v>67</v>
      </c>
      <c r="B67" s="18" t="s">
        <v>2804</v>
      </c>
      <c r="C67" s="18" t="s">
        <v>2695</v>
      </c>
      <c r="D67" s="19" t="str">
        <f t="shared" si="2"/>
        <v xml:space="preserve">Voraussetzungen für den Zugang zu Diensten/Leistungen </v>
      </c>
      <c r="E67" s="33" t="s">
        <v>2699</v>
      </c>
      <c r="F67" s="6" t="s">
        <v>917</v>
      </c>
    </row>
    <row r="68" spans="1:6" ht="253.5">
      <c r="A68" s="17">
        <f>ROW()</f>
        <v>68</v>
      </c>
      <c r="B68" s="18" t="s">
        <v>2804</v>
      </c>
      <c r="C68" s="18" t="s">
        <v>2695</v>
      </c>
      <c r="D68" s="19" t="str">
        <f t="shared" si="2"/>
        <v>Beträge, Dauer und Kostenbeteiligung</v>
      </c>
      <c r="E68" s="33" t="s">
        <v>2700</v>
      </c>
      <c r="F68" s="6" t="s">
        <v>917</v>
      </c>
    </row>
    <row r="69" spans="1:6" ht="216">
      <c r="A69" s="17">
        <f>ROW()</f>
        <v>69</v>
      </c>
      <c r="B69" s="18" t="s">
        <v>2804</v>
      </c>
      <c r="C69" s="18" t="s">
        <v>2695</v>
      </c>
      <c r="D69" s="19" t="str">
        <f t="shared" si="2"/>
        <v>Besteuerung von Geldleistungen</v>
      </c>
      <c r="E69" s="33" t="s">
        <v>2681</v>
      </c>
      <c r="F69" s="6" t="s">
        <v>966</v>
      </c>
    </row>
    <row r="70" spans="1:6" ht="272.25">
      <c r="A70" s="17">
        <f>ROW()</f>
        <v>70</v>
      </c>
      <c r="B70" s="18" t="s">
        <v>2804</v>
      </c>
      <c r="C70" s="18" t="s">
        <v>2695</v>
      </c>
      <c r="D70" s="19" t="str">
        <f t="shared" si="2"/>
        <v>Auf Leistungen anfallende Sozialabgaben</v>
      </c>
      <c r="E70" s="33" t="s">
        <v>2683</v>
      </c>
      <c r="F70" s="6" t="s">
        <v>980</v>
      </c>
    </row>
    <row r="71" spans="1:6" ht="177">
      <c r="A71" s="17">
        <f>ROW()</f>
        <v>71</v>
      </c>
      <c r="B71" s="18" t="s">
        <v>2702</v>
      </c>
      <c r="C71" s="18" t="str">
        <f t="shared" ref="C71:D75" si="3">+D71</f>
        <v>Geltende Rechtsgrundlage</v>
      </c>
      <c r="D71" s="19" t="str">
        <f t="shared" si="3"/>
        <v>Geltende Rechtsgrundlage</v>
      </c>
      <c r="E71" s="32" t="s">
        <v>2724</v>
      </c>
      <c r="F71" s="6" t="s">
        <v>991</v>
      </c>
    </row>
    <row r="72" spans="1:6" ht="110.25">
      <c r="A72" s="17">
        <f>ROW()</f>
        <v>72</v>
      </c>
      <c r="B72" s="18" t="s">
        <v>2702</v>
      </c>
      <c r="C72" s="18" t="str">
        <f t="shared" si="3"/>
        <v>Grundprinzipien</v>
      </c>
      <c r="D72" s="19" t="str">
        <f t="shared" si="3"/>
        <v>Grundprinzipien</v>
      </c>
      <c r="E72" s="32" t="s">
        <v>2709</v>
      </c>
      <c r="F72" s="6" t="s">
        <v>1017</v>
      </c>
    </row>
    <row r="73" spans="1:6" ht="315">
      <c r="A73" s="17">
        <f>ROW()</f>
        <v>73</v>
      </c>
      <c r="B73" s="18" t="s">
        <v>2702</v>
      </c>
      <c r="C73" s="19" t="str">
        <f t="shared" si="3"/>
        <v>Anwendungsbereich (in Bezug auf Verstorbene)</v>
      </c>
      <c r="D73" s="19" t="str">
        <f t="shared" si="3"/>
        <v>Anwendungsbereich (in Bezug auf Verstorbene)</v>
      </c>
      <c r="E73" s="32" t="s">
        <v>2725</v>
      </c>
      <c r="F73" s="6" t="s">
        <v>95</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95</v>
      </c>
    </row>
    <row r="75" spans="1:6" ht="144.75">
      <c r="A75" s="17">
        <f>ROW()</f>
        <v>75</v>
      </c>
      <c r="B75" s="18" t="s">
        <v>2702</v>
      </c>
      <c r="C75" s="19" t="str">
        <f t="shared" si="3"/>
        <v>Berechtigte Personen</v>
      </c>
      <c r="D75" s="19" t="str">
        <f t="shared" si="3"/>
        <v>Berechtigte Personen</v>
      </c>
      <c r="E75" s="32" t="s">
        <v>2730</v>
      </c>
      <c r="F75" s="6" t="s">
        <v>1092</v>
      </c>
    </row>
    <row r="76" spans="1:6" ht="102">
      <c r="A76" s="17">
        <f>ROW()</f>
        <v>76</v>
      </c>
      <c r="B76" s="18" t="s">
        <v>2702</v>
      </c>
      <c r="C76" s="1"/>
      <c r="D76" s="129"/>
      <c r="E76" s="32" t="s">
        <v>2783</v>
      </c>
      <c r="F76" s="6"/>
    </row>
    <row r="77" spans="1:6" ht="189.75">
      <c r="A77" s="17">
        <f>ROW()</f>
        <v>77</v>
      </c>
      <c r="B77" s="18" t="s">
        <v>2702</v>
      </c>
      <c r="C77" s="18" t="s">
        <v>2805</v>
      </c>
      <c r="D77" s="19" t="str">
        <f t="shared" ref="D77:D90" si="4">+E77</f>
        <v>1. Verstorbener Versicherter</v>
      </c>
      <c r="E77" s="33" t="s">
        <v>2806</v>
      </c>
      <c r="F77" s="6" t="s">
        <v>1123</v>
      </c>
    </row>
    <row r="78" spans="1:6" ht="185.25">
      <c r="A78" s="17">
        <f>ROW()</f>
        <v>78</v>
      </c>
      <c r="B78" s="18" t="s">
        <v>2702</v>
      </c>
      <c r="C78" s="18" t="s">
        <v>2805</v>
      </c>
      <c r="D78" s="19" t="str">
        <f t="shared" si="4"/>
        <v>2. Hinterbliebener Ehegatte</v>
      </c>
      <c r="E78" s="33" t="s">
        <v>2807</v>
      </c>
      <c r="F78" s="6" t="s">
        <v>1154</v>
      </c>
    </row>
    <row r="79" spans="1:6" ht="181.5">
      <c r="A79" s="17">
        <f>ROW()</f>
        <v>79</v>
      </c>
      <c r="B79" s="18" t="s">
        <v>2702</v>
      </c>
      <c r="C79" s="18" t="s">
        <v>2805</v>
      </c>
      <c r="D79" s="19" t="str">
        <f t="shared" si="4"/>
        <v>3. Geschiedener Ehegatte</v>
      </c>
      <c r="E79" s="33" t="s">
        <v>2808</v>
      </c>
      <c r="F79" s="6" t="s">
        <v>373</v>
      </c>
    </row>
    <row r="80" spans="1:6" ht="216">
      <c r="A80" s="17">
        <f>ROW()</f>
        <v>80</v>
      </c>
      <c r="B80" s="18" t="s">
        <v>2702</v>
      </c>
      <c r="C80" s="18" t="s">
        <v>2805</v>
      </c>
      <c r="D80" s="19" t="str">
        <f t="shared" si="4"/>
        <v>4. Hinterbliebene Lebenspartner</v>
      </c>
      <c r="E80" s="33" t="s">
        <v>2809</v>
      </c>
      <c r="F80" s="6" t="s">
        <v>373</v>
      </c>
    </row>
    <row r="81" spans="1:6" ht="181.5">
      <c r="A81" s="17">
        <f>ROW()</f>
        <v>81</v>
      </c>
      <c r="B81" s="18" t="s">
        <v>2702</v>
      </c>
      <c r="C81" s="18" t="s">
        <v>2805</v>
      </c>
      <c r="D81" s="19" t="str">
        <f t="shared" si="4"/>
        <v>5. Kinder</v>
      </c>
      <c r="E81" s="33" t="s">
        <v>2810</v>
      </c>
      <c r="F81" s="6" t="s">
        <v>1235</v>
      </c>
    </row>
    <row r="82" spans="1:6" ht="181.5">
      <c r="A82" s="17">
        <f>ROW()</f>
        <v>82</v>
      </c>
      <c r="B82" s="18" t="s">
        <v>2702</v>
      </c>
      <c r="C82" s="18" t="s">
        <v>2805</v>
      </c>
      <c r="D82" s="19" t="str">
        <f t="shared" si="4"/>
        <v>6. Andere Personen</v>
      </c>
      <c r="E82" s="33" t="s">
        <v>2811</v>
      </c>
      <c r="F82" s="6" t="s">
        <v>1266</v>
      </c>
    </row>
    <row r="83" spans="1:6" ht="409.5">
      <c r="A83" s="17">
        <f>ROW()</f>
        <v>83</v>
      </c>
      <c r="B83" s="18" t="s">
        <v>2702</v>
      </c>
      <c r="C83" s="18" t="s">
        <v>2695</v>
      </c>
      <c r="D83" s="19" t="str">
        <f t="shared" si="4"/>
        <v>1. Hinterbliebener Ehegatte, geschiedener Ehegatte, hinterbliebene Lebenspartner</v>
      </c>
      <c r="E83" s="33" t="s">
        <v>2812</v>
      </c>
      <c r="F83" s="13" t="s">
        <v>4590</v>
      </c>
    </row>
    <row r="84" spans="1:6" ht="280.5">
      <c r="A84" s="17">
        <f>ROW()</f>
        <v>84</v>
      </c>
      <c r="B84" s="18" t="s">
        <v>2702</v>
      </c>
      <c r="C84" s="18" t="s">
        <v>2695</v>
      </c>
      <c r="D84" s="19" t="str">
        <f t="shared" si="4"/>
        <v>2. Hinterbliebener Ehegatte: Wiederheirat</v>
      </c>
      <c r="E84" s="33" t="s">
        <v>2813</v>
      </c>
      <c r="F84" s="6" t="s">
        <v>1314</v>
      </c>
    </row>
    <row r="85" spans="1:6" ht="102">
      <c r="A85" s="17">
        <f>ROW()</f>
        <v>85</v>
      </c>
      <c r="B85" s="18" t="s">
        <v>2702</v>
      </c>
      <c r="C85" s="18" t="s">
        <v>2695</v>
      </c>
      <c r="D85" s="19" t="str">
        <f t="shared" si="4"/>
        <v>3. Kinder</v>
      </c>
      <c r="E85" s="33" t="s">
        <v>2814</v>
      </c>
      <c r="F85" s="6" t="s">
        <v>1343</v>
      </c>
    </row>
    <row r="86" spans="1:6" ht="147">
      <c r="A86" s="17">
        <f>ROW()</f>
        <v>86</v>
      </c>
      <c r="B86" s="18" t="s">
        <v>2702</v>
      </c>
      <c r="C86" s="18" t="s">
        <v>2695</v>
      </c>
      <c r="D86" s="19" t="str">
        <f t="shared" si="4"/>
        <v>4. Andere Berechtigte</v>
      </c>
      <c r="E86" s="33" t="s">
        <v>2815</v>
      </c>
      <c r="F86" s="6" t="s">
        <v>1373</v>
      </c>
    </row>
    <row r="87" spans="1:6" ht="381">
      <c r="A87" s="17">
        <f>ROW()</f>
        <v>87</v>
      </c>
      <c r="B87" s="18" t="s">
        <v>2702</v>
      </c>
      <c r="C87" s="18" t="s">
        <v>2695</v>
      </c>
      <c r="D87" s="19" t="str">
        <f t="shared" si="4"/>
        <v xml:space="preserve"> 5. Höchster zahlbarer Gesamtbetrag für alle Berechtigten</v>
      </c>
      <c r="E87" s="33" t="s">
        <v>2816</v>
      </c>
      <c r="F87" s="6" t="s">
        <v>1389</v>
      </c>
    </row>
    <row r="88" spans="1:6" ht="151.5">
      <c r="A88" s="17">
        <f>ROW()</f>
        <v>88</v>
      </c>
      <c r="B88" s="18" t="s">
        <v>2702</v>
      </c>
      <c r="C88" s="18" t="s">
        <v>2695</v>
      </c>
      <c r="D88" s="19" t="str">
        <f t="shared" si="4"/>
        <v>6. Sonstige Leistungen</v>
      </c>
      <c r="E88" s="33" t="s">
        <v>2817</v>
      </c>
      <c r="F88" s="6" t="s">
        <v>1414</v>
      </c>
    </row>
    <row r="89" spans="1:6" ht="126.75">
      <c r="A89" s="17">
        <f>ROW()</f>
        <v>89</v>
      </c>
      <c r="B89" s="18" t="s">
        <v>2702</v>
      </c>
      <c r="C89" s="18" t="s">
        <v>2695</v>
      </c>
      <c r="D89" s="19" t="str">
        <f>+E89</f>
        <v>7. Mindestleistung</v>
      </c>
      <c r="E89" s="33" t="s">
        <v>2818</v>
      </c>
      <c r="F89" s="6" t="s">
        <v>1443</v>
      </c>
    </row>
    <row r="90" spans="1:6" ht="122.25">
      <c r="A90" s="17">
        <f>ROW()</f>
        <v>90</v>
      </c>
      <c r="B90" s="18" t="s">
        <v>2702</v>
      </c>
      <c r="C90" s="18" t="s">
        <v>2695</v>
      </c>
      <c r="D90" s="19" t="str">
        <f t="shared" si="4"/>
        <v xml:space="preserve"> 8. Höchstleistung</v>
      </c>
      <c r="E90" s="33" t="s">
        <v>2819</v>
      </c>
      <c r="F90" s="6" t="s">
        <v>1471</v>
      </c>
    </row>
    <row r="91" spans="1:6" ht="179.25">
      <c r="A91" s="17">
        <f>ROW()</f>
        <v>91</v>
      </c>
      <c r="B91" s="18" t="s">
        <v>2702</v>
      </c>
      <c r="C91" s="18" t="s">
        <v>2799</v>
      </c>
      <c r="D91" s="19" t="str">
        <f>+C91</f>
        <v>Indexbindung / Anpassung</v>
      </c>
      <c r="E91" s="32" t="s">
        <v>2799</v>
      </c>
      <c r="F91" s="6" t="s">
        <v>1492</v>
      </c>
    </row>
    <row r="92" spans="1:6" ht="242.25">
      <c r="A92" s="17">
        <f>ROW()</f>
        <v>92</v>
      </c>
      <c r="B92" s="18" t="s">
        <v>2702</v>
      </c>
      <c r="C92" s="18" t="s">
        <v>2799</v>
      </c>
      <c r="D92" s="19" t="str">
        <f t="shared" ref="D92:D105" si="5">+E92</f>
        <v>Kumulation mit Erwerbseinkommen</v>
      </c>
      <c r="E92" s="32" t="s">
        <v>2723</v>
      </c>
      <c r="F92" s="6" t="s">
        <v>1522</v>
      </c>
    </row>
    <row r="93" spans="1:6" ht="275.25">
      <c r="A93" s="17">
        <f>ROW()</f>
        <v>93</v>
      </c>
      <c r="B93" s="18" t="s">
        <v>2702</v>
      </c>
      <c r="C93" s="18" t="s">
        <v>2799</v>
      </c>
      <c r="D93" s="19" t="str">
        <f t="shared" si="5"/>
        <v>Kumulation mit anderen Sozialleistungen</v>
      </c>
      <c r="E93" s="32" t="s">
        <v>2696</v>
      </c>
      <c r="F93" s="6" t="s">
        <v>1553</v>
      </c>
    </row>
    <row r="94" spans="1:6" ht="232.5">
      <c r="A94" s="17">
        <f>ROW()</f>
        <v>94</v>
      </c>
      <c r="B94" s="18" t="s">
        <v>2702</v>
      </c>
      <c r="C94" s="19" t="s">
        <v>2701</v>
      </c>
      <c r="D94" s="19" t="str">
        <f t="shared" si="5"/>
        <v>1. Besteuerung von Geldleistungen</v>
      </c>
      <c r="E94" s="33" t="s">
        <v>2770</v>
      </c>
      <c r="F94" s="6" t="s">
        <v>1584</v>
      </c>
    </row>
    <row r="95" spans="1:6" ht="387">
      <c r="A95" s="17">
        <f>ROW()</f>
        <v>95</v>
      </c>
      <c r="B95" s="18" t="s">
        <v>2702</v>
      </c>
      <c r="C95" s="19" t="s">
        <v>2701</v>
      </c>
      <c r="D95" s="19" t="str">
        <f t="shared" si="5"/>
        <v>2. Einkommensgrenze für Besteuerung von Geldleistungen</v>
      </c>
      <c r="E95" s="33" t="s">
        <v>2772</v>
      </c>
      <c r="F95" s="6" t="s">
        <v>1602</v>
      </c>
    </row>
    <row r="96" spans="1:6" ht="288.75">
      <c r="A96" s="17">
        <f>ROW()</f>
        <v>96</v>
      </c>
      <c r="B96" s="18" t="s">
        <v>2702</v>
      </c>
      <c r="C96" s="19" t="s">
        <v>2701</v>
      </c>
      <c r="D96" s="19" t="str">
        <f t="shared" si="5"/>
        <v>3. Auf Leistungen anfallende Sozialabgaben</v>
      </c>
      <c r="E96" s="33" t="s">
        <v>2773</v>
      </c>
      <c r="F96" s="6" t="s">
        <v>827</v>
      </c>
    </row>
    <row r="97" spans="1:6" ht="138">
      <c r="A97" s="17">
        <f>ROW()</f>
        <v>97</v>
      </c>
      <c r="B97" s="18" t="s">
        <v>2702</v>
      </c>
      <c r="C97" s="19" t="s">
        <v>2775</v>
      </c>
      <c r="D97" s="19" t="str">
        <f t="shared" si="5"/>
        <v>Anwendungsbereich</v>
      </c>
      <c r="E97" s="33" t="s">
        <v>2708</v>
      </c>
      <c r="F97" s="6" t="s">
        <v>1643</v>
      </c>
    </row>
    <row r="98" spans="1:6" ht="110.25">
      <c r="A98" s="17">
        <f>ROW()</f>
        <v>98</v>
      </c>
      <c r="B98" s="18" t="s">
        <v>2702</v>
      </c>
      <c r="C98" s="19" t="s">
        <v>2775</v>
      </c>
      <c r="D98" s="19" t="str">
        <f t="shared" si="5"/>
        <v>Grundprinzipien</v>
      </c>
      <c r="E98" s="33" t="s">
        <v>2709</v>
      </c>
      <c r="F98" s="6" t="s">
        <v>864</v>
      </c>
    </row>
    <row r="99" spans="1:6" ht="224.25">
      <c r="A99" s="17">
        <f>ROW()</f>
        <v>99</v>
      </c>
      <c r="B99" s="18" t="s">
        <v>2702</v>
      </c>
      <c r="C99" s="19" t="s">
        <v>2775</v>
      </c>
      <c r="D99" s="19" t="str">
        <f t="shared" si="5"/>
        <v>Voraussetzungen für die Deckung</v>
      </c>
      <c r="E99" s="33" t="s">
        <v>2710</v>
      </c>
      <c r="F99" s="6" t="s">
        <v>1674</v>
      </c>
    </row>
    <row r="100" spans="1:6" ht="409.5">
      <c r="A100" s="17">
        <f>ROW()</f>
        <v>100</v>
      </c>
      <c r="B100" s="18" t="s">
        <v>2702</v>
      </c>
      <c r="C100" s="19" t="s">
        <v>2775</v>
      </c>
      <c r="D100" s="19" t="str">
        <f t="shared" si="5"/>
        <v>Kombination von selbstständiger und unselbstständiger Tätigkeit</v>
      </c>
      <c r="E100" s="33" t="s">
        <v>2698</v>
      </c>
      <c r="F100" s="6" t="s">
        <v>1683</v>
      </c>
    </row>
    <row r="101" spans="1:6" ht="376.5">
      <c r="A101" s="17">
        <f>ROW()</f>
        <v>101</v>
      </c>
      <c r="B101" s="18" t="s">
        <v>2702</v>
      </c>
      <c r="C101" s="19" t="s">
        <v>2775</v>
      </c>
      <c r="D101" s="19" t="str">
        <f t="shared" si="5"/>
        <v xml:space="preserve">Voraussetzungen für den Zugang zu Diensten/Leistungen </v>
      </c>
      <c r="E101" s="33" t="s">
        <v>2699</v>
      </c>
      <c r="F101" s="6" t="s">
        <v>1693</v>
      </c>
    </row>
    <row r="102" spans="1:6" ht="253.5">
      <c r="A102" s="17">
        <f>ROW()</f>
        <v>102</v>
      </c>
      <c r="B102" s="18" t="s">
        <v>2702</v>
      </c>
      <c r="C102" s="19" t="s">
        <v>2775</v>
      </c>
      <c r="D102" s="19" t="str">
        <f t="shared" si="5"/>
        <v>Beträge, Dauer und Kostenbeteiligung</v>
      </c>
      <c r="E102" s="33" t="s">
        <v>2700</v>
      </c>
      <c r="F102" s="6" t="s">
        <v>917</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966</v>
      </c>
    </row>
    <row r="105" spans="1:6" ht="272.25">
      <c r="A105" s="17">
        <f>ROW()</f>
        <v>105</v>
      </c>
      <c r="B105" s="18" t="s">
        <v>2702</v>
      </c>
      <c r="C105" s="19" t="s">
        <v>2775</v>
      </c>
      <c r="D105" s="19" t="str">
        <f t="shared" si="5"/>
        <v>Auf Leistungen anfallende Sozialabgaben</v>
      </c>
      <c r="E105" s="33" t="s">
        <v>2683</v>
      </c>
      <c r="F105" s="6" t="s">
        <v>980</v>
      </c>
    </row>
    <row r="106" spans="1:6"/>
    <row r="107" spans="1:6"/>
    <row r="108" spans="1:6"/>
    <row r="109" spans="1:6"/>
    <row r="110" spans="1:6"/>
    <row r="111" spans="1:6"/>
    <row r="112" spans="1:6"/>
    <row r="113"/>
  </sheetData>
  <sheetProtection formatColumns="0" autoFilter="0"/>
  <autoFilter ref="A2:XFD2" xr:uid="{F21685E8-5077-413D-816F-47E01BF4FA63}"/>
  <mergeCells count="3">
    <mergeCell ref="B1:B2"/>
    <mergeCell ref="C1:C2"/>
    <mergeCell ref="D1:D2"/>
  </mergeCells>
  <pageMargins left="0.7" right="0.7" top="0.78740157499999996" bottom="0.78740157499999996"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ACD67-8A90-41FE-BD7E-971CC32A310F}">
  <sheetPr codeName="Tabelle4" filterMode="1"/>
  <dimension ref="A1:F113"/>
  <sheetViews>
    <sheetView workbookViewId="0">
      <pane xSplit="5" ySplit="2" topLeftCell="F50" activePane="bottomRight" state="frozen"/>
      <selection activeCell="F2" sqref="F2"/>
      <selection pane="topRight" activeCell="F2" sqref="F2"/>
      <selection pane="bottomLeft" activeCell="F2" sqref="F2"/>
      <selection pane="bottomRight" activeCell="F50" sqref="A1:F113"/>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37" t="s">
        <v>2726</v>
      </c>
      <c r="C1" s="135" t="s">
        <v>2739</v>
      </c>
      <c r="D1" s="135" t="s">
        <v>2728</v>
      </c>
      <c r="E1" s="128" t="s">
        <v>3506</v>
      </c>
      <c r="F1" s="16" t="s">
        <v>2</v>
      </c>
    </row>
    <row r="2" spans="1:6" ht="39.75" customHeight="1">
      <c r="A2" s="138"/>
      <c r="B2" s="139"/>
      <c r="C2" s="136"/>
      <c r="D2" s="136"/>
      <c r="E2" s="134"/>
      <c r="F2" s="173" t="str" cm="1">
        <f t="array" ref="F2">_xlfn.TEXTJOIN("; ", TRUE, IF(Entscheidungen!A2:A100=F1, Entscheidungen!B2:B100, ""))</f>
        <v>OLG Schleswig, 26.07.2024 – 15 UF 85/24; OLG OLG Schleswig, 26.07.2024 – 15 UF 85/24; OLG OLG Schleswig, 26.07.2024 – 15 UF 85/24</v>
      </c>
    </row>
    <row r="3" spans="1:6" ht="177" hidden="1">
      <c r="A3" s="17">
        <f>ROW()</f>
        <v>3</v>
      </c>
      <c r="B3" s="18" t="s">
        <v>2740</v>
      </c>
      <c r="C3" s="18"/>
      <c r="D3" s="18" t="str">
        <f>+E3</f>
        <v>Geltende Rechtsgrundlage</v>
      </c>
      <c r="E3" s="31" t="s">
        <v>2724</v>
      </c>
      <c r="F3" s="6" t="s">
        <v>2833</v>
      </c>
    </row>
    <row r="4" spans="1:6" ht="110.25" hidden="1">
      <c r="A4" s="17">
        <f>ROW()</f>
        <v>4</v>
      </c>
      <c r="B4" s="18" t="s">
        <v>2740</v>
      </c>
      <c r="C4" s="1"/>
      <c r="D4" s="18" t="str">
        <f t="shared" ref="D4:D34" si="0">+E4</f>
        <v>Grundprinzipien</v>
      </c>
      <c r="E4" s="32" t="s">
        <v>2709</v>
      </c>
      <c r="F4" s="6" t="s">
        <v>2834</v>
      </c>
    </row>
    <row r="5" spans="1:6" ht="188.25" hidden="1">
      <c r="A5" s="17">
        <f>ROW()</f>
        <v>5</v>
      </c>
      <c r="B5" s="18" t="s">
        <v>2740</v>
      </c>
      <c r="C5" s="1"/>
      <c r="D5" s="18" t="str">
        <f t="shared" si="0"/>
        <v>Gedecktes Risiko: Definition</v>
      </c>
      <c r="E5" s="32" t="s">
        <v>2891</v>
      </c>
      <c r="F5" s="6" t="s">
        <v>2835</v>
      </c>
    </row>
    <row r="6" spans="1:6" ht="144" hidden="1">
      <c r="A6" s="17">
        <f>ROW()</f>
        <v>6</v>
      </c>
      <c r="B6" s="18" t="s">
        <v>2740</v>
      </c>
      <c r="C6" s="18" t="s">
        <v>2653</v>
      </c>
      <c r="D6" s="18" t="str">
        <f t="shared" si="0"/>
        <v>Versicherte Personen</v>
      </c>
      <c r="E6" s="33" t="s">
        <v>2653</v>
      </c>
      <c r="F6" s="6" t="s">
        <v>2836</v>
      </c>
    </row>
    <row r="7" spans="1:6" ht="273" hidden="1">
      <c r="A7" s="17">
        <f>ROW()</f>
        <v>7</v>
      </c>
      <c r="B7" s="18" t="s">
        <v>2740</v>
      </c>
      <c r="C7" s="18" t="str">
        <f>+E6</f>
        <v>Versicherte Personen</v>
      </c>
      <c r="D7" s="18" t="str">
        <f t="shared" si="0"/>
        <v>Ausnahmen von der Versicherungspflicht</v>
      </c>
      <c r="E7" s="33" t="s">
        <v>2685</v>
      </c>
      <c r="F7" s="6" t="s">
        <v>125</v>
      </c>
    </row>
    <row r="8" spans="1:6" ht="194.25" hidden="1">
      <c r="A8" s="17">
        <f>ROW()</f>
        <v>8</v>
      </c>
      <c r="B8" s="18" t="s">
        <v>2740</v>
      </c>
      <c r="C8" s="19" t="s">
        <v>149</v>
      </c>
      <c r="D8" s="18" t="str">
        <f t="shared" si="0"/>
        <v>1. Anwartschaftszeit</v>
      </c>
      <c r="E8" s="33" t="s">
        <v>2744</v>
      </c>
      <c r="F8" s="6" t="s">
        <v>2837</v>
      </c>
    </row>
    <row r="9" spans="1:6" ht="409.5" hidden="1">
      <c r="A9" s="17">
        <f>ROW()</f>
        <v>9</v>
      </c>
      <c r="B9" s="18" t="s">
        <v>2740</v>
      </c>
      <c r="C9" s="19" t="s">
        <v>149</v>
      </c>
      <c r="D9" s="18" t="str">
        <f t="shared" si="0"/>
        <v xml:space="preserve">2. Begutachtungskriterien und Kategorien der Arbeitsunfähigkeit/Arbeitsfähigkeit  </v>
      </c>
      <c r="E9" s="33" t="s">
        <v>2745</v>
      </c>
      <c r="F9" s="6" t="s">
        <v>2838</v>
      </c>
    </row>
    <row r="10" spans="1:6" ht="222" hidden="1">
      <c r="A10" s="17">
        <f>ROW()</f>
        <v>10</v>
      </c>
      <c r="B10" s="18" t="s">
        <v>2740</v>
      </c>
      <c r="C10" s="19" t="s">
        <v>149</v>
      </c>
      <c r="D10" s="18" t="str">
        <f t="shared" si="0"/>
        <v>3. Zeitraum der Leistungszahlung</v>
      </c>
      <c r="E10" s="33" t="s">
        <v>2747</v>
      </c>
      <c r="F10" s="6" t="s">
        <v>2839</v>
      </c>
    </row>
    <row r="11" spans="1:6" ht="150" hidden="1">
      <c r="A11" s="17">
        <f>ROW()</f>
        <v>11</v>
      </c>
      <c r="B11" s="18" t="s">
        <v>2740</v>
      </c>
      <c r="C11" s="19" t="s">
        <v>2749</v>
      </c>
      <c r="D11" s="18" t="str">
        <f t="shared" si="0"/>
        <v>1. Gutachter</v>
      </c>
      <c r="E11" s="33" t="s">
        <v>2750</v>
      </c>
      <c r="F11" s="6" t="s">
        <v>2840</v>
      </c>
    </row>
    <row r="12" spans="1:6" ht="111.75" hidden="1">
      <c r="A12" s="17">
        <f>ROW()</f>
        <v>12</v>
      </c>
      <c r="B12" s="18" t="s">
        <v>2740</v>
      </c>
      <c r="C12" s="19" t="s">
        <v>2749</v>
      </c>
      <c r="D12" s="18" t="str">
        <f t="shared" si="0"/>
        <v xml:space="preserve">2. Überprüfung  </v>
      </c>
      <c r="E12" s="33" t="s">
        <v>2751</v>
      </c>
      <c r="F12" s="6" t="s">
        <v>2841</v>
      </c>
    </row>
    <row r="13" spans="1:6" ht="291.75" hidden="1">
      <c r="A13" s="17">
        <f>ROW()</f>
        <v>13</v>
      </c>
      <c r="B13" s="18" t="s">
        <v>2740</v>
      </c>
      <c r="C13" s="18" t="s">
        <v>2695</v>
      </c>
      <c r="D13" s="18" t="str">
        <f t="shared" si="0"/>
        <v>1. Berechnungsmethode bzw. Rentenformel</v>
      </c>
      <c r="E13" s="33" t="s">
        <v>2753</v>
      </c>
      <c r="F13" s="6" t="s">
        <v>2842</v>
      </c>
    </row>
    <row r="14" spans="1:6" ht="343.5" hidden="1">
      <c r="A14" s="17">
        <f>ROW()</f>
        <v>14</v>
      </c>
      <c r="B14" s="18" t="s">
        <v>2740</v>
      </c>
      <c r="C14" s="18" t="s">
        <v>2695</v>
      </c>
      <c r="D14" s="18" t="str">
        <f t="shared" si="0"/>
        <v>2. Referenzeinkommen bzw. Berechnungsgrundlage</v>
      </c>
      <c r="E14" s="33" t="s">
        <v>2754</v>
      </c>
      <c r="F14" s="6" t="s">
        <v>2843</v>
      </c>
    </row>
    <row r="15" spans="1:6" ht="226.5" hidden="1">
      <c r="A15" s="17">
        <f>ROW()</f>
        <v>15</v>
      </c>
      <c r="B15" s="18" t="s">
        <v>2740</v>
      </c>
      <c r="C15" s="18" t="s">
        <v>2695</v>
      </c>
      <c r="D15" s="18" t="str">
        <f t="shared" si="0"/>
        <v>3. Mindest- und Höchstleistungen</v>
      </c>
      <c r="E15" s="33" t="s">
        <v>2756</v>
      </c>
      <c r="F15" s="6" t="s">
        <v>2844</v>
      </c>
    </row>
    <row r="16" spans="1:6" ht="405" hidden="1">
      <c r="A16" s="17">
        <f>ROW()</f>
        <v>16</v>
      </c>
      <c r="B16" s="18" t="s">
        <v>2740</v>
      </c>
      <c r="C16" s="18" t="s">
        <v>2695</v>
      </c>
      <c r="D16" s="18" t="str">
        <f t="shared" si="0"/>
        <v>4. Anrechenbare oder als Beitragszeiten gewertete Zeiträume</v>
      </c>
      <c r="E16" s="33" t="s">
        <v>2757</v>
      </c>
      <c r="F16" s="6" t="s">
        <v>2845</v>
      </c>
    </row>
    <row r="17" spans="1:6" ht="250.5" hidden="1">
      <c r="A17" s="17">
        <f>ROW()</f>
        <v>17</v>
      </c>
      <c r="B17" s="18" t="s">
        <v>2740</v>
      </c>
      <c r="C17" s="18" t="s">
        <v>2695</v>
      </c>
      <c r="D17" s="18" t="str">
        <f t="shared" si="0"/>
        <v xml:space="preserve">5. Zulagen für Unterhaltsberechtigte  </v>
      </c>
      <c r="E17" s="33" t="s">
        <v>2759</v>
      </c>
      <c r="F17" s="6" t="s">
        <v>2846</v>
      </c>
    </row>
    <row r="18" spans="1:6" ht="135" hidden="1">
      <c r="A18" s="17">
        <f>ROW()</f>
        <v>18</v>
      </c>
      <c r="B18" s="18" t="s">
        <v>2740</v>
      </c>
      <c r="C18" s="18" t="str">
        <f>+E18</f>
        <v>Sonstige Leistungen</v>
      </c>
      <c r="D18" s="18" t="str">
        <f>+E18</f>
        <v>Sonstige Leistungen</v>
      </c>
      <c r="E18" s="32" t="s">
        <v>2678</v>
      </c>
      <c r="F18" s="6" t="s">
        <v>2847</v>
      </c>
    </row>
    <row r="19" spans="1:6" ht="300.75" hidden="1">
      <c r="A19" s="17">
        <f>ROW()</f>
        <v>19</v>
      </c>
      <c r="B19" s="18" t="s">
        <v>2740</v>
      </c>
      <c r="C19" s="18" t="s">
        <v>2761</v>
      </c>
      <c r="D19" s="18" t="str">
        <f t="shared" si="0"/>
        <v>Umschulung, berufsbezogene Rehabilitation</v>
      </c>
      <c r="E19" s="33" t="s">
        <v>2762</v>
      </c>
      <c r="F19" s="6" t="s">
        <v>2848</v>
      </c>
    </row>
    <row r="20" spans="1:6" ht="409.5" hidden="1">
      <c r="A20" s="17">
        <f>ROW()</f>
        <v>20</v>
      </c>
      <c r="B20" s="18" t="s">
        <v>2740</v>
      </c>
      <c r="C20" s="18" t="s">
        <v>2761</v>
      </c>
      <c r="D20" s="18" t="str">
        <f t="shared" si="0"/>
        <v xml:space="preserve">Bevorzugte und reservierte Beschäftigung von Menschen mit Behinderungen  </v>
      </c>
      <c r="E20" s="33" t="s">
        <v>2763</v>
      </c>
      <c r="F20" s="6" t="s">
        <v>2849</v>
      </c>
    </row>
    <row r="21" spans="1:6" ht="171.75" hidden="1">
      <c r="A21" s="17">
        <f>ROW()</f>
        <v>21</v>
      </c>
      <c r="B21" s="18" t="s">
        <v>2740</v>
      </c>
      <c r="C21" s="18" t="s">
        <v>2765</v>
      </c>
      <c r="D21" s="18" t="str">
        <f t="shared" si="0"/>
        <v>Indexbindung/Anpassung</v>
      </c>
      <c r="E21" s="32" t="s">
        <v>2766</v>
      </c>
      <c r="F21" s="6" t="s">
        <v>2850</v>
      </c>
    </row>
    <row r="22" spans="1:6" ht="242.25" hidden="1">
      <c r="A22" s="17">
        <f>ROW()</f>
        <v>22</v>
      </c>
      <c r="B22" s="18" t="s">
        <v>2740</v>
      </c>
      <c r="C22" s="18" t="s">
        <v>2765</v>
      </c>
      <c r="D22" s="18" t="str">
        <f>+E22</f>
        <v>Kumulation mit Erwerbseinkommen</v>
      </c>
      <c r="E22" s="32" t="s">
        <v>2723</v>
      </c>
      <c r="F22" s="6" t="s">
        <v>2851</v>
      </c>
    </row>
    <row r="23" spans="1:6" ht="275.25" hidden="1">
      <c r="A23" s="17">
        <f>ROW()</f>
        <v>23</v>
      </c>
      <c r="B23" s="18" t="s">
        <v>2740</v>
      </c>
      <c r="C23" s="18" t="s">
        <v>2765</v>
      </c>
      <c r="D23" s="18" t="str">
        <f t="shared" si="0"/>
        <v>Kumulation mit anderen Sozialleistungen</v>
      </c>
      <c r="E23" s="32" t="s">
        <v>2696</v>
      </c>
      <c r="F23" s="6" t="s">
        <v>2852</v>
      </c>
    </row>
    <row r="24" spans="1:6" ht="232.5" hidden="1">
      <c r="A24" s="17">
        <f>ROW()</f>
        <v>24</v>
      </c>
      <c r="B24" s="18" t="s">
        <v>2740</v>
      </c>
      <c r="C24" s="18" t="s">
        <v>2701</v>
      </c>
      <c r="D24" s="18" t="str">
        <f t="shared" si="0"/>
        <v>1. Besteuerung von Geldleistungen</v>
      </c>
      <c r="E24" s="33" t="s">
        <v>2770</v>
      </c>
      <c r="F24" s="6" t="s">
        <v>772</v>
      </c>
    </row>
    <row r="25" spans="1:6" ht="387" hidden="1">
      <c r="A25" s="17">
        <f>ROW()</f>
        <v>25</v>
      </c>
      <c r="B25" s="18" t="s">
        <v>2740</v>
      </c>
      <c r="C25" s="18" t="s">
        <v>2701</v>
      </c>
      <c r="D25" s="18" t="str">
        <f t="shared" si="0"/>
        <v>2. Einkommensgrenze für Besteuerung von Geldleistungen</v>
      </c>
      <c r="E25" s="33" t="s">
        <v>2772</v>
      </c>
      <c r="F25" s="6" t="s">
        <v>804</v>
      </c>
    </row>
    <row r="26" spans="1:6" ht="288.75" hidden="1">
      <c r="A26" s="17">
        <f>ROW()</f>
        <v>26</v>
      </c>
      <c r="B26" s="18" t="s">
        <v>2740</v>
      </c>
      <c r="C26" s="18" t="s">
        <v>2701</v>
      </c>
      <c r="D26" s="18" t="str">
        <f t="shared" si="0"/>
        <v>3. Auf Leistungen anfallende Sozialabgaben</v>
      </c>
      <c r="E26" s="33" t="s">
        <v>2773</v>
      </c>
      <c r="F26" s="6" t="s">
        <v>2853</v>
      </c>
    </row>
    <row r="27" spans="1:6" ht="138" hidden="1">
      <c r="A27" s="17">
        <f>ROW()</f>
        <v>27</v>
      </c>
      <c r="B27" s="18" t="s">
        <v>2740</v>
      </c>
      <c r="C27" s="18" t="s">
        <v>2775</v>
      </c>
      <c r="D27" s="18" t="str">
        <f t="shared" si="0"/>
        <v>Anwendungsbereich</v>
      </c>
      <c r="E27" s="33" t="s">
        <v>2708</v>
      </c>
      <c r="F27" s="6" t="s">
        <v>840</v>
      </c>
    </row>
    <row r="28" spans="1:6" ht="110.25" hidden="1">
      <c r="A28" s="17">
        <f>ROW()</f>
        <v>28</v>
      </c>
      <c r="B28" s="18" t="s">
        <v>2740</v>
      </c>
      <c r="C28" s="18" t="s">
        <v>2775</v>
      </c>
      <c r="D28" s="18" t="str">
        <f t="shared" si="0"/>
        <v>Grundprinzipien</v>
      </c>
      <c r="E28" s="33" t="s">
        <v>2709</v>
      </c>
      <c r="F28" s="6" t="s">
        <v>2854</v>
      </c>
    </row>
    <row r="29" spans="1:6" ht="224.25" hidden="1">
      <c r="A29" s="17">
        <f>ROW()</f>
        <v>29</v>
      </c>
      <c r="B29" s="18" t="s">
        <v>2740</v>
      </c>
      <c r="C29" s="18" t="s">
        <v>2775</v>
      </c>
      <c r="D29" s="18" t="str">
        <f t="shared" si="0"/>
        <v>Voraussetzungen für die Deckung</v>
      </c>
      <c r="E29" s="33" t="s">
        <v>2710</v>
      </c>
      <c r="F29" s="6" t="s">
        <v>373</v>
      </c>
    </row>
    <row r="30" spans="1:6" ht="409.5" hidden="1">
      <c r="A30" s="17">
        <f>ROW()</f>
        <v>30</v>
      </c>
      <c r="B30" s="18" t="s">
        <v>2740</v>
      </c>
      <c r="C30" s="18" t="s">
        <v>2775</v>
      </c>
      <c r="D30" s="19" t="str">
        <f t="shared" si="0"/>
        <v>Kombination von selbstständiger und unselbstständiger Tätigkeit</v>
      </c>
      <c r="E30" s="33" t="s">
        <v>2698</v>
      </c>
      <c r="F30" s="6" t="s">
        <v>920</v>
      </c>
    </row>
    <row r="31" spans="1:6" ht="376.5" hidden="1">
      <c r="A31" s="17">
        <f>ROW()</f>
        <v>31</v>
      </c>
      <c r="B31" s="18" t="s">
        <v>2740</v>
      </c>
      <c r="C31" s="18" t="s">
        <v>2695</v>
      </c>
      <c r="D31" s="19" t="str">
        <f t="shared" si="0"/>
        <v xml:space="preserve">Voraussetzungen für den Zugang zu Diensten/Leistungen </v>
      </c>
      <c r="E31" s="33" t="s">
        <v>2699</v>
      </c>
      <c r="F31" s="6" t="s">
        <v>940</v>
      </c>
    </row>
    <row r="32" spans="1:6" ht="253.5" hidden="1">
      <c r="A32" s="17">
        <f>ROW()</f>
        <v>32</v>
      </c>
      <c r="B32" s="18" t="s">
        <v>2740</v>
      </c>
      <c r="C32" s="18" t="s">
        <v>2695</v>
      </c>
      <c r="D32" s="18" t="str">
        <f t="shared" si="0"/>
        <v>Beträge, Dauer und Kostenbeteiligung</v>
      </c>
      <c r="E32" s="33" t="s">
        <v>2700</v>
      </c>
      <c r="F32" s="6" t="s">
        <v>2855</v>
      </c>
    </row>
    <row r="33" spans="1:6" ht="216" hidden="1">
      <c r="A33" s="17">
        <f>ROW()</f>
        <v>33</v>
      </c>
      <c r="B33" s="18" t="s">
        <v>2740</v>
      </c>
      <c r="C33" s="18" t="s">
        <v>2695</v>
      </c>
      <c r="D33" s="18" t="str">
        <f t="shared" si="0"/>
        <v>Besteuerung von Geldleistungen</v>
      </c>
      <c r="E33" s="33" t="s">
        <v>2681</v>
      </c>
      <c r="F33" s="6" t="s">
        <v>940</v>
      </c>
    </row>
    <row r="34" spans="1:6" ht="276.75" hidden="1">
      <c r="A34" s="17">
        <f>ROW()</f>
        <v>34</v>
      </c>
      <c r="B34" s="18" t="s">
        <v>2740</v>
      </c>
      <c r="C34" s="18" t="s">
        <v>2695</v>
      </c>
      <c r="D34" s="18" t="str">
        <f t="shared" si="0"/>
        <v xml:space="preserve"> Auf Leistungen anfallende Sozialabgaben</v>
      </c>
      <c r="E34" s="33" t="s">
        <v>2779</v>
      </c>
      <c r="F34" s="6" t="s">
        <v>940</v>
      </c>
    </row>
    <row r="35" spans="1:6" ht="177" hidden="1">
      <c r="A35" s="17">
        <f>ROW()</f>
        <v>35</v>
      </c>
      <c r="B35" s="18" t="s">
        <v>2780</v>
      </c>
      <c r="C35" s="18" t="str">
        <f>+D35</f>
        <v>Geltende Rechtsgrundlage</v>
      </c>
      <c r="D35" s="18" t="str">
        <f>+E35</f>
        <v>Geltende Rechtsgrundlage</v>
      </c>
      <c r="E35" s="32" t="s">
        <v>2724</v>
      </c>
      <c r="F35" s="6" t="s">
        <v>33</v>
      </c>
    </row>
    <row r="36" spans="1:6" ht="360" hidden="1">
      <c r="A36" s="17">
        <f>ROW()</f>
        <v>36</v>
      </c>
      <c r="B36" s="18" t="s">
        <v>2780</v>
      </c>
      <c r="C36" s="18" t="str">
        <f>+D36</f>
        <v>Grundprinzipien</v>
      </c>
      <c r="D36" s="18" t="str">
        <f>+E36</f>
        <v>Grundprinzipien</v>
      </c>
      <c r="E36" s="32" t="s">
        <v>2709</v>
      </c>
      <c r="F36" s="6" t="s">
        <v>64</v>
      </c>
    </row>
    <row r="37" spans="1:6" ht="285" hidden="1">
      <c r="A37" s="17">
        <f>ROW()</f>
        <v>37</v>
      </c>
      <c r="B37" s="18" t="s">
        <v>2780</v>
      </c>
      <c r="C37" s="18" t="s">
        <v>2708</v>
      </c>
      <c r="D37" s="18" t="str">
        <f>+E37</f>
        <v>1. Versicherte Personen</v>
      </c>
      <c r="E37" s="33" t="s">
        <v>2781</v>
      </c>
      <c r="F37" s="6" t="s">
        <v>4602</v>
      </c>
    </row>
    <row r="38" spans="1:6" ht="371.25" hidden="1">
      <c r="A38" s="17">
        <f>ROW()</f>
        <v>38</v>
      </c>
      <c r="B38" s="18" t="s">
        <v>2780</v>
      </c>
      <c r="C38" s="18" t="s">
        <v>2708</v>
      </c>
      <c r="D38" s="18" t="str">
        <f t="shared" ref="D38:D58" si="1">+E38</f>
        <v>2. Ausnahmen von der Deckung  der Pflichtversicherung</v>
      </c>
      <c r="E38" s="33" t="s">
        <v>2782</v>
      </c>
      <c r="F38" s="6" t="s">
        <v>126</v>
      </c>
    </row>
    <row r="39" spans="1:6" ht="194.25" hidden="1">
      <c r="A39" s="17">
        <f>ROW()</f>
        <v>39</v>
      </c>
      <c r="B39" s="18" t="s">
        <v>2780</v>
      </c>
      <c r="C39" s="18" t="s">
        <v>149</v>
      </c>
      <c r="D39" s="18" t="str">
        <f t="shared" si="1"/>
        <v>1. Rentenalter</v>
      </c>
      <c r="E39" s="33" t="s">
        <v>2784</v>
      </c>
      <c r="F39" s="6" t="s">
        <v>152</v>
      </c>
    </row>
    <row r="40" spans="1:6" ht="409.5" hidden="1">
      <c r="A40" s="17">
        <f>ROW()</f>
        <v>40</v>
      </c>
      <c r="B40" s="18" t="s">
        <v>2780</v>
      </c>
      <c r="C40" s="18" t="s">
        <v>149</v>
      </c>
      <c r="D40" s="18" t="str">
        <f t="shared" si="1"/>
        <v>2. Anwartschaftszeit und sonstige Anspruchsvoraussetzungen für den Bezug einer Altersrente</v>
      </c>
      <c r="E40" s="33" t="s">
        <v>2785</v>
      </c>
      <c r="F40" s="6" t="s">
        <v>183</v>
      </c>
    </row>
    <row r="41" spans="1:6" ht="194.25" hidden="1">
      <c r="A41" s="17">
        <f>ROW()</f>
        <v>41</v>
      </c>
      <c r="B41" s="18" t="s">
        <v>2780</v>
      </c>
      <c r="C41" s="18" t="s">
        <v>149</v>
      </c>
      <c r="D41" s="18" t="str">
        <f t="shared" si="1"/>
        <v>3. Vorruhestand</v>
      </c>
      <c r="E41" s="33" t="s">
        <v>2786</v>
      </c>
      <c r="F41" s="6" t="s">
        <v>214</v>
      </c>
    </row>
    <row r="42" spans="1:6" ht="264" hidden="1">
      <c r="A42" s="17">
        <f>ROW()</f>
        <v>42</v>
      </c>
      <c r="B42" s="18" t="s">
        <v>2780</v>
      </c>
      <c r="C42" s="18" t="s">
        <v>149</v>
      </c>
      <c r="D42" s="18" t="str">
        <f t="shared" si="1"/>
        <v>4. Beschwerliche und gefährliche Arbeit</v>
      </c>
      <c r="E42" s="33" t="s">
        <v>2787</v>
      </c>
      <c r="F42" s="6" t="s">
        <v>245</v>
      </c>
    </row>
    <row r="43" spans="1:6" ht="194.25" hidden="1">
      <c r="A43" s="17">
        <f>ROW()</f>
        <v>43</v>
      </c>
      <c r="B43" s="18" t="s">
        <v>2780</v>
      </c>
      <c r="C43" s="18" t="s">
        <v>149</v>
      </c>
      <c r="D43" s="18" t="str">
        <f t="shared" si="1"/>
        <v>5. Rentenaufschub</v>
      </c>
      <c r="E43" s="33" t="s">
        <v>2788</v>
      </c>
      <c r="F43" s="6" t="s">
        <v>274</v>
      </c>
    </row>
    <row r="44" spans="1:6" ht="174" hidden="1">
      <c r="A44" s="17">
        <f>ROW()</f>
        <v>44</v>
      </c>
      <c r="B44" s="18" t="s">
        <v>2780</v>
      </c>
      <c r="C44" s="18" t="s">
        <v>2695</v>
      </c>
      <c r="D44" s="18" t="str">
        <f t="shared" si="1"/>
        <v>1. Bestimmende Faktoren</v>
      </c>
      <c r="E44" s="33" t="s">
        <v>2789</v>
      </c>
      <c r="F44" s="6" t="s">
        <v>299</v>
      </c>
    </row>
    <row r="45" spans="1:6" ht="349.5" hidden="1">
      <c r="A45" s="17">
        <f>ROW()</f>
        <v>45</v>
      </c>
      <c r="B45" s="18" t="s">
        <v>2780</v>
      </c>
      <c r="C45" s="18" t="s">
        <v>2695</v>
      </c>
      <c r="D45" s="18" t="str">
        <f t="shared" si="1"/>
        <v>2. Berechnungsmethode, Rentenformel bzw. Beträge</v>
      </c>
      <c r="E45" s="33" t="s">
        <v>2790</v>
      </c>
      <c r="F45" s="6" t="s">
        <v>330</v>
      </c>
    </row>
    <row r="46" spans="1:6" ht="343.5" hidden="1">
      <c r="A46" s="17">
        <f>ROW()</f>
        <v>46</v>
      </c>
      <c r="B46" s="18" t="s">
        <v>2780</v>
      </c>
      <c r="C46" s="18" t="s">
        <v>2695</v>
      </c>
      <c r="D46" s="18" t="str">
        <f t="shared" si="1"/>
        <v>3. Referenzeinkommen bzw. Berechnungsgrundlage</v>
      </c>
      <c r="E46" s="33" t="s">
        <v>2791</v>
      </c>
      <c r="F46" s="6" t="s">
        <v>361</v>
      </c>
    </row>
    <row r="47" spans="1:6" ht="405" hidden="1">
      <c r="A47" s="17">
        <f>ROW()</f>
        <v>47</v>
      </c>
      <c r="B47" s="18" t="s">
        <v>2780</v>
      </c>
      <c r="C47" s="18" t="s">
        <v>2695</v>
      </c>
      <c r="D47" s="18" t="str">
        <f t="shared" si="1"/>
        <v>4. Anrechenbare oder als Beitragszeiten gewertete Zeiträume</v>
      </c>
      <c r="E47" s="33" t="s">
        <v>2757</v>
      </c>
      <c r="F47" s="6" t="s">
        <v>392</v>
      </c>
    </row>
    <row r="48" spans="1:6" ht="243.75" hidden="1">
      <c r="A48" s="17">
        <f>ROW()</f>
        <v>48</v>
      </c>
      <c r="B48" s="18" t="s">
        <v>2780</v>
      </c>
      <c r="C48" s="18" t="s">
        <v>2695</v>
      </c>
      <c r="D48" s="18" t="str">
        <f t="shared" si="1"/>
        <v>5. Rückkauf von Versicherungszeiten</v>
      </c>
      <c r="E48" s="33" t="s">
        <v>2792</v>
      </c>
      <c r="F48" s="6" t="s">
        <v>422</v>
      </c>
    </row>
    <row r="49" spans="1:6" ht="246" hidden="1">
      <c r="A49" s="17">
        <f>ROW()</f>
        <v>49</v>
      </c>
      <c r="B49" s="18" t="s">
        <v>2780</v>
      </c>
      <c r="C49" s="18" t="s">
        <v>2695</v>
      </c>
      <c r="D49" s="18" t="str">
        <f t="shared" si="1"/>
        <v>6.  Zulagen für Unterhaltsberechtigte</v>
      </c>
      <c r="E49" s="33" t="s">
        <v>2892</v>
      </c>
      <c r="F49" s="6" t="s">
        <v>448</v>
      </c>
    </row>
    <row r="50" spans="1:6" ht="165" hidden="1">
      <c r="A50" s="17">
        <f>ROW()</f>
        <v>50</v>
      </c>
      <c r="B50" s="18" t="s">
        <v>2780</v>
      </c>
      <c r="C50" s="18" t="s">
        <v>2695</v>
      </c>
      <c r="D50" s="18" t="str">
        <f t="shared" si="1"/>
        <v>7. Besondere Zulagen</v>
      </c>
      <c r="E50" s="33" t="s">
        <v>2793</v>
      </c>
      <c r="F50" s="13" t="s">
        <v>4605</v>
      </c>
    </row>
    <row r="51" spans="1:6" ht="360.75" hidden="1">
      <c r="A51" s="17">
        <f>ROW()</f>
        <v>51</v>
      </c>
      <c r="B51" s="18" t="s">
        <v>2780</v>
      </c>
      <c r="C51" s="18" t="s">
        <v>2695</v>
      </c>
      <c r="D51" s="18" t="str">
        <f t="shared" si="1"/>
        <v>8. Mindestrente und bedürftigkeitsabhängige Leistung</v>
      </c>
      <c r="E51" s="33" t="s">
        <v>2794</v>
      </c>
      <c r="F51" s="6" t="s">
        <v>501</v>
      </c>
    </row>
    <row r="52" spans="1:6" ht="135" hidden="1">
      <c r="A52" s="17">
        <f>ROW()</f>
        <v>52</v>
      </c>
      <c r="B52" s="18" t="s">
        <v>2780</v>
      </c>
      <c r="C52" s="18" t="s">
        <v>2695</v>
      </c>
      <c r="D52" s="18" t="str">
        <f t="shared" si="1"/>
        <v>9. Höchstrente</v>
      </c>
      <c r="E52" s="33" t="s">
        <v>2795</v>
      </c>
      <c r="F52" s="6" t="s">
        <v>4603</v>
      </c>
    </row>
    <row r="53" spans="1:6" ht="119.25" hidden="1">
      <c r="A53" s="17">
        <f>ROW()</f>
        <v>53</v>
      </c>
      <c r="B53" s="18" t="s">
        <v>2780</v>
      </c>
      <c r="C53" s="18" t="s">
        <v>2695</v>
      </c>
      <c r="D53" s="18" t="str">
        <f t="shared" si="1"/>
        <v>10. Vorruhestand</v>
      </c>
      <c r="E53" s="33" t="s">
        <v>2796</v>
      </c>
      <c r="F53" s="6" t="s">
        <v>558</v>
      </c>
    </row>
    <row r="54" spans="1:6" ht="272.25" hidden="1">
      <c r="A54" s="17">
        <f>ROW()</f>
        <v>54</v>
      </c>
      <c r="B54" s="18" t="s">
        <v>2780</v>
      </c>
      <c r="C54" s="18" t="s">
        <v>2695</v>
      </c>
      <c r="D54" s="18" t="str">
        <f t="shared" si="1"/>
        <v>11. Beschwerliche und gefährliche Arbeit</v>
      </c>
      <c r="E54" s="33" t="s">
        <v>2797</v>
      </c>
      <c r="F54" s="6" t="s">
        <v>587</v>
      </c>
    </row>
    <row r="55" spans="1:6" ht="360" hidden="1">
      <c r="A55" s="17">
        <f>ROW()</f>
        <v>55</v>
      </c>
      <c r="B55" s="18" t="s">
        <v>2780</v>
      </c>
      <c r="C55" s="18" t="s">
        <v>2695</v>
      </c>
      <c r="D55" s="18" t="str">
        <f t="shared" si="1"/>
        <v>12. Teilrente</v>
      </c>
      <c r="E55" s="33" t="s">
        <v>2798</v>
      </c>
      <c r="F55" s="6" t="s">
        <v>4604</v>
      </c>
    </row>
    <row r="56" spans="1:6" ht="171.75" hidden="1">
      <c r="A56" s="17">
        <f>ROW()</f>
        <v>56</v>
      </c>
      <c r="B56" s="18" t="s">
        <v>2780</v>
      </c>
      <c r="C56" s="18" t="s">
        <v>2695</v>
      </c>
      <c r="D56" s="18" t="str">
        <f t="shared" si="1"/>
        <v>13. Aufgeschobene Rente</v>
      </c>
      <c r="E56" s="33" t="s">
        <v>2893</v>
      </c>
      <c r="F56" s="6" t="s">
        <v>639</v>
      </c>
    </row>
    <row r="57" spans="1:6" ht="179.25" hidden="1">
      <c r="A57" s="17">
        <f>ROW()</f>
        <v>57</v>
      </c>
      <c r="B57" s="18" t="s">
        <v>2780</v>
      </c>
      <c r="C57" s="18" t="s">
        <v>2799</v>
      </c>
      <c r="D57" s="18" t="s">
        <v>2799</v>
      </c>
      <c r="E57" s="32" t="s">
        <v>2799</v>
      </c>
      <c r="F57" s="6" t="s">
        <v>670</v>
      </c>
    </row>
    <row r="58" spans="1:6" ht="246" hidden="1">
      <c r="A58" s="17">
        <f>ROW()</f>
        <v>58</v>
      </c>
      <c r="B58" s="18" t="s">
        <v>2780</v>
      </c>
      <c r="C58" s="18" t="s">
        <v>2799</v>
      </c>
      <c r="D58" s="18" t="str">
        <f t="shared" si="1"/>
        <v xml:space="preserve">Kumulation mit Erwerbseinkommen </v>
      </c>
      <c r="E58" s="32" t="s">
        <v>2697</v>
      </c>
      <c r="F58" s="6" t="s">
        <v>701</v>
      </c>
    </row>
    <row r="59" spans="1:6" ht="286.5" hidden="1">
      <c r="A59" s="17">
        <f>ROW()</f>
        <v>59</v>
      </c>
      <c r="B59" s="18" t="s">
        <v>2780</v>
      </c>
      <c r="C59" s="18" t="s">
        <v>2799</v>
      </c>
      <c r="D59" s="18" t="s">
        <v>2800</v>
      </c>
      <c r="E59" s="32" t="s">
        <v>2696</v>
      </c>
      <c r="F59" s="6" t="s">
        <v>732</v>
      </c>
    </row>
    <row r="60" spans="1:6" ht="225.75" hidden="1">
      <c r="A60" s="17">
        <f>ROW()</f>
        <v>60</v>
      </c>
      <c r="B60" s="18" t="s">
        <v>2780</v>
      </c>
      <c r="C60" s="18" t="s">
        <v>761</v>
      </c>
      <c r="D60" s="18" t="str">
        <f t="shared" ref="D60:D70" si="2">+E60</f>
        <v>1. Besteuerung von Renten</v>
      </c>
      <c r="E60" s="33" t="s">
        <v>2801</v>
      </c>
      <c r="F60" s="6" t="s">
        <v>764</v>
      </c>
    </row>
    <row r="61" spans="1:6" ht="335.25" hidden="1">
      <c r="A61" s="17">
        <f>ROW()</f>
        <v>61</v>
      </c>
      <c r="B61" s="18" t="s">
        <v>2780</v>
      </c>
      <c r="C61" s="18" t="s">
        <v>761</v>
      </c>
      <c r="D61" s="18" t="str">
        <f t="shared" si="2"/>
        <v>2. Einkommensgrenze für Besteuerung von Renten</v>
      </c>
      <c r="E61" s="33" t="s">
        <v>2802</v>
      </c>
      <c r="F61" s="6" t="s">
        <v>790</v>
      </c>
    </row>
    <row r="62" spans="1:6" ht="264" hidden="1">
      <c r="A62" s="17">
        <f>ROW()</f>
        <v>62</v>
      </c>
      <c r="B62" s="18" t="s">
        <v>2780</v>
      </c>
      <c r="C62" s="18" t="s">
        <v>761</v>
      </c>
      <c r="D62" s="18" t="str">
        <f t="shared" si="2"/>
        <v>3. Auf Renten anfallende Sozialabgaben</v>
      </c>
      <c r="E62" s="33" t="s">
        <v>2803</v>
      </c>
      <c r="F62" s="6" t="s">
        <v>818</v>
      </c>
    </row>
    <row r="63" spans="1:6" ht="138" hidden="1">
      <c r="A63" s="17">
        <f>ROW()</f>
        <v>63</v>
      </c>
      <c r="B63" s="18" t="s">
        <v>2804</v>
      </c>
      <c r="C63" s="18" t="str">
        <f>+E63</f>
        <v>Anwendungsbereich</v>
      </c>
      <c r="D63" s="18" t="str">
        <f t="shared" si="2"/>
        <v>Anwendungsbereich</v>
      </c>
      <c r="E63" s="33" t="s">
        <v>2708</v>
      </c>
      <c r="F63" s="6" t="s">
        <v>840</v>
      </c>
    </row>
    <row r="64" spans="1:6" ht="132.75" hidden="1">
      <c r="A64" s="17">
        <f>ROW()</f>
        <v>64</v>
      </c>
      <c r="B64" s="18" t="s">
        <v>2804</v>
      </c>
      <c r="C64" s="18" t="s">
        <v>2775</v>
      </c>
      <c r="D64" s="18" t="str">
        <f t="shared" si="2"/>
        <v>Grundprinzipien</v>
      </c>
      <c r="E64" s="33" t="s">
        <v>2709</v>
      </c>
      <c r="F64" s="6" t="s">
        <v>865</v>
      </c>
    </row>
    <row r="65" spans="1:6" ht="224.25" hidden="1">
      <c r="A65" s="17">
        <f>ROW()</f>
        <v>65</v>
      </c>
      <c r="B65" s="18" t="s">
        <v>2804</v>
      </c>
      <c r="C65" s="18" t="s">
        <v>2775</v>
      </c>
      <c r="D65" s="18" t="str">
        <f t="shared" si="2"/>
        <v>Voraussetzungen für die Deckung</v>
      </c>
      <c r="E65" s="33" t="s">
        <v>2710</v>
      </c>
      <c r="F65" s="6" t="s">
        <v>894</v>
      </c>
    </row>
    <row r="66" spans="1:6" ht="409.5" hidden="1">
      <c r="A66" s="17">
        <f>ROW()</f>
        <v>66</v>
      </c>
      <c r="B66" s="18" t="s">
        <v>2804</v>
      </c>
      <c r="C66" s="18" t="s">
        <v>2775</v>
      </c>
      <c r="D66" s="18" t="str">
        <f t="shared" si="2"/>
        <v>Kombination von selbstständiger und unselbstständiger Tätigkeit</v>
      </c>
      <c r="E66" s="33" t="s">
        <v>2698</v>
      </c>
      <c r="F66" s="6" t="s">
        <v>920</v>
      </c>
    </row>
    <row r="67" spans="1:6" ht="376.5" hidden="1">
      <c r="A67" s="17">
        <f>ROW()</f>
        <v>67</v>
      </c>
      <c r="B67" s="18" t="s">
        <v>2804</v>
      </c>
      <c r="C67" s="18" t="s">
        <v>2695</v>
      </c>
      <c r="D67" s="19" t="str">
        <f t="shared" si="2"/>
        <v xml:space="preserve">Voraussetzungen für den Zugang zu Diensten/Leistungen </v>
      </c>
      <c r="E67" s="33" t="s">
        <v>2699</v>
      </c>
      <c r="F67" s="6" t="s">
        <v>940</v>
      </c>
    </row>
    <row r="68" spans="1:6" ht="253.5" hidden="1">
      <c r="A68" s="17">
        <f>ROW()</f>
        <v>68</v>
      </c>
      <c r="B68" s="18" t="s">
        <v>2804</v>
      </c>
      <c r="C68" s="18" t="s">
        <v>2695</v>
      </c>
      <c r="D68" s="19" t="str">
        <f t="shared" si="2"/>
        <v>Beträge, Dauer und Kostenbeteiligung</v>
      </c>
      <c r="E68" s="33" t="s">
        <v>2700</v>
      </c>
      <c r="F68" s="6" t="s">
        <v>940</v>
      </c>
    </row>
    <row r="69" spans="1:6" ht="216" hidden="1">
      <c r="A69" s="17">
        <f>ROW()</f>
        <v>69</v>
      </c>
      <c r="B69" s="18" t="s">
        <v>2804</v>
      </c>
      <c r="C69" s="18" t="s">
        <v>2695</v>
      </c>
      <c r="D69" s="19" t="str">
        <f t="shared" si="2"/>
        <v>Besteuerung von Geldleistungen</v>
      </c>
      <c r="E69" s="33" t="s">
        <v>2681</v>
      </c>
      <c r="F69" s="6" t="s">
        <v>940</v>
      </c>
    </row>
    <row r="70" spans="1:6" ht="272.25" hidden="1">
      <c r="A70" s="17">
        <f>ROW()</f>
        <v>70</v>
      </c>
      <c r="B70" s="18" t="s">
        <v>2804</v>
      </c>
      <c r="C70" s="18" t="s">
        <v>2695</v>
      </c>
      <c r="D70" s="19" t="str">
        <f t="shared" si="2"/>
        <v>Auf Leistungen anfallende Sozialabgaben</v>
      </c>
      <c r="E70" s="33" t="s">
        <v>2683</v>
      </c>
      <c r="F70" s="6" t="s">
        <v>940</v>
      </c>
    </row>
    <row r="71" spans="1:6" ht="177">
      <c r="A71" s="17">
        <f>ROW()</f>
        <v>71</v>
      </c>
      <c r="B71" s="18" t="s">
        <v>2702</v>
      </c>
      <c r="C71" s="18" t="str">
        <f t="shared" ref="C71:D75" si="3">+D71</f>
        <v>Geltende Rechtsgrundlage</v>
      </c>
      <c r="D71" s="19" t="str">
        <f t="shared" si="3"/>
        <v>Geltende Rechtsgrundlage</v>
      </c>
      <c r="E71" s="32" t="s">
        <v>2724</v>
      </c>
      <c r="F71" s="6" t="s">
        <v>992</v>
      </c>
    </row>
    <row r="72" spans="1:6" ht="110.25">
      <c r="A72" s="17">
        <f>ROW()</f>
        <v>72</v>
      </c>
      <c r="B72" s="18" t="s">
        <v>2702</v>
      </c>
      <c r="C72" s="18" t="str">
        <f t="shared" si="3"/>
        <v>Grundprinzipien</v>
      </c>
      <c r="D72" s="19" t="str">
        <f t="shared" si="3"/>
        <v>Grundprinzipien</v>
      </c>
      <c r="E72" s="32" t="s">
        <v>2709</v>
      </c>
      <c r="F72" s="6" t="s">
        <v>1018</v>
      </c>
    </row>
    <row r="73" spans="1:6" ht="315">
      <c r="A73" s="17">
        <f>ROW()</f>
        <v>73</v>
      </c>
      <c r="B73" s="18" t="s">
        <v>2702</v>
      </c>
      <c r="C73" s="19" t="str">
        <f t="shared" si="3"/>
        <v>Anwendungsbereich (in Bezug auf Verstorbene)</v>
      </c>
      <c r="D73" s="19" t="str">
        <f t="shared" si="3"/>
        <v>Anwendungsbereich (in Bezug auf Verstorbene)</v>
      </c>
      <c r="E73" s="32" t="s">
        <v>2725</v>
      </c>
      <c r="F73" s="6" t="s">
        <v>1048</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1076</v>
      </c>
    </row>
    <row r="75" spans="1:6" ht="144.75">
      <c r="A75" s="17">
        <f>ROW()</f>
        <v>75</v>
      </c>
      <c r="B75" s="18" t="s">
        <v>2702</v>
      </c>
      <c r="C75" s="19" t="str">
        <f t="shared" si="3"/>
        <v>Berechtigte Personen</v>
      </c>
      <c r="D75" s="19" t="str">
        <f t="shared" si="3"/>
        <v>Berechtigte Personen</v>
      </c>
      <c r="E75" s="32" t="s">
        <v>2730</v>
      </c>
      <c r="F75" s="6" t="s">
        <v>1093</v>
      </c>
    </row>
    <row r="76" spans="1:6" ht="102">
      <c r="A76" s="17">
        <f>ROW()</f>
        <v>76</v>
      </c>
      <c r="B76" s="18" t="s">
        <v>2702</v>
      </c>
      <c r="C76" s="1"/>
      <c r="D76" s="1"/>
      <c r="E76" s="32" t="s">
        <v>2783</v>
      </c>
      <c r="F76" s="6"/>
    </row>
    <row r="77" spans="1:6" ht="189.75">
      <c r="A77" s="17">
        <f>ROW()</f>
        <v>77</v>
      </c>
      <c r="B77" s="18" t="s">
        <v>2702</v>
      </c>
      <c r="C77" s="18" t="s">
        <v>2805</v>
      </c>
      <c r="D77" s="18" t="str">
        <f t="shared" ref="D77:D90" si="4">+E77</f>
        <v>1. Verstorbener Versicherter</v>
      </c>
      <c r="E77" s="33" t="s">
        <v>2806</v>
      </c>
      <c r="F77" s="6" t="s">
        <v>1124</v>
      </c>
    </row>
    <row r="78" spans="1:6" ht="185.25">
      <c r="A78" s="17">
        <f>ROW()</f>
        <v>78</v>
      </c>
      <c r="B78" s="18" t="s">
        <v>2702</v>
      </c>
      <c r="C78" s="18" t="s">
        <v>2805</v>
      </c>
      <c r="D78" s="18" t="str">
        <f t="shared" si="4"/>
        <v>2. Hinterbliebener Ehegatte</v>
      </c>
      <c r="E78" s="33" t="s">
        <v>2807</v>
      </c>
      <c r="F78" s="6" t="s">
        <v>1155</v>
      </c>
    </row>
    <row r="79" spans="1:6" ht="181.5">
      <c r="A79" s="17">
        <f>ROW()</f>
        <v>79</v>
      </c>
      <c r="B79" s="18" t="s">
        <v>2702</v>
      </c>
      <c r="C79" s="18" t="s">
        <v>2805</v>
      </c>
      <c r="D79" s="18" t="str">
        <f t="shared" si="4"/>
        <v>3. Geschiedener Ehegatte</v>
      </c>
      <c r="E79" s="33" t="s">
        <v>2808</v>
      </c>
      <c r="F79" s="6" t="s">
        <v>1185</v>
      </c>
    </row>
    <row r="80" spans="1:6" ht="216">
      <c r="A80" s="17">
        <f>ROW()</f>
        <v>80</v>
      </c>
      <c r="B80" s="18" t="s">
        <v>2702</v>
      </c>
      <c r="C80" s="18" t="s">
        <v>2805</v>
      </c>
      <c r="D80" s="18" t="str">
        <f t="shared" si="4"/>
        <v>4. Hinterbliebene Lebenspartner</v>
      </c>
      <c r="E80" s="33" t="s">
        <v>2809</v>
      </c>
      <c r="F80" s="6" t="s">
        <v>1212</v>
      </c>
    </row>
    <row r="81" spans="1:6" ht="181.5">
      <c r="A81" s="17">
        <f>ROW()</f>
        <v>81</v>
      </c>
      <c r="B81" s="18" t="s">
        <v>2702</v>
      </c>
      <c r="C81" s="18" t="s">
        <v>2805</v>
      </c>
      <c r="D81" s="18" t="str">
        <f t="shared" si="4"/>
        <v>5. Kinder</v>
      </c>
      <c r="E81" s="33" t="s">
        <v>2810</v>
      </c>
      <c r="F81" s="6" t="s">
        <v>1236</v>
      </c>
    </row>
    <row r="82" spans="1:6" ht="181.5">
      <c r="A82" s="17">
        <f>ROW()</f>
        <v>82</v>
      </c>
      <c r="B82" s="18" t="s">
        <v>2702</v>
      </c>
      <c r="C82" s="18" t="s">
        <v>2805</v>
      </c>
      <c r="D82" s="18" t="str">
        <f t="shared" si="4"/>
        <v>6. Andere Personen</v>
      </c>
      <c r="E82" s="33" t="s">
        <v>2811</v>
      </c>
      <c r="F82" s="6" t="s">
        <v>373</v>
      </c>
    </row>
    <row r="83" spans="1:6" ht="409.5">
      <c r="A83" s="17">
        <f>ROW()</f>
        <v>83</v>
      </c>
      <c r="B83" s="18" t="s">
        <v>2702</v>
      </c>
      <c r="C83" s="18" t="s">
        <v>2695</v>
      </c>
      <c r="D83" s="19" t="str">
        <f t="shared" si="4"/>
        <v>1. Hinterbliebener Ehegatte, geschiedener Ehegatte, hinterbliebene Lebenspartner</v>
      </c>
      <c r="E83" s="33" t="s">
        <v>2812</v>
      </c>
      <c r="F83" s="6" t="s">
        <v>1284</v>
      </c>
    </row>
    <row r="84" spans="1:6" ht="280.5">
      <c r="A84" s="17">
        <f>ROW()</f>
        <v>84</v>
      </c>
      <c r="B84" s="18" t="s">
        <v>2702</v>
      </c>
      <c r="C84" s="18" t="s">
        <v>2695</v>
      </c>
      <c r="D84" s="19" t="str">
        <f t="shared" si="4"/>
        <v>2. Hinterbliebener Ehegatte: Wiederheirat</v>
      </c>
      <c r="E84" s="33" t="s">
        <v>2813</v>
      </c>
      <c r="F84" s="6" t="s">
        <v>1315</v>
      </c>
    </row>
    <row r="85" spans="1:6" ht="120">
      <c r="A85" s="17">
        <f>ROW()</f>
        <v>85</v>
      </c>
      <c r="B85" s="18" t="s">
        <v>2702</v>
      </c>
      <c r="C85" s="18" t="s">
        <v>2695</v>
      </c>
      <c r="D85" s="19" t="str">
        <f t="shared" si="4"/>
        <v>3. Kinder</v>
      </c>
      <c r="E85" s="33" t="s">
        <v>2814</v>
      </c>
      <c r="F85" s="6" t="s">
        <v>1344</v>
      </c>
    </row>
    <row r="86" spans="1:6" ht="147">
      <c r="A86" s="17">
        <f>ROW()</f>
        <v>86</v>
      </c>
      <c r="B86" s="18" t="s">
        <v>2702</v>
      </c>
      <c r="C86" s="18" t="s">
        <v>2695</v>
      </c>
      <c r="D86" s="19" t="str">
        <f t="shared" si="4"/>
        <v>4. Andere Berechtigte</v>
      </c>
      <c r="E86" s="33" t="s">
        <v>2815</v>
      </c>
      <c r="F86" s="6" t="s">
        <v>373</v>
      </c>
    </row>
    <row r="87" spans="1:6" ht="381">
      <c r="A87" s="17">
        <f>ROW()</f>
        <v>87</v>
      </c>
      <c r="B87" s="18" t="s">
        <v>2702</v>
      </c>
      <c r="C87" s="18" t="s">
        <v>2695</v>
      </c>
      <c r="D87" s="19" t="str">
        <f t="shared" si="4"/>
        <v xml:space="preserve"> 5. Höchster zahlbarer Gesamtbetrag für alle Berechtigten</v>
      </c>
      <c r="E87" s="33" t="s">
        <v>2816</v>
      </c>
      <c r="F87" s="6" t="s">
        <v>545</v>
      </c>
    </row>
    <row r="88" spans="1:6" ht="151.5">
      <c r="A88" s="17">
        <f>ROW()</f>
        <v>88</v>
      </c>
      <c r="B88" s="18" t="s">
        <v>2702</v>
      </c>
      <c r="C88" s="18" t="s">
        <v>2695</v>
      </c>
      <c r="D88" s="19" t="str">
        <f t="shared" si="4"/>
        <v>6. Sonstige Leistungen</v>
      </c>
      <c r="E88" s="33" t="s">
        <v>2817</v>
      </c>
      <c r="F88" s="6" t="s">
        <v>1415</v>
      </c>
    </row>
    <row r="89" spans="1:6" ht="126.75">
      <c r="A89" s="17">
        <f>ROW()</f>
        <v>89</v>
      </c>
      <c r="B89" s="18" t="s">
        <v>2702</v>
      </c>
      <c r="C89" s="18" t="s">
        <v>2695</v>
      </c>
      <c r="D89" s="19" t="str">
        <f>+E89</f>
        <v>7. Mindestleistung</v>
      </c>
      <c r="E89" s="33" t="s">
        <v>2818</v>
      </c>
      <c r="F89" s="6" t="s">
        <v>1444</v>
      </c>
    </row>
    <row r="90" spans="1:6" ht="122.25">
      <c r="A90" s="17">
        <f>ROW()</f>
        <v>90</v>
      </c>
      <c r="B90" s="18" t="s">
        <v>2702</v>
      </c>
      <c r="C90" s="18" t="s">
        <v>2695</v>
      </c>
      <c r="D90" s="19" t="str">
        <f t="shared" si="4"/>
        <v xml:space="preserve"> 8. Höchstleistung</v>
      </c>
      <c r="E90" s="33" t="s">
        <v>2819</v>
      </c>
      <c r="F90" s="6" t="s">
        <v>1472</v>
      </c>
    </row>
    <row r="91" spans="1:6" ht="179.25">
      <c r="A91" s="17">
        <f>ROW()</f>
        <v>91</v>
      </c>
      <c r="B91" s="18" t="s">
        <v>2702</v>
      </c>
      <c r="C91" s="18" t="s">
        <v>2799</v>
      </c>
      <c r="D91" s="19" t="str">
        <f>+C91</f>
        <v>Indexbindung / Anpassung</v>
      </c>
      <c r="E91" s="32" t="s">
        <v>2799</v>
      </c>
      <c r="F91" s="6" t="s">
        <v>1493</v>
      </c>
    </row>
    <row r="92" spans="1:6" ht="242.25">
      <c r="A92" s="17">
        <f>ROW()</f>
        <v>92</v>
      </c>
      <c r="B92" s="18" t="s">
        <v>2702</v>
      </c>
      <c r="C92" s="18" t="s">
        <v>2799</v>
      </c>
      <c r="D92" s="19" t="str">
        <f t="shared" ref="D92:D105" si="5">+E92</f>
        <v>Kumulation mit Erwerbseinkommen</v>
      </c>
      <c r="E92" s="32" t="s">
        <v>2723</v>
      </c>
      <c r="F92" s="6" t="s">
        <v>1523</v>
      </c>
    </row>
    <row r="93" spans="1:6" ht="275.25">
      <c r="A93" s="17">
        <f>ROW()</f>
        <v>93</v>
      </c>
      <c r="B93" s="18" t="s">
        <v>2702</v>
      </c>
      <c r="C93" s="18" t="s">
        <v>2799</v>
      </c>
      <c r="D93" s="19" t="str">
        <f t="shared" si="5"/>
        <v>Kumulation mit anderen Sozialleistungen</v>
      </c>
      <c r="E93" s="32" t="s">
        <v>2696</v>
      </c>
      <c r="F93" s="6" t="s">
        <v>1554</v>
      </c>
    </row>
    <row r="94" spans="1:6" ht="232.5">
      <c r="A94" s="17">
        <f>ROW()</f>
        <v>94</v>
      </c>
      <c r="B94" s="18" t="s">
        <v>2702</v>
      </c>
      <c r="C94" s="19" t="s">
        <v>2701</v>
      </c>
      <c r="D94" s="19" t="str">
        <f t="shared" si="5"/>
        <v>1. Besteuerung von Geldleistungen</v>
      </c>
      <c r="E94" s="33" t="s">
        <v>2770</v>
      </c>
      <c r="F94" s="6" t="s">
        <v>1585</v>
      </c>
    </row>
    <row r="95" spans="1:6" ht="387">
      <c r="A95" s="17">
        <f>ROW()</f>
        <v>95</v>
      </c>
      <c r="B95" s="18" t="s">
        <v>2702</v>
      </c>
      <c r="C95" s="19" t="s">
        <v>2701</v>
      </c>
      <c r="D95" s="19" t="str">
        <f t="shared" si="5"/>
        <v>2. Einkommensgrenze für Besteuerung von Geldleistungen</v>
      </c>
      <c r="E95" s="33" t="s">
        <v>2772</v>
      </c>
      <c r="F95" s="6" t="s">
        <v>1603</v>
      </c>
    </row>
    <row r="96" spans="1:6" ht="288.75">
      <c r="A96" s="17">
        <f>ROW()</f>
        <v>96</v>
      </c>
      <c r="B96" s="18" t="s">
        <v>2702</v>
      </c>
      <c r="C96" s="19" t="s">
        <v>2701</v>
      </c>
      <c r="D96" s="19" t="str">
        <f t="shared" si="5"/>
        <v>3. Auf Leistungen anfallende Sozialabgaben</v>
      </c>
      <c r="E96" s="33" t="s">
        <v>2773</v>
      </c>
      <c r="F96" s="6" t="s">
        <v>825</v>
      </c>
    </row>
    <row r="97" spans="1:6" ht="138">
      <c r="A97" s="17">
        <f>ROW()</f>
        <v>97</v>
      </c>
      <c r="B97" s="18" t="s">
        <v>2702</v>
      </c>
      <c r="C97" s="19" t="s">
        <v>2775</v>
      </c>
      <c r="D97" s="19" t="str">
        <f t="shared" si="5"/>
        <v>Anwendungsbereich</v>
      </c>
      <c r="E97" s="33" t="s">
        <v>2708</v>
      </c>
      <c r="F97" s="6" t="s">
        <v>840</v>
      </c>
    </row>
    <row r="98" spans="1:6" ht="110.25">
      <c r="A98" s="17">
        <f>ROW()</f>
        <v>98</v>
      </c>
      <c r="B98" s="18" t="s">
        <v>2702</v>
      </c>
      <c r="C98" s="19" t="s">
        <v>2775</v>
      </c>
      <c r="D98" s="19" t="str">
        <f t="shared" si="5"/>
        <v>Grundprinzipien</v>
      </c>
      <c r="E98" s="33" t="s">
        <v>2709</v>
      </c>
      <c r="F98" s="6" t="s">
        <v>1657</v>
      </c>
    </row>
    <row r="99" spans="1:6" ht="224.25">
      <c r="A99" s="17">
        <f>ROW()</f>
        <v>99</v>
      </c>
      <c r="B99" s="18" t="s">
        <v>2702</v>
      </c>
      <c r="C99" s="19" t="s">
        <v>2775</v>
      </c>
      <c r="D99" s="19" t="str">
        <f t="shared" si="5"/>
        <v>Voraussetzungen für die Deckung</v>
      </c>
      <c r="E99" s="33" t="s">
        <v>2710</v>
      </c>
      <c r="F99" s="6" t="s">
        <v>940</v>
      </c>
    </row>
    <row r="100" spans="1:6" ht="409.5">
      <c r="A100" s="17">
        <f>ROW()</f>
        <v>100</v>
      </c>
      <c r="B100" s="18" t="s">
        <v>2702</v>
      </c>
      <c r="C100" s="19" t="s">
        <v>2775</v>
      </c>
      <c r="D100" s="19" t="str">
        <f t="shared" si="5"/>
        <v>Kombination von selbstständiger und unselbstständiger Tätigkeit</v>
      </c>
      <c r="E100" s="33" t="s">
        <v>2698</v>
      </c>
      <c r="F100" s="6" t="s">
        <v>920</v>
      </c>
    </row>
    <row r="101" spans="1:6" ht="376.5">
      <c r="A101" s="17">
        <f>ROW()</f>
        <v>101</v>
      </c>
      <c r="B101" s="18" t="s">
        <v>2702</v>
      </c>
      <c r="C101" s="19" t="s">
        <v>2775</v>
      </c>
      <c r="D101" s="19" t="str">
        <f t="shared" si="5"/>
        <v xml:space="preserve">Voraussetzungen für den Zugang zu Diensten/Leistungen </v>
      </c>
      <c r="E101" s="33" t="s">
        <v>2699</v>
      </c>
      <c r="F101" s="6" t="s">
        <v>940</v>
      </c>
    </row>
    <row r="102" spans="1:6" ht="253.5">
      <c r="A102" s="17">
        <f>ROW()</f>
        <v>102</v>
      </c>
      <c r="B102" s="18" t="s">
        <v>2702</v>
      </c>
      <c r="C102" s="19" t="s">
        <v>2775</v>
      </c>
      <c r="D102" s="19" t="str">
        <f t="shared" si="5"/>
        <v>Beträge, Dauer und Kostenbeteiligung</v>
      </c>
      <c r="E102" s="33" t="s">
        <v>2700</v>
      </c>
      <c r="F102" s="6" t="s">
        <v>940</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940</v>
      </c>
    </row>
    <row r="105" spans="1:6" ht="272.25">
      <c r="A105" s="17">
        <f>ROW()</f>
        <v>105</v>
      </c>
      <c r="B105" s="18" t="s">
        <v>2702</v>
      </c>
      <c r="C105" s="19" t="s">
        <v>2775</v>
      </c>
      <c r="D105" s="19" t="str">
        <f t="shared" si="5"/>
        <v>Auf Leistungen anfallende Sozialabgaben</v>
      </c>
      <c r="E105" s="33" t="s">
        <v>2683</v>
      </c>
      <c r="F105" s="6" t="s">
        <v>940</v>
      </c>
    </row>
    <row r="106" spans="1:6"/>
    <row r="107" spans="1:6"/>
    <row r="108" spans="1:6"/>
    <row r="109" spans="1:6"/>
    <row r="110" spans="1:6"/>
    <row r="111" spans="1:6"/>
    <row r="112" spans="1:6"/>
    <row r="113"/>
  </sheetData>
  <sheetProtection algorithmName="SHA-512" hashValue="6w1vx50L+Q3wo4aoe9b7QmjSFOrKzzNDpAaCuAsOmlUgh80dppkMMSMduJFlDfXb62mWLtxxokrP1G0hh39zgw==" saltValue="WTOIduotPSX8IlvL/9LF+g==" spinCount="100000" sheet="1" objects="1" scenarios="1" formatColumns="0" autoFilter="0"/>
  <autoFilter ref="A2:F105" xr:uid="{68FACD67-8A90-41FE-BD7E-971CC32A310F}">
    <filterColumn colId="1">
      <filters>
        <filter val="Hinterbliebene"/>
      </filters>
    </filterColumn>
  </autoFilter>
  <pageMargins left="0.7" right="0.7" top="0.78740157499999996" bottom="0.78740157499999996"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E1854-E791-4BA6-8F81-E1A600EB4857}">
  <sheetPr codeName="Tabelle5" filterMode="1"/>
  <dimension ref="A1:F106"/>
  <sheetViews>
    <sheetView workbookViewId="0">
      <pane xSplit="5" ySplit="2" topLeftCell="F62" activePane="bottomRight" state="frozen"/>
      <selection activeCell="F2" sqref="F2"/>
      <selection pane="topRight" activeCell="F2" sqref="F2"/>
      <selection pane="bottomLeft" activeCell="F2" sqref="F2"/>
      <selection pane="bottomRight" activeCell="F2" sqref="A1:F106"/>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26.5703125" hidden="1"/>
  </cols>
  <sheetData>
    <row r="1" spans="1:6" ht="64.5" customHeight="1">
      <c r="B1" s="139" t="s">
        <v>2726</v>
      </c>
      <c r="C1" s="136" t="s">
        <v>2739</v>
      </c>
      <c r="D1" s="136" t="s">
        <v>2728</v>
      </c>
      <c r="E1" s="128" t="s">
        <v>3506</v>
      </c>
      <c r="F1" s="16" t="s">
        <v>3</v>
      </c>
    </row>
    <row r="2" spans="1:6" ht="39.75" customHeight="1">
      <c r="A2" s="138"/>
      <c r="B2" s="139"/>
      <c r="C2" s="136"/>
      <c r="D2" s="136"/>
      <c r="E2" s="134"/>
      <c r="F2" s="173" t="str" cm="1">
        <f t="array" ref="F2">_xlfn.TEXTJOIN("; ", TRUE, IF(Entscheidungen!A2:A100=F1, Entscheidungen!B2:B100, ""))</f>
        <v/>
      </c>
    </row>
    <row r="3" spans="1:6" ht="177" hidden="1">
      <c r="A3" s="17">
        <f>ROW()</f>
        <v>3</v>
      </c>
      <c r="B3" s="18" t="s">
        <v>2740</v>
      </c>
      <c r="C3" s="18"/>
      <c r="D3" s="18" t="str">
        <f>+E3</f>
        <v>Geltende Rechtsgrundlage</v>
      </c>
      <c r="E3" s="31" t="s">
        <v>2724</v>
      </c>
      <c r="F3" s="6" t="s">
        <v>2856</v>
      </c>
    </row>
    <row r="4" spans="1:6" ht="135" hidden="1" customHeight="1">
      <c r="A4" s="17">
        <f>ROW()</f>
        <v>4</v>
      </c>
      <c r="B4" s="18" t="s">
        <v>2740</v>
      </c>
      <c r="C4" s="1"/>
      <c r="D4" s="18" t="str">
        <f t="shared" ref="D4:D34" si="0">+E4</f>
        <v>Grundprinzipien</v>
      </c>
      <c r="E4" s="32" t="s">
        <v>2709</v>
      </c>
      <c r="F4" s="6" t="s">
        <v>2857</v>
      </c>
    </row>
    <row r="5" spans="1:6" ht="345" hidden="1" customHeight="1">
      <c r="A5" s="17">
        <f>ROW()</f>
        <v>5</v>
      </c>
      <c r="B5" s="18" t="s">
        <v>2740</v>
      </c>
      <c r="C5" s="1"/>
      <c r="D5" s="18" t="str">
        <f t="shared" si="0"/>
        <v>Gedecktes Risiko: Definition</v>
      </c>
      <c r="E5" s="32" t="s">
        <v>2891</v>
      </c>
      <c r="F5" s="6" t="s">
        <v>2858</v>
      </c>
    </row>
    <row r="6" spans="1:6" ht="144" hidden="1">
      <c r="A6" s="17">
        <f>ROW()</f>
        <v>6</v>
      </c>
      <c r="B6" s="18" t="s">
        <v>2740</v>
      </c>
      <c r="C6" s="18" t="s">
        <v>2653</v>
      </c>
      <c r="D6" s="18" t="str">
        <f t="shared" si="0"/>
        <v>Versicherte Personen</v>
      </c>
      <c r="E6" s="33" t="s">
        <v>2653</v>
      </c>
      <c r="F6" s="6" t="s">
        <v>2859</v>
      </c>
    </row>
    <row r="7" spans="1:6" ht="273" hidden="1">
      <c r="A7" s="17">
        <f>ROW()</f>
        <v>7</v>
      </c>
      <c r="B7" s="18" t="s">
        <v>2740</v>
      </c>
      <c r="C7" s="18" t="str">
        <f>+E6</f>
        <v>Versicherte Personen</v>
      </c>
      <c r="D7" s="18" t="str">
        <f t="shared" si="0"/>
        <v>Ausnahmen von der Versicherungspflicht</v>
      </c>
      <c r="E7" s="33" t="s">
        <v>2685</v>
      </c>
      <c r="F7" s="6" t="s">
        <v>2860</v>
      </c>
    </row>
    <row r="8" spans="1:6" ht="285" hidden="1" customHeight="1">
      <c r="A8" s="17">
        <f>ROW()</f>
        <v>8</v>
      </c>
      <c r="B8" s="18" t="s">
        <v>2740</v>
      </c>
      <c r="C8" s="19" t="s">
        <v>149</v>
      </c>
      <c r="D8" s="18" t="str">
        <f t="shared" si="0"/>
        <v>1. Anwartschaftszeit</v>
      </c>
      <c r="E8" s="33" t="s">
        <v>2744</v>
      </c>
      <c r="F8" s="6" t="s">
        <v>2861</v>
      </c>
    </row>
    <row r="9" spans="1:6" ht="409.5" hidden="1">
      <c r="A9" s="17">
        <f>ROW()</f>
        <v>9</v>
      </c>
      <c r="B9" s="18" t="s">
        <v>2740</v>
      </c>
      <c r="C9" s="19" t="s">
        <v>149</v>
      </c>
      <c r="D9" s="18" t="str">
        <f t="shared" si="0"/>
        <v xml:space="preserve">2. Begutachtungskriterien und Kategorien der Arbeitsunfähigkeit/Arbeitsfähigkeit  </v>
      </c>
      <c r="E9" s="33" t="s">
        <v>2745</v>
      </c>
      <c r="F9" s="6" t="s">
        <v>2862</v>
      </c>
    </row>
    <row r="10" spans="1:6" ht="222" hidden="1">
      <c r="A10" s="17">
        <f>ROW()</f>
        <v>10</v>
      </c>
      <c r="B10" s="18" t="s">
        <v>2740</v>
      </c>
      <c r="C10" s="19" t="s">
        <v>149</v>
      </c>
      <c r="D10" s="18" t="str">
        <f t="shared" si="0"/>
        <v>3. Zeitraum der Leistungszahlung</v>
      </c>
      <c r="E10" s="33" t="s">
        <v>2747</v>
      </c>
      <c r="F10" s="6" t="s">
        <v>2863</v>
      </c>
    </row>
    <row r="11" spans="1:6" ht="300" hidden="1" customHeight="1">
      <c r="A11" s="17">
        <f>ROW()</f>
        <v>11</v>
      </c>
      <c r="B11" s="18" t="s">
        <v>2740</v>
      </c>
      <c r="C11" s="19" t="s">
        <v>2749</v>
      </c>
      <c r="D11" s="18" t="str">
        <f t="shared" si="0"/>
        <v>1. Gutachter</v>
      </c>
      <c r="E11" s="33" t="s">
        <v>2750</v>
      </c>
      <c r="F11" s="6" t="s">
        <v>2864</v>
      </c>
    </row>
    <row r="12" spans="1:6" ht="150" hidden="1" customHeight="1">
      <c r="A12" s="17">
        <f>ROW()</f>
        <v>12</v>
      </c>
      <c r="B12" s="18" t="s">
        <v>2740</v>
      </c>
      <c r="C12" s="19" t="s">
        <v>2749</v>
      </c>
      <c r="D12" s="18" t="str">
        <f t="shared" si="0"/>
        <v xml:space="preserve">2. Überprüfung  </v>
      </c>
      <c r="E12" s="33" t="s">
        <v>2751</v>
      </c>
      <c r="F12" s="6" t="s">
        <v>2865</v>
      </c>
    </row>
    <row r="13" spans="1:6" ht="375" hidden="1">
      <c r="A13" s="17">
        <f>ROW()</f>
        <v>13</v>
      </c>
      <c r="B13" s="18" t="s">
        <v>2740</v>
      </c>
      <c r="C13" s="18" t="s">
        <v>2695</v>
      </c>
      <c r="D13" s="18" t="str">
        <f t="shared" si="0"/>
        <v>1. Berechnungsmethode bzw. Rentenformel</v>
      </c>
      <c r="E13" s="33" t="s">
        <v>2753</v>
      </c>
      <c r="F13" s="6" t="s">
        <v>2866</v>
      </c>
    </row>
    <row r="14" spans="1:6" ht="343.5" hidden="1">
      <c r="A14" s="17">
        <f>ROW()</f>
        <v>14</v>
      </c>
      <c r="B14" s="18" t="s">
        <v>2740</v>
      </c>
      <c r="C14" s="18" t="s">
        <v>2695</v>
      </c>
      <c r="D14" s="18" t="str">
        <f t="shared" si="0"/>
        <v>2. Referenzeinkommen bzw. Berechnungsgrundlage</v>
      </c>
      <c r="E14" s="33" t="s">
        <v>2754</v>
      </c>
      <c r="F14" s="6" t="s">
        <v>2867</v>
      </c>
    </row>
    <row r="15" spans="1:6" ht="226.5" hidden="1">
      <c r="A15" s="17">
        <f>ROW()</f>
        <v>15</v>
      </c>
      <c r="B15" s="18" t="s">
        <v>2740</v>
      </c>
      <c r="C15" s="18" t="s">
        <v>2695</v>
      </c>
      <c r="D15" s="18" t="str">
        <f t="shared" si="0"/>
        <v>3. Mindest- und Höchstleistungen</v>
      </c>
      <c r="E15" s="33" t="s">
        <v>2756</v>
      </c>
      <c r="F15" s="6" t="s">
        <v>2868</v>
      </c>
    </row>
    <row r="16" spans="1:6" ht="405" hidden="1">
      <c r="A16" s="17">
        <f>ROW()</f>
        <v>16</v>
      </c>
      <c r="B16" s="18" t="s">
        <v>2740</v>
      </c>
      <c r="C16" s="18" t="s">
        <v>2695</v>
      </c>
      <c r="D16" s="18" t="str">
        <f t="shared" si="0"/>
        <v>4. Anrechenbare oder als Beitragszeiten gewertete Zeiträume</v>
      </c>
      <c r="E16" s="33" t="s">
        <v>2757</v>
      </c>
      <c r="F16" s="6" t="s">
        <v>2869</v>
      </c>
    </row>
    <row r="17" spans="1:6" ht="250.5" hidden="1">
      <c r="A17" s="17">
        <f>ROW()</f>
        <v>17</v>
      </c>
      <c r="B17" s="18" t="s">
        <v>2740</v>
      </c>
      <c r="C17" s="18" t="s">
        <v>2695</v>
      </c>
      <c r="D17" s="18" t="str">
        <f t="shared" si="0"/>
        <v xml:space="preserve">5. Zulagen für Unterhaltsberechtigte  </v>
      </c>
      <c r="E17" s="33" t="s">
        <v>2759</v>
      </c>
      <c r="F17" s="6" t="s">
        <v>456</v>
      </c>
    </row>
    <row r="18" spans="1:6" ht="135" hidden="1">
      <c r="A18" s="17">
        <f>ROW()</f>
        <v>18</v>
      </c>
      <c r="B18" s="18" t="s">
        <v>2740</v>
      </c>
      <c r="C18" s="18" t="str">
        <f>+E18</f>
        <v>Sonstige Leistungen</v>
      </c>
      <c r="D18" s="18" t="str">
        <f>+E18</f>
        <v>Sonstige Leistungen</v>
      </c>
      <c r="E18" s="32" t="s">
        <v>2678</v>
      </c>
      <c r="F18" s="6" t="s">
        <v>1425</v>
      </c>
    </row>
    <row r="19" spans="1:6" ht="300.75" hidden="1">
      <c r="A19" s="17">
        <f>ROW()</f>
        <v>19</v>
      </c>
      <c r="B19" s="18" t="s">
        <v>2740</v>
      </c>
      <c r="C19" s="18" t="s">
        <v>2761</v>
      </c>
      <c r="D19" s="18" t="str">
        <f t="shared" si="0"/>
        <v>Umschulung, berufsbezogene Rehabilitation</v>
      </c>
      <c r="E19" s="33" t="s">
        <v>2762</v>
      </c>
      <c r="F19" s="6" t="s">
        <v>2870</v>
      </c>
    </row>
    <row r="20" spans="1:6" ht="409.5" hidden="1">
      <c r="A20" s="17">
        <f>ROW()</f>
        <v>20</v>
      </c>
      <c r="B20" s="18" t="s">
        <v>2740</v>
      </c>
      <c r="C20" s="18" t="s">
        <v>2761</v>
      </c>
      <c r="D20" s="18" t="str">
        <f t="shared" si="0"/>
        <v xml:space="preserve">Bevorzugte und reservierte Beschäftigung von Menschen mit Behinderungen  </v>
      </c>
      <c r="E20" s="33" t="s">
        <v>2763</v>
      </c>
      <c r="F20" s="6" t="s">
        <v>2871</v>
      </c>
    </row>
    <row r="21" spans="1:6" ht="409.5" hidden="1" customHeight="1">
      <c r="A21" s="17">
        <f>ROW()</f>
        <v>21</v>
      </c>
      <c r="B21" s="18" t="s">
        <v>2740</v>
      </c>
      <c r="C21" s="18" t="s">
        <v>2765</v>
      </c>
      <c r="D21" s="18" t="str">
        <f t="shared" si="0"/>
        <v>Indexbindung/Anpassung</v>
      </c>
      <c r="E21" s="32" t="s">
        <v>2766</v>
      </c>
      <c r="F21" s="6" t="s">
        <v>1494</v>
      </c>
    </row>
    <row r="22" spans="1:6" ht="242.25" hidden="1">
      <c r="A22" s="17">
        <f>ROW()</f>
        <v>22</v>
      </c>
      <c r="B22" s="18" t="s">
        <v>2740</v>
      </c>
      <c r="C22" s="18" t="s">
        <v>2765</v>
      </c>
      <c r="D22" s="18" t="str">
        <f>+E22</f>
        <v>Kumulation mit Erwerbseinkommen</v>
      </c>
      <c r="E22" s="32" t="s">
        <v>2723</v>
      </c>
      <c r="F22" s="6" t="s">
        <v>2872</v>
      </c>
    </row>
    <row r="23" spans="1:6" ht="275.25" hidden="1">
      <c r="A23" s="17">
        <f>ROW()</f>
        <v>23</v>
      </c>
      <c r="B23" s="18" t="s">
        <v>2740</v>
      </c>
      <c r="C23" s="18" t="s">
        <v>2765</v>
      </c>
      <c r="D23" s="18" t="str">
        <f t="shared" si="0"/>
        <v>Kumulation mit anderen Sozialleistungen</v>
      </c>
      <c r="E23" s="32" t="s">
        <v>2696</v>
      </c>
      <c r="F23" s="6" t="s">
        <v>2873</v>
      </c>
    </row>
    <row r="24" spans="1:6" ht="232.5" hidden="1">
      <c r="A24" s="17">
        <f>ROW()</f>
        <v>24</v>
      </c>
      <c r="B24" s="18" t="s">
        <v>2740</v>
      </c>
      <c r="C24" s="18" t="s">
        <v>2701</v>
      </c>
      <c r="D24" s="18" t="str">
        <f t="shared" si="0"/>
        <v>1. Besteuerung von Geldleistungen</v>
      </c>
      <c r="E24" s="33" t="s">
        <v>2770</v>
      </c>
      <c r="F24" s="6" t="s">
        <v>765</v>
      </c>
    </row>
    <row r="25" spans="1:6" ht="387" hidden="1">
      <c r="A25" s="17">
        <f>ROW()</f>
        <v>25</v>
      </c>
      <c r="B25" s="18" t="s">
        <v>2740</v>
      </c>
      <c r="C25" s="18" t="s">
        <v>2701</v>
      </c>
      <c r="D25" s="18" t="str">
        <f t="shared" si="0"/>
        <v>2. Einkommensgrenze für Besteuerung von Geldleistungen</v>
      </c>
      <c r="E25" s="33" t="s">
        <v>2772</v>
      </c>
      <c r="F25" s="6" t="s">
        <v>2874</v>
      </c>
    </row>
    <row r="26" spans="1:6" ht="288.75">
      <c r="A26" s="17">
        <f>ROW()</f>
        <v>26</v>
      </c>
      <c r="B26" s="18" t="s">
        <v>2740</v>
      </c>
      <c r="C26" s="18" t="s">
        <v>2701</v>
      </c>
      <c r="D26" s="18" t="str">
        <f t="shared" si="0"/>
        <v>3. Auf Leistungen anfallende Sozialabgaben</v>
      </c>
      <c r="E26" s="33" t="s">
        <v>2773</v>
      </c>
      <c r="F26" s="6" t="s">
        <v>2875</v>
      </c>
    </row>
    <row r="27" spans="1:6" ht="150" hidden="1" customHeight="1">
      <c r="A27" s="17">
        <f>ROW()</f>
        <v>27</v>
      </c>
      <c r="B27" s="18" t="s">
        <v>2740</v>
      </c>
      <c r="C27" s="18" t="s">
        <v>2775</v>
      </c>
      <c r="D27" s="18" t="str">
        <f t="shared" si="0"/>
        <v>Anwendungsbereich</v>
      </c>
      <c r="E27" s="33" t="s">
        <v>2708</v>
      </c>
      <c r="F27" s="6" t="s">
        <v>2876</v>
      </c>
    </row>
    <row r="28" spans="1:6" ht="225" hidden="1" customHeight="1">
      <c r="A28" s="17">
        <f>ROW()</f>
        <v>28</v>
      </c>
      <c r="B28" s="18" t="s">
        <v>2740</v>
      </c>
      <c r="C28" s="18" t="s">
        <v>2775</v>
      </c>
      <c r="D28" s="18" t="str">
        <f t="shared" si="0"/>
        <v>Grundprinzipien</v>
      </c>
      <c r="E28" s="33" t="s">
        <v>2709</v>
      </c>
      <c r="F28" s="6" t="s">
        <v>2877</v>
      </c>
    </row>
    <row r="29" spans="1:6" ht="224.25" hidden="1">
      <c r="A29" s="17">
        <f>ROW()</f>
        <v>29</v>
      </c>
      <c r="B29" s="18" t="s">
        <v>2740</v>
      </c>
      <c r="C29" s="18" t="s">
        <v>2775</v>
      </c>
      <c r="D29" s="18" t="str">
        <f t="shared" si="0"/>
        <v>Voraussetzungen für die Deckung</v>
      </c>
      <c r="E29" s="33" t="s">
        <v>2710</v>
      </c>
      <c r="F29" s="6" t="s">
        <v>2878</v>
      </c>
    </row>
    <row r="30" spans="1:6" ht="409.5" hidden="1">
      <c r="A30" s="17">
        <f>ROW()</f>
        <v>30</v>
      </c>
      <c r="B30" s="18" t="s">
        <v>2740</v>
      </c>
      <c r="C30" s="18" t="s">
        <v>2775</v>
      </c>
      <c r="D30" s="19" t="str">
        <f t="shared" si="0"/>
        <v>Kombination von selbstständiger und unselbstständiger Tätigkeit</v>
      </c>
      <c r="E30" s="33" t="s">
        <v>2698</v>
      </c>
      <c r="F30" s="6" t="s">
        <v>2879</v>
      </c>
    </row>
    <row r="31" spans="1:6" ht="376.5" hidden="1">
      <c r="A31" s="17">
        <f>ROW()</f>
        <v>31</v>
      </c>
      <c r="B31" s="18" t="s">
        <v>2740</v>
      </c>
      <c r="C31" s="18" t="s">
        <v>2695</v>
      </c>
      <c r="D31" s="19" t="str">
        <f t="shared" si="0"/>
        <v xml:space="preserve">Voraussetzungen für den Zugang zu Diensten/Leistungen </v>
      </c>
      <c r="E31" s="33" t="s">
        <v>2699</v>
      </c>
      <c r="F31" s="6" t="s">
        <v>2880</v>
      </c>
    </row>
    <row r="32" spans="1:6" ht="253.5" hidden="1">
      <c r="A32" s="17">
        <f>ROW()</f>
        <v>32</v>
      </c>
      <c r="B32" s="18" t="s">
        <v>2740</v>
      </c>
      <c r="C32" s="18" t="s">
        <v>2695</v>
      </c>
      <c r="D32" s="18" t="str">
        <f t="shared" si="0"/>
        <v>Beträge, Dauer und Kostenbeteiligung</v>
      </c>
      <c r="E32" s="33" t="s">
        <v>2700</v>
      </c>
      <c r="F32" s="6" t="s">
        <v>2881</v>
      </c>
    </row>
    <row r="33" spans="1:6" ht="216" hidden="1">
      <c r="A33" s="17">
        <f>ROW()</f>
        <v>33</v>
      </c>
      <c r="B33" s="18" t="s">
        <v>2740</v>
      </c>
      <c r="C33" s="18" t="s">
        <v>2695</v>
      </c>
      <c r="D33" s="18" t="str">
        <f t="shared" si="0"/>
        <v>Besteuerung von Geldleistungen</v>
      </c>
      <c r="E33" s="33" t="s">
        <v>2681</v>
      </c>
      <c r="F33" s="6" t="s">
        <v>967</v>
      </c>
    </row>
    <row r="34" spans="1:6" ht="276.75">
      <c r="A34" s="17">
        <f>ROW()</f>
        <v>34</v>
      </c>
      <c r="B34" s="18" t="s">
        <v>2740</v>
      </c>
      <c r="C34" s="18" t="s">
        <v>2695</v>
      </c>
      <c r="D34" s="18" t="str">
        <f t="shared" si="0"/>
        <v xml:space="preserve"> Auf Leistungen anfallende Sozialabgaben</v>
      </c>
      <c r="E34" s="33" t="s">
        <v>2779</v>
      </c>
      <c r="F34" s="6" t="s">
        <v>981</v>
      </c>
    </row>
    <row r="35" spans="1:6" ht="177" hidden="1">
      <c r="A35" s="17">
        <f>ROW()</f>
        <v>35</v>
      </c>
      <c r="B35" s="18" t="s">
        <v>2780</v>
      </c>
      <c r="C35" s="18" t="str">
        <f>+D35</f>
        <v>Geltende Rechtsgrundlage</v>
      </c>
      <c r="D35" s="18" t="str">
        <f>+E35</f>
        <v>Geltende Rechtsgrundlage</v>
      </c>
      <c r="E35" s="32" t="s">
        <v>2724</v>
      </c>
      <c r="F35" s="6" t="s">
        <v>34</v>
      </c>
    </row>
    <row r="36" spans="1:6" ht="270" hidden="1" customHeight="1">
      <c r="A36" s="17">
        <f>ROW()</f>
        <v>36</v>
      </c>
      <c r="B36" s="18" t="s">
        <v>2780</v>
      </c>
      <c r="C36" s="18" t="str">
        <f>+D36</f>
        <v>Grundprinzipien</v>
      </c>
      <c r="D36" s="18" t="str">
        <f>+E36</f>
        <v>Grundprinzipien</v>
      </c>
      <c r="E36" s="32" t="s">
        <v>2709</v>
      </c>
      <c r="F36" s="6" t="s">
        <v>65</v>
      </c>
    </row>
    <row r="37" spans="1:6" ht="159.75" hidden="1">
      <c r="A37" s="17">
        <f>ROW()</f>
        <v>37</v>
      </c>
      <c r="B37" s="18" t="s">
        <v>2780</v>
      </c>
      <c r="C37" s="18" t="s">
        <v>2708</v>
      </c>
      <c r="D37" s="18" t="str">
        <f>+E37</f>
        <v>1. Versicherte Personen</v>
      </c>
      <c r="E37" s="33" t="s">
        <v>2781</v>
      </c>
      <c r="F37" s="6" t="s">
        <v>97</v>
      </c>
    </row>
    <row r="38" spans="1:6" ht="371.25" hidden="1">
      <c r="A38" s="17">
        <f>ROW()</f>
        <v>38</v>
      </c>
      <c r="B38" s="18" t="s">
        <v>2780</v>
      </c>
      <c r="C38" s="18" t="s">
        <v>2708</v>
      </c>
      <c r="D38" s="18" t="str">
        <f t="shared" ref="D38:D58" si="1">+E38</f>
        <v>2. Ausnahmen von der Deckung  der Pflichtversicherung</v>
      </c>
      <c r="E38" s="33" t="s">
        <v>2782</v>
      </c>
      <c r="F38" s="6" t="s">
        <v>127</v>
      </c>
    </row>
    <row r="39" spans="1:6" ht="194.25" hidden="1">
      <c r="A39" s="17">
        <f>ROW()</f>
        <v>39</v>
      </c>
      <c r="B39" s="18" t="s">
        <v>2780</v>
      </c>
      <c r="C39" s="18" t="s">
        <v>149</v>
      </c>
      <c r="D39" s="18" t="str">
        <f t="shared" si="1"/>
        <v>1. Rentenalter</v>
      </c>
      <c r="E39" s="33" t="s">
        <v>2784</v>
      </c>
      <c r="F39" s="6" t="s">
        <v>153</v>
      </c>
    </row>
    <row r="40" spans="1:6" ht="409.5" hidden="1">
      <c r="A40" s="17">
        <f>ROW()</f>
        <v>40</v>
      </c>
      <c r="B40" s="18" t="s">
        <v>2780</v>
      </c>
      <c r="C40" s="18" t="s">
        <v>149</v>
      </c>
      <c r="D40" s="18" t="str">
        <f t="shared" si="1"/>
        <v>2. Anwartschaftszeit und sonstige Anspruchsvoraussetzungen für den Bezug einer Altersrente</v>
      </c>
      <c r="E40" s="33" t="s">
        <v>2785</v>
      </c>
      <c r="F40" s="6" t="s">
        <v>184</v>
      </c>
    </row>
    <row r="41" spans="1:6" ht="315" hidden="1">
      <c r="A41" s="17">
        <f>ROW()</f>
        <v>41</v>
      </c>
      <c r="B41" s="18" t="s">
        <v>2780</v>
      </c>
      <c r="C41" s="18" t="s">
        <v>149</v>
      </c>
      <c r="D41" s="18" t="str">
        <f t="shared" si="1"/>
        <v>3. Vorruhestand</v>
      </c>
      <c r="E41" s="33" t="s">
        <v>2786</v>
      </c>
      <c r="F41" s="6" t="s">
        <v>215</v>
      </c>
    </row>
    <row r="42" spans="1:6" ht="264" hidden="1">
      <c r="A42" s="17">
        <f>ROW()</f>
        <v>42</v>
      </c>
      <c r="B42" s="18" t="s">
        <v>2780</v>
      </c>
      <c r="C42" s="18" t="s">
        <v>149</v>
      </c>
      <c r="D42" s="18" t="str">
        <f t="shared" si="1"/>
        <v>4. Beschwerliche und gefährliche Arbeit</v>
      </c>
      <c r="E42" s="33" t="s">
        <v>2787</v>
      </c>
      <c r="F42" s="6" t="s">
        <v>246</v>
      </c>
    </row>
    <row r="43" spans="1:6" ht="194.25" hidden="1">
      <c r="A43" s="17">
        <f>ROW()</f>
        <v>43</v>
      </c>
      <c r="B43" s="18" t="s">
        <v>2780</v>
      </c>
      <c r="C43" s="18" t="s">
        <v>149</v>
      </c>
      <c r="D43" s="18" t="str">
        <f t="shared" si="1"/>
        <v>5. Rentenaufschub</v>
      </c>
      <c r="E43" s="33" t="s">
        <v>2788</v>
      </c>
      <c r="F43" s="6" t="s">
        <v>275</v>
      </c>
    </row>
    <row r="44" spans="1:6" ht="174" hidden="1">
      <c r="A44" s="17">
        <f>ROW()</f>
        <v>44</v>
      </c>
      <c r="B44" s="18" t="s">
        <v>2780</v>
      </c>
      <c r="C44" s="18" t="s">
        <v>2695</v>
      </c>
      <c r="D44" s="18" t="str">
        <f t="shared" si="1"/>
        <v>1. Bestimmende Faktoren</v>
      </c>
      <c r="E44" s="33" t="s">
        <v>2789</v>
      </c>
      <c r="F44" s="6" t="s">
        <v>300</v>
      </c>
    </row>
    <row r="45" spans="1:6" ht="409.5" hidden="1">
      <c r="A45" s="17">
        <f>ROW()</f>
        <v>45</v>
      </c>
      <c r="B45" s="18" t="s">
        <v>2780</v>
      </c>
      <c r="C45" s="18" t="s">
        <v>2695</v>
      </c>
      <c r="D45" s="18" t="str">
        <f t="shared" si="1"/>
        <v>2. Berechnungsmethode, Rentenformel bzw. Beträge</v>
      </c>
      <c r="E45" s="33" t="s">
        <v>2790</v>
      </c>
      <c r="F45" s="6" t="s">
        <v>331</v>
      </c>
    </row>
    <row r="46" spans="1:6" ht="343.5" hidden="1">
      <c r="A46" s="17">
        <f>ROW()</f>
        <v>46</v>
      </c>
      <c r="B46" s="18" t="s">
        <v>2780</v>
      </c>
      <c r="C46" s="18" t="s">
        <v>2695</v>
      </c>
      <c r="D46" s="18" t="str">
        <f t="shared" si="1"/>
        <v>3. Referenzeinkommen bzw. Berechnungsgrundlage</v>
      </c>
      <c r="E46" s="33" t="s">
        <v>2791</v>
      </c>
      <c r="F46" s="6" t="s">
        <v>362</v>
      </c>
    </row>
    <row r="47" spans="1:6" ht="405" hidden="1">
      <c r="A47" s="17">
        <f>ROW()</f>
        <v>47</v>
      </c>
      <c r="B47" s="18" t="s">
        <v>2780</v>
      </c>
      <c r="C47" s="18" t="s">
        <v>2695</v>
      </c>
      <c r="D47" s="18" t="str">
        <f t="shared" si="1"/>
        <v>4. Anrechenbare oder als Beitragszeiten gewertete Zeiträume</v>
      </c>
      <c r="E47" s="33" t="s">
        <v>2757</v>
      </c>
      <c r="F47" s="6" t="s">
        <v>393</v>
      </c>
    </row>
    <row r="48" spans="1:6" ht="330" hidden="1">
      <c r="A48" s="17">
        <f>ROW()</f>
        <v>48</v>
      </c>
      <c r="B48" s="18" t="s">
        <v>2780</v>
      </c>
      <c r="C48" s="18" t="s">
        <v>2695</v>
      </c>
      <c r="D48" s="18" t="str">
        <f t="shared" si="1"/>
        <v>5. Rückkauf von Versicherungszeiten</v>
      </c>
      <c r="E48" s="33" t="s">
        <v>2792</v>
      </c>
      <c r="F48" s="6" t="s">
        <v>423</v>
      </c>
    </row>
    <row r="49" spans="1:6" ht="246" hidden="1">
      <c r="A49" s="17">
        <f>ROW()</f>
        <v>49</v>
      </c>
      <c r="B49" s="18" t="s">
        <v>2780</v>
      </c>
      <c r="C49" s="18" t="s">
        <v>2695</v>
      </c>
      <c r="D49" s="18" t="str">
        <f t="shared" si="1"/>
        <v>6.  Zulagen für Unterhaltsberechtigte</v>
      </c>
      <c r="E49" s="33" t="s">
        <v>2892</v>
      </c>
      <c r="F49" s="6" t="s">
        <v>449</v>
      </c>
    </row>
    <row r="50" spans="1:6" ht="145.5" hidden="1">
      <c r="A50" s="17">
        <f>ROW()</f>
        <v>50</v>
      </c>
      <c r="B50" s="18" t="s">
        <v>2780</v>
      </c>
      <c r="C50" s="18" t="s">
        <v>2695</v>
      </c>
      <c r="D50" s="18" t="str">
        <f t="shared" si="1"/>
        <v>7. Besondere Zulagen</v>
      </c>
      <c r="E50" s="33" t="s">
        <v>2793</v>
      </c>
      <c r="F50" s="6" t="s">
        <v>474</v>
      </c>
    </row>
    <row r="51" spans="1:6" ht="360.75" hidden="1">
      <c r="A51" s="17">
        <f>ROW()</f>
        <v>51</v>
      </c>
      <c r="B51" s="18" t="s">
        <v>2780</v>
      </c>
      <c r="C51" s="18" t="s">
        <v>2695</v>
      </c>
      <c r="D51" s="18" t="str">
        <f t="shared" si="1"/>
        <v>8. Mindestrente und bedürftigkeitsabhängige Leistung</v>
      </c>
      <c r="E51" s="33" t="s">
        <v>2794</v>
      </c>
      <c r="F51" s="6" t="s">
        <v>502</v>
      </c>
    </row>
    <row r="52" spans="1:6" ht="101.25" hidden="1">
      <c r="A52" s="17">
        <f>ROW()</f>
        <v>52</v>
      </c>
      <c r="B52" s="18" t="s">
        <v>2780</v>
      </c>
      <c r="C52" s="18" t="s">
        <v>2695</v>
      </c>
      <c r="D52" s="18" t="str">
        <f t="shared" si="1"/>
        <v>9. Höchstrente</v>
      </c>
      <c r="E52" s="33" t="s">
        <v>2795</v>
      </c>
      <c r="F52" s="6" t="s">
        <v>532</v>
      </c>
    </row>
    <row r="53" spans="1:6" ht="119.25" hidden="1">
      <c r="A53" s="17">
        <f>ROW()</f>
        <v>53</v>
      </c>
      <c r="B53" s="18" t="s">
        <v>2780</v>
      </c>
      <c r="C53" s="18" t="s">
        <v>2695</v>
      </c>
      <c r="D53" s="18" t="str">
        <f t="shared" si="1"/>
        <v>10. Vorruhestand</v>
      </c>
      <c r="E53" s="33" t="s">
        <v>2796</v>
      </c>
      <c r="F53" s="6" t="s">
        <v>559</v>
      </c>
    </row>
    <row r="54" spans="1:6" ht="120" hidden="1" customHeight="1">
      <c r="A54" s="17">
        <f>ROW()</f>
        <v>54</v>
      </c>
      <c r="B54" s="18" t="s">
        <v>2780</v>
      </c>
      <c r="C54" s="18" t="s">
        <v>2695</v>
      </c>
      <c r="D54" s="18" t="str">
        <f t="shared" si="1"/>
        <v>11. Beschwerliche und gefährliche Arbeit</v>
      </c>
      <c r="E54" s="33" t="s">
        <v>2797</v>
      </c>
      <c r="F54" s="6" t="s">
        <v>588</v>
      </c>
    </row>
    <row r="55" spans="1:6" ht="87.75" hidden="1">
      <c r="A55" s="17">
        <f>ROW()</f>
        <v>55</v>
      </c>
      <c r="B55" s="18" t="s">
        <v>2780</v>
      </c>
      <c r="C55" s="18" t="s">
        <v>2695</v>
      </c>
      <c r="D55" s="18" t="str">
        <f t="shared" si="1"/>
        <v>12. Teilrente</v>
      </c>
      <c r="E55" s="33" t="s">
        <v>2798</v>
      </c>
      <c r="F55" s="6" t="s">
        <v>613</v>
      </c>
    </row>
    <row r="56" spans="1:6" ht="171.75" hidden="1">
      <c r="A56" s="17">
        <f>ROW()</f>
        <v>56</v>
      </c>
      <c r="B56" s="18" t="s">
        <v>2780</v>
      </c>
      <c r="C56" s="18" t="s">
        <v>2695</v>
      </c>
      <c r="D56" s="18" t="str">
        <f t="shared" si="1"/>
        <v>13. Aufgeschobene Rente</v>
      </c>
      <c r="E56" s="33" t="s">
        <v>2893</v>
      </c>
      <c r="F56" s="6" t="s">
        <v>640</v>
      </c>
    </row>
    <row r="57" spans="1:6" ht="255" hidden="1">
      <c r="A57" s="17">
        <f>ROW()</f>
        <v>57</v>
      </c>
      <c r="B57" s="18" t="s">
        <v>2780</v>
      </c>
      <c r="C57" s="18" t="s">
        <v>2799</v>
      </c>
      <c r="D57" s="18" t="s">
        <v>2799</v>
      </c>
      <c r="E57" s="32" t="s">
        <v>2799</v>
      </c>
      <c r="F57" s="6" t="s">
        <v>671</v>
      </c>
    </row>
    <row r="58" spans="1:6" ht="409.5" hidden="1" customHeight="1">
      <c r="A58" s="17">
        <f>ROW()</f>
        <v>58</v>
      </c>
      <c r="B58" s="18" t="s">
        <v>2780</v>
      </c>
      <c r="C58" s="18" t="s">
        <v>2799</v>
      </c>
      <c r="D58" s="18" t="str">
        <f t="shared" si="1"/>
        <v xml:space="preserve">Kumulation mit Erwerbseinkommen </v>
      </c>
      <c r="E58" s="32" t="s">
        <v>2697</v>
      </c>
      <c r="F58" s="6" t="s">
        <v>702</v>
      </c>
    </row>
    <row r="59" spans="1:6" ht="286.5" hidden="1">
      <c r="A59" s="17">
        <f>ROW()</f>
        <v>59</v>
      </c>
      <c r="B59" s="18" t="s">
        <v>2780</v>
      </c>
      <c r="C59" s="18" t="s">
        <v>2799</v>
      </c>
      <c r="D59" s="18" t="s">
        <v>2800</v>
      </c>
      <c r="E59" s="32" t="s">
        <v>2696</v>
      </c>
      <c r="F59" s="6" t="s">
        <v>733</v>
      </c>
    </row>
    <row r="60" spans="1:6" ht="225.75" hidden="1">
      <c r="A60" s="17">
        <f>ROW()</f>
        <v>60</v>
      </c>
      <c r="B60" s="18" t="s">
        <v>2780</v>
      </c>
      <c r="C60" s="18" t="s">
        <v>761</v>
      </c>
      <c r="D60" s="18" t="str">
        <f t="shared" ref="D60:D70" si="2">+E60</f>
        <v>1. Besteuerung von Renten</v>
      </c>
      <c r="E60" s="33" t="s">
        <v>2801</v>
      </c>
      <c r="F60" s="6" t="s">
        <v>765</v>
      </c>
    </row>
    <row r="61" spans="1:6" ht="335.25" hidden="1">
      <c r="A61" s="17">
        <f>ROW()</f>
        <v>61</v>
      </c>
      <c r="B61" s="18" t="s">
        <v>2780</v>
      </c>
      <c r="C61" s="18" t="s">
        <v>761</v>
      </c>
      <c r="D61" s="18" t="str">
        <f t="shared" si="2"/>
        <v>2. Einkommensgrenze für Besteuerung von Renten</v>
      </c>
      <c r="E61" s="33" t="s">
        <v>2802</v>
      </c>
      <c r="F61" s="6" t="s">
        <v>791</v>
      </c>
    </row>
    <row r="62" spans="1:6" ht="264">
      <c r="A62" s="17">
        <f>ROW()</f>
        <v>62</v>
      </c>
      <c r="B62" s="18" t="s">
        <v>2780</v>
      </c>
      <c r="C62" s="18" t="s">
        <v>761</v>
      </c>
      <c r="D62" s="18" t="str">
        <f t="shared" si="2"/>
        <v>3. Auf Renten anfallende Sozialabgaben</v>
      </c>
      <c r="E62" s="33" t="s">
        <v>2803</v>
      </c>
      <c r="F62" s="6" t="s">
        <v>819</v>
      </c>
    </row>
    <row r="63" spans="1:6" ht="138" hidden="1">
      <c r="A63" s="17">
        <f>ROW()</f>
        <v>63</v>
      </c>
      <c r="B63" s="18" t="s">
        <v>2804</v>
      </c>
      <c r="C63" s="18" t="str">
        <f>+E63</f>
        <v>Anwendungsbereich</v>
      </c>
      <c r="D63" s="18" t="str">
        <f t="shared" si="2"/>
        <v>Anwendungsbereich</v>
      </c>
      <c r="E63" s="33" t="s">
        <v>2708</v>
      </c>
      <c r="F63" s="6" t="s">
        <v>841</v>
      </c>
    </row>
    <row r="64" spans="1:6" ht="165" hidden="1" customHeight="1">
      <c r="A64" s="17">
        <f>ROW()</f>
        <v>64</v>
      </c>
      <c r="B64" s="18" t="s">
        <v>2804</v>
      </c>
      <c r="C64" s="18" t="s">
        <v>2775</v>
      </c>
      <c r="D64" s="18" t="str">
        <f t="shared" si="2"/>
        <v>Grundprinzipien</v>
      </c>
      <c r="E64" s="33" t="s">
        <v>2709</v>
      </c>
      <c r="F64" s="6" t="s">
        <v>866</v>
      </c>
    </row>
    <row r="65" spans="1:6" ht="240" hidden="1" customHeight="1">
      <c r="A65" s="17">
        <f>ROW()</f>
        <v>65</v>
      </c>
      <c r="B65" s="18" t="s">
        <v>2804</v>
      </c>
      <c r="C65" s="18" t="s">
        <v>2775</v>
      </c>
      <c r="D65" s="18" t="str">
        <f t="shared" si="2"/>
        <v>Voraussetzungen für die Deckung</v>
      </c>
      <c r="E65" s="33" t="s">
        <v>2710</v>
      </c>
      <c r="F65" s="6" t="s">
        <v>895</v>
      </c>
    </row>
    <row r="66" spans="1:6" ht="409.5" hidden="1">
      <c r="A66" s="17">
        <f>ROW()</f>
        <v>66</v>
      </c>
      <c r="B66" s="18" t="s">
        <v>2804</v>
      </c>
      <c r="C66" s="18" t="s">
        <v>2775</v>
      </c>
      <c r="D66" s="18" t="str">
        <f t="shared" si="2"/>
        <v>Kombination von selbstständiger und unselbstständiger Tätigkeit</v>
      </c>
      <c r="E66" s="33" t="s">
        <v>2698</v>
      </c>
      <c r="F66" s="6" t="s">
        <v>921</v>
      </c>
    </row>
    <row r="67" spans="1:6" ht="376.5" hidden="1">
      <c r="A67" s="17">
        <f>ROW()</f>
        <v>67</v>
      </c>
      <c r="B67" s="18" t="s">
        <v>2804</v>
      </c>
      <c r="C67" s="18" t="s">
        <v>2695</v>
      </c>
      <c r="D67" s="19" t="str">
        <f t="shared" si="2"/>
        <v xml:space="preserve">Voraussetzungen für den Zugang zu Diensten/Leistungen </v>
      </c>
      <c r="E67" s="33" t="s">
        <v>2699</v>
      </c>
      <c r="F67" s="6" t="s">
        <v>941</v>
      </c>
    </row>
    <row r="68" spans="1:6" ht="253.5" hidden="1">
      <c r="A68" s="17">
        <f>ROW()</f>
        <v>68</v>
      </c>
      <c r="B68" s="18" t="s">
        <v>2804</v>
      </c>
      <c r="C68" s="18" t="s">
        <v>2695</v>
      </c>
      <c r="D68" s="19" t="str">
        <f t="shared" si="2"/>
        <v>Beträge, Dauer und Kostenbeteiligung</v>
      </c>
      <c r="E68" s="33" t="s">
        <v>2700</v>
      </c>
      <c r="F68" s="6" t="s">
        <v>953</v>
      </c>
    </row>
    <row r="69" spans="1:6" ht="216" hidden="1">
      <c r="A69" s="17">
        <f>ROW()</f>
        <v>69</v>
      </c>
      <c r="B69" s="18" t="s">
        <v>2804</v>
      </c>
      <c r="C69" s="18" t="s">
        <v>2695</v>
      </c>
      <c r="D69" s="19" t="str">
        <f t="shared" si="2"/>
        <v>Besteuerung von Geldleistungen</v>
      </c>
      <c r="E69" s="33" t="s">
        <v>2681</v>
      </c>
      <c r="F69" s="6" t="s">
        <v>967</v>
      </c>
    </row>
    <row r="70" spans="1:6" ht="272.25">
      <c r="A70" s="17">
        <f>ROW()</f>
        <v>70</v>
      </c>
      <c r="B70" s="18" t="s">
        <v>2804</v>
      </c>
      <c r="C70" s="18" t="s">
        <v>2695</v>
      </c>
      <c r="D70" s="19" t="str">
        <f t="shared" si="2"/>
        <v>Auf Leistungen anfallende Sozialabgaben</v>
      </c>
      <c r="E70" s="33" t="s">
        <v>2683</v>
      </c>
      <c r="F70" s="6" t="s">
        <v>981</v>
      </c>
    </row>
    <row r="71" spans="1:6" ht="177" hidden="1">
      <c r="A71" s="17">
        <f>ROW()</f>
        <v>71</v>
      </c>
      <c r="B71" s="18" t="s">
        <v>2702</v>
      </c>
      <c r="C71" s="18" t="str">
        <f t="shared" ref="C71:D75" si="3">+D71</f>
        <v>Geltende Rechtsgrundlage</v>
      </c>
      <c r="D71" s="19" t="str">
        <f t="shared" si="3"/>
        <v>Geltende Rechtsgrundlage</v>
      </c>
      <c r="E71" s="32" t="s">
        <v>2724</v>
      </c>
      <c r="F71" s="6" t="s">
        <v>993</v>
      </c>
    </row>
    <row r="72" spans="1:6" ht="110.25" hidden="1">
      <c r="A72" s="17">
        <f>ROW()</f>
        <v>72</v>
      </c>
      <c r="B72" s="18" t="s">
        <v>2702</v>
      </c>
      <c r="C72" s="18" t="str">
        <f t="shared" si="3"/>
        <v>Grundprinzipien</v>
      </c>
      <c r="D72" s="19" t="str">
        <f t="shared" si="3"/>
        <v>Grundprinzipien</v>
      </c>
      <c r="E72" s="32" t="s">
        <v>2709</v>
      </c>
      <c r="F72" s="6" t="s">
        <v>1019</v>
      </c>
    </row>
    <row r="73" spans="1:6" ht="315" hidden="1">
      <c r="A73" s="17">
        <f>ROW()</f>
        <v>73</v>
      </c>
      <c r="B73" s="18" t="s">
        <v>2702</v>
      </c>
      <c r="C73" s="19" t="str">
        <f t="shared" si="3"/>
        <v>Anwendungsbereich (in Bezug auf Verstorbene)</v>
      </c>
      <c r="D73" s="19" t="str">
        <f t="shared" si="3"/>
        <v>Anwendungsbereich (in Bezug auf Verstorbene)</v>
      </c>
      <c r="E73" s="32" t="s">
        <v>2725</v>
      </c>
      <c r="F73" s="6" t="s">
        <v>1049</v>
      </c>
    </row>
    <row r="74" spans="1:6" ht="409.5" hidden="1">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1077</v>
      </c>
    </row>
    <row r="75" spans="1:6" ht="144.75" hidden="1">
      <c r="A75" s="17">
        <f>ROW()</f>
        <v>75</v>
      </c>
      <c r="B75" s="18" t="s">
        <v>2702</v>
      </c>
      <c r="C75" s="19" t="str">
        <f t="shared" si="3"/>
        <v>Berechtigte Personen</v>
      </c>
      <c r="D75" s="19" t="str">
        <f t="shared" si="3"/>
        <v>Berechtigte Personen</v>
      </c>
      <c r="E75" s="32" t="s">
        <v>2730</v>
      </c>
      <c r="F75" s="6" t="s">
        <v>1094</v>
      </c>
    </row>
    <row r="76" spans="1:6" ht="102" hidden="1">
      <c r="A76" s="17">
        <f>ROW()</f>
        <v>76</v>
      </c>
      <c r="B76" s="18" t="s">
        <v>2702</v>
      </c>
      <c r="C76" s="1"/>
      <c r="D76" s="1"/>
      <c r="E76" s="32" t="s">
        <v>2783</v>
      </c>
      <c r="F76" s="6"/>
    </row>
    <row r="77" spans="1:6" ht="189.75" hidden="1">
      <c r="A77" s="17">
        <f>ROW()</f>
        <v>77</v>
      </c>
      <c r="B77" s="18" t="s">
        <v>2702</v>
      </c>
      <c r="C77" s="18" t="s">
        <v>2805</v>
      </c>
      <c r="D77" s="18" t="str">
        <f t="shared" ref="D77:D90" si="4">+E77</f>
        <v>1. Verstorbener Versicherter</v>
      </c>
      <c r="E77" s="33" t="s">
        <v>2806</v>
      </c>
      <c r="F77" s="6" t="s">
        <v>1125</v>
      </c>
    </row>
    <row r="78" spans="1:6" ht="185.25" hidden="1">
      <c r="A78" s="17">
        <f>ROW()</f>
        <v>78</v>
      </c>
      <c r="B78" s="18" t="s">
        <v>2702</v>
      </c>
      <c r="C78" s="18" t="s">
        <v>2805</v>
      </c>
      <c r="D78" s="18" t="str">
        <f t="shared" si="4"/>
        <v>2. Hinterbliebener Ehegatte</v>
      </c>
      <c r="E78" s="33" t="s">
        <v>2807</v>
      </c>
      <c r="F78" s="6" t="s">
        <v>1156</v>
      </c>
    </row>
    <row r="79" spans="1:6" ht="240" hidden="1" customHeight="1">
      <c r="A79" s="17">
        <f>ROW()</f>
        <v>79</v>
      </c>
      <c r="B79" s="18" t="s">
        <v>2702</v>
      </c>
      <c r="C79" s="18" t="s">
        <v>2805</v>
      </c>
      <c r="D79" s="18" t="str">
        <f t="shared" si="4"/>
        <v>3. Geschiedener Ehegatte</v>
      </c>
      <c r="E79" s="33" t="s">
        <v>2808</v>
      </c>
      <c r="F79" s="6" t="s">
        <v>1186</v>
      </c>
    </row>
    <row r="80" spans="1:6" ht="270" hidden="1" customHeight="1">
      <c r="A80" s="17">
        <f>ROW()</f>
        <v>80</v>
      </c>
      <c r="B80" s="18" t="s">
        <v>2702</v>
      </c>
      <c r="C80" s="18" t="s">
        <v>2805</v>
      </c>
      <c r="D80" s="18" t="str">
        <f t="shared" si="4"/>
        <v>4. Hinterbliebene Lebenspartner</v>
      </c>
      <c r="E80" s="33" t="s">
        <v>2809</v>
      </c>
      <c r="F80" s="6" t="s">
        <v>1213</v>
      </c>
    </row>
    <row r="81" spans="1:6" ht="181.5" hidden="1">
      <c r="A81" s="17">
        <f>ROW()</f>
        <v>81</v>
      </c>
      <c r="B81" s="18" t="s">
        <v>2702</v>
      </c>
      <c r="C81" s="18" t="s">
        <v>2805</v>
      </c>
      <c r="D81" s="18" t="str">
        <f t="shared" si="4"/>
        <v>5. Kinder</v>
      </c>
      <c r="E81" s="33" t="s">
        <v>2810</v>
      </c>
      <c r="F81" s="6" t="s">
        <v>1237</v>
      </c>
    </row>
    <row r="82" spans="1:6" ht="181.5" hidden="1">
      <c r="A82" s="17">
        <f>ROW()</f>
        <v>82</v>
      </c>
      <c r="B82" s="18" t="s">
        <v>2702</v>
      </c>
      <c r="C82" s="18" t="s">
        <v>2805</v>
      </c>
      <c r="D82" s="18" t="str">
        <f t="shared" si="4"/>
        <v>6. Andere Personen</v>
      </c>
      <c r="E82" s="33" t="s">
        <v>2811</v>
      </c>
      <c r="F82" s="6" t="s">
        <v>373</v>
      </c>
    </row>
    <row r="83" spans="1:6" ht="409.5" hidden="1">
      <c r="A83" s="17">
        <f>ROW()</f>
        <v>83</v>
      </c>
      <c r="B83" s="18" t="s">
        <v>2702</v>
      </c>
      <c r="C83" s="18" t="s">
        <v>2695</v>
      </c>
      <c r="D83" s="19" t="str">
        <f t="shared" si="4"/>
        <v>1. Hinterbliebener Ehegatte, geschiedener Ehegatte, hinterbliebene Lebenspartner</v>
      </c>
      <c r="E83" s="33" t="s">
        <v>2812</v>
      </c>
      <c r="F83" s="6" t="s">
        <v>1285</v>
      </c>
    </row>
    <row r="84" spans="1:6" ht="280.5" hidden="1">
      <c r="A84" s="17">
        <f>ROW()</f>
        <v>84</v>
      </c>
      <c r="B84" s="18" t="s">
        <v>2702</v>
      </c>
      <c r="C84" s="18" t="s">
        <v>2695</v>
      </c>
      <c r="D84" s="19" t="str">
        <f t="shared" si="4"/>
        <v>2. Hinterbliebener Ehegatte: Wiederheirat</v>
      </c>
      <c r="E84" s="33" t="s">
        <v>2813</v>
      </c>
      <c r="F84" s="6" t="s">
        <v>1316</v>
      </c>
    </row>
    <row r="85" spans="1:6" ht="102" hidden="1">
      <c r="A85" s="17">
        <f>ROW()</f>
        <v>85</v>
      </c>
      <c r="B85" s="18" t="s">
        <v>2702</v>
      </c>
      <c r="C85" s="18" t="s">
        <v>2695</v>
      </c>
      <c r="D85" s="19" t="str">
        <f t="shared" si="4"/>
        <v>3. Kinder</v>
      </c>
      <c r="E85" s="33" t="s">
        <v>2814</v>
      </c>
      <c r="F85" s="6" t="s">
        <v>1345</v>
      </c>
    </row>
    <row r="86" spans="1:6" ht="147" hidden="1">
      <c r="A86" s="17">
        <f>ROW()</f>
        <v>86</v>
      </c>
      <c r="B86" s="18" t="s">
        <v>2702</v>
      </c>
      <c r="C86" s="18" t="s">
        <v>2695</v>
      </c>
      <c r="D86" s="19" t="str">
        <f t="shared" si="4"/>
        <v>4. Andere Berechtigte</v>
      </c>
      <c r="E86" s="33" t="s">
        <v>2815</v>
      </c>
      <c r="F86" s="6" t="s">
        <v>373</v>
      </c>
    </row>
    <row r="87" spans="1:6" ht="381" hidden="1">
      <c r="A87" s="17">
        <f>ROW()</f>
        <v>87</v>
      </c>
      <c r="B87" s="18" t="s">
        <v>2702</v>
      </c>
      <c r="C87" s="18" t="s">
        <v>2695</v>
      </c>
      <c r="D87" s="19" t="str">
        <f t="shared" si="4"/>
        <v xml:space="preserve"> 5. Höchster zahlbarer Gesamtbetrag für alle Berechtigten</v>
      </c>
      <c r="E87" s="33" t="s">
        <v>2816</v>
      </c>
      <c r="F87" s="6" t="s">
        <v>1390</v>
      </c>
    </row>
    <row r="88" spans="1:6" ht="151.5" hidden="1">
      <c r="A88" s="17">
        <f>ROW()</f>
        <v>88</v>
      </c>
      <c r="B88" s="18" t="s">
        <v>2702</v>
      </c>
      <c r="C88" s="18" t="s">
        <v>2695</v>
      </c>
      <c r="D88" s="19" t="str">
        <f t="shared" si="4"/>
        <v>6. Sonstige Leistungen</v>
      </c>
      <c r="E88" s="33" t="s">
        <v>2817</v>
      </c>
      <c r="F88" s="6" t="s">
        <v>1416</v>
      </c>
    </row>
    <row r="89" spans="1:6" ht="285" hidden="1" customHeight="1">
      <c r="A89" s="17">
        <f>ROW()</f>
        <v>89</v>
      </c>
      <c r="B89" s="18" t="s">
        <v>2702</v>
      </c>
      <c r="C89" s="18" t="s">
        <v>2695</v>
      </c>
      <c r="D89" s="19" t="str">
        <f>+E89</f>
        <v>7. Mindestleistung</v>
      </c>
      <c r="E89" s="33" t="s">
        <v>2818</v>
      </c>
      <c r="F89" s="6" t="s">
        <v>1445</v>
      </c>
    </row>
    <row r="90" spans="1:6" ht="122.25" hidden="1">
      <c r="A90" s="17">
        <f>ROW()</f>
        <v>90</v>
      </c>
      <c r="B90" s="18" t="s">
        <v>2702</v>
      </c>
      <c r="C90" s="18" t="s">
        <v>2695</v>
      </c>
      <c r="D90" s="19" t="str">
        <f t="shared" si="4"/>
        <v xml:space="preserve"> 8. Höchstleistung</v>
      </c>
      <c r="E90" s="33" t="s">
        <v>2819</v>
      </c>
      <c r="F90" s="6" t="s">
        <v>1473</v>
      </c>
    </row>
    <row r="91" spans="1:6" ht="255" hidden="1">
      <c r="A91" s="17">
        <f>ROW()</f>
        <v>91</v>
      </c>
      <c r="B91" s="18" t="s">
        <v>2702</v>
      </c>
      <c r="C91" s="18" t="s">
        <v>2799</v>
      </c>
      <c r="D91" s="19" t="str">
        <f>+C91</f>
        <v>Indexbindung / Anpassung</v>
      </c>
      <c r="E91" s="32" t="s">
        <v>2799</v>
      </c>
      <c r="F91" s="6" t="s">
        <v>1494</v>
      </c>
    </row>
    <row r="92" spans="1:6" ht="409.5" hidden="1" customHeight="1">
      <c r="A92" s="17">
        <f>ROW()</f>
        <v>92</v>
      </c>
      <c r="B92" s="18" t="s">
        <v>2702</v>
      </c>
      <c r="C92" s="18" t="s">
        <v>2799</v>
      </c>
      <c r="D92" s="19" t="str">
        <f t="shared" ref="D92:D105" si="5">+E92</f>
        <v>Kumulation mit Erwerbseinkommen</v>
      </c>
      <c r="E92" s="32" t="s">
        <v>2723</v>
      </c>
      <c r="F92" s="6" t="s">
        <v>1524</v>
      </c>
    </row>
    <row r="93" spans="1:6" ht="275.25" hidden="1">
      <c r="A93" s="17">
        <f>ROW()</f>
        <v>93</v>
      </c>
      <c r="B93" s="18" t="s">
        <v>2702</v>
      </c>
      <c r="C93" s="18" t="s">
        <v>2799</v>
      </c>
      <c r="D93" s="19" t="str">
        <f t="shared" si="5"/>
        <v>Kumulation mit anderen Sozialleistungen</v>
      </c>
      <c r="E93" s="32" t="s">
        <v>2696</v>
      </c>
      <c r="F93" s="6" t="s">
        <v>1555</v>
      </c>
    </row>
    <row r="94" spans="1:6" ht="232.5" hidden="1">
      <c r="A94" s="17">
        <f>ROW()</f>
        <v>94</v>
      </c>
      <c r="B94" s="18" t="s">
        <v>2702</v>
      </c>
      <c r="C94" s="19" t="s">
        <v>2701</v>
      </c>
      <c r="D94" s="19" t="str">
        <f t="shared" si="5"/>
        <v>1. Besteuerung von Geldleistungen</v>
      </c>
      <c r="E94" s="33" t="s">
        <v>2770</v>
      </c>
      <c r="F94" s="6" t="s">
        <v>1586</v>
      </c>
    </row>
    <row r="95" spans="1:6" ht="285" hidden="1" customHeight="1">
      <c r="A95" s="17">
        <f>ROW()</f>
        <v>95</v>
      </c>
      <c r="B95" s="18" t="s">
        <v>2702</v>
      </c>
      <c r="C95" s="19" t="s">
        <v>2701</v>
      </c>
      <c r="D95" s="19" t="str">
        <f t="shared" si="5"/>
        <v>2. Einkommensgrenze für Besteuerung von Geldleistungen</v>
      </c>
      <c r="E95" s="33" t="s">
        <v>2772</v>
      </c>
      <c r="F95" s="6" t="s">
        <v>1604</v>
      </c>
    </row>
    <row r="96" spans="1:6" ht="288.75">
      <c r="A96" s="17">
        <f>ROW()</f>
        <v>96</v>
      </c>
      <c r="B96" s="18" t="s">
        <v>2702</v>
      </c>
      <c r="C96" s="19" t="s">
        <v>2701</v>
      </c>
      <c r="D96" s="19" t="str">
        <f t="shared" si="5"/>
        <v>3. Auf Leistungen anfallende Sozialabgaben</v>
      </c>
      <c r="E96" s="33" t="s">
        <v>2773</v>
      </c>
      <c r="F96" s="6" t="s">
        <v>1626</v>
      </c>
    </row>
    <row r="97" spans="1:6" ht="138" hidden="1">
      <c r="A97" s="17">
        <f>ROW()</f>
        <v>97</v>
      </c>
      <c r="B97" s="18" t="s">
        <v>2702</v>
      </c>
      <c r="C97" s="19" t="s">
        <v>2775</v>
      </c>
      <c r="D97" s="19" t="str">
        <f t="shared" si="5"/>
        <v>Anwendungsbereich</v>
      </c>
      <c r="E97" s="33" t="s">
        <v>2708</v>
      </c>
      <c r="F97" s="6" t="s">
        <v>841</v>
      </c>
    </row>
    <row r="98" spans="1:6" ht="165" hidden="1" customHeight="1">
      <c r="A98" s="17">
        <f>ROW()</f>
        <v>98</v>
      </c>
      <c r="B98" s="18" t="s">
        <v>2702</v>
      </c>
      <c r="C98" s="19" t="s">
        <v>2775</v>
      </c>
      <c r="D98" s="19" t="str">
        <f t="shared" si="5"/>
        <v>Grundprinzipien</v>
      </c>
      <c r="E98" s="33" t="s">
        <v>2709</v>
      </c>
      <c r="F98" s="6" t="s">
        <v>1658</v>
      </c>
    </row>
    <row r="99" spans="1:6" ht="225" hidden="1" customHeight="1">
      <c r="A99" s="17">
        <f>ROW()</f>
        <v>99</v>
      </c>
      <c r="B99" s="18" t="s">
        <v>2702</v>
      </c>
      <c r="C99" s="19" t="s">
        <v>2775</v>
      </c>
      <c r="D99" s="19" t="str">
        <f t="shared" si="5"/>
        <v>Voraussetzungen für die Deckung</v>
      </c>
      <c r="E99" s="33" t="s">
        <v>2710</v>
      </c>
      <c r="F99" s="6" t="s">
        <v>895</v>
      </c>
    </row>
    <row r="100" spans="1:6" ht="409.5" hidden="1">
      <c r="A100" s="17">
        <f>ROW()</f>
        <v>100</v>
      </c>
      <c r="B100" s="18" t="s">
        <v>2702</v>
      </c>
      <c r="C100" s="19" t="s">
        <v>2775</v>
      </c>
      <c r="D100" s="19" t="str">
        <f t="shared" si="5"/>
        <v>Kombination von selbstständiger und unselbstständiger Tätigkeit</v>
      </c>
      <c r="E100" s="33" t="s">
        <v>2698</v>
      </c>
      <c r="F100" s="6" t="s">
        <v>1684</v>
      </c>
    </row>
    <row r="101" spans="1:6" ht="376.5" hidden="1">
      <c r="A101" s="17">
        <f>ROW()</f>
        <v>101</v>
      </c>
      <c r="B101" s="18" t="s">
        <v>2702</v>
      </c>
      <c r="C101" s="19" t="s">
        <v>2775</v>
      </c>
      <c r="D101" s="19" t="str">
        <f t="shared" si="5"/>
        <v xml:space="preserve">Voraussetzungen für den Zugang zu Diensten/Leistungen </v>
      </c>
      <c r="E101" s="33" t="s">
        <v>2699</v>
      </c>
      <c r="F101" s="6" t="s">
        <v>1694</v>
      </c>
    </row>
    <row r="102" spans="1:6" ht="253.5" hidden="1">
      <c r="A102" s="17">
        <f>ROW()</f>
        <v>102</v>
      </c>
      <c r="B102" s="18" t="s">
        <v>2702</v>
      </c>
      <c r="C102" s="19" t="s">
        <v>2775</v>
      </c>
      <c r="D102" s="19" t="str">
        <f t="shared" si="5"/>
        <v>Beträge, Dauer und Kostenbeteiligung</v>
      </c>
      <c r="E102" s="33" t="s">
        <v>2700</v>
      </c>
      <c r="F102" s="6" t="s">
        <v>1699</v>
      </c>
    </row>
    <row r="103" spans="1:6" ht="213.75">
      <c r="A103" s="17">
        <f>ROW()</f>
        <v>103</v>
      </c>
      <c r="B103" s="18" t="s">
        <v>2702</v>
      </c>
      <c r="C103" s="19" t="s">
        <v>2775</v>
      </c>
      <c r="D103" s="19" t="str">
        <f t="shared" si="5"/>
        <v>Besteuerung und Sozialabgaben</v>
      </c>
      <c r="E103" s="33" t="s">
        <v>2701</v>
      </c>
      <c r="F103" s="6"/>
    </row>
    <row r="104" spans="1:6" ht="216" hidden="1">
      <c r="A104" s="17">
        <f>ROW()</f>
        <v>104</v>
      </c>
      <c r="B104" s="18" t="s">
        <v>2702</v>
      </c>
      <c r="C104" s="19" t="s">
        <v>2775</v>
      </c>
      <c r="D104" s="19" t="str">
        <f t="shared" si="5"/>
        <v>Besteuerung von Geldleistungen</v>
      </c>
      <c r="E104" s="33" t="s">
        <v>2681</v>
      </c>
      <c r="F104" s="6" t="s">
        <v>967</v>
      </c>
    </row>
    <row r="105" spans="1:6" ht="272.25">
      <c r="A105" s="17">
        <f>ROW()</f>
        <v>105</v>
      </c>
      <c r="B105" s="18" t="s">
        <v>2702</v>
      </c>
      <c r="C105" s="19" t="s">
        <v>2775</v>
      </c>
      <c r="D105" s="19" t="str">
        <f t="shared" si="5"/>
        <v>Auf Leistungen anfallende Sozialabgaben</v>
      </c>
      <c r="E105" s="33" t="s">
        <v>2683</v>
      </c>
      <c r="F105" s="6" t="s">
        <v>981</v>
      </c>
    </row>
    <row r="106" spans="1:6"/>
  </sheetData>
  <sheetProtection algorithmName="SHA-512" hashValue="+eOWBEjCQ//VYTchvF9942esiCBbIS25CXIovNQyo5WswNtXDxjPD5JxtuSha8Zns/R/ItM5GkSgq0QpWSn4YA==" saltValue="UqfcrqoSlCiFAKafqhyoNg==" spinCount="100000" sheet="1" formatColumns="0" autoFilter="0"/>
  <autoFilter ref="A2:F105" xr:uid="{D56E1854-E791-4BA6-8F81-E1A600EB4857}">
    <filterColumn colId="4">
      <filters>
        <filter val="3. Auf Leistungen anfallende Sozialabgaben"/>
        <filter val="3. Auf Renten anfallende Sozialabgaben"/>
        <filter val="Auf Leistungen anfallende Sozialabgaben"/>
        <filter val="Besteuerung und Sozialabgaben"/>
      </filters>
    </filterColumn>
  </autoFilter>
  <pageMargins left="0.7" right="0.7" top="0.78740157499999996" bottom="0.78740157499999996"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29037-7760-4C4A-8C81-AE43414C4EB1}">
  <sheetPr codeName="Tabelle6"/>
  <dimension ref="A1:F113"/>
  <sheetViews>
    <sheetView workbookViewId="0">
      <pane xSplit="5" ySplit="2" topLeftCell="F9" activePane="bottomRight" state="frozen"/>
      <selection activeCell="F2" sqref="F2"/>
      <selection pane="topRight" activeCell="F2" sqref="F2"/>
      <selection pane="bottomLeft" activeCell="F2" sqref="F2"/>
      <selection pane="bottomRight"/>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A1" s="415"/>
      <c r="B1" s="139" t="s">
        <v>2726</v>
      </c>
      <c r="C1" s="136" t="s">
        <v>2739</v>
      </c>
      <c r="D1" s="136" t="s">
        <v>2728</v>
      </c>
      <c r="E1" s="128" t="s">
        <v>3506</v>
      </c>
      <c r="F1" s="16" t="s">
        <v>4</v>
      </c>
    </row>
    <row r="2" spans="1:6" ht="39.75" customHeight="1">
      <c r="A2" s="138"/>
      <c r="B2" s="139"/>
      <c r="C2" s="136"/>
      <c r="D2" s="136"/>
      <c r="E2" s="134"/>
      <c r="F2" s="173" t="str" cm="1">
        <f t="array" ref="F2">_xlfn.TEXTJOIN("; ", TRUE, IF(Entscheidungen!A2:A100=F1, Entscheidungen!B2:B100, ""))</f>
        <v/>
      </c>
    </row>
    <row r="3" spans="1:6" ht="177">
      <c r="A3" s="17">
        <f>ROW()</f>
        <v>3</v>
      </c>
      <c r="B3" s="18" t="s">
        <v>2740</v>
      </c>
      <c r="C3" s="18"/>
      <c r="D3" s="18" t="str">
        <f>+E3</f>
        <v>Geltende Rechtsgrundlage</v>
      </c>
      <c r="E3" s="31" t="s">
        <v>2724</v>
      </c>
      <c r="F3" s="6" t="s">
        <v>3371</v>
      </c>
    </row>
    <row r="4" spans="1:6" ht="110.25">
      <c r="A4" s="17">
        <f>ROW()</f>
        <v>4</v>
      </c>
      <c r="B4" s="18" t="s">
        <v>2740</v>
      </c>
      <c r="C4" s="1"/>
      <c r="D4" s="18" t="str">
        <f t="shared" ref="D4:D34" si="0">+E4</f>
        <v>Grundprinzipien</v>
      </c>
      <c r="E4" s="32" t="s">
        <v>2709</v>
      </c>
      <c r="F4" s="6" t="s">
        <v>3372</v>
      </c>
    </row>
    <row r="5" spans="1:6" ht="188.25">
      <c r="A5" s="17">
        <f>ROW()</f>
        <v>5</v>
      </c>
      <c r="B5" s="18" t="s">
        <v>2740</v>
      </c>
      <c r="C5" s="1"/>
      <c r="D5" s="18" t="str">
        <f t="shared" si="0"/>
        <v>Gedecktes Risiko: Definition</v>
      </c>
      <c r="E5" s="32" t="s">
        <v>2891</v>
      </c>
      <c r="F5" s="6" t="s">
        <v>4606</v>
      </c>
    </row>
    <row r="6" spans="1:6" ht="144">
      <c r="A6" s="17">
        <f>ROW()</f>
        <v>6</v>
      </c>
      <c r="B6" s="18" t="s">
        <v>2740</v>
      </c>
      <c r="C6" s="18" t="s">
        <v>2653</v>
      </c>
      <c r="D6" s="18" t="str">
        <f t="shared" si="0"/>
        <v>Versicherte Personen</v>
      </c>
      <c r="E6" s="33" t="s">
        <v>2653</v>
      </c>
      <c r="F6" s="6" t="s">
        <v>3373</v>
      </c>
    </row>
    <row r="7" spans="1:6" ht="273">
      <c r="A7" s="17">
        <f>ROW()</f>
        <v>7</v>
      </c>
      <c r="B7" s="18" t="s">
        <v>2740</v>
      </c>
      <c r="C7" s="18" t="str">
        <f>+E6</f>
        <v>Versicherte Personen</v>
      </c>
      <c r="D7" s="18" t="str">
        <f t="shared" si="0"/>
        <v>Ausnahmen von der Versicherungspflicht</v>
      </c>
      <c r="E7" s="33" t="s">
        <v>2685</v>
      </c>
      <c r="F7" s="6" t="s">
        <v>125</v>
      </c>
    </row>
    <row r="8" spans="1:6" ht="194.25">
      <c r="A8" s="17">
        <f>ROW()</f>
        <v>8</v>
      </c>
      <c r="B8" s="18" t="s">
        <v>2740</v>
      </c>
      <c r="C8" s="19" t="s">
        <v>149</v>
      </c>
      <c r="D8" s="18" t="str">
        <f t="shared" si="0"/>
        <v>1. Anwartschaftszeit</v>
      </c>
      <c r="E8" s="33" t="s">
        <v>2744</v>
      </c>
      <c r="F8" s="6" t="s">
        <v>3374</v>
      </c>
    </row>
    <row r="9" spans="1:6" ht="409.5">
      <c r="A9" s="17">
        <f>ROW()</f>
        <v>9</v>
      </c>
      <c r="B9" s="18" t="s">
        <v>2740</v>
      </c>
      <c r="C9" s="19" t="s">
        <v>149</v>
      </c>
      <c r="D9" s="18" t="str">
        <f t="shared" si="0"/>
        <v xml:space="preserve">2. Begutachtungskriterien und Kategorien der Arbeitsunfähigkeit/Arbeitsfähigkeit  </v>
      </c>
      <c r="E9" s="33" t="s">
        <v>2745</v>
      </c>
      <c r="F9" s="6" t="s">
        <v>4618</v>
      </c>
    </row>
    <row r="10" spans="1:6" ht="222">
      <c r="A10" s="17">
        <f>ROW()</f>
        <v>10</v>
      </c>
      <c r="B10" s="18" t="s">
        <v>2740</v>
      </c>
      <c r="C10" s="19" t="s">
        <v>149</v>
      </c>
      <c r="D10" s="18" t="str">
        <f t="shared" si="0"/>
        <v>3. Zeitraum der Leistungszahlung</v>
      </c>
      <c r="E10" s="33" t="s">
        <v>2747</v>
      </c>
      <c r="F10" s="6" t="s">
        <v>3375</v>
      </c>
    </row>
    <row r="11" spans="1:6" ht="285">
      <c r="A11" s="17">
        <f>ROW()</f>
        <v>11</v>
      </c>
      <c r="B11" s="18" t="s">
        <v>2740</v>
      </c>
      <c r="C11" s="19" t="s">
        <v>2749</v>
      </c>
      <c r="D11" s="18" t="str">
        <f t="shared" si="0"/>
        <v>1. Gutachter</v>
      </c>
      <c r="E11" s="33" t="s">
        <v>2750</v>
      </c>
      <c r="F11" s="6" t="s">
        <v>4607</v>
      </c>
    </row>
    <row r="12" spans="1:6" ht="111.75">
      <c r="A12" s="17">
        <f>ROW()</f>
        <v>12</v>
      </c>
      <c r="B12" s="18" t="s">
        <v>2740</v>
      </c>
      <c r="C12" s="19" t="s">
        <v>2749</v>
      </c>
      <c r="D12" s="18" t="str">
        <f t="shared" si="0"/>
        <v xml:space="preserve">2. Überprüfung  </v>
      </c>
      <c r="E12" s="33" t="s">
        <v>2751</v>
      </c>
      <c r="F12" s="6" t="s">
        <v>3376</v>
      </c>
    </row>
    <row r="13" spans="1:6" ht="291.75">
      <c r="A13" s="17">
        <f>ROW()</f>
        <v>13</v>
      </c>
      <c r="B13" s="18" t="s">
        <v>2740</v>
      </c>
      <c r="C13" s="18" t="s">
        <v>2695</v>
      </c>
      <c r="D13" s="18" t="str">
        <f t="shared" si="0"/>
        <v>1. Berechnungsmethode bzw. Rentenformel</v>
      </c>
      <c r="E13" s="33" t="s">
        <v>2753</v>
      </c>
      <c r="F13" s="6" t="s">
        <v>4608</v>
      </c>
    </row>
    <row r="14" spans="1:6" ht="343.5">
      <c r="A14" s="17">
        <f>ROW()</f>
        <v>14</v>
      </c>
      <c r="B14" s="18" t="s">
        <v>2740</v>
      </c>
      <c r="C14" s="18" t="s">
        <v>2695</v>
      </c>
      <c r="D14" s="18" t="str">
        <f t="shared" si="0"/>
        <v>2. Referenzeinkommen bzw. Berechnungsgrundlage</v>
      </c>
      <c r="E14" s="33" t="s">
        <v>2754</v>
      </c>
      <c r="F14" s="6" t="s">
        <v>3377</v>
      </c>
    </row>
    <row r="15" spans="1:6" ht="226.5">
      <c r="A15" s="17">
        <f>ROW()</f>
        <v>15</v>
      </c>
      <c r="B15" s="18" t="s">
        <v>2740</v>
      </c>
      <c r="C15" s="18" t="s">
        <v>2695</v>
      </c>
      <c r="D15" s="18" t="str">
        <f t="shared" si="0"/>
        <v>3. Mindest- und Höchstleistungen</v>
      </c>
      <c r="E15" s="33" t="s">
        <v>2756</v>
      </c>
      <c r="F15" s="6" t="s">
        <v>3378</v>
      </c>
    </row>
    <row r="16" spans="1:6" ht="405">
      <c r="A16" s="17">
        <f>ROW()</f>
        <v>16</v>
      </c>
      <c r="B16" s="18" t="s">
        <v>2740</v>
      </c>
      <c r="C16" s="18" t="s">
        <v>2695</v>
      </c>
      <c r="D16" s="18" t="str">
        <f t="shared" si="0"/>
        <v>4. Anrechenbare oder als Beitragszeiten gewertete Zeiträume</v>
      </c>
      <c r="E16" s="33" t="s">
        <v>2757</v>
      </c>
      <c r="F16" s="6" t="s">
        <v>373</v>
      </c>
    </row>
    <row r="17" spans="1:6" ht="250.5">
      <c r="A17" s="17">
        <f>ROW()</f>
        <v>17</v>
      </c>
      <c r="B17" s="18" t="s">
        <v>2740</v>
      </c>
      <c r="C17" s="18" t="s">
        <v>2695</v>
      </c>
      <c r="D17" s="18" t="str">
        <f t="shared" si="0"/>
        <v xml:space="preserve">5. Zulagen für Unterhaltsberechtigte  </v>
      </c>
      <c r="E17" s="33" t="s">
        <v>2759</v>
      </c>
      <c r="F17" s="6" t="s">
        <v>450</v>
      </c>
    </row>
    <row r="18" spans="1:6" ht="135">
      <c r="A18" s="17">
        <f>ROW()</f>
        <v>18</v>
      </c>
      <c r="B18" s="18" t="s">
        <v>2740</v>
      </c>
      <c r="C18" s="18" t="str">
        <f>+E18</f>
        <v>Sonstige Leistungen</v>
      </c>
      <c r="D18" s="18" t="str">
        <f>+E18</f>
        <v>Sonstige Leistungen</v>
      </c>
      <c r="E18" s="32" t="s">
        <v>2678</v>
      </c>
      <c r="F18" s="6" t="s">
        <v>4609</v>
      </c>
    </row>
    <row r="19" spans="1:6" ht="300.75">
      <c r="A19" s="17">
        <f>ROW()</f>
        <v>19</v>
      </c>
      <c r="B19" s="18" t="s">
        <v>2740</v>
      </c>
      <c r="C19" s="18" t="s">
        <v>2761</v>
      </c>
      <c r="D19" s="18" t="str">
        <f t="shared" si="0"/>
        <v>Umschulung, berufsbezogene Rehabilitation</v>
      </c>
      <c r="E19" s="33" t="s">
        <v>2762</v>
      </c>
      <c r="F19" s="6" t="s">
        <v>3379</v>
      </c>
    </row>
    <row r="20" spans="1:6" ht="409.5">
      <c r="A20" s="17">
        <f>ROW()</f>
        <v>20</v>
      </c>
      <c r="B20" s="18" t="s">
        <v>2740</v>
      </c>
      <c r="C20" s="18" t="s">
        <v>2761</v>
      </c>
      <c r="D20" s="18" t="str">
        <f t="shared" si="0"/>
        <v xml:space="preserve">Bevorzugte und reservierte Beschäftigung von Menschen mit Behinderungen  </v>
      </c>
      <c r="E20" s="33" t="s">
        <v>2763</v>
      </c>
      <c r="F20" s="6" t="s">
        <v>4610</v>
      </c>
    </row>
    <row r="21" spans="1:6" ht="171.75">
      <c r="A21" s="17">
        <f>ROW()</f>
        <v>21</v>
      </c>
      <c r="B21" s="18" t="s">
        <v>2740</v>
      </c>
      <c r="C21" s="18" t="s">
        <v>2765</v>
      </c>
      <c r="D21" s="18" t="str">
        <f t="shared" si="0"/>
        <v>Indexbindung/Anpassung</v>
      </c>
      <c r="E21" s="32" t="s">
        <v>2766</v>
      </c>
      <c r="F21" s="6" t="s">
        <v>3380</v>
      </c>
    </row>
    <row r="22" spans="1:6" ht="242.25">
      <c r="A22" s="17">
        <f>ROW()</f>
        <v>22</v>
      </c>
      <c r="B22" s="18" t="s">
        <v>2740</v>
      </c>
      <c r="C22" s="18" t="s">
        <v>2765</v>
      </c>
      <c r="D22" s="18" t="str">
        <f>+E22</f>
        <v>Kumulation mit Erwerbseinkommen</v>
      </c>
      <c r="E22" s="32" t="s">
        <v>2723</v>
      </c>
      <c r="F22" s="6" t="s">
        <v>3381</v>
      </c>
    </row>
    <row r="23" spans="1:6" ht="275.25">
      <c r="A23" s="17">
        <f>ROW()</f>
        <v>23</v>
      </c>
      <c r="B23" s="18" t="s">
        <v>2740</v>
      </c>
      <c r="C23" s="18" t="s">
        <v>2765</v>
      </c>
      <c r="D23" s="18" t="str">
        <f t="shared" si="0"/>
        <v>Kumulation mit anderen Sozialleistungen</v>
      </c>
      <c r="E23" s="32" t="s">
        <v>2696</v>
      </c>
      <c r="F23" s="6" t="s">
        <v>3382</v>
      </c>
    </row>
    <row r="24" spans="1:6" ht="232.5">
      <c r="A24" s="17">
        <f>ROW()</f>
        <v>24</v>
      </c>
      <c r="B24" s="18" t="s">
        <v>2740</v>
      </c>
      <c r="C24" s="18" t="s">
        <v>2701</v>
      </c>
      <c r="D24" s="18" t="str">
        <f t="shared" si="0"/>
        <v>1. Besteuerung von Geldleistungen</v>
      </c>
      <c r="E24" s="33" t="s">
        <v>2770</v>
      </c>
      <c r="F24" s="6" t="s">
        <v>3383</v>
      </c>
    </row>
    <row r="25" spans="1:6" ht="387">
      <c r="A25" s="17">
        <f>ROW()</f>
        <v>25</v>
      </c>
      <c r="B25" s="18" t="s">
        <v>2740</v>
      </c>
      <c r="C25" s="18" t="s">
        <v>2701</v>
      </c>
      <c r="D25" s="18" t="str">
        <f t="shared" si="0"/>
        <v>2. Einkommensgrenze für Besteuerung von Geldleistungen</v>
      </c>
      <c r="E25" s="33" t="s">
        <v>2772</v>
      </c>
      <c r="F25" s="6" t="s">
        <v>3384</v>
      </c>
    </row>
    <row r="26" spans="1:6" ht="288.75">
      <c r="A26" s="17">
        <f>ROW()</f>
        <v>26</v>
      </c>
      <c r="B26" s="18" t="s">
        <v>2740</v>
      </c>
      <c r="C26" s="18" t="s">
        <v>2701</v>
      </c>
      <c r="D26" s="18" t="str">
        <f t="shared" si="0"/>
        <v>3. Auf Leistungen anfallende Sozialabgaben</v>
      </c>
      <c r="E26" s="33" t="s">
        <v>2773</v>
      </c>
      <c r="F26" s="6" t="s">
        <v>825</v>
      </c>
    </row>
    <row r="27" spans="1:6" ht="138">
      <c r="A27" s="17">
        <f>ROW()</f>
        <v>27</v>
      </c>
      <c r="B27" s="18" t="s">
        <v>2740</v>
      </c>
      <c r="C27" s="18" t="s">
        <v>2775</v>
      </c>
      <c r="D27" s="18" t="str">
        <f t="shared" si="0"/>
        <v>Anwendungsbereich</v>
      </c>
      <c r="E27" s="33" t="s">
        <v>2708</v>
      </c>
      <c r="F27" s="6" t="s">
        <v>840</v>
      </c>
    </row>
    <row r="28" spans="1:6" ht="110.25">
      <c r="A28" s="17">
        <f>ROW()</f>
        <v>28</v>
      </c>
      <c r="B28" s="18" t="s">
        <v>2740</v>
      </c>
      <c r="C28" s="18" t="s">
        <v>2775</v>
      </c>
      <c r="D28" s="18" t="str">
        <f t="shared" si="0"/>
        <v>Grundprinzipien</v>
      </c>
      <c r="E28" s="33" t="s">
        <v>2709</v>
      </c>
      <c r="F28" s="6" t="s">
        <v>3385</v>
      </c>
    </row>
    <row r="29" spans="1:6" ht="224.25">
      <c r="A29" s="17">
        <f>ROW()</f>
        <v>29</v>
      </c>
      <c r="B29" s="18" t="s">
        <v>2740</v>
      </c>
      <c r="C29" s="18" t="s">
        <v>2775</v>
      </c>
      <c r="D29" s="18" t="str">
        <f t="shared" si="0"/>
        <v>Voraussetzungen für die Deckung</v>
      </c>
      <c r="E29" s="33" t="s">
        <v>2710</v>
      </c>
      <c r="F29" s="6" t="s">
        <v>373</v>
      </c>
    </row>
    <row r="30" spans="1:6" ht="409.5">
      <c r="A30" s="17">
        <f>ROW()</f>
        <v>30</v>
      </c>
      <c r="B30" s="18" t="s">
        <v>2740</v>
      </c>
      <c r="C30" s="18" t="s">
        <v>2775</v>
      </c>
      <c r="D30" s="19" t="str">
        <f t="shared" si="0"/>
        <v>Kombination von selbstständiger und unselbstständiger Tätigkeit</v>
      </c>
      <c r="E30" s="33" t="s">
        <v>2698</v>
      </c>
      <c r="F30" s="6" t="s">
        <v>3386</v>
      </c>
    </row>
    <row r="31" spans="1:6" ht="376.5">
      <c r="A31" s="17">
        <f>ROW()</f>
        <v>31</v>
      </c>
      <c r="B31" s="18" t="s">
        <v>2740</v>
      </c>
      <c r="C31" s="18" t="s">
        <v>2695</v>
      </c>
      <c r="D31" s="19" t="str">
        <f t="shared" si="0"/>
        <v xml:space="preserve">Voraussetzungen für den Zugang zu Diensten/Leistungen </v>
      </c>
      <c r="E31" s="33" t="s">
        <v>2699</v>
      </c>
      <c r="F31" s="6" t="s">
        <v>942</v>
      </c>
    </row>
    <row r="32" spans="1:6" ht="253.5">
      <c r="A32" s="17">
        <f>ROW()</f>
        <v>32</v>
      </c>
      <c r="B32" s="18" t="s">
        <v>2740</v>
      </c>
      <c r="C32" s="18" t="s">
        <v>2695</v>
      </c>
      <c r="D32" s="18" t="str">
        <f t="shared" si="0"/>
        <v>Beträge, Dauer und Kostenbeteiligung</v>
      </c>
      <c r="E32" s="33" t="s">
        <v>2700</v>
      </c>
      <c r="F32" s="6" t="s">
        <v>942</v>
      </c>
    </row>
    <row r="33" spans="1:6" ht="216">
      <c r="A33" s="17">
        <f>ROW()</f>
        <v>33</v>
      </c>
      <c r="B33" s="18" t="s">
        <v>2740</v>
      </c>
      <c r="C33" s="18" t="s">
        <v>2695</v>
      </c>
      <c r="D33" s="18" t="str">
        <f t="shared" si="0"/>
        <v>Besteuerung von Geldleistungen</v>
      </c>
      <c r="E33" s="33" t="s">
        <v>2681</v>
      </c>
      <c r="F33" s="6" t="s">
        <v>942</v>
      </c>
    </row>
    <row r="34" spans="1:6" ht="276.75">
      <c r="A34" s="17">
        <f>ROW()</f>
        <v>34</v>
      </c>
      <c r="B34" s="18" t="s">
        <v>2740</v>
      </c>
      <c r="C34" s="18" t="s">
        <v>2695</v>
      </c>
      <c r="D34" s="18" t="str">
        <f t="shared" si="0"/>
        <v xml:space="preserve"> Auf Leistungen anfallende Sozialabgaben</v>
      </c>
      <c r="E34" s="33" t="s">
        <v>2779</v>
      </c>
      <c r="F34" s="6" t="s">
        <v>942</v>
      </c>
    </row>
    <row r="35" spans="1:6" ht="177">
      <c r="A35" s="17">
        <f>ROW()</f>
        <v>35</v>
      </c>
      <c r="B35" s="18" t="s">
        <v>2780</v>
      </c>
      <c r="C35" s="18" t="str">
        <f>+D35</f>
        <v>Geltende Rechtsgrundlage</v>
      </c>
      <c r="D35" s="18" t="str">
        <f>+E35</f>
        <v>Geltende Rechtsgrundlage</v>
      </c>
      <c r="E35" s="32" t="s">
        <v>2724</v>
      </c>
      <c r="F35" s="6" t="s">
        <v>35</v>
      </c>
    </row>
    <row r="36" spans="1:6" ht="210">
      <c r="A36" s="17">
        <f>ROW()</f>
        <v>36</v>
      </c>
      <c r="B36" s="18" t="s">
        <v>2780</v>
      </c>
      <c r="C36" s="18" t="str">
        <f>+D36</f>
        <v>Grundprinzipien</v>
      </c>
      <c r="D36" s="18" t="str">
        <f>+E36</f>
        <v>Grundprinzipien</v>
      </c>
      <c r="E36" s="32" t="s">
        <v>2709</v>
      </c>
      <c r="F36" s="6" t="s">
        <v>66</v>
      </c>
    </row>
    <row r="37" spans="1:6" ht="159.75">
      <c r="A37" s="17">
        <f>ROW()</f>
        <v>37</v>
      </c>
      <c r="B37" s="18" t="s">
        <v>2780</v>
      </c>
      <c r="C37" s="18" t="s">
        <v>2708</v>
      </c>
      <c r="D37" s="18" t="str">
        <f>+E37</f>
        <v>1. Versicherte Personen</v>
      </c>
      <c r="E37" s="33" t="s">
        <v>2781</v>
      </c>
      <c r="F37" s="6" t="s">
        <v>98</v>
      </c>
    </row>
    <row r="38" spans="1:6" ht="371.25">
      <c r="A38" s="17">
        <f>ROW()</f>
        <v>38</v>
      </c>
      <c r="B38" s="18" t="s">
        <v>2780</v>
      </c>
      <c r="C38" s="18" t="s">
        <v>2708</v>
      </c>
      <c r="D38" s="18" t="str">
        <f t="shared" ref="D38:D58" si="1">+E38</f>
        <v>2. Ausnahmen von der Deckung  der Pflichtversicherung</v>
      </c>
      <c r="E38" s="33" t="s">
        <v>2782</v>
      </c>
      <c r="F38" s="6" t="s">
        <v>125</v>
      </c>
    </row>
    <row r="39" spans="1:6" ht="194.25">
      <c r="A39" s="17">
        <f>ROW()</f>
        <v>39</v>
      </c>
      <c r="B39" s="18" t="s">
        <v>2780</v>
      </c>
      <c r="C39" s="18" t="s">
        <v>149</v>
      </c>
      <c r="D39" s="18" t="str">
        <f t="shared" si="1"/>
        <v>1. Rentenalter</v>
      </c>
      <c r="E39" s="33" t="s">
        <v>2784</v>
      </c>
      <c r="F39" s="6" t="s">
        <v>154</v>
      </c>
    </row>
    <row r="40" spans="1:6" ht="409.5">
      <c r="A40" s="17">
        <f>ROW()</f>
        <v>40</v>
      </c>
      <c r="B40" s="18" t="s">
        <v>2780</v>
      </c>
      <c r="C40" s="18" t="s">
        <v>149</v>
      </c>
      <c r="D40" s="18" t="str">
        <f t="shared" si="1"/>
        <v>2. Anwartschaftszeit und sonstige Anspruchsvoraussetzungen für den Bezug einer Altersrente</v>
      </c>
      <c r="E40" s="33" t="s">
        <v>2785</v>
      </c>
      <c r="F40" s="6" t="s">
        <v>185</v>
      </c>
    </row>
    <row r="41" spans="1:6" ht="409.5">
      <c r="A41" s="17">
        <f>ROW()</f>
        <v>41</v>
      </c>
      <c r="B41" s="18" t="s">
        <v>2780</v>
      </c>
      <c r="C41" s="18" t="s">
        <v>149</v>
      </c>
      <c r="D41" s="18" t="str">
        <f t="shared" si="1"/>
        <v>3. Vorruhestand</v>
      </c>
      <c r="E41" s="33" t="s">
        <v>2786</v>
      </c>
      <c r="F41" s="6" t="s">
        <v>4611</v>
      </c>
    </row>
    <row r="42" spans="1:6" ht="264">
      <c r="A42" s="17">
        <f>ROW()</f>
        <v>42</v>
      </c>
      <c r="B42" s="18" t="s">
        <v>2780</v>
      </c>
      <c r="C42" s="18" t="s">
        <v>149</v>
      </c>
      <c r="D42" s="18" t="str">
        <f t="shared" si="1"/>
        <v>4. Beschwerliche und gefährliche Arbeit</v>
      </c>
      <c r="E42" s="33" t="s">
        <v>2787</v>
      </c>
      <c r="F42" s="6" t="s">
        <v>247</v>
      </c>
    </row>
    <row r="43" spans="1:6" ht="194.25">
      <c r="A43" s="17">
        <f>ROW()</f>
        <v>43</v>
      </c>
      <c r="B43" s="18" t="s">
        <v>2780</v>
      </c>
      <c r="C43" s="18" t="s">
        <v>149</v>
      </c>
      <c r="D43" s="18" t="str">
        <f t="shared" si="1"/>
        <v>5. Rentenaufschub</v>
      </c>
      <c r="E43" s="33" t="s">
        <v>2788</v>
      </c>
      <c r="F43" s="6" t="s">
        <v>276</v>
      </c>
    </row>
    <row r="44" spans="1:6" ht="174">
      <c r="A44" s="17">
        <f>ROW()</f>
        <v>44</v>
      </c>
      <c r="B44" s="18" t="s">
        <v>2780</v>
      </c>
      <c r="C44" s="18" t="s">
        <v>2695</v>
      </c>
      <c r="D44" s="18" t="str">
        <f t="shared" si="1"/>
        <v>1. Bestimmende Faktoren</v>
      </c>
      <c r="E44" s="33" t="s">
        <v>2789</v>
      </c>
      <c r="F44" s="6" t="s">
        <v>301</v>
      </c>
    </row>
    <row r="45" spans="1:6" ht="409.5">
      <c r="A45" s="17">
        <f>ROW()</f>
        <v>45</v>
      </c>
      <c r="B45" s="18" t="s">
        <v>2780</v>
      </c>
      <c r="C45" s="18" t="s">
        <v>2695</v>
      </c>
      <c r="D45" s="18" t="str">
        <f t="shared" si="1"/>
        <v>2. Berechnungsmethode, Rentenformel bzw. Beträge</v>
      </c>
      <c r="E45" s="33" t="s">
        <v>2790</v>
      </c>
      <c r="F45" s="6" t="s">
        <v>4612</v>
      </c>
    </row>
    <row r="46" spans="1:6" ht="343.5">
      <c r="A46" s="17">
        <f>ROW()</f>
        <v>46</v>
      </c>
      <c r="B46" s="18" t="s">
        <v>2780</v>
      </c>
      <c r="C46" s="18" t="s">
        <v>2695</v>
      </c>
      <c r="D46" s="18" t="str">
        <f t="shared" si="1"/>
        <v>3. Referenzeinkommen bzw. Berechnungsgrundlage</v>
      </c>
      <c r="E46" s="33" t="s">
        <v>2791</v>
      </c>
      <c r="F46" s="6" t="s">
        <v>363</v>
      </c>
    </row>
    <row r="47" spans="1:6" ht="405">
      <c r="A47" s="17">
        <f>ROW()</f>
        <v>47</v>
      </c>
      <c r="B47" s="18" t="s">
        <v>2780</v>
      </c>
      <c r="C47" s="18" t="s">
        <v>2695</v>
      </c>
      <c r="D47" s="18" t="str">
        <f t="shared" si="1"/>
        <v>4. Anrechenbare oder als Beitragszeiten gewertete Zeiträume</v>
      </c>
      <c r="E47" s="33" t="s">
        <v>2757</v>
      </c>
      <c r="F47" s="6" t="s">
        <v>4613</v>
      </c>
    </row>
    <row r="48" spans="1:6" ht="243.75">
      <c r="A48" s="17">
        <f>ROW()</f>
        <v>48</v>
      </c>
      <c r="B48" s="18" t="s">
        <v>2780</v>
      </c>
      <c r="C48" s="18" t="s">
        <v>2695</v>
      </c>
      <c r="D48" s="18" t="str">
        <f t="shared" si="1"/>
        <v>5. Rückkauf von Versicherungszeiten</v>
      </c>
      <c r="E48" s="33" t="s">
        <v>2792</v>
      </c>
      <c r="F48" s="6" t="s">
        <v>424</v>
      </c>
    </row>
    <row r="49" spans="1:6" ht="246">
      <c r="A49" s="17">
        <f>ROW()</f>
        <v>49</v>
      </c>
      <c r="B49" s="18" t="s">
        <v>2780</v>
      </c>
      <c r="C49" s="18" t="s">
        <v>2695</v>
      </c>
      <c r="D49" s="18" t="str">
        <f t="shared" si="1"/>
        <v>6.  Zulagen für Unterhaltsberechtigte</v>
      </c>
      <c r="E49" s="33" t="s">
        <v>2892</v>
      </c>
      <c r="F49" s="6" t="s">
        <v>450</v>
      </c>
    </row>
    <row r="50" spans="1:6" ht="240">
      <c r="A50" s="17">
        <f>ROW()</f>
        <v>50</v>
      </c>
      <c r="B50" s="18" t="s">
        <v>2780</v>
      </c>
      <c r="C50" s="18" t="s">
        <v>2695</v>
      </c>
      <c r="D50" s="18" t="str">
        <f t="shared" si="1"/>
        <v>7. Besondere Zulagen</v>
      </c>
      <c r="E50" s="33" t="s">
        <v>2793</v>
      </c>
      <c r="F50" s="6" t="s">
        <v>4614</v>
      </c>
    </row>
    <row r="51" spans="1:6" ht="360.75">
      <c r="A51" s="17">
        <f>ROW()</f>
        <v>51</v>
      </c>
      <c r="B51" s="18" t="s">
        <v>2780</v>
      </c>
      <c r="C51" s="18" t="s">
        <v>2695</v>
      </c>
      <c r="D51" s="18" t="str">
        <f t="shared" si="1"/>
        <v>8. Mindestrente und bedürftigkeitsabhängige Leistung</v>
      </c>
      <c r="E51" s="33" t="s">
        <v>2794</v>
      </c>
      <c r="F51" s="6" t="s">
        <v>503</v>
      </c>
    </row>
    <row r="52" spans="1:6" ht="101.25">
      <c r="A52" s="17">
        <f>ROW()</f>
        <v>52</v>
      </c>
      <c r="B52" s="18" t="s">
        <v>2780</v>
      </c>
      <c r="C52" s="18" t="s">
        <v>2695</v>
      </c>
      <c r="D52" s="18" t="str">
        <f t="shared" si="1"/>
        <v>9. Höchstrente</v>
      </c>
      <c r="E52" s="33" t="s">
        <v>2795</v>
      </c>
      <c r="F52" s="6" t="s">
        <v>533</v>
      </c>
    </row>
    <row r="53" spans="1:6" ht="195">
      <c r="A53" s="17">
        <f>ROW()</f>
        <v>53</v>
      </c>
      <c r="B53" s="18" t="s">
        <v>2780</v>
      </c>
      <c r="C53" s="18" t="s">
        <v>2695</v>
      </c>
      <c r="D53" s="18" t="str">
        <f t="shared" si="1"/>
        <v>10. Vorruhestand</v>
      </c>
      <c r="E53" s="33" t="s">
        <v>2796</v>
      </c>
      <c r="F53" s="6" t="s">
        <v>560</v>
      </c>
    </row>
    <row r="54" spans="1:6" ht="272.25">
      <c r="A54" s="17">
        <f>ROW()</f>
        <v>54</v>
      </c>
      <c r="B54" s="18" t="s">
        <v>2780</v>
      </c>
      <c r="C54" s="18" t="s">
        <v>2695</v>
      </c>
      <c r="D54" s="18" t="str">
        <f t="shared" si="1"/>
        <v>11. Beschwerliche und gefährliche Arbeit</v>
      </c>
      <c r="E54" s="33" t="s">
        <v>2797</v>
      </c>
      <c r="F54" s="6" t="s">
        <v>252</v>
      </c>
    </row>
    <row r="55" spans="1:6" ht="90">
      <c r="A55" s="17">
        <f>ROW()</f>
        <v>55</v>
      </c>
      <c r="B55" s="18" t="s">
        <v>2780</v>
      </c>
      <c r="C55" s="18" t="s">
        <v>2695</v>
      </c>
      <c r="D55" s="18" t="str">
        <f t="shared" si="1"/>
        <v>12. Teilrente</v>
      </c>
      <c r="E55" s="33" t="s">
        <v>2798</v>
      </c>
      <c r="F55" s="6" t="s">
        <v>614</v>
      </c>
    </row>
    <row r="56" spans="1:6" ht="171.75">
      <c r="A56" s="17">
        <f>ROW()</f>
        <v>56</v>
      </c>
      <c r="B56" s="18" t="s">
        <v>2780</v>
      </c>
      <c r="C56" s="18" t="s">
        <v>2695</v>
      </c>
      <c r="D56" s="18" t="str">
        <f t="shared" si="1"/>
        <v>13. Aufgeschobene Rente</v>
      </c>
      <c r="E56" s="33" t="s">
        <v>2893</v>
      </c>
      <c r="F56" s="6" t="s">
        <v>641</v>
      </c>
    </row>
    <row r="57" spans="1:6" ht="179.25">
      <c r="A57" s="17">
        <f>ROW()</f>
        <v>57</v>
      </c>
      <c r="B57" s="18" t="s">
        <v>2780</v>
      </c>
      <c r="C57" s="18" t="s">
        <v>2799</v>
      </c>
      <c r="D57" s="18" t="s">
        <v>2799</v>
      </c>
      <c r="E57" s="32" t="s">
        <v>2799</v>
      </c>
      <c r="F57" s="6" t="s">
        <v>672</v>
      </c>
    </row>
    <row r="58" spans="1:6" ht="246">
      <c r="A58" s="17">
        <f>ROW()</f>
        <v>58</v>
      </c>
      <c r="B58" s="18" t="s">
        <v>2780</v>
      </c>
      <c r="C58" s="18" t="s">
        <v>2799</v>
      </c>
      <c r="D58" s="18" t="str">
        <f t="shared" si="1"/>
        <v xml:space="preserve">Kumulation mit Erwerbseinkommen </v>
      </c>
      <c r="E58" s="32" t="s">
        <v>2697</v>
      </c>
      <c r="F58" s="6" t="s">
        <v>703</v>
      </c>
    </row>
    <row r="59" spans="1:6" ht="286.5">
      <c r="A59" s="17">
        <f>ROW()</f>
        <v>59</v>
      </c>
      <c r="B59" s="18" t="s">
        <v>2780</v>
      </c>
      <c r="C59" s="18" t="s">
        <v>2799</v>
      </c>
      <c r="D59" s="18" t="s">
        <v>2800</v>
      </c>
      <c r="E59" s="32" t="s">
        <v>2696</v>
      </c>
      <c r="F59" s="6" t="s">
        <v>734</v>
      </c>
    </row>
    <row r="60" spans="1:6" ht="225.75">
      <c r="A60" s="17">
        <f>ROW()</f>
        <v>60</v>
      </c>
      <c r="B60" s="18" t="s">
        <v>2780</v>
      </c>
      <c r="C60" s="18" t="s">
        <v>761</v>
      </c>
      <c r="D60" s="18" t="str">
        <f t="shared" ref="D60:D70" si="2">+E60</f>
        <v>1. Besteuerung von Renten</v>
      </c>
      <c r="E60" s="33" t="s">
        <v>2801</v>
      </c>
      <c r="F60" s="6" t="s">
        <v>4615</v>
      </c>
    </row>
    <row r="61" spans="1:6" ht="335.25">
      <c r="A61" s="17">
        <f>ROW()</f>
        <v>61</v>
      </c>
      <c r="B61" s="18" t="s">
        <v>2780</v>
      </c>
      <c r="C61" s="18" t="s">
        <v>761</v>
      </c>
      <c r="D61" s="18" t="str">
        <f t="shared" si="2"/>
        <v>2. Einkommensgrenze für Besteuerung von Renten</v>
      </c>
      <c r="E61" s="33" t="s">
        <v>2802</v>
      </c>
      <c r="F61" s="6" t="s">
        <v>792</v>
      </c>
    </row>
    <row r="62" spans="1:6" ht="264">
      <c r="A62" s="17">
        <f>ROW()</f>
        <v>62</v>
      </c>
      <c r="B62" s="18" t="s">
        <v>2780</v>
      </c>
      <c r="C62" s="18" t="s">
        <v>761</v>
      </c>
      <c r="D62" s="18" t="str">
        <f t="shared" si="2"/>
        <v>3. Auf Renten anfallende Sozialabgaben</v>
      </c>
      <c r="E62" s="33" t="s">
        <v>2803</v>
      </c>
      <c r="F62" s="6" t="s">
        <v>820</v>
      </c>
    </row>
    <row r="63" spans="1:6" ht="138">
      <c r="A63" s="17">
        <f>ROW()</f>
        <v>63</v>
      </c>
      <c r="B63" s="18" t="s">
        <v>2804</v>
      </c>
      <c r="C63" s="18" t="str">
        <f>+E63</f>
        <v>Anwendungsbereich</v>
      </c>
      <c r="D63" s="18" t="str">
        <f t="shared" si="2"/>
        <v>Anwendungsbereich</v>
      </c>
      <c r="E63" s="33" t="s">
        <v>2708</v>
      </c>
      <c r="F63" s="6" t="s">
        <v>840</v>
      </c>
    </row>
    <row r="64" spans="1:6" ht="132.75">
      <c r="A64" s="17">
        <f>ROW()</f>
        <v>64</v>
      </c>
      <c r="B64" s="18" t="s">
        <v>2804</v>
      </c>
      <c r="C64" s="18" t="s">
        <v>2775</v>
      </c>
      <c r="D64" s="18" t="str">
        <f t="shared" si="2"/>
        <v>Grundprinzipien</v>
      </c>
      <c r="E64" s="33" t="s">
        <v>2709</v>
      </c>
      <c r="F64" s="6" t="s">
        <v>867</v>
      </c>
    </row>
    <row r="65" spans="1:6" ht="224.25">
      <c r="A65" s="17">
        <f>ROW()</f>
        <v>65</v>
      </c>
      <c r="B65" s="18" t="s">
        <v>2804</v>
      </c>
      <c r="C65" s="18" t="s">
        <v>2775</v>
      </c>
      <c r="D65" s="18" t="str">
        <f t="shared" si="2"/>
        <v>Voraussetzungen für die Deckung</v>
      </c>
      <c r="E65" s="33" t="s">
        <v>2710</v>
      </c>
      <c r="F65" s="6" t="s">
        <v>896</v>
      </c>
    </row>
    <row r="66" spans="1:6" ht="409.5">
      <c r="A66" s="17">
        <f>ROW()</f>
        <v>66</v>
      </c>
      <c r="B66" s="18" t="s">
        <v>2804</v>
      </c>
      <c r="C66" s="18" t="s">
        <v>2775</v>
      </c>
      <c r="D66" s="18" t="str">
        <f t="shared" si="2"/>
        <v>Kombination von selbstständiger und unselbstständiger Tätigkeit</v>
      </c>
      <c r="E66" s="33" t="s">
        <v>2698</v>
      </c>
      <c r="F66" s="6" t="s">
        <v>922</v>
      </c>
    </row>
    <row r="67" spans="1:6" ht="376.5">
      <c r="A67" s="17">
        <f>ROW()</f>
        <v>67</v>
      </c>
      <c r="B67" s="18" t="s">
        <v>2804</v>
      </c>
      <c r="C67" s="18" t="s">
        <v>2695</v>
      </c>
      <c r="D67" s="19" t="str">
        <f t="shared" si="2"/>
        <v xml:space="preserve">Voraussetzungen für den Zugang zu Diensten/Leistungen </v>
      </c>
      <c r="E67" s="33" t="s">
        <v>2699</v>
      </c>
      <c r="F67" s="6" t="s">
        <v>942</v>
      </c>
    </row>
    <row r="68" spans="1:6" ht="253.5">
      <c r="A68" s="17">
        <f>ROW()</f>
        <v>68</v>
      </c>
      <c r="B68" s="18" t="s">
        <v>2804</v>
      </c>
      <c r="C68" s="18" t="s">
        <v>2695</v>
      </c>
      <c r="D68" s="19" t="str">
        <f t="shared" si="2"/>
        <v>Beträge, Dauer und Kostenbeteiligung</v>
      </c>
      <c r="E68" s="33" t="s">
        <v>2700</v>
      </c>
      <c r="F68" s="6" t="s">
        <v>942</v>
      </c>
    </row>
    <row r="69" spans="1:6" ht="216">
      <c r="A69" s="17">
        <f>ROW()</f>
        <v>69</v>
      </c>
      <c r="B69" s="18" t="s">
        <v>2804</v>
      </c>
      <c r="C69" s="18" t="s">
        <v>2695</v>
      </c>
      <c r="D69" s="19" t="str">
        <f t="shared" si="2"/>
        <v>Besteuerung von Geldleistungen</v>
      </c>
      <c r="E69" s="33" t="s">
        <v>2681</v>
      </c>
      <c r="F69" s="6" t="s">
        <v>942</v>
      </c>
    </row>
    <row r="70" spans="1:6" ht="272.25">
      <c r="A70" s="17">
        <f>ROW()</f>
        <v>70</v>
      </c>
      <c r="B70" s="18" t="s">
        <v>2804</v>
      </c>
      <c r="C70" s="18" t="s">
        <v>2695</v>
      </c>
      <c r="D70" s="19" t="str">
        <f t="shared" si="2"/>
        <v>Auf Leistungen anfallende Sozialabgaben</v>
      </c>
      <c r="E70" s="33" t="s">
        <v>2683</v>
      </c>
      <c r="F70" s="6" t="s">
        <v>942</v>
      </c>
    </row>
    <row r="71" spans="1:6" ht="177">
      <c r="A71" s="17">
        <f>ROW()</f>
        <v>71</v>
      </c>
      <c r="B71" s="18" t="s">
        <v>2702</v>
      </c>
      <c r="C71" s="18" t="str">
        <f t="shared" ref="C71:D75" si="3">+D71</f>
        <v>Geltende Rechtsgrundlage</v>
      </c>
      <c r="D71" s="19" t="str">
        <f t="shared" si="3"/>
        <v>Geltende Rechtsgrundlage</v>
      </c>
      <c r="E71" s="32" t="s">
        <v>2724</v>
      </c>
      <c r="F71" s="6" t="s">
        <v>994</v>
      </c>
    </row>
    <row r="72" spans="1:6" ht="110.25">
      <c r="A72" s="17">
        <f>ROW()</f>
        <v>72</v>
      </c>
      <c r="B72" s="18" t="s">
        <v>2702</v>
      </c>
      <c r="C72" s="18" t="str">
        <f t="shared" si="3"/>
        <v>Grundprinzipien</v>
      </c>
      <c r="D72" s="19" t="str">
        <f t="shared" si="3"/>
        <v>Grundprinzipien</v>
      </c>
      <c r="E72" s="32" t="s">
        <v>2709</v>
      </c>
      <c r="F72" s="6" t="s">
        <v>1020</v>
      </c>
    </row>
    <row r="73" spans="1:6" ht="315">
      <c r="A73" s="17">
        <f>ROW()</f>
        <v>73</v>
      </c>
      <c r="B73" s="18" t="s">
        <v>2702</v>
      </c>
      <c r="C73" s="19" t="str">
        <f t="shared" si="3"/>
        <v>Anwendungsbereich (in Bezug auf Verstorbene)</v>
      </c>
      <c r="D73" s="19" t="str">
        <f t="shared" si="3"/>
        <v>Anwendungsbereich (in Bezug auf Verstorbene)</v>
      </c>
      <c r="E73" s="32" t="s">
        <v>2725</v>
      </c>
      <c r="F73" s="6" t="s">
        <v>1050</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125</v>
      </c>
    </row>
    <row r="75" spans="1:6" ht="144.75">
      <c r="A75" s="17">
        <f>ROW()</f>
        <v>75</v>
      </c>
      <c r="B75" s="18" t="s">
        <v>2702</v>
      </c>
      <c r="C75" s="19" t="str">
        <f t="shared" si="3"/>
        <v>Berechtigte Personen</v>
      </c>
      <c r="D75" s="19" t="str">
        <f t="shared" si="3"/>
        <v>Berechtigte Personen</v>
      </c>
      <c r="E75" s="32" t="s">
        <v>2730</v>
      </c>
      <c r="F75" s="6" t="s">
        <v>1095</v>
      </c>
    </row>
    <row r="76" spans="1:6" ht="102">
      <c r="A76" s="17">
        <f>ROW()</f>
        <v>76</v>
      </c>
      <c r="B76" s="18" t="s">
        <v>2702</v>
      </c>
      <c r="C76" s="1"/>
      <c r="D76" s="1"/>
      <c r="E76" s="32" t="s">
        <v>2783</v>
      </c>
      <c r="F76" s="6"/>
    </row>
    <row r="77" spans="1:6" ht="189.75">
      <c r="A77" s="17">
        <f>ROW()</f>
        <v>77</v>
      </c>
      <c r="B77" s="18" t="s">
        <v>2702</v>
      </c>
      <c r="C77" s="18" t="s">
        <v>2805</v>
      </c>
      <c r="D77" s="18" t="str">
        <f t="shared" ref="D77:D90" si="4">+E77</f>
        <v>1. Verstorbener Versicherter</v>
      </c>
      <c r="E77" s="33" t="s">
        <v>2806</v>
      </c>
      <c r="F77" s="6" t="s">
        <v>1126</v>
      </c>
    </row>
    <row r="78" spans="1:6" ht="185.25">
      <c r="A78" s="17">
        <f>ROW()</f>
        <v>78</v>
      </c>
      <c r="B78" s="18" t="s">
        <v>2702</v>
      </c>
      <c r="C78" s="18" t="s">
        <v>2805</v>
      </c>
      <c r="D78" s="18" t="str">
        <f t="shared" si="4"/>
        <v>2. Hinterbliebener Ehegatte</v>
      </c>
      <c r="E78" s="33" t="s">
        <v>2807</v>
      </c>
      <c r="F78" s="6" t="s">
        <v>4616</v>
      </c>
    </row>
    <row r="79" spans="1:6" ht="181.5">
      <c r="A79" s="17">
        <f>ROW()</f>
        <v>79</v>
      </c>
      <c r="B79" s="18" t="s">
        <v>2702</v>
      </c>
      <c r="C79" s="18" t="s">
        <v>2805</v>
      </c>
      <c r="D79" s="18" t="str">
        <f t="shared" si="4"/>
        <v>3. Geschiedener Ehegatte</v>
      </c>
      <c r="E79" s="33" t="s">
        <v>2808</v>
      </c>
      <c r="F79" s="6" t="s">
        <v>1187</v>
      </c>
    </row>
    <row r="80" spans="1:6" ht="216">
      <c r="A80" s="17">
        <f>ROW()</f>
        <v>80</v>
      </c>
      <c r="B80" s="18" t="s">
        <v>2702</v>
      </c>
      <c r="C80" s="18" t="s">
        <v>2805</v>
      </c>
      <c r="D80" s="18" t="str">
        <f t="shared" si="4"/>
        <v>4. Hinterbliebene Lebenspartner</v>
      </c>
      <c r="E80" s="33" t="s">
        <v>2809</v>
      </c>
      <c r="F80" s="6" t="s">
        <v>1192</v>
      </c>
    </row>
    <row r="81" spans="1:6" ht="181.5">
      <c r="A81" s="17">
        <f>ROW()</f>
        <v>81</v>
      </c>
      <c r="B81" s="18" t="s">
        <v>2702</v>
      </c>
      <c r="C81" s="18" t="s">
        <v>2805</v>
      </c>
      <c r="D81" s="18" t="str">
        <f t="shared" si="4"/>
        <v>5. Kinder</v>
      </c>
      <c r="E81" s="33" t="s">
        <v>2810</v>
      </c>
      <c r="F81" s="6" t="s">
        <v>1238</v>
      </c>
    </row>
    <row r="82" spans="1:6" ht="181.5">
      <c r="A82" s="17">
        <f>ROW()</f>
        <v>82</v>
      </c>
      <c r="B82" s="18" t="s">
        <v>2702</v>
      </c>
      <c r="C82" s="18" t="s">
        <v>2805</v>
      </c>
      <c r="D82" s="18" t="str">
        <f t="shared" si="4"/>
        <v>6. Andere Personen</v>
      </c>
      <c r="E82" s="33" t="s">
        <v>2811</v>
      </c>
      <c r="F82" s="6" t="s">
        <v>1267</v>
      </c>
    </row>
    <row r="83" spans="1:6" ht="409.5">
      <c r="A83" s="17">
        <f>ROW()</f>
        <v>83</v>
      </c>
      <c r="B83" s="18" t="s">
        <v>2702</v>
      </c>
      <c r="C83" s="18" t="s">
        <v>2695</v>
      </c>
      <c r="D83" s="19" t="str">
        <f t="shared" si="4"/>
        <v>1. Hinterbliebener Ehegatte, geschiedener Ehegatte, hinterbliebene Lebenspartner</v>
      </c>
      <c r="E83" s="33" t="s">
        <v>2812</v>
      </c>
      <c r="F83" s="6" t="s">
        <v>4617</v>
      </c>
    </row>
    <row r="84" spans="1:6" ht="280.5">
      <c r="A84" s="17">
        <f>ROW()</f>
        <v>84</v>
      </c>
      <c r="B84" s="18" t="s">
        <v>2702</v>
      </c>
      <c r="C84" s="18" t="s">
        <v>2695</v>
      </c>
      <c r="D84" s="19" t="str">
        <f t="shared" si="4"/>
        <v>2. Hinterbliebener Ehegatte: Wiederheirat</v>
      </c>
      <c r="E84" s="33" t="s">
        <v>2813</v>
      </c>
      <c r="F84" s="6" t="s">
        <v>1317</v>
      </c>
    </row>
    <row r="85" spans="1:6" ht="102">
      <c r="A85" s="17">
        <f>ROW()</f>
        <v>85</v>
      </c>
      <c r="B85" s="18" t="s">
        <v>2702</v>
      </c>
      <c r="C85" s="18" t="s">
        <v>2695</v>
      </c>
      <c r="D85" s="19" t="str">
        <f t="shared" si="4"/>
        <v>3. Kinder</v>
      </c>
      <c r="E85" s="33" t="s">
        <v>2814</v>
      </c>
      <c r="F85" s="6" t="s">
        <v>1346</v>
      </c>
    </row>
    <row r="86" spans="1:6" ht="147">
      <c r="A86" s="17">
        <f>ROW()</f>
        <v>86</v>
      </c>
      <c r="B86" s="18" t="s">
        <v>2702</v>
      </c>
      <c r="C86" s="18" t="s">
        <v>2695</v>
      </c>
      <c r="D86" s="19" t="str">
        <f t="shared" si="4"/>
        <v>4. Andere Berechtigte</v>
      </c>
      <c r="E86" s="33" t="s">
        <v>2815</v>
      </c>
      <c r="F86" s="6" t="s">
        <v>1374</v>
      </c>
    </row>
    <row r="87" spans="1:6" ht="381">
      <c r="A87" s="17">
        <f>ROW()</f>
        <v>87</v>
      </c>
      <c r="B87" s="18" t="s">
        <v>2702</v>
      </c>
      <c r="C87" s="18" t="s">
        <v>2695</v>
      </c>
      <c r="D87" s="19" t="str">
        <f t="shared" si="4"/>
        <v xml:space="preserve"> 5. Höchster zahlbarer Gesamtbetrag für alle Berechtigten</v>
      </c>
      <c r="E87" s="33" t="s">
        <v>2816</v>
      </c>
      <c r="F87" s="6" t="s">
        <v>1391</v>
      </c>
    </row>
    <row r="88" spans="1:6" ht="151.5">
      <c r="A88" s="17">
        <f>ROW()</f>
        <v>88</v>
      </c>
      <c r="B88" s="18" t="s">
        <v>2702</v>
      </c>
      <c r="C88" s="18" t="s">
        <v>2695</v>
      </c>
      <c r="D88" s="19" t="str">
        <f t="shared" si="4"/>
        <v>6. Sonstige Leistungen</v>
      </c>
      <c r="E88" s="33" t="s">
        <v>2817</v>
      </c>
      <c r="F88" s="6" t="s">
        <v>1417</v>
      </c>
    </row>
    <row r="89" spans="1:6" ht="126.75">
      <c r="A89" s="17">
        <f>ROW()</f>
        <v>89</v>
      </c>
      <c r="B89" s="18" t="s">
        <v>2702</v>
      </c>
      <c r="C89" s="18" t="s">
        <v>2695</v>
      </c>
      <c r="D89" s="19" t="str">
        <f>+E89</f>
        <v>7. Mindestleistung</v>
      </c>
      <c r="E89" s="33" t="s">
        <v>2818</v>
      </c>
      <c r="F89" s="6" t="s">
        <v>1446</v>
      </c>
    </row>
    <row r="90" spans="1:6" ht="122.25">
      <c r="A90" s="17">
        <f>ROW()</f>
        <v>90</v>
      </c>
      <c r="B90" s="18" t="s">
        <v>2702</v>
      </c>
      <c r="C90" s="18" t="s">
        <v>2695</v>
      </c>
      <c r="D90" s="19" t="str">
        <f t="shared" si="4"/>
        <v xml:space="preserve"> 8. Höchstleistung</v>
      </c>
      <c r="E90" s="33" t="s">
        <v>2819</v>
      </c>
      <c r="F90" s="6" t="s">
        <v>532</v>
      </c>
    </row>
    <row r="91" spans="1:6" ht="179.25">
      <c r="A91" s="17">
        <f>ROW()</f>
        <v>91</v>
      </c>
      <c r="B91" s="18" t="s">
        <v>2702</v>
      </c>
      <c r="C91" s="18" t="s">
        <v>2799</v>
      </c>
      <c r="D91" s="19" t="str">
        <f>+C91</f>
        <v>Indexbindung / Anpassung</v>
      </c>
      <c r="E91" s="32" t="s">
        <v>2799</v>
      </c>
      <c r="F91" s="6" t="s">
        <v>1495</v>
      </c>
    </row>
    <row r="92" spans="1:6" ht="242.25">
      <c r="A92" s="17">
        <f>ROW()</f>
        <v>92</v>
      </c>
      <c r="B92" s="18" t="s">
        <v>2702</v>
      </c>
      <c r="C92" s="18" t="s">
        <v>2799</v>
      </c>
      <c r="D92" s="19" t="str">
        <f t="shared" ref="D92:D105" si="5">+E92</f>
        <v>Kumulation mit Erwerbseinkommen</v>
      </c>
      <c r="E92" s="32" t="s">
        <v>2723</v>
      </c>
      <c r="F92" s="6" t="s">
        <v>1525</v>
      </c>
    </row>
    <row r="93" spans="1:6" ht="275.25">
      <c r="A93" s="17">
        <f>ROW()</f>
        <v>93</v>
      </c>
      <c r="B93" s="18" t="s">
        <v>2702</v>
      </c>
      <c r="C93" s="18" t="s">
        <v>2799</v>
      </c>
      <c r="D93" s="19" t="str">
        <f t="shared" si="5"/>
        <v>Kumulation mit anderen Sozialleistungen</v>
      </c>
      <c r="E93" s="32" t="s">
        <v>2696</v>
      </c>
      <c r="F93" s="6" t="s">
        <v>1556</v>
      </c>
    </row>
    <row r="94" spans="1:6" ht="232.5">
      <c r="A94" s="17">
        <f>ROW()</f>
        <v>94</v>
      </c>
      <c r="B94" s="18" t="s">
        <v>2702</v>
      </c>
      <c r="C94" s="19" t="s">
        <v>2701</v>
      </c>
      <c r="D94" s="19" t="str">
        <f t="shared" si="5"/>
        <v>1. Besteuerung von Geldleistungen</v>
      </c>
      <c r="E94" s="33" t="s">
        <v>2770</v>
      </c>
      <c r="F94" s="6" t="s">
        <v>1587</v>
      </c>
    </row>
    <row r="95" spans="1:6" ht="387">
      <c r="A95" s="17">
        <f>ROW()</f>
        <v>95</v>
      </c>
      <c r="B95" s="18" t="s">
        <v>2702</v>
      </c>
      <c r="C95" s="19" t="s">
        <v>2701</v>
      </c>
      <c r="D95" s="19" t="str">
        <f t="shared" si="5"/>
        <v>2. Einkommensgrenze für Besteuerung von Geldleistungen</v>
      </c>
      <c r="E95" s="33" t="s">
        <v>2772</v>
      </c>
      <c r="F95" s="6" t="s">
        <v>1605</v>
      </c>
    </row>
    <row r="96" spans="1:6" ht="288.75">
      <c r="A96" s="17">
        <f>ROW()</f>
        <v>96</v>
      </c>
      <c r="B96" s="18" t="s">
        <v>2702</v>
      </c>
      <c r="C96" s="19" t="s">
        <v>2701</v>
      </c>
      <c r="D96" s="19" t="str">
        <f t="shared" si="5"/>
        <v>3. Auf Leistungen anfallende Sozialabgaben</v>
      </c>
      <c r="E96" s="33" t="s">
        <v>2773</v>
      </c>
      <c r="F96" s="6" t="s">
        <v>820</v>
      </c>
    </row>
    <row r="97" spans="1:6" ht="138">
      <c r="A97" s="17">
        <f>ROW()</f>
        <v>97</v>
      </c>
      <c r="B97" s="18" t="s">
        <v>2702</v>
      </c>
      <c r="C97" s="19" t="s">
        <v>2775</v>
      </c>
      <c r="D97" s="19" t="str">
        <f t="shared" si="5"/>
        <v>Anwendungsbereich</v>
      </c>
      <c r="E97" s="33" t="s">
        <v>2708</v>
      </c>
      <c r="F97" s="6" t="s">
        <v>840</v>
      </c>
    </row>
    <row r="98" spans="1:6" ht="110.25">
      <c r="A98" s="17">
        <f>ROW()</f>
        <v>98</v>
      </c>
      <c r="B98" s="18" t="s">
        <v>2702</v>
      </c>
      <c r="C98" s="19" t="s">
        <v>2775</v>
      </c>
      <c r="D98" s="19" t="str">
        <f t="shared" si="5"/>
        <v>Grundprinzipien</v>
      </c>
      <c r="E98" s="33" t="s">
        <v>2709</v>
      </c>
      <c r="F98" s="6" t="s">
        <v>1659</v>
      </c>
    </row>
    <row r="99" spans="1:6" ht="224.25">
      <c r="A99" s="17">
        <f>ROW()</f>
        <v>99</v>
      </c>
      <c r="B99" s="18" t="s">
        <v>2702</v>
      </c>
      <c r="C99" s="19" t="s">
        <v>2775</v>
      </c>
      <c r="D99" s="19" t="str">
        <f t="shared" si="5"/>
        <v>Voraussetzungen für die Deckung</v>
      </c>
      <c r="E99" s="33" t="s">
        <v>2710</v>
      </c>
      <c r="F99" s="6" t="s">
        <v>1659</v>
      </c>
    </row>
    <row r="100" spans="1:6" ht="409.5">
      <c r="A100" s="17">
        <f>ROW()</f>
        <v>100</v>
      </c>
      <c r="B100" s="18" t="s">
        <v>2702</v>
      </c>
      <c r="C100" s="19" t="s">
        <v>2775</v>
      </c>
      <c r="D100" s="19" t="str">
        <f t="shared" si="5"/>
        <v>Kombination von selbstständiger und unselbstständiger Tätigkeit</v>
      </c>
      <c r="E100" s="33" t="s">
        <v>2698</v>
      </c>
      <c r="F100" s="6" t="s">
        <v>1659</v>
      </c>
    </row>
    <row r="101" spans="1:6" ht="376.5">
      <c r="A101" s="17">
        <f>ROW()</f>
        <v>101</v>
      </c>
      <c r="B101" s="18" t="s">
        <v>2702</v>
      </c>
      <c r="C101" s="19" t="s">
        <v>2775</v>
      </c>
      <c r="D101" s="19" t="str">
        <f t="shared" si="5"/>
        <v xml:space="preserve">Voraussetzungen für den Zugang zu Diensten/Leistungen </v>
      </c>
      <c r="E101" s="33" t="s">
        <v>2699</v>
      </c>
      <c r="F101" s="6" t="s">
        <v>1659</v>
      </c>
    </row>
    <row r="102" spans="1:6" ht="253.5">
      <c r="A102" s="17">
        <f>ROW()</f>
        <v>102</v>
      </c>
      <c r="B102" s="18" t="s">
        <v>2702</v>
      </c>
      <c r="C102" s="19" t="s">
        <v>2775</v>
      </c>
      <c r="D102" s="19" t="str">
        <f t="shared" si="5"/>
        <v>Beträge, Dauer und Kostenbeteiligung</v>
      </c>
      <c r="E102" s="33" t="s">
        <v>2700</v>
      </c>
      <c r="F102" s="6" t="s">
        <v>1659</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1659</v>
      </c>
    </row>
    <row r="105" spans="1:6" ht="272.25">
      <c r="A105" s="17">
        <f>ROW()</f>
        <v>105</v>
      </c>
      <c r="B105" s="18" t="s">
        <v>2702</v>
      </c>
      <c r="C105" s="19" t="s">
        <v>2775</v>
      </c>
      <c r="D105" s="19" t="str">
        <f t="shared" si="5"/>
        <v>Auf Leistungen anfallende Sozialabgaben</v>
      </c>
      <c r="E105" s="33" t="s">
        <v>2683</v>
      </c>
      <c r="F105" s="6" t="s">
        <v>1659</v>
      </c>
    </row>
    <row r="106" spans="1:6"/>
    <row r="107" spans="1:6"/>
    <row r="108" spans="1:6"/>
    <row r="109" spans="1:6"/>
    <row r="110" spans="1:6"/>
    <row r="111" spans="1:6"/>
    <row r="112" spans="1:6"/>
    <row r="113"/>
  </sheetData>
  <sheetProtection algorithmName="SHA-512" hashValue="V5jFbHL7GYIgSkrXgWhV/FVCysGwUAgxVX+QQVpRYHLV9mqMG+6s3MxjlRcacaGZ73IKvhoInYuMsOCUECq1ew==" saltValue="GcayXhoD1rEGZNFte4Cg/w==" spinCount="100000" sheet="1" objects="1" scenarios="1" formatColumns="0" autoFilter="0"/>
  <autoFilter ref="A2:F105" xr:uid="{77829037-7760-4C4A-8C81-AE43414C4EB1}"/>
  <pageMargins left="0.7" right="0.7" top="0.78740157499999996" bottom="0.78740157499999996"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D0CD6-7636-4BFE-9B82-4ED3ED03A251}">
  <sheetPr codeName="Tabelle7"/>
  <dimension ref="A1:F113"/>
  <sheetViews>
    <sheetView workbookViewId="0">
      <pane xSplit="5" ySplit="2" topLeftCell="F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39" t="s">
        <v>2726</v>
      </c>
      <c r="C1" s="136" t="s">
        <v>2739</v>
      </c>
      <c r="D1" s="136" t="s">
        <v>2728</v>
      </c>
      <c r="E1" s="128" t="s">
        <v>3506</v>
      </c>
      <c r="F1" s="16" t="s">
        <v>5</v>
      </c>
    </row>
    <row r="2" spans="1:6" ht="39.75" customHeight="1">
      <c r="A2" s="138"/>
      <c r="B2" s="139"/>
      <c r="C2" s="136"/>
      <c r="D2" s="136"/>
      <c r="E2" s="134"/>
      <c r="F2" s="173" t="str" cm="1">
        <f t="array" ref="F2">_xlfn.TEXTJOIN("; ", TRUE, IF(Entscheidungen!A2:A100=F1, Entscheidungen!B2:B100, ""))</f>
        <v/>
      </c>
    </row>
    <row r="3" spans="1:6" ht="177">
      <c r="A3" s="17">
        <f>ROW()</f>
        <v>3</v>
      </c>
      <c r="B3" s="18" t="s">
        <v>2740</v>
      </c>
      <c r="C3" s="18"/>
      <c r="D3" s="18" t="str">
        <f>+E3</f>
        <v>Geltende Rechtsgrundlage</v>
      </c>
      <c r="E3" s="31" t="s">
        <v>2724</v>
      </c>
      <c r="F3" s="6" t="s">
        <v>3344</v>
      </c>
    </row>
    <row r="4" spans="1:6" ht="210">
      <c r="A4" s="17">
        <f>ROW()</f>
        <v>4</v>
      </c>
      <c r="B4" s="18" t="s">
        <v>2740</v>
      </c>
      <c r="C4" s="1"/>
      <c r="D4" s="18" t="str">
        <f t="shared" ref="D4:D34" si="0">+E4</f>
        <v>Grundprinzipien</v>
      </c>
      <c r="E4" s="32" t="s">
        <v>2709</v>
      </c>
      <c r="F4" s="6" t="s">
        <v>3345</v>
      </c>
    </row>
    <row r="5" spans="1:6" ht="188.25">
      <c r="A5" s="17">
        <f>ROW()</f>
        <v>5</v>
      </c>
      <c r="B5" s="18" t="s">
        <v>2740</v>
      </c>
      <c r="C5" s="1"/>
      <c r="D5" s="18" t="str">
        <f t="shared" si="0"/>
        <v>Gedecktes Risiko: Definition</v>
      </c>
      <c r="E5" s="32" t="s">
        <v>2891</v>
      </c>
      <c r="F5" s="6" t="s">
        <v>3346</v>
      </c>
    </row>
    <row r="6" spans="1:6" ht="150">
      <c r="A6" s="17">
        <f>ROW()</f>
        <v>6</v>
      </c>
      <c r="B6" s="18" t="s">
        <v>2740</v>
      </c>
      <c r="C6" s="18" t="s">
        <v>2653</v>
      </c>
      <c r="D6" s="18" t="str">
        <f t="shared" si="0"/>
        <v>Versicherte Personen</v>
      </c>
      <c r="E6" s="33" t="s">
        <v>2653</v>
      </c>
      <c r="F6" s="6" t="s">
        <v>3347</v>
      </c>
    </row>
    <row r="7" spans="1:6" ht="273">
      <c r="A7" s="17">
        <f>ROW()</f>
        <v>7</v>
      </c>
      <c r="B7" s="18" t="s">
        <v>2740</v>
      </c>
      <c r="C7" s="18" t="str">
        <f>+E6</f>
        <v>Versicherte Personen</v>
      </c>
      <c r="D7" s="18" t="str">
        <f t="shared" si="0"/>
        <v>Ausnahmen von der Versicherungspflicht</v>
      </c>
      <c r="E7" s="33" t="s">
        <v>2685</v>
      </c>
      <c r="F7" s="6" t="s">
        <v>3348</v>
      </c>
    </row>
    <row r="8" spans="1:6" ht="194.25">
      <c r="A8" s="17">
        <f>ROW()</f>
        <v>8</v>
      </c>
      <c r="B8" s="18" t="s">
        <v>2740</v>
      </c>
      <c r="C8" s="19" t="s">
        <v>149</v>
      </c>
      <c r="D8" s="18" t="str">
        <f t="shared" si="0"/>
        <v>1. Anwartschaftszeit</v>
      </c>
      <c r="E8" s="33" t="s">
        <v>2744</v>
      </c>
      <c r="F8" s="6" t="s">
        <v>3349</v>
      </c>
    </row>
    <row r="9" spans="1:6" ht="409.5">
      <c r="A9" s="17">
        <f>ROW()</f>
        <v>9</v>
      </c>
      <c r="B9" s="18" t="s">
        <v>2740</v>
      </c>
      <c r="C9" s="19" t="s">
        <v>149</v>
      </c>
      <c r="D9" s="18" t="str">
        <f t="shared" si="0"/>
        <v xml:space="preserve">2. Begutachtungskriterien und Kategorien der Arbeitsunfähigkeit/Arbeitsfähigkeit  </v>
      </c>
      <c r="E9" s="33" t="s">
        <v>2745</v>
      </c>
      <c r="F9" s="6" t="s">
        <v>3350</v>
      </c>
    </row>
    <row r="10" spans="1:6" ht="270">
      <c r="A10" s="17">
        <f>ROW()</f>
        <v>10</v>
      </c>
      <c r="B10" s="18" t="s">
        <v>2740</v>
      </c>
      <c r="C10" s="19" t="s">
        <v>149</v>
      </c>
      <c r="D10" s="18" t="str">
        <f t="shared" si="0"/>
        <v>3. Zeitraum der Leistungszahlung</v>
      </c>
      <c r="E10" s="33" t="s">
        <v>2747</v>
      </c>
      <c r="F10" s="6" t="s">
        <v>3351</v>
      </c>
    </row>
    <row r="11" spans="1:6" ht="150">
      <c r="A11" s="17">
        <f>ROW()</f>
        <v>11</v>
      </c>
      <c r="B11" s="18" t="s">
        <v>2740</v>
      </c>
      <c r="C11" s="19" t="s">
        <v>2749</v>
      </c>
      <c r="D11" s="18" t="str">
        <f t="shared" si="0"/>
        <v>1. Gutachter</v>
      </c>
      <c r="E11" s="33" t="s">
        <v>2750</v>
      </c>
      <c r="F11" s="6" t="s">
        <v>3352</v>
      </c>
    </row>
    <row r="12" spans="1:6" ht="255">
      <c r="A12" s="17">
        <f>ROW()</f>
        <v>12</v>
      </c>
      <c r="B12" s="18" t="s">
        <v>2740</v>
      </c>
      <c r="C12" s="19" t="s">
        <v>2749</v>
      </c>
      <c r="D12" s="18" t="str">
        <f t="shared" si="0"/>
        <v xml:space="preserve">2. Überprüfung  </v>
      </c>
      <c r="E12" s="33" t="s">
        <v>2751</v>
      </c>
      <c r="F12" s="6" t="s">
        <v>3353</v>
      </c>
    </row>
    <row r="13" spans="1:6" ht="409.5">
      <c r="A13" s="17">
        <f>ROW()</f>
        <v>13</v>
      </c>
      <c r="B13" s="18" t="s">
        <v>2740</v>
      </c>
      <c r="C13" s="18" t="s">
        <v>2695</v>
      </c>
      <c r="D13" s="18" t="str">
        <f t="shared" si="0"/>
        <v>1. Berechnungsmethode bzw. Rentenformel</v>
      </c>
      <c r="E13" s="33" t="s">
        <v>2753</v>
      </c>
      <c r="F13" s="6" t="s">
        <v>3354</v>
      </c>
    </row>
    <row r="14" spans="1:6" ht="343.5">
      <c r="A14" s="17">
        <f>ROW()</f>
        <v>14</v>
      </c>
      <c r="B14" s="18" t="s">
        <v>2740</v>
      </c>
      <c r="C14" s="18" t="s">
        <v>2695</v>
      </c>
      <c r="D14" s="18" t="str">
        <f t="shared" si="0"/>
        <v>2. Referenzeinkommen bzw. Berechnungsgrundlage</v>
      </c>
      <c r="E14" s="33" t="s">
        <v>2754</v>
      </c>
      <c r="F14" s="6" t="s">
        <v>3355</v>
      </c>
    </row>
    <row r="15" spans="1:6" ht="226.5">
      <c r="A15" s="17">
        <f>ROW()</f>
        <v>15</v>
      </c>
      <c r="B15" s="18" t="s">
        <v>2740</v>
      </c>
      <c r="C15" s="18" t="s">
        <v>2695</v>
      </c>
      <c r="D15" s="18" t="str">
        <f t="shared" si="0"/>
        <v>3. Mindest- und Höchstleistungen</v>
      </c>
      <c r="E15" s="33" t="s">
        <v>2756</v>
      </c>
      <c r="F15" s="6" t="s">
        <v>3356</v>
      </c>
    </row>
    <row r="16" spans="1:6" ht="405">
      <c r="A16" s="17">
        <f>ROW()</f>
        <v>16</v>
      </c>
      <c r="B16" s="18" t="s">
        <v>2740</v>
      </c>
      <c r="C16" s="18" t="s">
        <v>2695</v>
      </c>
      <c r="D16" s="18" t="str">
        <f t="shared" si="0"/>
        <v>4. Anrechenbare oder als Beitragszeiten gewertete Zeiträume</v>
      </c>
      <c r="E16" s="33" t="s">
        <v>2757</v>
      </c>
      <c r="F16" s="6" t="s">
        <v>3357</v>
      </c>
    </row>
    <row r="17" spans="1:6" ht="250.5">
      <c r="A17" s="17">
        <f>ROW()</f>
        <v>17</v>
      </c>
      <c r="B17" s="18" t="s">
        <v>2740</v>
      </c>
      <c r="C17" s="18" t="s">
        <v>2695</v>
      </c>
      <c r="D17" s="18" t="str">
        <f t="shared" si="0"/>
        <v xml:space="preserve">5. Zulagen für Unterhaltsberechtigte  </v>
      </c>
      <c r="E17" s="33" t="s">
        <v>2759</v>
      </c>
      <c r="F17" s="6" t="s">
        <v>3358</v>
      </c>
    </row>
    <row r="18" spans="1:6" ht="210">
      <c r="A18" s="17">
        <f>ROW()</f>
        <v>18</v>
      </c>
      <c r="B18" s="18" t="s">
        <v>2740</v>
      </c>
      <c r="C18" s="18" t="str">
        <f>+E18</f>
        <v>Sonstige Leistungen</v>
      </c>
      <c r="D18" s="18" t="str">
        <f>+E18</f>
        <v>Sonstige Leistungen</v>
      </c>
      <c r="E18" s="32" t="s">
        <v>2678</v>
      </c>
      <c r="F18" s="6" t="s">
        <v>3359</v>
      </c>
    </row>
    <row r="19" spans="1:6" ht="300.75">
      <c r="A19" s="17">
        <f>ROW()</f>
        <v>19</v>
      </c>
      <c r="B19" s="18" t="s">
        <v>2740</v>
      </c>
      <c r="C19" s="18" t="s">
        <v>2761</v>
      </c>
      <c r="D19" s="18" t="str">
        <f t="shared" si="0"/>
        <v>Umschulung, berufsbezogene Rehabilitation</v>
      </c>
      <c r="E19" s="33" t="s">
        <v>2762</v>
      </c>
      <c r="F19" s="6" t="s">
        <v>3360</v>
      </c>
    </row>
    <row r="20" spans="1:6" ht="409.5">
      <c r="A20" s="17">
        <f>ROW()</f>
        <v>20</v>
      </c>
      <c r="B20" s="18" t="s">
        <v>2740</v>
      </c>
      <c r="C20" s="18" t="s">
        <v>2761</v>
      </c>
      <c r="D20" s="18" t="str">
        <f t="shared" si="0"/>
        <v xml:space="preserve">Bevorzugte und reservierte Beschäftigung von Menschen mit Behinderungen  </v>
      </c>
      <c r="E20" s="33" t="s">
        <v>2763</v>
      </c>
      <c r="F20" s="6" t="s">
        <v>3361</v>
      </c>
    </row>
    <row r="21" spans="1:6" ht="171.75">
      <c r="A21" s="17">
        <f>ROW()</f>
        <v>21</v>
      </c>
      <c r="B21" s="18" t="s">
        <v>2740</v>
      </c>
      <c r="C21" s="18" t="s">
        <v>2765</v>
      </c>
      <c r="D21" s="18" t="str">
        <f t="shared" si="0"/>
        <v>Indexbindung/Anpassung</v>
      </c>
      <c r="E21" s="32" t="s">
        <v>2766</v>
      </c>
      <c r="F21" s="6" t="s">
        <v>3362</v>
      </c>
    </row>
    <row r="22" spans="1:6" ht="242.25">
      <c r="A22" s="17">
        <f>ROW()</f>
        <v>22</v>
      </c>
      <c r="B22" s="18" t="s">
        <v>2740</v>
      </c>
      <c r="C22" s="18" t="s">
        <v>2765</v>
      </c>
      <c r="D22" s="18" t="str">
        <f>+E22</f>
        <v>Kumulation mit Erwerbseinkommen</v>
      </c>
      <c r="E22" s="32" t="s">
        <v>2723</v>
      </c>
      <c r="F22" s="6" t="s">
        <v>3363</v>
      </c>
    </row>
    <row r="23" spans="1:6" ht="275.25">
      <c r="A23" s="17">
        <f>ROW()</f>
        <v>23</v>
      </c>
      <c r="B23" s="18" t="s">
        <v>2740</v>
      </c>
      <c r="C23" s="18" t="s">
        <v>2765</v>
      </c>
      <c r="D23" s="18" t="str">
        <f t="shared" si="0"/>
        <v>Kumulation mit anderen Sozialleistungen</v>
      </c>
      <c r="E23" s="32" t="s">
        <v>2696</v>
      </c>
      <c r="F23" s="6" t="s">
        <v>3364</v>
      </c>
    </row>
    <row r="24" spans="1:6" ht="232.5">
      <c r="A24" s="17">
        <f>ROW()</f>
        <v>24</v>
      </c>
      <c r="B24" s="18" t="s">
        <v>2740</v>
      </c>
      <c r="C24" s="18" t="s">
        <v>2701</v>
      </c>
      <c r="D24" s="18" t="str">
        <f t="shared" si="0"/>
        <v>1. Besteuerung von Geldleistungen</v>
      </c>
      <c r="E24" s="33" t="s">
        <v>2770</v>
      </c>
      <c r="F24" s="6" t="s">
        <v>3365</v>
      </c>
    </row>
    <row r="25" spans="1:6" ht="387">
      <c r="A25" s="17">
        <f>ROW()</f>
        <v>25</v>
      </c>
      <c r="B25" s="18" t="s">
        <v>2740</v>
      </c>
      <c r="C25" s="18" t="s">
        <v>2701</v>
      </c>
      <c r="D25" s="18" t="str">
        <f t="shared" si="0"/>
        <v>2. Einkommensgrenze für Besteuerung von Geldleistungen</v>
      </c>
      <c r="E25" s="33" t="s">
        <v>2772</v>
      </c>
      <c r="F25" s="6" t="s">
        <v>3366</v>
      </c>
    </row>
    <row r="26" spans="1:6" ht="288.75">
      <c r="A26" s="17">
        <f>ROW()</f>
        <v>26</v>
      </c>
      <c r="B26" s="18" t="s">
        <v>2740</v>
      </c>
      <c r="C26" s="18" t="s">
        <v>2701</v>
      </c>
      <c r="D26" s="18" t="str">
        <f t="shared" si="0"/>
        <v>3. Auf Leistungen anfallende Sozialabgaben</v>
      </c>
      <c r="E26" s="33" t="s">
        <v>2773</v>
      </c>
      <c r="F26" s="6" t="s">
        <v>3367</v>
      </c>
    </row>
    <row r="27" spans="1:6" ht="138">
      <c r="A27" s="17">
        <f>ROW()</f>
        <v>27</v>
      </c>
      <c r="B27" s="18" t="s">
        <v>2740</v>
      </c>
      <c r="C27" s="18" t="s">
        <v>2775</v>
      </c>
      <c r="D27" s="18" t="str">
        <f t="shared" si="0"/>
        <v>Anwendungsbereich</v>
      </c>
      <c r="E27" s="33" t="s">
        <v>2708</v>
      </c>
      <c r="F27" s="6" t="s">
        <v>3368</v>
      </c>
    </row>
    <row r="28" spans="1:6" ht="110.25">
      <c r="A28" s="17">
        <f>ROW()</f>
        <v>28</v>
      </c>
      <c r="B28" s="18" t="s">
        <v>2740</v>
      </c>
      <c r="C28" s="18" t="s">
        <v>2775</v>
      </c>
      <c r="D28" s="18" t="str">
        <f t="shared" si="0"/>
        <v>Grundprinzipien</v>
      </c>
      <c r="E28" s="33" t="s">
        <v>2709</v>
      </c>
      <c r="F28" s="6" t="s">
        <v>3369</v>
      </c>
    </row>
    <row r="29" spans="1:6" ht="224.25">
      <c r="A29" s="17">
        <f>ROW()</f>
        <v>29</v>
      </c>
      <c r="B29" s="18" t="s">
        <v>2740</v>
      </c>
      <c r="C29" s="18" t="s">
        <v>2775</v>
      </c>
      <c r="D29" s="18" t="str">
        <f t="shared" si="0"/>
        <v>Voraussetzungen für die Deckung</v>
      </c>
      <c r="E29" s="33" t="s">
        <v>2710</v>
      </c>
      <c r="F29" s="6" t="s">
        <v>3370</v>
      </c>
    </row>
    <row r="30" spans="1:6" ht="409.5">
      <c r="A30" s="17">
        <f>ROW()</f>
        <v>30</v>
      </c>
      <c r="B30" s="18" t="s">
        <v>2740</v>
      </c>
      <c r="C30" s="18" t="s">
        <v>2775</v>
      </c>
      <c r="D30" s="19" t="str">
        <f t="shared" si="0"/>
        <v>Kombination von selbstständiger und unselbstständiger Tätigkeit</v>
      </c>
      <c r="E30" s="33" t="s">
        <v>2698</v>
      </c>
      <c r="F30" s="6" t="s">
        <v>920</v>
      </c>
    </row>
    <row r="31" spans="1:6" ht="376.5">
      <c r="A31" s="17">
        <f>ROW()</f>
        <v>31</v>
      </c>
      <c r="B31" s="18" t="s">
        <v>2740</v>
      </c>
      <c r="C31" s="18" t="s">
        <v>2695</v>
      </c>
      <c r="D31" s="19" t="str">
        <f t="shared" si="0"/>
        <v xml:space="preserve">Voraussetzungen für den Zugang zu Diensten/Leistungen </v>
      </c>
      <c r="E31" s="33" t="s">
        <v>2699</v>
      </c>
      <c r="F31" s="6" t="s">
        <v>942</v>
      </c>
    </row>
    <row r="32" spans="1:6" ht="253.5">
      <c r="A32" s="17">
        <f>ROW()</f>
        <v>32</v>
      </c>
      <c r="B32" s="18" t="s">
        <v>2740</v>
      </c>
      <c r="C32" s="18" t="s">
        <v>2695</v>
      </c>
      <c r="D32" s="18" t="str">
        <f t="shared" si="0"/>
        <v>Beträge, Dauer und Kostenbeteiligung</v>
      </c>
      <c r="E32" s="33" t="s">
        <v>2700</v>
      </c>
      <c r="F32" s="6" t="s">
        <v>942</v>
      </c>
    </row>
    <row r="33" spans="1:6" ht="216">
      <c r="A33" s="17">
        <f>ROW()</f>
        <v>33</v>
      </c>
      <c r="B33" s="18" t="s">
        <v>2740</v>
      </c>
      <c r="C33" s="18" t="s">
        <v>2695</v>
      </c>
      <c r="D33" s="18" t="str">
        <f t="shared" si="0"/>
        <v>Besteuerung von Geldleistungen</v>
      </c>
      <c r="E33" s="33" t="s">
        <v>2681</v>
      </c>
      <c r="F33" s="6" t="s">
        <v>942</v>
      </c>
    </row>
    <row r="34" spans="1:6" ht="276.75">
      <c r="A34" s="17">
        <f>ROW()</f>
        <v>34</v>
      </c>
      <c r="B34" s="18" t="s">
        <v>2740</v>
      </c>
      <c r="C34" s="18" t="s">
        <v>2695</v>
      </c>
      <c r="D34" s="18" t="str">
        <f t="shared" si="0"/>
        <v xml:space="preserve"> Auf Leistungen anfallende Sozialabgaben</v>
      </c>
      <c r="E34" s="33" t="s">
        <v>2779</v>
      </c>
      <c r="F34" s="6" t="s">
        <v>942</v>
      </c>
    </row>
    <row r="35" spans="1:6" ht="177">
      <c r="A35" s="17">
        <f>ROW()</f>
        <v>35</v>
      </c>
      <c r="B35" s="18" t="s">
        <v>2780</v>
      </c>
      <c r="C35" s="18" t="str">
        <f>+D35</f>
        <v>Geltende Rechtsgrundlage</v>
      </c>
      <c r="D35" s="18" t="str">
        <f>+E35</f>
        <v>Geltende Rechtsgrundlage</v>
      </c>
      <c r="E35" s="32" t="s">
        <v>2724</v>
      </c>
      <c r="F35" s="6" t="s">
        <v>36</v>
      </c>
    </row>
    <row r="36" spans="1:6" ht="180">
      <c r="A36" s="17">
        <f>ROW()</f>
        <v>36</v>
      </c>
      <c r="B36" s="18" t="s">
        <v>2780</v>
      </c>
      <c r="C36" s="18" t="str">
        <f>+D36</f>
        <v>Grundprinzipien</v>
      </c>
      <c r="D36" s="18" t="str">
        <f>+E36</f>
        <v>Grundprinzipien</v>
      </c>
      <c r="E36" s="32" t="s">
        <v>2709</v>
      </c>
      <c r="F36" s="6" t="s">
        <v>67</v>
      </c>
    </row>
    <row r="37" spans="1:6" ht="159.75">
      <c r="A37" s="17">
        <f>ROW()</f>
        <v>37</v>
      </c>
      <c r="B37" s="18" t="s">
        <v>2780</v>
      </c>
      <c r="C37" s="18" t="s">
        <v>2708</v>
      </c>
      <c r="D37" s="18" t="str">
        <f>+E37</f>
        <v>1. Versicherte Personen</v>
      </c>
      <c r="E37" s="33" t="s">
        <v>2781</v>
      </c>
      <c r="F37" s="6" t="s">
        <v>99</v>
      </c>
    </row>
    <row r="38" spans="1:6" ht="371.25">
      <c r="A38" s="17">
        <f>ROW()</f>
        <v>38</v>
      </c>
      <c r="B38" s="18" t="s">
        <v>2780</v>
      </c>
      <c r="C38" s="18" t="s">
        <v>2708</v>
      </c>
      <c r="D38" s="18" t="str">
        <f t="shared" ref="D38:D58" si="1">+E38</f>
        <v>2. Ausnahmen von der Deckung  der Pflichtversicherung</v>
      </c>
      <c r="E38" s="33" t="s">
        <v>2782</v>
      </c>
      <c r="F38" s="6" t="s">
        <v>128</v>
      </c>
    </row>
    <row r="39" spans="1:6" ht="225">
      <c r="A39" s="17">
        <f>ROW()</f>
        <v>39</v>
      </c>
      <c r="B39" s="18" t="s">
        <v>2780</v>
      </c>
      <c r="C39" s="18" t="s">
        <v>149</v>
      </c>
      <c r="D39" s="18" t="str">
        <f t="shared" si="1"/>
        <v>1. Rentenalter</v>
      </c>
      <c r="E39" s="33" t="s">
        <v>2784</v>
      </c>
      <c r="F39" s="6" t="s">
        <v>155</v>
      </c>
    </row>
    <row r="40" spans="1:6" ht="409.5">
      <c r="A40" s="17">
        <f>ROW()</f>
        <v>40</v>
      </c>
      <c r="B40" s="18" t="s">
        <v>2780</v>
      </c>
      <c r="C40" s="18" t="s">
        <v>149</v>
      </c>
      <c r="D40" s="18" t="str">
        <f t="shared" si="1"/>
        <v>2. Anwartschaftszeit und sonstige Anspruchsvoraussetzungen für den Bezug einer Altersrente</v>
      </c>
      <c r="E40" s="33" t="s">
        <v>2785</v>
      </c>
      <c r="F40" s="6" t="s">
        <v>186</v>
      </c>
    </row>
    <row r="41" spans="1:6" ht="194.25">
      <c r="A41" s="17">
        <f>ROW()</f>
        <v>41</v>
      </c>
      <c r="B41" s="18" t="s">
        <v>2780</v>
      </c>
      <c r="C41" s="18" t="s">
        <v>149</v>
      </c>
      <c r="D41" s="18" t="str">
        <f t="shared" si="1"/>
        <v>3. Vorruhestand</v>
      </c>
      <c r="E41" s="33" t="s">
        <v>2786</v>
      </c>
      <c r="F41" s="6" t="s">
        <v>217</v>
      </c>
    </row>
    <row r="42" spans="1:6" ht="264">
      <c r="A42" s="17">
        <f>ROW()</f>
        <v>42</v>
      </c>
      <c r="B42" s="18" t="s">
        <v>2780</v>
      </c>
      <c r="C42" s="18" t="s">
        <v>149</v>
      </c>
      <c r="D42" s="18" t="str">
        <f t="shared" si="1"/>
        <v>4. Beschwerliche und gefährliche Arbeit</v>
      </c>
      <c r="E42" s="33" t="s">
        <v>2787</v>
      </c>
      <c r="F42" s="6" t="s">
        <v>248</v>
      </c>
    </row>
    <row r="43" spans="1:6" ht="194.25">
      <c r="A43" s="17">
        <f>ROW()</f>
        <v>43</v>
      </c>
      <c r="B43" s="18" t="s">
        <v>2780</v>
      </c>
      <c r="C43" s="18" t="s">
        <v>149</v>
      </c>
      <c r="D43" s="18" t="str">
        <f t="shared" si="1"/>
        <v>5. Rentenaufschub</v>
      </c>
      <c r="E43" s="33" t="s">
        <v>2788</v>
      </c>
      <c r="F43" s="6" t="s">
        <v>273</v>
      </c>
    </row>
    <row r="44" spans="1:6" ht="174">
      <c r="A44" s="17">
        <f>ROW()</f>
        <v>44</v>
      </c>
      <c r="B44" s="18" t="s">
        <v>2780</v>
      </c>
      <c r="C44" s="18" t="s">
        <v>2695</v>
      </c>
      <c r="D44" s="18" t="str">
        <f t="shared" si="1"/>
        <v>1. Bestimmende Faktoren</v>
      </c>
      <c r="E44" s="33" t="s">
        <v>2789</v>
      </c>
      <c r="F44" s="6" t="s">
        <v>302</v>
      </c>
    </row>
    <row r="45" spans="1:6" ht="349.5">
      <c r="A45" s="17">
        <f>ROW()</f>
        <v>45</v>
      </c>
      <c r="B45" s="18" t="s">
        <v>2780</v>
      </c>
      <c r="C45" s="18" t="s">
        <v>2695</v>
      </c>
      <c r="D45" s="18" t="str">
        <f t="shared" si="1"/>
        <v>2. Berechnungsmethode, Rentenformel bzw. Beträge</v>
      </c>
      <c r="E45" s="33" t="s">
        <v>2790</v>
      </c>
      <c r="F45" s="6" t="s">
        <v>333</v>
      </c>
    </row>
    <row r="46" spans="1:6" ht="343.5">
      <c r="A46" s="17">
        <f>ROW()</f>
        <v>46</v>
      </c>
      <c r="B46" s="18" t="s">
        <v>2780</v>
      </c>
      <c r="C46" s="18" t="s">
        <v>2695</v>
      </c>
      <c r="D46" s="18" t="str">
        <f t="shared" si="1"/>
        <v>3. Referenzeinkommen bzw. Berechnungsgrundlage</v>
      </c>
      <c r="E46" s="33" t="s">
        <v>2791</v>
      </c>
      <c r="F46" s="6" t="s">
        <v>364</v>
      </c>
    </row>
    <row r="47" spans="1:6" ht="405">
      <c r="A47" s="17">
        <f>ROW()</f>
        <v>47</v>
      </c>
      <c r="B47" s="18" t="s">
        <v>2780</v>
      </c>
      <c r="C47" s="18" t="s">
        <v>2695</v>
      </c>
      <c r="D47" s="18" t="str">
        <f t="shared" si="1"/>
        <v>4. Anrechenbare oder als Beitragszeiten gewertete Zeiträume</v>
      </c>
      <c r="E47" s="33" t="s">
        <v>2757</v>
      </c>
      <c r="F47" s="6" t="s">
        <v>395</v>
      </c>
    </row>
    <row r="48" spans="1:6" ht="243.75">
      <c r="A48" s="17">
        <f>ROW()</f>
        <v>48</v>
      </c>
      <c r="B48" s="18" t="s">
        <v>2780</v>
      </c>
      <c r="C48" s="18" t="s">
        <v>2695</v>
      </c>
      <c r="D48" s="18" t="str">
        <f t="shared" si="1"/>
        <v>5. Rückkauf von Versicherungszeiten</v>
      </c>
      <c r="E48" s="33" t="s">
        <v>2792</v>
      </c>
      <c r="F48" s="6" t="s">
        <v>425</v>
      </c>
    </row>
    <row r="49" spans="1:6" ht="246">
      <c r="A49" s="17">
        <f>ROW()</f>
        <v>49</v>
      </c>
      <c r="B49" s="18" t="s">
        <v>2780</v>
      </c>
      <c r="C49" s="18" t="s">
        <v>2695</v>
      </c>
      <c r="D49" s="18" t="str">
        <f t="shared" si="1"/>
        <v>6.  Zulagen für Unterhaltsberechtigte</v>
      </c>
      <c r="E49" s="33" t="s">
        <v>2892</v>
      </c>
      <c r="F49" s="6" t="s">
        <v>451</v>
      </c>
    </row>
    <row r="50" spans="1:6" ht="145.5">
      <c r="A50" s="17">
        <f>ROW()</f>
        <v>50</v>
      </c>
      <c r="B50" s="18" t="s">
        <v>2780</v>
      </c>
      <c r="C50" s="18" t="s">
        <v>2695</v>
      </c>
      <c r="D50" s="18" t="str">
        <f t="shared" si="1"/>
        <v>7. Besondere Zulagen</v>
      </c>
      <c r="E50" s="33" t="s">
        <v>2793</v>
      </c>
      <c r="F50" s="6" t="s">
        <v>476</v>
      </c>
    </row>
    <row r="51" spans="1:6" ht="360.75">
      <c r="A51" s="17">
        <f>ROW()</f>
        <v>51</v>
      </c>
      <c r="B51" s="18" t="s">
        <v>2780</v>
      </c>
      <c r="C51" s="18" t="s">
        <v>2695</v>
      </c>
      <c r="D51" s="18" t="str">
        <f t="shared" si="1"/>
        <v>8. Mindestrente und bedürftigkeitsabhängige Leistung</v>
      </c>
      <c r="E51" s="33" t="s">
        <v>2794</v>
      </c>
      <c r="F51" s="6" t="s">
        <v>504</v>
      </c>
    </row>
    <row r="52" spans="1:6" ht="101.25">
      <c r="A52" s="17">
        <f>ROW()</f>
        <v>52</v>
      </c>
      <c r="B52" s="18" t="s">
        <v>2780</v>
      </c>
      <c r="C52" s="18" t="s">
        <v>2695</v>
      </c>
      <c r="D52" s="18" t="str">
        <f t="shared" si="1"/>
        <v>9. Höchstrente</v>
      </c>
      <c r="E52" s="33" t="s">
        <v>2795</v>
      </c>
      <c r="F52" s="6" t="s">
        <v>534</v>
      </c>
    </row>
    <row r="53" spans="1:6" ht="119.25">
      <c r="A53" s="17">
        <f>ROW()</f>
        <v>53</v>
      </c>
      <c r="B53" s="18" t="s">
        <v>2780</v>
      </c>
      <c r="C53" s="18" t="s">
        <v>2695</v>
      </c>
      <c r="D53" s="18" t="str">
        <f t="shared" si="1"/>
        <v>10. Vorruhestand</v>
      </c>
      <c r="E53" s="33" t="s">
        <v>2796</v>
      </c>
      <c r="F53" s="6" t="s">
        <v>561</v>
      </c>
    </row>
    <row r="54" spans="1:6" ht="272.25">
      <c r="A54" s="17">
        <f>ROW()</f>
        <v>54</v>
      </c>
      <c r="B54" s="18" t="s">
        <v>2780</v>
      </c>
      <c r="C54" s="18" t="s">
        <v>2695</v>
      </c>
      <c r="D54" s="18" t="str">
        <f t="shared" si="1"/>
        <v>11. Beschwerliche und gefährliche Arbeit</v>
      </c>
      <c r="E54" s="33" t="s">
        <v>2797</v>
      </c>
      <c r="F54" s="6" t="s">
        <v>589</v>
      </c>
    </row>
    <row r="55" spans="1:6" ht="90">
      <c r="A55" s="17">
        <f>ROW()</f>
        <v>55</v>
      </c>
      <c r="B55" s="18" t="s">
        <v>2780</v>
      </c>
      <c r="C55" s="18" t="s">
        <v>2695</v>
      </c>
      <c r="D55" s="18" t="str">
        <f t="shared" si="1"/>
        <v>12. Teilrente</v>
      </c>
      <c r="E55" s="33" t="s">
        <v>2798</v>
      </c>
      <c r="F55" s="6" t="s">
        <v>615</v>
      </c>
    </row>
    <row r="56" spans="1:6" ht="171.75">
      <c r="A56" s="17">
        <f>ROW()</f>
        <v>56</v>
      </c>
      <c r="B56" s="18" t="s">
        <v>2780</v>
      </c>
      <c r="C56" s="18" t="s">
        <v>2695</v>
      </c>
      <c r="D56" s="18" t="str">
        <f t="shared" si="1"/>
        <v>13. Aufgeschobene Rente</v>
      </c>
      <c r="E56" s="33" t="s">
        <v>2893</v>
      </c>
      <c r="F56" s="6" t="s">
        <v>642</v>
      </c>
    </row>
    <row r="57" spans="1:6" ht="179.25">
      <c r="A57" s="17">
        <f>ROW()</f>
        <v>57</v>
      </c>
      <c r="B57" s="18" t="s">
        <v>2780</v>
      </c>
      <c r="C57" s="18" t="s">
        <v>2799</v>
      </c>
      <c r="D57" s="18" t="s">
        <v>2799</v>
      </c>
      <c r="E57" s="32" t="s">
        <v>2799</v>
      </c>
      <c r="F57" s="6" t="s">
        <v>673</v>
      </c>
    </row>
    <row r="58" spans="1:6" ht="246">
      <c r="A58" s="17">
        <f>ROW()</f>
        <v>58</v>
      </c>
      <c r="B58" s="18" t="s">
        <v>2780</v>
      </c>
      <c r="C58" s="18" t="s">
        <v>2799</v>
      </c>
      <c r="D58" s="18" t="str">
        <f t="shared" si="1"/>
        <v xml:space="preserve">Kumulation mit Erwerbseinkommen </v>
      </c>
      <c r="E58" s="32" t="s">
        <v>2697</v>
      </c>
      <c r="F58" s="6" t="s">
        <v>704</v>
      </c>
    </row>
    <row r="59" spans="1:6" ht="286.5">
      <c r="A59" s="17">
        <f>ROW()</f>
        <v>59</v>
      </c>
      <c r="B59" s="18" t="s">
        <v>2780</v>
      </c>
      <c r="C59" s="18" t="s">
        <v>2799</v>
      </c>
      <c r="D59" s="18" t="s">
        <v>2800</v>
      </c>
      <c r="E59" s="32" t="s">
        <v>2696</v>
      </c>
      <c r="F59" s="6" t="s">
        <v>735</v>
      </c>
    </row>
    <row r="60" spans="1:6" ht="225.75">
      <c r="A60" s="17">
        <f>ROW()</f>
        <v>60</v>
      </c>
      <c r="B60" s="18" t="s">
        <v>2780</v>
      </c>
      <c r="C60" s="18" t="s">
        <v>761</v>
      </c>
      <c r="D60" s="18" t="str">
        <f t="shared" ref="D60:D70" si="2">+E60</f>
        <v>1. Besteuerung von Renten</v>
      </c>
      <c r="E60" s="33" t="s">
        <v>2801</v>
      </c>
      <c r="F60" s="6" t="s">
        <v>767</v>
      </c>
    </row>
    <row r="61" spans="1:6" ht="335.25">
      <c r="A61" s="17">
        <f>ROW()</f>
        <v>61</v>
      </c>
      <c r="B61" s="18" t="s">
        <v>2780</v>
      </c>
      <c r="C61" s="18" t="s">
        <v>761</v>
      </c>
      <c r="D61" s="18" t="str">
        <f t="shared" si="2"/>
        <v>2. Einkommensgrenze für Besteuerung von Renten</v>
      </c>
      <c r="E61" s="33" t="s">
        <v>2802</v>
      </c>
      <c r="F61" s="6" t="s">
        <v>793</v>
      </c>
    </row>
    <row r="62" spans="1:6" ht="264">
      <c r="A62" s="17">
        <f>ROW()</f>
        <v>62</v>
      </c>
      <c r="B62" s="18" t="s">
        <v>2780</v>
      </c>
      <c r="C62" s="18" t="s">
        <v>761</v>
      </c>
      <c r="D62" s="18" t="str">
        <f t="shared" si="2"/>
        <v>3. Auf Renten anfallende Sozialabgaben</v>
      </c>
      <c r="E62" s="33" t="s">
        <v>2803</v>
      </c>
      <c r="F62" s="6" t="s">
        <v>821</v>
      </c>
    </row>
    <row r="63" spans="1:6" ht="138">
      <c r="A63" s="17">
        <f>ROW()</f>
        <v>63</v>
      </c>
      <c r="B63" s="18" t="s">
        <v>2804</v>
      </c>
      <c r="C63" s="18" t="str">
        <f>+E63</f>
        <v>Anwendungsbereich</v>
      </c>
      <c r="D63" s="18" t="str">
        <f t="shared" si="2"/>
        <v>Anwendungsbereich</v>
      </c>
      <c r="E63" s="33" t="s">
        <v>2708</v>
      </c>
      <c r="F63" s="6" t="s">
        <v>842</v>
      </c>
    </row>
    <row r="64" spans="1:6" ht="132.75">
      <c r="A64" s="17">
        <f>ROW()</f>
        <v>64</v>
      </c>
      <c r="B64" s="18" t="s">
        <v>2804</v>
      </c>
      <c r="C64" s="18" t="s">
        <v>2775</v>
      </c>
      <c r="D64" s="18" t="str">
        <f t="shared" si="2"/>
        <v>Grundprinzipien</v>
      </c>
      <c r="E64" s="33" t="s">
        <v>2709</v>
      </c>
      <c r="F64" s="6" t="s">
        <v>868</v>
      </c>
    </row>
    <row r="65" spans="1:6" ht="224.25">
      <c r="A65" s="17">
        <f>ROW()</f>
        <v>65</v>
      </c>
      <c r="B65" s="18" t="s">
        <v>2804</v>
      </c>
      <c r="C65" s="18" t="s">
        <v>2775</v>
      </c>
      <c r="D65" s="18" t="str">
        <f t="shared" si="2"/>
        <v>Voraussetzungen für die Deckung</v>
      </c>
      <c r="E65" s="33" t="s">
        <v>2710</v>
      </c>
      <c r="F65" s="6" t="s">
        <v>897</v>
      </c>
    </row>
    <row r="66" spans="1:6" ht="409.5">
      <c r="A66" s="17">
        <f>ROW()</f>
        <v>66</v>
      </c>
      <c r="B66" s="18" t="s">
        <v>2804</v>
      </c>
      <c r="C66" s="18" t="s">
        <v>2775</v>
      </c>
      <c r="D66" s="18" t="str">
        <f t="shared" si="2"/>
        <v>Kombination von selbstständiger und unselbstständiger Tätigkeit</v>
      </c>
      <c r="E66" s="33" t="s">
        <v>2698</v>
      </c>
      <c r="F66" s="6" t="s">
        <v>920</v>
      </c>
    </row>
    <row r="67" spans="1:6" ht="376.5">
      <c r="A67" s="17">
        <f>ROW()</f>
        <v>67</v>
      </c>
      <c r="B67" s="18" t="s">
        <v>2804</v>
      </c>
      <c r="C67" s="18" t="s">
        <v>2695</v>
      </c>
      <c r="D67" s="19" t="str">
        <f t="shared" si="2"/>
        <v xml:space="preserve">Voraussetzungen für den Zugang zu Diensten/Leistungen </v>
      </c>
      <c r="E67" s="33" t="s">
        <v>2699</v>
      </c>
      <c r="F67" s="6" t="s">
        <v>942</v>
      </c>
    </row>
    <row r="68" spans="1:6" ht="253.5">
      <c r="A68" s="17">
        <f>ROW()</f>
        <v>68</v>
      </c>
      <c r="B68" s="18" t="s">
        <v>2804</v>
      </c>
      <c r="C68" s="18" t="s">
        <v>2695</v>
      </c>
      <c r="D68" s="19" t="str">
        <f t="shared" si="2"/>
        <v>Beträge, Dauer und Kostenbeteiligung</v>
      </c>
      <c r="E68" s="33" t="s">
        <v>2700</v>
      </c>
      <c r="F68" s="6" t="s">
        <v>942</v>
      </c>
    </row>
    <row r="69" spans="1:6" ht="216">
      <c r="A69" s="17">
        <f>ROW()</f>
        <v>69</v>
      </c>
      <c r="B69" s="18" t="s">
        <v>2804</v>
      </c>
      <c r="C69" s="18" t="s">
        <v>2695</v>
      </c>
      <c r="D69" s="19" t="str">
        <f t="shared" si="2"/>
        <v>Besteuerung von Geldleistungen</v>
      </c>
      <c r="E69" s="33" t="s">
        <v>2681</v>
      </c>
      <c r="F69" s="6" t="s">
        <v>942</v>
      </c>
    </row>
    <row r="70" spans="1:6" ht="272.25">
      <c r="A70" s="17">
        <f>ROW()</f>
        <v>70</v>
      </c>
      <c r="B70" s="18" t="s">
        <v>2804</v>
      </c>
      <c r="C70" s="18" t="s">
        <v>2695</v>
      </c>
      <c r="D70" s="19" t="str">
        <f t="shared" si="2"/>
        <v>Auf Leistungen anfallende Sozialabgaben</v>
      </c>
      <c r="E70" s="33" t="s">
        <v>2683</v>
      </c>
      <c r="F70" s="6" t="s">
        <v>942</v>
      </c>
    </row>
    <row r="71" spans="1:6" ht="177">
      <c r="A71" s="17">
        <f>ROW()</f>
        <v>71</v>
      </c>
      <c r="B71" s="18" t="s">
        <v>2702</v>
      </c>
      <c r="C71" s="18" t="str">
        <f t="shared" ref="C71:D75" si="3">+D71</f>
        <v>Geltende Rechtsgrundlage</v>
      </c>
      <c r="D71" s="19" t="str">
        <f t="shared" si="3"/>
        <v>Geltende Rechtsgrundlage</v>
      </c>
      <c r="E71" s="32" t="s">
        <v>2724</v>
      </c>
      <c r="F71" s="6" t="s">
        <v>995</v>
      </c>
    </row>
    <row r="72" spans="1:6" ht="150">
      <c r="A72" s="17">
        <f>ROW()</f>
        <v>72</v>
      </c>
      <c r="B72" s="18" t="s">
        <v>2702</v>
      </c>
      <c r="C72" s="18" t="str">
        <f t="shared" si="3"/>
        <v>Grundprinzipien</v>
      </c>
      <c r="D72" s="19" t="str">
        <f t="shared" si="3"/>
        <v>Grundprinzipien</v>
      </c>
      <c r="E72" s="32" t="s">
        <v>2709</v>
      </c>
      <c r="F72" s="6" t="s">
        <v>1021</v>
      </c>
    </row>
    <row r="73" spans="1:6" ht="315">
      <c r="A73" s="17">
        <f>ROW()</f>
        <v>73</v>
      </c>
      <c r="B73" s="18" t="s">
        <v>2702</v>
      </c>
      <c r="C73" s="19" t="str">
        <f t="shared" si="3"/>
        <v>Anwendungsbereich (in Bezug auf Verstorbene)</v>
      </c>
      <c r="D73" s="19" t="str">
        <f t="shared" si="3"/>
        <v>Anwendungsbereich (in Bezug auf Verstorbene)</v>
      </c>
      <c r="E73" s="32" t="s">
        <v>2725</v>
      </c>
      <c r="F73" s="6" t="s">
        <v>1051</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1078</v>
      </c>
    </row>
    <row r="75" spans="1:6" ht="150">
      <c r="A75" s="17">
        <f>ROW()</f>
        <v>75</v>
      </c>
      <c r="B75" s="18" t="s">
        <v>2702</v>
      </c>
      <c r="C75" s="19" t="str">
        <f t="shared" si="3"/>
        <v>Berechtigte Personen</v>
      </c>
      <c r="D75" s="19" t="str">
        <f t="shared" si="3"/>
        <v>Berechtigte Personen</v>
      </c>
      <c r="E75" s="32" t="s">
        <v>2730</v>
      </c>
      <c r="F75" s="6" t="s">
        <v>1096</v>
      </c>
    </row>
    <row r="76" spans="1:6" ht="102">
      <c r="A76" s="17">
        <f>ROW()</f>
        <v>76</v>
      </c>
      <c r="B76" s="18" t="s">
        <v>2702</v>
      </c>
      <c r="C76" s="1"/>
      <c r="D76" s="1"/>
      <c r="E76" s="32" t="s">
        <v>2783</v>
      </c>
      <c r="F76" s="6"/>
    </row>
    <row r="77" spans="1:6" ht="189.75">
      <c r="A77" s="17">
        <f>ROW()</f>
        <v>77</v>
      </c>
      <c r="B77" s="18" t="s">
        <v>2702</v>
      </c>
      <c r="C77" s="18" t="s">
        <v>2805</v>
      </c>
      <c r="D77" s="18" t="str">
        <f t="shared" ref="D77:D90" si="4">+E77</f>
        <v>1. Verstorbener Versicherter</v>
      </c>
      <c r="E77" s="33" t="s">
        <v>2806</v>
      </c>
      <c r="F77" s="6" t="s">
        <v>1127</v>
      </c>
    </row>
    <row r="78" spans="1:6" ht="270">
      <c r="A78" s="17">
        <f>ROW()</f>
        <v>78</v>
      </c>
      <c r="B78" s="18" t="s">
        <v>2702</v>
      </c>
      <c r="C78" s="18" t="s">
        <v>2805</v>
      </c>
      <c r="D78" s="18" t="str">
        <f t="shared" si="4"/>
        <v>2. Hinterbliebener Ehegatte</v>
      </c>
      <c r="E78" s="33" t="s">
        <v>2807</v>
      </c>
      <c r="F78" s="6" t="s">
        <v>1158</v>
      </c>
    </row>
    <row r="79" spans="1:6" ht="181.5">
      <c r="A79" s="17">
        <f>ROW()</f>
        <v>79</v>
      </c>
      <c r="B79" s="18" t="s">
        <v>2702</v>
      </c>
      <c r="C79" s="18" t="s">
        <v>2805</v>
      </c>
      <c r="D79" s="18" t="str">
        <f t="shared" si="4"/>
        <v>3. Geschiedener Ehegatte</v>
      </c>
      <c r="E79" s="33" t="s">
        <v>2808</v>
      </c>
      <c r="F79" s="6" t="s">
        <v>1188</v>
      </c>
    </row>
    <row r="80" spans="1:6" ht="330">
      <c r="A80" s="17">
        <f>ROW()</f>
        <v>80</v>
      </c>
      <c r="B80" s="18" t="s">
        <v>2702</v>
      </c>
      <c r="C80" s="18" t="s">
        <v>2805</v>
      </c>
      <c r="D80" s="18" t="str">
        <f t="shared" si="4"/>
        <v>4. Hinterbliebene Lebenspartner</v>
      </c>
      <c r="E80" s="33" t="s">
        <v>2809</v>
      </c>
      <c r="F80" s="6" t="s">
        <v>1214</v>
      </c>
    </row>
    <row r="81" spans="1:6" ht="181.5">
      <c r="A81" s="17">
        <f>ROW()</f>
        <v>81</v>
      </c>
      <c r="B81" s="18" t="s">
        <v>2702</v>
      </c>
      <c r="C81" s="18" t="s">
        <v>2805</v>
      </c>
      <c r="D81" s="18" t="str">
        <f t="shared" si="4"/>
        <v>5. Kinder</v>
      </c>
      <c r="E81" s="33" t="s">
        <v>2810</v>
      </c>
      <c r="F81" s="6" t="s">
        <v>1239</v>
      </c>
    </row>
    <row r="82" spans="1:6" ht="181.5">
      <c r="A82" s="17">
        <f>ROW()</f>
        <v>82</v>
      </c>
      <c r="B82" s="18" t="s">
        <v>2702</v>
      </c>
      <c r="C82" s="18" t="s">
        <v>2805</v>
      </c>
      <c r="D82" s="18" t="str">
        <f t="shared" si="4"/>
        <v>6. Andere Personen</v>
      </c>
      <c r="E82" s="33" t="s">
        <v>2811</v>
      </c>
      <c r="F82" s="6" t="s">
        <v>373</v>
      </c>
    </row>
    <row r="83" spans="1:6" ht="409.5">
      <c r="A83" s="17">
        <f>ROW()</f>
        <v>83</v>
      </c>
      <c r="B83" s="18" t="s">
        <v>2702</v>
      </c>
      <c r="C83" s="18" t="s">
        <v>2695</v>
      </c>
      <c r="D83" s="19" t="str">
        <f t="shared" si="4"/>
        <v>1. Hinterbliebener Ehegatte, geschiedener Ehegatte, hinterbliebene Lebenspartner</v>
      </c>
      <c r="E83" s="33" t="s">
        <v>2812</v>
      </c>
      <c r="F83" s="13" t="s">
        <v>3753</v>
      </c>
    </row>
    <row r="84" spans="1:6" ht="280.5">
      <c r="A84" s="17">
        <f>ROW()</f>
        <v>84</v>
      </c>
      <c r="B84" s="18" t="s">
        <v>2702</v>
      </c>
      <c r="C84" s="18" t="s">
        <v>2695</v>
      </c>
      <c r="D84" s="19" t="str">
        <f t="shared" si="4"/>
        <v>2. Hinterbliebener Ehegatte: Wiederheirat</v>
      </c>
      <c r="E84" s="33" t="s">
        <v>2813</v>
      </c>
      <c r="F84" s="6" t="s">
        <v>1318</v>
      </c>
    </row>
    <row r="85" spans="1:6" ht="255">
      <c r="A85" s="17">
        <f>ROW()</f>
        <v>85</v>
      </c>
      <c r="B85" s="18" t="s">
        <v>2702</v>
      </c>
      <c r="C85" s="18" t="s">
        <v>2695</v>
      </c>
      <c r="D85" s="19" t="str">
        <f t="shared" si="4"/>
        <v>3. Kinder</v>
      </c>
      <c r="E85" s="33" t="s">
        <v>2814</v>
      </c>
      <c r="F85" s="6" t="s">
        <v>1347</v>
      </c>
    </row>
    <row r="86" spans="1:6" ht="147">
      <c r="A86" s="17">
        <f>ROW()</f>
        <v>86</v>
      </c>
      <c r="B86" s="18" t="s">
        <v>2702</v>
      </c>
      <c r="C86" s="18" t="s">
        <v>2695</v>
      </c>
      <c r="D86" s="19" t="str">
        <f t="shared" si="4"/>
        <v>4. Andere Berechtigte</v>
      </c>
      <c r="E86" s="33" t="s">
        <v>2815</v>
      </c>
      <c r="F86" s="6" t="s">
        <v>373</v>
      </c>
    </row>
    <row r="87" spans="1:6" ht="381">
      <c r="A87" s="17">
        <f>ROW()</f>
        <v>87</v>
      </c>
      <c r="B87" s="18" t="s">
        <v>2702</v>
      </c>
      <c r="C87" s="18" t="s">
        <v>2695</v>
      </c>
      <c r="D87" s="19" t="str">
        <f t="shared" si="4"/>
        <v xml:space="preserve"> 5. Höchster zahlbarer Gesamtbetrag für alle Berechtigten</v>
      </c>
      <c r="E87" s="33" t="s">
        <v>2816</v>
      </c>
      <c r="F87" s="6" t="s">
        <v>1392</v>
      </c>
    </row>
    <row r="88" spans="1:6" ht="151.5">
      <c r="A88" s="17">
        <f>ROW()</f>
        <v>88</v>
      </c>
      <c r="B88" s="18" t="s">
        <v>2702</v>
      </c>
      <c r="C88" s="18" t="s">
        <v>2695</v>
      </c>
      <c r="D88" s="19" t="str">
        <f t="shared" si="4"/>
        <v>6. Sonstige Leistungen</v>
      </c>
      <c r="E88" s="33" t="s">
        <v>2817</v>
      </c>
      <c r="F88" s="6" t="s">
        <v>1418</v>
      </c>
    </row>
    <row r="89" spans="1:6" ht="126.75">
      <c r="A89" s="17">
        <f>ROW()</f>
        <v>89</v>
      </c>
      <c r="B89" s="18" t="s">
        <v>2702</v>
      </c>
      <c r="C89" s="18" t="s">
        <v>2695</v>
      </c>
      <c r="D89" s="19" t="str">
        <f>+E89</f>
        <v>7. Mindestleistung</v>
      </c>
      <c r="E89" s="33" t="s">
        <v>2818</v>
      </c>
      <c r="F89" s="6" t="s">
        <v>502</v>
      </c>
    </row>
    <row r="90" spans="1:6" ht="122.25">
      <c r="A90" s="17">
        <f>ROW()</f>
        <v>90</v>
      </c>
      <c r="B90" s="18" t="s">
        <v>2702</v>
      </c>
      <c r="C90" s="18" t="s">
        <v>2695</v>
      </c>
      <c r="D90" s="19" t="str">
        <f t="shared" si="4"/>
        <v xml:space="preserve"> 8. Höchstleistung</v>
      </c>
      <c r="E90" s="33" t="s">
        <v>2819</v>
      </c>
      <c r="F90" s="6" t="s">
        <v>532</v>
      </c>
    </row>
    <row r="91" spans="1:6" ht="179.25">
      <c r="A91" s="17">
        <f>ROW()</f>
        <v>91</v>
      </c>
      <c r="B91" s="18" t="s">
        <v>2702</v>
      </c>
      <c r="C91" s="18" t="s">
        <v>2799</v>
      </c>
      <c r="D91" s="19" t="str">
        <f>+C91</f>
        <v>Indexbindung / Anpassung</v>
      </c>
      <c r="E91" s="32" t="s">
        <v>2799</v>
      </c>
      <c r="F91" s="6" t="s">
        <v>1496</v>
      </c>
    </row>
    <row r="92" spans="1:6" ht="242.25">
      <c r="A92" s="17">
        <f>ROW()</f>
        <v>92</v>
      </c>
      <c r="B92" s="18" t="s">
        <v>2702</v>
      </c>
      <c r="C92" s="18" t="s">
        <v>2799</v>
      </c>
      <c r="D92" s="19" t="str">
        <f t="shared" ref="D92:D105" si="5">+E92</f>
        <v>Kumulation mit Erwerbseinkommen</v>
      </c>
      <c r="E92" s="32" t="s">
        <v>2723</v>
      </c>
      <c r="F92" s="6" t="s">
        <v>1526</v>
      </c>
    </row>
    <row r="93" spans="1:6" ht="275.25">
      <c r="A93" s="17">
        <f>ROW()</f>
        <v>93</v>
      </c>
      <c r="B93" s="18" t="s">
        <v>2702</v>
      </c>
      <c r="C93" s="18" t="s">
        <v>2799</v>
      </c>
      <c r="D93" s="19" t="str">
        <f t="shared" si="5"/>
        <v>Kumulation mit anderen Sozialleistungen</v>
      </c>
      <c r="E93" s="32" t="s">
        <v>2696</v>
      </c>
      <c r="F93" s="6" t="s">
        <v>1557</v>
      </c>
    </row>
    <row r="94" spans="1:6" ht="232.5">
      <c r="A94" s="17">
        <f>ROW()</f>
        <v>94</v>
      </c>
      <c r="B94" s="18" t="s">
        <v>2702</v>
      </c>
      <c r="C94" s="19" t="s">
        <v>2701</v>
      </c>
      <c r="D94" s="19" t="str">
        <f t="shared" si="5"/>
        <v>1. Besteuerung von Geldleistungen</v>
      </c>
      <c r="E94" s="33" t="s">
        <v>2770</v>
      </c>
      <c r="F94" s="6" t="s">
        <v>1588</v>
      </c>
    </row>
    <row r="95" spans="1:6" ht="387">
      <c r="A95" s="17">
        <f>ROW()</f>
        <v>95</v>
      </c>
      <c r="B95" s="18" t="s">
        <v>2702</v>
      </c>
      <c r="C95" s="19" t="s">
        <v>2701</v>
      </c>
      <c r="D95" s="19" t="str">
        <f t="shared" si="5"/>
        <v>2. Einkommensgrenze für Besteuerung von Geldleistungen</v>
      </c>
      <c r="E95" s="33" t="s">
        <v>2772</v>
      </c>
      <c r="F95" s="6" t="s">
        <v>1606</v>
      </c>
    </row>
    <row r="96" spans="1:6" ht="288.75">
      <c r="A96" s="17">
        <f>ROW()</f>
        <v>96</v>
      </c>
      <c r="B96" s="18" t="s">
        <v>2702</v>
      </c>
      <c r="C96" s="19" t="s">
        <v>2701</v>
      </c>
      <c r="D96" s="19" t="str">
        <f t="shared" si="5"/>
        <v>3. Auf Leistungen anfallende Sozialabgaben</v>
      </c>
      <c r="E96" s="33" t="s">
        <v>2773</v>
      </c>
      <c r="F96" s="6" t="s">
        <v>1627</v>
      </c>
    </row>
    <row r="97" spans="1:6" ht="138">
      <c r="A97" s="17">
        <f>ROW()</f>
        <v>97</v>
      </c>
      <c r="B97" s="18" t="s">
        <v>2702</v>
      </c>
      <c r="C97" s="19" t="s">
        <v>2775</v>
      </c>
      <c r="D97" s="19" t="str">
        <f t="shared" si="5"/>
        <v>Anwendungsbereich</v>
      </c>
      <c r="E97" s="33" t="s">
        <v>2708</v>
      </c>
      <c r="F97" s="6" t="s">
        <v>1644</v>
      </c>
    </row>
    <row r="98" spans="1:6" ht="110.25">
      <c r="A98" s="17">
        <f>ROW()</f>
        <v>98</v>
      </c>
      <c r="B98" s="18" t="s">
        <v>2702</v>
      </c>
      <c r="C98" s="19" t="s">
        <v>2775</v>
      </c>
      <c r="D98" s="19" t="str">
        <f t="shared" si="5"/>
        <v>Grundprinzipien</v>
      </c>
      <c r="E98" s="33" t="s">
        <v>2709</v>
      </c>
      <c r="F98" s="6" t="s">
        <v>1660</v>
      </c>
    </row>
    <row r="99" spans="1:6" ht="224.25">
      <c r="A99" s="17">
        <f>ROW()</f>
        <v>99</v>
      </c>
      <c r="B99" s="18" t="s">
        <v>2702</v>
      </c>
      <c r="C99" s="19" t="s">
        <v>2775</v>
      </c>
      <c r="D99" s="19" t="str">
        <f t="shared" si="5"/>
        <v>Voraussetzungen für die Deckung</v>
      </c>
      <c r="E99" s="33" t="s">
        <v>2710</v>
      </c>
      <c r="F99" s="6" t="s">
        <v>1675</v>
      </c>
    </row>
    <row r="100" spans="1:6" ht="409.5">
      <c r="A100" s="17">
        <f>ROW()</f>
        <v>100</v>
      </c>
      <c r="B100" s="18" t="s">
        <v>2702</v>
      </c>
      <c r="C100" s="19" t="s">
        <v>2775</v>
      </c>
      <c r="D100" s="19" t="str">
        <f t="shared" si="5"/>
        <v>Kombination von selbstständiger und unselbstständiger Tätigkeit</v>
      </c>
      <c r="E100" s="33" t="s">
        <v>2698</v>
      </c>
      <c r="F100" s="6" t="s">
        <v>920</v>
      </c>
    </row>
    <row r="101" spans="1:6" ht="376.5">
      <c r="A101" s="17">
        <f>ROW()</f>
        <v>101</v>
      </c>
      <c r="B101" s="18" t="s">
        <v>2702</v>
      </c>
      <c r="C101" s="19" t="s">
        <v>2775</v>
      </c>
      <c r="D101" s="19" t="str">
        <f t="shared" si="5"/>
        <v xml:space="preserve">Voraussetzungen für den Zugang zu Diensten/Leistungen </v>
      </c>
      <c r="E101" s="33" t="s">
        <v>2699</v>
      </c>
      <c r="F101" s="6" t="s">
        <v>942</v>
      </c>
    </row>
    <row r="102" spans="1:6" ht="253.5">
      <c r="A102" s="17">
        <f>ROW()</f>
        <v>102</v>
      </c>
      <c r="B102" s="18" t="s">
        <v>2702</v>
      </c>
      <c r="C102" s="19" t="s">
        <v>2775</v>
      </c>
      <c r="D102" s="19" t="str">
        <f t="shared" si="5"/>
        <v>Beträge, Dauer und Kostenbeteiligung</v>
      </c>
      <c r="E102" s="33" t="s">
        <v>2700</v>
      </c>
      <c r="F102" s="6" t="s">
        <v>942</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942</v>
      </c>
    </row>
    <row r="105" spans="1:6" ht="272.25">
      <c r="A105" s="17">
        <f>ROW()</f>
        <v>105</v>
      </c>
      <c r="B105" s="18" t="s">
        <v>2702</v>
      </c>
      <c r="C105" s="19" t="s">
        <v>2775</v>
      </c>
      <c r="D105" s="19" t="str">
        <f t="shared" si="5"/>
        <v>Auf Leistungen anfallende Sozialabgaben</v>
      </c>
      <c r="E105" s="33" t="s">
        <v>2683</v>
      </c>
      <c r="F105" s="6" t="s">
        <v>942</v>
      </c>
    </row>
    <row r="106" spans="1:6"/>
    <row r="107" spans="1:6"/>
    <row r="108" spans="1:6"/>
    <row r="109" spans="1:6"/>
    <row r="110" spans="1:6"/>
    <row r="111" spans="1:6"/>
    <row r="112" spans="1:6"/>
    <row r="113"/>
  </sheetData>
  <sheetProtection algorithmName="SHA-512" hashValue="sOB8PAfKlxcEzvUGJkniam8DL1Yw1rnfC9GpVx4WC6YPz7dlOJDn1VxUeiXAQIWwXmwpz4g+NS5ro+wqStrPWg==" saltValue="0YR6WxkqEBHY+GJwz6/VUA==" spinCount="100000" sheet="1" objects="1" scenarios="1" formatColumns="0" autoFilter="0"/>
  <autoFilter ref="A2:F105" xr:uid="{46AD0CD6-7636-4BFE-9B82-4ED3ED03A251}"/>
  <pageMargins left="0.7" right="0.7" top="0.78740157499999996" bottom="0.78740157499999996"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2E879-D95D-404B-AD78-4AD087D72F5E}">
  <sheetPr codeName="Tabelle8"/>
  <dimension ref="A1:F113"/>
  <sheetViews>
    <sheetView workbookViewId="0">
      <pane xSplit="5" ySplit="2" topLeftCell="F79" activePane="bottomRight" state="frozen"/>
      <selection activeCell="F2" sqref="F2"/>
      <selection pane="topRight" activeCell="F2" sqref="F2"/>
      <selection pane="bottomLeft" activeCell="F2" sqref="F2"/>
      <selection pane="bottomRight" activeCell="F102" sqref="F102"/>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39" t="s">
        <v>2726</v>
      </c>
      <c r="C1" s="136" t="s">
        <v>2739</v>
      </c>
      <c r="D1" s="136" t="s">
        <v>2728</v>
      </c>
      <c r="E1" s="128" t="s">
        <v>3506</v>
      </c>
      <c r="F1" s="16" t="s">
        <v>6</v>
      </c>
    </row>
    <row r="2" spans="1:6" ht="39.75" customHeight="1">
      <c r="A2" s="138"/>
      <c r="B2" s="139"/>
      <c r="C2" s="136"/>
      <c r="D2" s="136"/>
      <c r="E2" s="134"/>
      <c r="F2" s="173" t="str" cm="1">
        <f t="array" ref="F2">_xlfn.TEXTJOIN("; ", TRUE, IF(Entscheidungen!A2:A100=F1, Entscheidungen!B2:B100, ""))</f>
        <v>OLG Zweibrücken, 22.05.2015 – 2 UF 19/15; OLG Zweibrücken, 22.05.2015 – 2 UF 19/15</v>
      </c>
    </row>
    <row r="3" spans="1:6" ht="177">
      <c r="A3" s="17">
        <f>ROW()</f>
        <v>3</v>
      </c>
      <c r="B3" s="18" t="s">
        <v>2740</v>
      </c>
      <c r="C3" s="18"/>
      <c r="D3" s="18" t="str">
        <f>+E3</f>
        <v>Geltende Rechtsgrundlage</v>
      </c>
      <c r="E3" s="31" t="s">
        <v>2724</v>
      </c>
      <c r="F3" s="6" t="s">
        <v>3321</v>
      </c>
    </row>
    <row r="4" spans="1:6" ht="110.25">
      <c r="A4" s="17">
        <f>ROW()</f>
        <v>4</v>
      </c>
      <c r="B4" s="18" t="s">
        <v>2740</v>
      </c>
      <c r="C4" s="1"/>
      <c r="D4" s="18" t="str">
        <f t="shared" ref="D4:D34" si="0">+E4</f>
        <v>Grundprinzipien</v>
      </c>
      <c r="E4" s="32" t="s">
        <v>2709</v>
      </c>
      <c r="F4" s="6" t="s">
        <v>3322</v>
      </c>
    </row>
    <row r="5" spans="1:6" ht="188.25">
      <c r="A5" s="17">
        <f>ROW()</f>
        <v>5</v>
      </c>
      <c r="B5" s="18" t="s">
        <v>2740</v>
      </c>
      <c r="C5" s="1"/>
      <c r="D5" s="18" t="str">
        <f t="shared" si="0"/>
        <v>Gedecktes Risiko: Definition</v>
      </c>
      <c r="E5" s="32" t="s">
        <v>2891</v>
      </c>
      <c r="F5" s="6" t="s">
        <v>3323</v>
      </c>
    </row>
    <row r="6" spans="1:6" ht="144">
      <c r="A6" s="17">
        <f>ROW()</f>
        <v>6</v>
      </c>
      <c r="B6" s="18" t="s">
        <v>2740</v>
      </c>
      <c r="C6" s="18" t="s">
        <v>2653</v>
      </c>
      <c r="D6" s="18" t="str">
        <f t="shared" si="0"/>
        <v>Versicherte Personen</v>
      </c>
      <c r="E6" s="33" t="s">
        <v>2653</v>
      </c>
      <c r="F6" s="6" t="s">
        <v>3324</v>
      </c>
    </row>
    <row r="7" spans="1:6" ht="273">
      <c r="A7" s="17">
        <f>ROW()</f>
        <v>7</v>
      </c>
      <c r="B7" s="18" t="s">
        <v>2740</v>
      </c>
      <c r="C7" s="18" t="str">
        <f>+E6</f>
        <v>Versicherte Personen</v>
      </c>
      <c r="D7" s="18" t="str">
        <f t="shared" si="0"/>
        <v>Ausnahmen von der Versicherungspflicht</v>
      </c>
      <c r="E7" s="33" t="s">
        <v>2685</v>
      </c>
      <c r="F7" s="6" t="s">
        <v>125</v>
      </c>
    </row>
    <row r="8" spans="1:6" ht="194.25">
      <c r="A8" s="17">
        <f>ROW()</f>
        <v>8</v>
      </c>
      <c r="B8" s="18" t="s">
        <v>2740</v>
      </c>
      <c r="C8" s="19" t="s">
        <v>149</v>
      </c>
      <c r="D8" s="18" t="str">
        <f t="shared" si="0"/>
        <v>1. Anwartschaftszeit</v>
      </c>
      <c r="E8" s="33" t="s">
        <v>2744</v>
      </c>
      <c r="F8" s="6" t="s">
        <v>3325</v>
      </c>
    </row>
    <row r="9" spans="1:6" ht="409.5">
      <c r="A9" s="17">
        <f>ROW()</f>
        <v>9</v>
      </c>
      <c r="B9" s="18" t="s">
        <v>2740</v>
      </c>
      <c r="C9" s="19" t="s">
        <v>149</v>
      </c>
      <c r="D9" s="18" t="str">
        <f t="shared" si="0"/>
        <v xml:space="preserve">2. Begutachtungskriterien und Kategorien der Arbeitsunfähigkeit/Arbeitsfähigkeit  </v>
      </c>
      <c r="E9" s="33" t="s">
        <v>2745</v>
      </c>
      <c r="F9" s="6" t="s">
        <v>4619</v>
      </c>
    </row>
    <row r="10" spans="1:6" ht="222">
      <c r="A10" s="17">
        <f>ROW()</f>
        <v>10</v>
      </c>
      <c r="B10" s="18" t="s">
        <v>2740</v>
      </c>
      <c r="C10" s="19" t="s">
        <v>149</v>
      </c>
      <c r="D10" s="18" t="str">
        <f t="shared" si="0"/>
        <v>3. Zeitraum der Leistungszahlung</v>
      </c>
      <c r="E10" s="33" t="s">
        <v>2747</v>
      </c>
      <c r="F10" s="6" t="s">
        <v>3326</v>
      </c>
    </row>
    <row r="11" spans="1:6" ht="96">
      <c r="A11" s="17">
        <f>ROW()</f>
        <v>11</v>
      </c>
      <c r="B11" s="18" t="s">
        <v>2740</v>
      </c>
      <c r="C11" s="19" t="s">
        <v>2749</v>
      </c>
      <c r="D11" s="18" t="str">
        <f t="shared" si="0"/>
        <v>1. Gutachter</v>
      </c>
      <c r="E11" s="33" t="s">
        <v>2750</v>
      </c>
      <c r="F11" s="6" t="s">
        <v>3327</v>
      </c>
    </row>
    <row r="12" spans="1:6" ht="111.75">
      <c r="A12" s="17">
        <f>ROW()</f>
        <v>12</v>
      </c>
      <c r="B12" s="18" t="s">
        <v>2740</v>
      </c>
      <c r="C12" s="19" t="s">
        <v>2749</v>
      </c>
      <c r="D12" s="18" t="str">
        <f t="shared" si="0"/>
        <v xml:space="preserve">2. Überprüfung  </v>
      </c>
      <c r="E12" s="33" t="s">
        <v>2751</v>
      </c>
      <c r="F12" s="6" t="s">
        <v>3328</v>
      </c>
    </row>
    <row r="13" spans="1:6" ht="291.75">
      <c r="A13" s="17">
        <f>ROW()</f>
        <v>13</v>
      </c>
      <c r="B13" s="18" t="s">
        <v>2740</v>
      </c>
      <c r="C13" s="18" t="s">
        <v>2695</v>
      </c>
      <c r="D13" s="18" t="str">
        <f t="shared" si="0"/>
        <v>1. Berechnungsmethode bzw. Rentenformel</v>
      </c>
      <c r="E13" s="33" t="s">
        <v>2753</v>
      </c>
      <c r="F13" s="6" t="s">
        <v>3329</v>
      </c>
    </row>
    <row r="14" spans="1:6" ht="343.5">
      <c r="A14" s="17">
        <f>ROW()</f>
        <v>14</v>
      </c>
      <c r="B14" s="18" t="s">
        <v>2740</v>
      </c>
      <c r="C14" s="18" t="s">
        <v>2695</v>
      </c>
      <c r="D14" s="18" t="str">
        <f t="shared" si="0"/>
        <v>2. Referenzeinkommen bzw. Berechnungsgrundlage</v>
      </c>
      <c r="E14" s="33" t="s">
        <v>2754</v>
      </c>
      <c r="F14" s="6" t="s">
        <v>3330</v>
      </c>
    </row>
    <row r="15" spans="1:6" ht="226.5">
      <c r="A15" s="17">
        <f>ROW()</f>
        <v>15</v>
      </c>
      <c r="B15" s="18" t="s">
        <v>2740</v>
      </c>
      <c r="C15" s="18" t="s">
        <v>2695</v>
      </c>
      <c r="D15" s="18" t="str">
        <f t="shared" si="0"/>
        <v>3. Mindest- und Höchstleistungen</v>
      </c>
      <c r="E15" s="33" t="s">
        <v>2756</v>
      </c>
      <c r="F15" s="6" t="s">
        <v>4620</v>
      </c>
    </row>
    <row r="16" spans="1:6" ht="405">
      <c r="A16" s="17">
        <f>ROW()</f>
        <v>16</v>
      </c>
      <c r="B16" s="18" t="s">
        <v>2740</v>
      </c>
      <c r="C16" s="18" t="s">
        <v>2695</v>
      </c>
      <c r="D16" s="18" t="str">
        <f t="shared" si="0"/>
        <v>4. Anrechenbare oder als Beitragszeiten gewertete Zeiträume</v>
      </c>
      <c r="E16" s="33" t="s">
        <v>2757</v>
      </c>
      <c r="F16" s="6" t="s">
        <v>3331</v>
      </c>
    </row>
    <row r="17" spans="1:6" ht="250.5">
      <c r="A17" s="17">
        <f>ROW()</f>
        <v>17</v>
      </c>
      <c r="B17" s="18" t="s">
        <v>2740</v>
      </c>
      <c r="C17" s="18" t="s">
        <v>2695</v>
      </c>
      <c r="D17" s="18" t="str">
        <f t="shared" si="0"/>
        <v xml:space="preserve">5. Zulagen für Unterhaltsberechtigte  </v>
      </c>
      <c r="E17" s="33" t="s">
        <v>2759</v>
      </c>
      <c r="F17" s="6" t="s">
        <v>2261</v>
      </c>
    </row>
    <row r="18" spans="1:6" ht="135">
      <c r="A18" s="17">
        <f>ROW()</f>
        <v>18</v>
      </c>
      <c r="B18" s="18" t="s">
        <v>2740</v>
      </c>
      <c r="C18" s="18" t="str">
        <f>+E18</f>
        <v>Sonstige Leistungen</v>
      </c>
      <c r="D18" s="18" t="str">
        <f>+E18</f>
        <v>Sonstige Leistungen</v>
      </c>
      <c r="E18" s="32" t="s">
        <v>2678</v>
      </c>
      <c r="F18" s="6" t="s">
        <v>3332</v>
      </c>
    </row>
    <row r="19" spans="1:6" ht="300.75">
      <c r="A19" s="17">
        <f>ROW()</f>
        <v>19</v>
      </c>
      <c r="B19" s="18" t="s">
        <v>2740</v>
      </c>
      <c r="C19" s="18" t="s">
        <v>2761</v>
      </c>
      <c r="D19" s="18" t="str">
        <f t="shared" si="0"/>
        <v>Umschulung, berufsbezogene Rehabilitation</v>
      </c>
      <c r="E19" s="33" t="s">
        <v>2762</v>
      </c>
      <c r="F19" s="6" t="s">
        <v>3333</v>
      </c>
    </row>
    <row r="20" spans="1:6" ht="409.5">
      <c r="A20" s="17">
        <f>ROW()</f>
        <v>20</v>
      </c>
      <c r="B20" s="18" t="s">
        <v>2740</v>
      </c>
      <c r="C20" s="18" t="s">
        <v>2761</v>
      </c>
      <c r="D20" s="18" t="str">
        <f t="shared" si="0"/>
        <v xml:space="preserve">Bevorzugte und reservierte Beschäftigung von Menschen mit Behinderungen  </v>
      </c>
      <c r="E20" s="33" t="s">
        <v>2763</v>
      </c>
      <c r="F20" s="6" t="s">
        <v>3334</v>
      </c>
    </row>
    <row r="21" spans="1:6" ht="171.75">
      <c r="A21" s="17">
        <f>ROW()</f>
        <v>21</v>
      </c>
      <c r="B21" s="18" t="s">
        <v>2740</v>
      </c>
      <c r="C21" s="18" t="s">
        <v>2765</v>
      </c>
      <c r="D21" s="18" t="str">
        <f t="shared" si="0"/>
        <v>Indexbindung/Anpassung</v>
      </c>
      <c r="E21" s="32" t="s">
        <v>2766</v>
      </c>
      <c r="F21" s="6" t="s">
        <v>3335</v>
      </c>
    </row>
    <row r="22" spans="1:6" ht="242.25">
      <c r="A22" s="17">
        <f>ROW()</f>
        <v>22</v>
      </c>
      <c r="B22" s="18" t="s">
        <v>2740</v>
      </c>
      <c r="C22" s="18" t="s">
        <v>2765</v>
      </c>
      <c r="D22" s="18" t="str">
        <f>+E22</f>
        <v>Kumulation mit Erwerbseinkommen</v>
      </c>
      <c r="E22" s="32" t="s">
        <v>2723</v>
      </c>
      <c r="F22" s="6" t="s">
        <v>3336</v>
      </c>
    </row>
    <row r="23" spans="1:6" ht="275.25">
      <c r="A23" s="17">
        <f>ROW()</f>
        <v>23</v>
      </c>
      <c r="B23" s="18" t="s">
        <v>2740</v>
      </c>
      <c r="C23" s="18" t="s">
        <v>2765</v>
      </c>
      <c r="D23" s="18" t="str">
        <f t="shared" si="0"/>
        <v>Kumulation mit anderen Sozialleistungen</v>
      </c>
      <c r="E23" s="32" t="s">
        <v>2696</v>
      </c>
      <c r="F23" s="6" t="s">
        <v>4621</v>
      </c>
    </row>
    <row r="24" spans="1:6" ht="232.5">
      <c r="A24" s="17">
        <f>ROW()</f>
        <v>24</v>
      </c>
      <c r="B24" s="18" t="s">
        <v>2740</v>
      </c>
      <c r="C24" s="18" t="s">
        <v>2701</v>
      </c>
      <c r="D24" s="18" t="str">
        <f t="shared" si="0"/>
        <v>1. Besteuerung von Geldleistungen</v>
      </c>
      <c r="E24" s="33" t="s">
        <v>2770</v>
      </c>
      <c r="F24" s="6" t="s">
        <v>3337</v>
      </c>
    </row>
    <row r="25" spans="1:6" ht="387">
      <c r="A25" s="17">
        <f>ROW()</f>
        <v>25</v>
      </c>
      <c r="B25" s="18" t="s">
        <v>2740</v>
      </c>
      <c r="C25" s="18" t="s">
        <v>2701</v>
      </c>
      <c r="D25" s="18" t="str">
        <f t="shared" si="0"/>
        <v>2. Einkommensgrenze für Besteuerung von Geldleistungen</v>
      </c>
      <c r="E25" s="33" t="s">
        <v>2772</v>
      </c>
      <c r="F25" s="6" t="s">
        <v>3338</v>
      </c>
    </row>
    <row r="26" spans="1:6" ht="288.75">
      <c r="A26" s="17">
        <f>ROW()</f>
        <v>26</v>
      </c>
      <c r="B26" s="18" t="s">
        <v>2740</v>
      </c>
      <c r="C26" s="18" t="s">
        <v>2701</v>
      </c>
      <c r="D26" s="18" t="str">
        <f t="shared" si="0"/>
        <v>3. Auf Leistungen anfallende Sozialabgaben</v>
      </c>
      <c r="E26" s="33" t="s">
        <v>2773</v>
      </c>
      <c r="F26" s="6" t="s">
        <v>3339</v>
      </c>
    </row>
    <row r="27" spans="1:6" ht="138">
      <c r="A27" s="17">
        <f>ROW()</f>
        <v>27</v>
      </c>
      <c r="B27" s="18" t="s">
        <v>2740</v>
      </c>
      <c r="C27" s="18" t="s">
        <v>2775</v>
      </c>
      <c r="D27" s="18" t="str">
        <f t="shared" si="0"/>
        <v>Anwendungsbereich</v>
      </c>
      <c r="E27" s="33" t="s">
        <v>2708</v>
      </c>
      <c r="F27" s="6" t="s">
        <v>3340</v>
      </c>
    </row>
    <row r="28" spans="1:6" ht="110.25">
      <c r="A28" s="17">
        <f>ROW()</f>
        <v>28</v>
      </c>
      <c r="B28" s="18" t="s">
        <v>2740</v>
      </c>
      <c r="C28" s="18" t="s">
        <v>2775</v>
      </c>
      <c r="D28" s="18" t="str">
        <f t="shared" si="0"/>
        <v>Grundprinzipien</v>
      </c>
      <c r="E28" s="33" t="s">
        <v>2709</v>
      </c>
      <c r="F28" s="6" t="s">
        <v>869</v>
      </c>
    </row>
    <row r="29" spans="1:6" ht="224.25">
      <c r="A29" s="17">
        <f>ROW()</f>
        <v>29</v>
      </c>
      <c r="B29" s="18" t="s">
        <v>2740</v>
      </c>
      <c r="C29" s="18" t="s">
        <v>2775</v>
      </c>
      <c r="D29" s="18" t="str">
        <f t="shared" si="0"/>
        <v>Voraussetzungen für die Deckung</v>
      </c>
      <c r="E29" s="33" t="s">
        <v>2710</v>
      </c>
      <c r="F29" s="6" t="s">
        <v>898</v>
      </c>
    </row>
    <row r="30" spans="1:6" ht="409.5">
      <c r="A30" s="17">
        <f>ROW()</f>
        <v>30</v>
      </c>
      <c r="B30" s="18" t="s">
        <v>2740</v>
      </c>
      <c r="C30" s="18" t="s">
        <v>2775</v>
      </c>
      <c r="D30" s="19" t="str">
        <f t="shared" si="0"/>
        <v>Kombination von selbstständiger und unselbstständiger Tätigkeit</v>
      </c>
      <c r="E30" s="33" t="s">
        <v>2698</v>
      </c>
      <c r="F30" s="6" t="s">
        <v>3341</v>
      </c>
    </row>
    <row r="31" spans="1:6" ht="376.5">
      <c r="A31" s="17">
        <f>ROW()</f>
        <v>31</v>
      </c>
      <c r="B31" s="18" t="s">
        <v>2740</v>
      </c>
      <c r="C31" s="18" t="s">
        <v>2695</v>
      </c>
      <c r="D31" s="19" t="str">
        <f t="shared" si="0"/>
        <v xml:space="preserve">Voraussetzungen für den Zugang zu Diensten/Leistungen </v>
      </c>
      <c r="E31" s="33" t="s">
        <v>2699</v>
      </c>
      <c r="F31" s="6" t="s">
        <v>3342</v>
      </c>
    </row>
    <row r="32" spans="1:6" ht="255">
      <c r="A32" s="17">
        <f>ROW()</f>
        <v>32</v>
      </c>
      <c r="B32" s="18" t="s">
        <v>2740</v>
      </c>
      <c r="C32" s="18" t="s">
        <v>2695</v>
      </c>
      <c r="D32" s="18" t="str">
        <f t="shared" si="0"/>
        <v>Beträge, Dauer und Kostenbeteiligung</v>
      </c>
      <c r="E32" s="33" t="s">
        <v>2700</v>
      </c>
      <c r="F32" s="6" t="s">
        <v>3343</v>
      </c>
    </row>
    <row r="33" spans="1:6" ht="216">
      <c r="A33" s="17">
        <f>ROW()</f>
        <v>33</v>
      </c>
      <c r="B33" s="18" t="s">
        <v>2740</v>
      </c>
      <c r="C33" s="18" t="s">
        <v>2695</v>
      </c>
      <c r="D33" s="18" t="str">
        <f t="shared" si="0"/>
        <v>Besteuerung von Geldleistungen</v>
      </c>
      <c r="E33" s="33" t="s">
        <v>2681</v>
      </c>
      <c r="F33" s="6" t="s">
        <v>940</v>
      </c>
    </row>
    <row r="34" spans="1:6" ht="276.75">
      <c r="A34" s="17">
        <f>ROW()</f>
        <v>34</v>
      </c>
      <c r="B34" s="18" t="s">
        <v>2740</v>
      </c>
      <c r="C34" s="18" t="s">
        <v>2695</v>
      </c>
      <c r="D34" s="18" t="str">
        <f t="shared" si="0"/>
        <v xml:space="preserve"> Auf Leistungen anfallende Sozialabgaben</v>
      </c>
      <c r="E34" s="33" t="s">
        <v>2779</v>
      </c>
      <c r="F34" s="6" t="s">
        <v>940</v>
      </c>
    </row>
    <row r="35" spans="1:6" ht="177">
      <c r="A35" s="17">
        <f>ROW()</f>
        <v>35</v>
      </c>
      <c r="B35" s="18" t="s">
        <v>2780</v>
      </c>
      <c r="C35" s="18" t="str">
        <f>+D35</f>
        <v>Geltende Rechtsgrundlage</v>
      </c>
      <c r="D35" s="18" t="str">
        <f>+E35</f>
        <v>Geltende Rechtsgrundlage</v>
      </c>
      <c r="E35" s="32" t="s">
        <v>2724</v>
      </c>
      <c r="F35" s="6" t="s">
        <v>4622</v>
      </c>
    </row>
    <row r="36" spans="1:6" ht="150">
      <c r="A36" s="17">
        <f>ROW()</f>
        <v>36</v>
      </c>
      <c r="B36" s="18" t="s">
        <v>2780</v>
      </c>
      <c r="C36" s="18" t="str">
        <f>+D36</f>
        <v>Grundprinzipien</v>
      </c>
      <c r="D36" s="18" t="str">
        <f>+E36</f>
        <v>Grundprinzipien</v>
      </c>
      <c r="E36" s="32" t="s">
        <v>2709</v>
      </c>
      <c r="F36" s="6" t="s">
        <v>4623</v>
      </c>
    </row>
    <row r="37" spans="1:6" ht="159.75">
      <c r="A37" s="17">
        <f>ROW()</f>
        <v>37</v>
      </c>
      <c r="B37" s="18" t="s">
        <v>2780</v>
      </c>
      <c r="C37" s="18" t="s">
        <v>2708</v>
      </c>
      <c r="D37" s="18" t="str">
        <f>+E37</f>
        <v>1. Versicherte Personen</v>
      </c>
      <c r="E37" s="33" t="s">
        <v>2781</v>
      </c>
      <c r="F37" s="6" t="s">
        <v>100</v>
      </c>
    </row>
    <row r="38" spans="1:6" ht="371.25">
      <c r="A38" s="17">
        <f>ROW()</f>
        <v>38</v>
      </c>
      <c r="B38" s="18" t="s">
        <v>2780</v>
      </c>
      <c r="C38" s="18" t="s">
        <v>2708</v>
      </c>
      <c r="D38" s="18" t="str">
        <f t="shared" ref="D38:D58" si="1">+E38</f>
        <v>2. Ausnahmen von der Deckung  der Pflichtversicherung</v>
      </c>
      <c r="E38" s="33" t="s">
        <v>2782</v>
      </c>
      <c r="F38" s="6" t="s">
        <v>129</v>
      </c>
    </row>
    <row r="39" spans="1:6" ht="194.25">
      <c r="A39" s="17">
        <f>ROW()</f>
        <v>39</v>
      </c>
      <c r="B39" s="18" t="s">
        <v>2780</v>
      </c>
      <c r="C39" s="18" t="s">
        <v>149</v>
      </c>
      <c r="D39" s="18" t="str">
        <f t="shared" si="1"/>
        <v>1. Rentenalter</v>
      </c>
      <c r="E39" s="33" t="s">
        <v>2784</v>
      </c>
      <c r="F39" s="6" t="s">
        <v>156</v>
      </c>
    </row>
    <row r="40" spans="1:6" ht="409.5">
      <c r="A40" s="17">
        <f>ROW()</f>
        <v>40</v>
      </c>
      <c r="B40" s="18" t="s">
        <v>2780</v>
      </c>
      <c r="C40" s="18" t="s">
        <v>149</v>
      </c>
      <c r="D40" s="18" t="str">
        <f t="shared" si="1"/>
        <v>2. Anwartschaftszeit und sonstige Anspruchsvoraussetzungen für den Bezug einer Altersrente</v>
      </c>
      <c r="E40" s="33" t="s">
        <v>2785</v>
      </c>
      <c r="F40" s="6" t="s">
        <v>4624</v>
      </c>
    </row>
    <row r="41" spans="1:6" ht="194.25">
      <c r="A41" s="17">
        <f>ROW()</f>
        <v>41</v>
      </c>
      <c r="B41" s="18" t="s">
        <v>2780</v>
      </c>
      <c r="C41" s="18" t="s">
        <v>149</v>
      </c>
      <c r="D41" s="18" t="str">
        <f t="shared" si="1"/>
        <v>3. Vorruhestand</v>
      </c>
      <c r="E41" s="33" t="s">
        <v>2786</v>
      </c>
      <c r="F41" s="6" t="s">
        <v>4625</v>
      </c>
    </row>
    <row r="42" spans="1:6" ht="264">
      <c r="A42" s="17">
        <f>ROW()</f>
        <v>42</v>
      </c>
      <c r="B42" s="18" t="s">
        <v>2780</v>
      </c>
      <c r="C42" s="18" t="s">
        <v>149</v>
      </c>
      <c r="D42" s="18" t="str">
        <f t="shared" si="1"/>
        <v>4. Beschwerliche und gefährliche Arbeit</v>
      </c>
      <c r="E42" s="33" t="s">
        <v>2787</v>
      </c>
      <c r="F42" s="6" t="s">
        <v>249</v>
      </c>
    </row>
    <row r="43" spans="1:6" ht="194.25">
      <c r="A43" s="17">
        <f>ROW()</f>
        <v>43</v>
      </c>
      <c r="B43" s="18" t="s">
        <v>2780</v>
      </c>
      <c r="C43" s="18" t="s">
        <v>149</v>
      </c>
      <c r="D43" s="18" t="str">
        <f t="shared" si="1"/>
        <v>5. Rentenaufschub</v>
      </c>
      <c r="E43" s="33" t="s">
        <v>2788</v>
      </c>
      <c r="F43" s="6" t="s">
        <v>277</v>
      </c>
    </row>
    <row r="44" spans="1:6" ht="174">
      <c r="A44" s="17">
        <f>ROW()</f>
        <v>44</v>
      </c>
      <c r="B44" s="18" t="s">
        <v>2780</v>
      </c>
      <c r="C44" s="18" t="s">
        <v>2695</v>
      </c>
      <c r="D44" s="18" t="str">
        <f t="shared" si="1"/>
        <v>1. Bestimmende Faktoren</v>
      </c>
      <c r="E44" s="33" t="s">
        <v>2789</v>
      </c>
      <c r="F44" s="6" t="s">
        <v>303</v>
      </c>
    </row>
    <row r="45" spans="1:6" ht="349.5">
      <c r="A45" s="17">
        <f>ROW()</f>
        <v>45</v>
      </c>
      <c r="B45" s="18" t="s">
        <v>2780</v>
      </c>
      <c r="C45" s="18" t="s">
        <v>2695</v>
      </c>
      <c r="D45" s="18" t="str">
        <f t="shared" si="1"/>
        <v>2. Berechnungsmethode, Rentenformel bzw. Beträge</v>
      </c>
      <c r="E45" s="33" t="s">
        <v>2790</v>
      </c>
      <c r="F45" s="6" t="s">
        <v>334</v>
      </c>
    </row>
    <row r="46" spans="1:6" ht="343.5">
      <c r="A46" s="17">
        <f>ROW()</f>
        <v>46</v>
      </c>
      <c r="B46" s="18" t="s">
        <v>2780</v>
      </c>
      <c r="C46" s="18" t="s">
        <v>2695</v>
      </c>
      <c r="D46" s="18" t="str">
        <f t="shared" si="1"/>
        <v>3. Referenzeinkommen bzw. Berechnungsgrundlage</v>
      </c>
      <c r="E46" s="33" t="s">
        <v>2791</v>
      </c>
      <c r="F46" s="6" t="s">
        <v>365</v>
      </c>
    </row>
    <row r="47" spans="1:6" ht="405">
      <c r="A47" s="17">
        <f>ROW()</f>
        <v>47</v>
      </c>
      <c r="B47" s="18" t="s">
        <v>2780</v>
      </c>
      <c r="C47" s="18" t="s">
        <v>2695</v>
      </c>
      <c r="D47" s="18" t="str">
        <f t="shared" si="1"/>
        <v>4. Anrechenbare oder als Beitragszeiten gewertete Zeiträume</v>
      </c>
      <c r="E47" s="33" t="s">
        <v>2757</v>
      </c>
      <c r="F47" s="6" t="s">
        <v>4626</v>
      </c>
    </row>
    <row r="48" spans="1:6" ht="330">
      <c r="A48" s="17">
        <f>ROW()</f>
        <v>48</v>
      </c>
      <c r="B48" s="18" t="s">
        <v>2780</v>
      </c>
      <c r="C48" s="18" t="s">
        <v>2695</v>
      </c>
      <c r="D48" s="18" t="str">
        <f t="shared" si="1"/>
        <v>5. Rückkauf von Versicherungszeiten</v>
      </c>
      <c r="E48" s="33" t="s">
        <v>2792</v>
      </c>
      <c r="F48" s="6" t="s">
        <v>4627</v>
      </c>
    </row>
    <row r="49" spans="1:6" ht="246">
      <c r="A49" s="17">
        <f>ROW()</f>
        <v>49</v>
      </c>
      <c r="B49" s="18" t="s">
        <v>2780</v>
      </c>
      <c r="C49" s="18" t="s">
        <v>2695</v>
      </c>
      <c r="D49" s="18" t="str">
        <f t="shared" si="1"/>
        <v>6.  Zulagen für Unterhaltsberechtigte</v>
      </c>
      <c r="E49" s="33" t="s">
        <v>2892</v>
      </c>
      <c r="F49" s="6" t="s">
        <v>4628</v>
      </c>
    </row>
    <row r="50" spans="1:6" ht="225">
      <c r="A50" s="17">
        <f>ROW()</f>
        <v>50</v>
      </c>
      <c r="B50" s="18" t="s">
        <v>2780</v>
      </c>
      <c r="C50" s="18" t="s">
        <v>2695</v>
      </c>
      <c r="D50" s="18" t="str">
        <f t="shared" si="1"/>
        <v>7. Besondere Zulagen</v>
      </c>
      <c r="E50" s="33" t="s">
        <v>2793</v>
      </c>
      <c r="F50" s="6" t="s">
        <v>477</v>
      </c>
    </row>
    <row r="51" spans="1:6" ht="360.75">
      <c r="A51" s="17">
        <f>ROW()</f>
        <v>51</v>
      </c>
      <c r="B51" s="18" t="s">
        <v>2780</v>
      </c>
      <c r="C51" s="18" t="s">
        <v>2695</v>
      </c>
      <c r="D51" s="18" t="str">
        <f t="shared" si="1"/>
        <v>8. Mindestrente und bedürftigkeitsabhängige Leistung</v>
      </c>
      <c r="E51" s="33" t="s">
        <v>2794</v>
      </c>
      <c r="F51" s="6" t="s">
        <v>505</v>
      </c>
    </row>
    <row r="52" spans="1:6" ht="101.25">
      <c r="A52" s="17">
        <f>ROW()</f>
        <v>52</v>
      </c>
      <c r="B52" s="18" t="s">
        <v>2780</v>
      </c>
      <c r="C52" s="18" t="s">
        <v>2695</v>
      </c>
      <c r="D52" s="18" t="str">
        <f t="shared" si="1"/>
        <v>9. Höchstrente</v>
      </c>
      <c r="E52" s="33" t="s">
        <v>2795</v>
      </c>
      <c r="F52" s="6" t="s">
        <v>535</v>
      </c>
    </row>
    <row r="53" spans="1:6" ht="119.25">
      <c r="A53" s="17">
        <f>ROW()</f>
        <v>53</v>
      </c>
      <c r="B53" s="18" t="s">
        <v>2780</v>
      </c>
      <c r="C53" s="18" t="s">
        <v>2695</v>
      </c>
      <c r="D53" s="18" t="str">
        <f t="shared" si="1"/>
        <v>10. Vorruhestand</v>
      </c>
      <c r="E53" s="33" t="s">
        <v>2796</v>
      </c>
      <c r="F53" s="6" t="s">
        <v>562</v>
      </c>
    </row>
    <row r="54" spans="1:6" ht="272.25">
      <c r="A54" s="17">
        <f>ROW()</f>
        <v>54</v>
      </c>
      <c r="B54" s="18" t="s">
        <v>2780</v>
      </c>
      <c r="C54" s="18" t="s">
        <v>2695</v>
      </c>
      <c r="D54" s="18" t="str">
        <f t="shared" si="1"/>
        <v>11. Beschwerliche und gefährliche Arbeit</v>
      </c>
      <c r="E54" s="33" t="s">
        <v>2797</v>
      </c>
      <c r="F54" s="6" t="s">
        <v>590</v>
      </c>
    </row>
    <row r="55" spans="1:6" ht="90">
      <c r="A55" s="17">
        <f>ROW()</f>
        <v>55</v>
      </c>
      <c r="B55" s="18" t="s">
        <v>2780</v>
      </c>
      <c r="C55" s="18" t="s">
        <v>2695</v>
      </c>
      <c r="D55" s="18" t="str">
        <f t="shared" si="1"/>
        <v>12. Teilrente</v>
      </c>
      <c r="E55" s="33" t="s">
        <v>2798</v>
      </c>
      <c r="F55" s="6" t="s">
        <v>616</v>
      </c>
    </row>
    <row r="56" spans="1:6" ht="171.75">
      <c r="A56" s="17">
        <f>ROW()</f>
        <v>56</v>
      </c>
      <c r="B56" s="18" t="s">
        <v>2780</v>
      </c>
      <c r="C56" s="18" t="s">
        <v>2695</v>
      </c>
      <c r="D56" s="18" t="str">
        <f t="shared" si="1"/>
        <v>13. Aufgeschobene Rente</v>
      </c>
      <c r="E56" s="33" t="s">
        <v>2893</v>
      </c>
      <c r="F56" s="6" t="s">
        <v>643</v>
      </c>
    </row>
    <row r="57" spans="1:6" ht="179.25">
      <c r="A57" s="17">
        <f>ROW()</f>
        <v>57</v>
      </c>
      <c r="B57" s="18" t="s">
        <v>2780</v>
      </c>
      <c r="C57" s="18" t="s">
        <v>2799</v>
      </c>
      <c r="D57" s="18" t="s">
        <v>2799</v>
      </c>
      <c r="E57" s="32" t="s">
        <v>2799</v>
      </c>
      <c r="F57" s="6" t="s">
        <v>674</v>
      </c>
    </row>
    <row r="58" spans="1:6" ht="246">
      <c r="A58" s="17">
        <f>ROW()</f>
        <v>58</v>
      </c>
      <c r="B58" s="18" t="s">
        <v>2780</v>
      </c>
      <c r="C58" s="18" t="s">
        <v>2799</v>
      </c>
      <c r="D58" s="18" t="str">
        <f t="shared" si="1"/>
        <v xml:space="preserve">Kumulation mit Erwerbseinkommen </v>
      </c>
      <c r="E58" s="32" t="s">
        <v>2697</v>
      </c>
      <c r="F58" s="6" t="s">
        <v>705</v>
      </c>
    </row>
    <row r="59" spans="1:6" ht="286.5">
      <c r="A59" s="17">
        <f>ROW()</f>
        <v>59</v>
      </c>
      <c r="B59" s="18" t="s">
        <v>2780</v>
      </c>
      <c r="C59" s="18" t="s">
        <v>2799</v>
      </c>
      <c r="D59" s="18" t="s">
        <v>2800</v>
      </c>
      <c r="E59" s="32" t="s">
        <v>2696</v>
      </c>
      <c r="F59" s="6" t="s">
        <v>4629</v>
      </c>
    </row>
    <row r="60" spans="1:6" ht="225.75">
      <c r="A60" s="17">
        <f>ROW()</f>
        <v>60</v>
      </c>
      <c r="B60" s="18" t="s">
        <v>2780</v>
      </c>
      <c r="C60" s="18" t="s">
        <v>761</v>
      </c>
      <c r="D60" s="18" t="str">
        <f t="shared" ref="D60:D70" si="2">+E60</f>
        <v>1. Besteuerung von Renten</v>
      </c>
      <c r="E60" s="33" t="s">
        <v>2801</v>
      </c>
      <c r="F60" s="6" t="s">
        <v>768</v>
      </c>
    </row>
    <row r="61" spans="1:6" ht="335.25">
      <c r="A61" s="17">
        <f>ROW()</f>
        <v>61</v>
      </c>
      <c r="B61" s="18" t="s">
        <v>2780</v>
      </c>
      <c r="C61" s="18" t="s">
        <v>761</v>
      </c>
      <c r="D61" s="18" t="str">
        <f t="shared" si="2"/>
        <v>2. Einkommensgrenze für Besteuerung von Renten</v>
      </c>
      <c r="E61" s="33" t="s">
        <v>2802</v>
      </c>
      <c r="F61" s="6" t="s">
        <v>794</v>
      </c>
    </row>
    <row r="62" spans="1:6" ht="264">
      <c r="A62" s="17">
        <f>ROW()</f>
        <v>62</v>
      </c>
      <c r="B62" s="18" t="s">
        <v>2780</v>
      </c>
      <c r="C62" s="18" t="s">
        <v>761</v>
      </c>
      <c r="D62" s="18" t="str">
        <f t="shared" si="2"/>
        <v>3. Auf Renten anfallende Sozialabgaben</v>
      </c>
      <c r="E62" s="33" t="s">
        <v>2803</v>
      </c>
      <c r="F62" s="6" t="s">
        <v>822</v>
      </c>
    </row>
    <row r="63" spans="1:6" ht="138">
      <c r="A63" s="17">
        <f>ROW()</f>
        <v>63</v>
      </c>
      <c r="B63" s="18" t="s">
        <v>2804</v>
      </c>
      <c r="C63" s="18" t="str">
        <f>+E63</f>
        <v>Anwendungsbereich</v>
      </c>
      <c r="D63" s="18" t="str">
        <f t="shared" si="2"/>
        <v>Anwendungsbereich</v>
      </c>
      <c r="E63" s="33" t="s">
        <v>2708</v>
      </c>
      <c r="F63" s="6" t="s">
        <v>843</v>
      </c>
    </row>
    <row r="64" spans="1:6" ht="132.75">
      <c r="A64" s="17">
        <f>ROW()</f>
        <v>64</v>
      </c>
      <c r="B64" s="18" t="s">
        <v>2804</v>
      </c>
      <c r="C64" s="18" t="s">
        <v>2775</v>
      </c>
      <c r="D64" s="18" t="str">
        <f t="shared" si="2"/>
        <v>Grundprinzipien</v>
      </c>
      <c r="E64" s="33" t="s">
        <v>2709</v>
      </c>
      <c r="F64" s="6" t="s">
        <v>869</v>
      </c>
    </row>
    <row r="65" spans="1:6" ht="224.25">
      <c r="A65" s="17">
        <f>ROW()</f>
        <v>65</v>
      </c>
      <c r="B65" s="18" t="s">
        <v>2804</v>
      </c>
      <c r="C65" s="18" t="s">
        <v>2775</v>
      </c>
      <c r="D65" s="18" t="str">
        <f t="shared" si="2"/>
        <v>Voraussetzungen für die Deckung</v>
      </c>
      <c r="E65" s="33" t="s">
        <v>2710</v>
      </c>
      <c r="F65" s="6" t="s">
        <v>898</v>
      </c>
    </row>
    <row r="66" spans="1:6" ht="409.5">
      <c r="A66" s="17">
        <f>ROW()</f>
        <v>66</v>
      </c>
      <c r="B66" s="18" t="s">
        <v>2804</v>
      </c>
      <c r="C66" s="18" t="s">
        <v>2775</v>
      </c>
      <c r="D66" s="18" t="str">
        <f t="shared" si="2"/>
        <v>Kombination von selbstständiger und unselbstständiger Tätigkeit</v>
      </c>
      <c r="E66" s="33" t="s">
        <v>2698</v>
      </c>
      <c r="F66" s="6" t="s">
        <v>923</v>
      </c>
    </row>
    <row r="67" spans="1:6" ht="376.5">
      <c r="A67" s="17">
        <f>ROW()</f>
        <v>67</v>
      </c>
      <c r="B67" s="18" t="s">
        <v>2804</v>
      </c>
      <c r="C67" s="18" t="s">
        <v>2695</v>
      </c>
      <c r="D67" s="19" t="str">
        <f t="shared" si="2"/>
        <v xml:space="preserve">Voraussetzungen für den Zugang zu Diensten/Leistungen </v>
      </c>
      <c r="E67" s="33" t="s">
        <v>2699</v>
      </c>
      <c r="F67" s="6" t="s">
        <v>943</v>
      </c>
    </row>
    <row r="68" spans="1:6" ht="270">
      <c r="A68" s="17">
        <f>ROW()</f>
        <v>68</v>
      </c>
      <c r="B68" s="18" t="s">
        <v>2804</v>
      </c>
      <c r="C68" s="18" t="s">
        <v>2695</v>
      </c>
      <c r="D68" s="19" t="str">
        <f t="shared" si="2"/>
        <v>Beträge, Dauer und Kostenbeteiligung</v>
      </c>
      <c r="E68" s="33" t="s">
        <v>2700</v>
      </c>
      <c r="F68" s="6" t="s">
        <v>954</v>
      </c>
    </row>
    <row r="69" spans="1:6" ht="216">
      <c r="A69" s="17">
        <f>ROW()</f>
        <v>69</v>
      </c>
      <c r="B69" s="18" t="s">
        <v>2804</v>
      </c>
      <c r="C69" s="18" t="s">
        <v>2695</v>
      </c>
      <c r="D69" s="19" t="str">
        <f t="shared" si="2"/>
        <v>Besteuerung von Geldleistungen</v>
      </c>
      <c r="E69" s="33" t="s">
        <v>2681</v>
      </c>
      <c r="F69" s="6" t="s">
        <v>940</v>
      </c>
    </row>
    <row r="70" spans="1:6" ht="272.25">
      <c r="A70" s="17">
        <f>ROW()</f>
        <v>70</v>
      </c>
      <c r="B70" s="18" t="s">
        <v>2804</v>
      </c>
      <c r="C70" s="18" t="s">
        <v>2695</v>
      </c>
      <c r="D70" s="19" t="str">
        <f t="shared" si="2"/>
        <v>Auf Leistungen anfallende Sozialabgaben</v>
      </c>
      <c r="E70" s="33" t="s">
        <v>2683</v>
      </c>
      <c r="F70" s="6" t="s">
        <v>940</v>
      </c>
    </row>
    <row r="71" spans="1:6" ht="177">
      <c r="A71" s="17">
        <f>ROW()</f>
        <v>71</v>
      </c>
      <c r="B71" s="18" t="s">
        <v>2702</v>
      </c>
      <c r="C71" s="18" t="str">
        <f t="shared" ref="C71:D75" si="3">+D71</f>
        <v>Geltende Rechtsgrundlage</v>
      </c>
      <c r="D71" s="19" t="str">
        <f t="shared" si="3"/>
        <v>Geltende Rechtsgrundlage</v>
      </c>
      <c r="E71" s="32" t="s">
        <v>2724</v>
      </c>
      <c r="F71" s="6" t="s">
        <v>996</v>
      </c>
    </row>
    <row r="72" spans="1:6" ht="110.25">
      <c r="A72" s="17">
        <f>ROW()</f>
        <v>72</v>
      </c>
      <c r="B72" s="18" t="s">
        <v>2702</v>
      </c>
      <c r="C72" s="18" t="str">
        <f t="shared" si="3"/>
        <v>Grundprinzipien</v>
      </c>
      <c r="D72" s="19" t="str">
        <f t="shared" si="3"/>
        <v>Grundprinzipien</v>
      </c>
      <c r="E72" s="32" t="s">
        <v>2709</v>
      </c>
      <c r="F72" s="6" t="s">
        <v>1022</v>
      </c>
    </row>
    <row r="73" spans="1:6" ht="315">
      <c r="A73" s="17">
        <f>ROW()</f>
        <v>73</v>
      </c>
      <c r="B73" s="18" t="s">
        <v>2702</v>
      </c>
      <c r="C73" s="19" t="str">
        <f t="shared" si="3"/>
        <v>Anwendungsbereich (in Bezug auf Verstorbene)</v>
      </c>
      <c r="D73" s="19" t="str">
        <f t="shared" si="3"/>
        <v>Anwendungsbereich (in Bezug auf Verstorbene)</v>
      </c>
      <c r="E73" s="32" t="s">
        <v>2725</v>
      </c>
      <c r="F73" s="6" t="s">
        <v>1052</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125</v>
      </c>
    </row>
    <row r="75" spans="1:6" ht="195">
      <c r="A75" s="17">
        <f>ROW()</f>
        <v>75</v>
      </c>
      <c r="B75" s="18" t="s">
        <v>2702</v>
      </c>
      <c r="C75" s="19" t="str">
        <f t="shared" si="3"/>
        <v>Berechtigte Personen</v>
      </c>
      <c r="D75" s="19" t="str">
        <f t="shared" si="3"/>
        <v>Berechtigte Personen</v>
      </c>
      <c r="E75" s="32" t="s">
        <v>2730</v>
      </c>
      <c r="F75" s="6" t="s">
        <v>4630</v>
      </c>
    </row>
    <row r="76" spans="1:6" ht="102">
      <c r="A76" s="17">
        <f>ROW()</f>
        <v>76</v>
      </c>
      <c r="B76" s="18" t="s">
        <v>2702</v>
      </c>
      <c r="C76" s="1"/>
      <c r="D76" s="1"/>
      <c r="E76" s="32" t="s">
        <v>2783</v>
      </c>
      <c r="F76" s="6"/>
    </row>
    <row r="77" spans="1:6" ht="189.75">
      <c r="A77" s="17">
        <f>ROW()</f>
        <v>77</v>
      </c>
      <c r="B77" s="18" t="s">
        <v>2702</v>
      </c>
      <c r="C77" s="18" t="s">
        <v>2805</v>
      </c>
      <c r="D77" s="18" t="str">
        <f t="shared" ref="D77:D90" si="4">+E77</f>
        <v>1. Verstorbener Versicherter</v>
      </c>
      <c r="E77" s="33" t="s">
        <v>2806</v>
      </c>
      <c r="F77" s="6" t="s">
        <v>1128</v>
      </c>
    </row>
    <row r="78" spans="1:6" ht="185.25">
      <c r="A78" s="17">
        <f>ROW()</f>
        <v>78</v>
      </c>
      <c r="B78" s="18" t="s">
        <v>2702</v>
      </c>
      <c r="C78" s="18" t="s">
        <v>2805</v>
      </c>
      <c r="D78" s="18" t="str">
        <f t="shared" si="4"/>
        <v>2. Hinterbliebener Ehegatte</v>
      </c>
      <c r="E78" s="33" t="s">
        <v>2807</v>
      </c>
      <c r="F78" s="6" t="s">
        <v>4631</v>
      </c>
    </row>
    <row r="79" spans="1:6" ht="181.5">
      <c r="A79" s="17">
        <f>ROW()</f>
        <v>79</v>
      </c>
      <c r="B79" s="18" t="s">
        <v>2702</v>
      </c>
      <c r="C79" s="18" t="s">
        <v>2805</v>
      </c>
      <c r="D79" s="18" t="str">
        <f t="shared" si="4"/>
        <v>3. Geschiedener Ehegatte</v>
      </c>
      <c r="E79" s="33" t="s">
        <v>2808</v>
      </c>
      <c r="F79" s="6" t="s">
        <v>1189</v>
      </c>
    </row>
    <row r="80" spans="1:6" ht="216">
      <c r="A80" s="17">
        <f>ROW()</f>
        <v>80</v>
      </c>
      <c r="B80" s="18" t="s">
        <v>2702</v>
      </c>
      <c r="C80" s="18" t="s">
        <v>2805</v>
      </c>
      <c r="D80" s="18" t="str">
        <f t="shared" si="4"/>
        <v>4. Hinterbliebene Lebenspartner</v>
      </c>
      <c r="E80" s="33" t="s">
        <v>2809</v>
      </c>
      <c r="F80" s="6" t="s">
        <v>373</v>
      </c>
    </row>
    <row r="81" spans="1:6" ht="181.5">
      <c r="A81" s="17">
        <f>ROW()</f>
        <v>81</v>
      </c>
      <c r="B81" s="18" t="s">
        <v>2702</v>
      </c>
      <c r="C81" s="18" t="s">
        <v>2805</v>
      </c>
      <c r="D81" s="18" t="str">
        <f t="shared" si="4"/>
        <v>5. Kinder</v>
      </c>
      <c r="E81" s="33" t="s">
        <v>2810</v>
      </c>
      <c r="F81" s="6" t="s">
        <v>1240</v>
      </c>
    </row>
    <row r="82" spans="1:6" ht="181.5">
      <c r="A82" s="17">
        <f>ROW()</f>
        <v>82</v>
      </c>
      <c r="B82" s="18" t="s">
        <v>2702</v>
      </c>
      <c r="C82" s="18" t="s">
        <v>2805</v>
      </c>
      <c r="D82" s="18" t="str">
        <f t="shared" si="4"/>
        <v>6. Andere Personen</v>
      </c>
      <c r="E82" s="33" t="s">
        <v>2811</v>
      </c>
      <c r="F82" s="6" t="s">
        <v>373</v>
      </c>
    </row>
    <row r="83" spans="1:6" ht="409.5">
      <c r="A83" s="17">
        <f>ROW()</f>
        <v>83</v>
      </c>
      <c r="B83" s="18" t="s">
        <v>2702</v>
      </c>
      <c r="C83" s="18" t="s">
        <v>2695</v>
      </c>
      <c r="D83" s="19" t="str">
        <f t="shared" si="4"/>
        <v>1. Hinterbliebener Ehegatte, geschiedener Ehegatte, hinterbliebene Lebenspartner</v>
      </c>
      <c r="E83" s="33" t="s">
        <v>2812</v>
      </c>
      <c r="F83" s="6" t="s">
        <v>1288</v>
      </c>
    </row>
    <row r="84" spans="1:6" ht="280.5">
      <c r="A84" s="17">
        <f>ROW()</f>
        <v>84</v>
      </c>
      <c r="B84" s="18" t="s">
        <v>2702</v>
      </c>
      <c r="C84" s="18" t="s">
        <v>2695</v>
      </c>
      <c r="D84" s="19" t="str">
        <f t="shared" si="4"/>
        <v>2. Hinterbliebener Ehegatte: Wiederheirat</v>
      </c>
      <c r="E84" s="33" t="s">
        <v>2813</v>
      </c>
      <c r="F84" s="6" t="s">
        <v>1319</v>
      </c>
    </row>
    <row r="85" spans="1:6" ht="240">
      <c r="A85" s="17">
        <f>ROW()</f>
        <v>85</v>
      </c>
      <c r="B85" s="18" t="s">
        <v>2702</v>
      </c>
      <c r="C85" s="18" t="s">
        <v>2695</v>
      </c>
      <c r="D85" s="19" t="str">
        <f t="shared" si="4"/>
        <v>3. Kinder</v>
      </c>
      <c r="E85" s="33" t="s">
        <v>2814</v>
      </c>
      <c r="F85" s="6" t="s">
        <v>1348</v>
      </c>
    </row>
    <row r="86" spans="1:6" ht="147">
      <c r="A86" s="17">
        <f>ROW()</f>
        <v>86</v>
      </c>
      <c r="B86" s="18" t="s">
        <v>2702</v>
      </c>
      <c r="C86" s="18" t="s">
        <v>2695</v>
      </c>
      <c r="D86" s="19" t="str">
        <f t="shared" si="4"/>
        <v>4. Andere Berechtigte</v>
      </c>
      <c r="E86" s="33" t="s">
        <v>2815</v>
      </c>
      <c r="F86" s="6" t="s">
        <v>373</v>
      </c>
    </row>
    <row r="87" spans="1:6" ht="381">
      <c r="A87" s="17">
        <f>ROW()</f>
        <v>87</v>
      </c>
      <c r="B87" s="18" t="s">
        <v>2702</v>
      </c>
      <c r="C87" s="18" t="s">
        <v>2695</v>
      </c>
      <c r="D87" s="19" t="str">
        <f t="shared" si="4"/>
        <v xml:space="preserve"> 5. Höchster zahlbarer Gesamtbetrag für alle Berechtigten</v>
      </c>
      <c r="E87" s="33" t="s">
        <v>2816</v>
      </c>
      <c r="F87" s="6" t="s">
        <v>1393</v>
      </c>
    </row>
    <row r="88" spans="1:6" ht="180">
      <c r="A88" s="17">
        <f>ROW()</f>
        <v>88</v>
      </c>
      <c r="B88" s="18" t="s">
        <v>2702</v>
      </c>
      <c r="C88" s="18" t="s">
        <v>2695</v>
      </c>
      <c r="D88" s="19" t="str">
        <f t="shared" si="4"/>
        <v>6. Sonstige Leistungen</v>
      </c>
      <c r="E88" s="33" t="s">
        <v>2817</v>
      </c>
      <c r="F88" s="6" t="s">
        <v>1419</v>
      </c>
    </row>
    <row r="89" spans="1:6" ht="210">
      <c r="A89" s="17">
        <f>ROW()</f>
        <v>89</v>
      </c>
      <c r="B89" s="18" t="s">
        <v>2702</v>
      </c>
      <c r="C89" s="18" t="s">
        <v>2695</v>
      </c>
      <c r="D89" s="19" t="str">
        <f>+E89</f>
        <v>7. Mindestleistung</v>
      </c>
      <c r="E89" s="33" t="s">
        <v>2818</v>
      </c>
      <c r="F89" s="6" t="s">
        <v>1447</v>
      </c>
    </row>
    <row r="90" spans="1:6" ht="135">
      <c r="A90" s="17">
        <f>ROW()</f>
        <v>90</v>
      </c>
      <c r="B90" s="18" t="s">
        <v>2702</v>
      </c>
      <c r="C90" s="18" t="s">
        <v>2695</v>
      </c>
      <c r="D90" s="19" t="str">
        <f t="shared" si="4"/>
        <v xml:space="preserve"> 8. Höchstleistung</v>
      </c>
      <c r="E90" s="33" t="s">
        <v>2819</v>
      </c>
      <c r="F90" s="6" t="s">
        <v>1474</v>
      </c>
    </row>
    <row r="91" spans="1:6" ht="179.25">
      <c r="A91" s="17">
        <f>ROW()</f>
        <v>91</v>
      </c>
      <c r="B91" s="18" t="s">
        <v>2702</v>
      </c>
      <c r="C91" s="18" t="s">
        <v>2799</v>
      </c>
      <c r="D91" s="19" t="str">
        <f>+C91</f>
        <v>Indexbindung / Anpassung</v>
      </c>
      <c r="E91" s="32" t="s">
        <v>2799</v>
      </c>
      <c r="F91" s="6" t="s">
        <v>1497</v>
      </c>
    </row>
    <row r="92" spans="1:6" ht="255">
      <c r="A92" s="17">
        <f>ROW()</f>
        <v>92</v>
      </c>
      <c r="B92" s="18" t="s">
        <v>2702</v>
      </c>
      <c r="C92" s="18" t="s">
        <v>2799</v>
      </c>
      <c r="D92" s="19" t="str">
        <f t="shared" ref="D92:D105" si="5">+E92</f>
        <v>Kumulation mit Erwerbseinkommen</v>
      </c>
      <c r="E92" s="32" t="s">
        <v>2723</v>
      </c>
      <c r="F92" s="6" t="s">
        <v>4632</v>
      </c>
    </row>
    <row r="93" spans="1:6" ht="275.25">
      <c r="A93" s="17">
        <f>ROW()</f>
        <v>93</v>
      </c>
      <c r="B93" s="18" t="s">
        <v>2702</v>
      </c>
      <c r="C93" s="18" t="s">
        <v>2799</v>
      </c>
      <c r="D93" s="19" t="str">
        <f t="shared" si="5"/>
        <v>Kumulation mit anderen Sozialleistungen</v>
      </c>
      <c r="E93" s="32" t="s">
        <v>2696</v>
      </c>
      <c r="F93" s="6" t="s">
        <v>1558</v>
      </c>
    </row>
    <row r="94" spans="1:6" ht="232.5">
      <c r="A94" s="17">
        <f>ROW()</f>
        <v>94</v>
      </c>
      <c r="B94" s="18" t="s">
        <v>2702</v>
      </c>
      <c r="C94" s="19" t="s">
        <v>2701</v>
      </c>
      <c r="D94" s="19" t="str">
        <f t="shared" si="5"/>
        <v>1. Besteuerung von Geldleistungen</v>
      </c>
      <c r="E94" s="33" t="s">
        <v>2770</v>
      </c>
      <c r="F94" s="6" t="s">
        <v>762</v>
      </c>
    </row>
    <row r="95" spans="1:6" ht="387">
      <c r="A95" s="17">
        <f>ROW()</f>
        <v>95</v>
      </c>
      <c r="B95" s="18" t="s">
        <v>2702</v>
      </c>
      <c r="C95" s="19" t="s">
        <v>2701</v>
      </c>
      <c r="D95" s="19" t="str">
        <f t="shared" si="5"/>
        <v>2. Einkommensgrenze für Besteuerung von Geldleistungen</v>
      </c>
      <c r="E95" s="33" t="s">
        <v>2772</v>
      </c>
      <c r="F95" s="6" t="s">
        <v>1607</v>
      </c>
    </row>
    <row r="96" spans="1:6" ht="288.75">
      <c r="A96" s="17">
        <f>ROW()</f>
        <v>96</v>
      </c>
      <c r="B96" s="18" t="s">
        <v>2702</v>
      </c>
      <c r="C96" s="19" t="s">
        <v>2701</v>
      </c>
      <c r="D96" s="19" t="str">
        <f t="shared" si="5"/>
        <v>3. Auf Leistungen anfallende Sozialabgaben</v>
      </c>
      <c r="E96" s="33" t="s">
        <v>2773</v>
      </c>
      <c r="F96" s="6" t="s">
        <v>1628</v>
      </c>
    </row>
    <row r="97" spans="1:6" ht="138">
      <c r="A97" s="17">
        <f>ROW()</f>
        <v>97</v>
      </c>
      <c r="B97" s="18" t="s">
        <v>2702</v>
      </c>
      <c r="C97" s="19" t="s">
        <v>2775</v>
      </c>
      <c r="D97" s="19" t="str">
        <f t="shared" si="5"/>
        <v>Anwendungsbereich</v>
      </c>
      <c r="E97" s="33" t="s">
        <v>2708</v>
      </c>
      <c r="F97" s="6" t="s">
        <v>1645</v>
      </c>
    </row>
    <row r="98" spans="1:6" ht="110.25">
      <c r="A98" s="17">
        <f>ROW()</f>
        <v>98</v>
      </c>
      <c r="B98" s="18" t="s">
        <v>2702</v>
      </c>
      <c r="C98" s="19" t="s">
        <v>2775</v>
      </c>
      <c r="D98" s="19" t="str">
        <f t="shared" si="5"/>
        <v>Grundprinzipien</v>
      </c>
      <c r="E98" s="33" t="s">
        <v>2709</v>
      </c>
      <c r="F98" s="6" t="s">
        <v>869</v>
      </c>
    </row>
    <row r="99" spans="1:6" ht="224.25">
      <c r="A99" s="17">
        <f>ROW()</f>
        <v>99</v>
      </c>
      <c r="B99" s="18" t="s">
        <v>2702</v>
      </c>
      <c r="C99" s="19" t="s">
        <v>2775</v>
      </c>
      <c r="D99" s="19" t="str">
        <f t="shared" si="5"/>
        <v>Voraussetzungen für die Deckung</v>
      </c>
      <c r="E99" s="33" t="s">
        <v>2710</v>
      </c>
      <c r="F99" s="6" t="s">
        <v>898</v>
      </c>
    </row>
    <row r="100" spans="1:6" ht="409.5">
      <c r="A100" s="17">
        <f>ROW()</f>
        <v>100</v>
      </c>
      <c r="B100" s="18" t="s">
        <v>2702</v>
      </c>
      <c r="C100" s="19" t="s">
        <v>2775</v>
      </c>
      <c r="D100" s="19" t="str">
        <f t="shared" si="5"/>
        <v>Kombination von selbstständiger und unselbstständiger Tätigkeit</v>
      </c>
      <c r="E100" s="33" t="s">
        <v>2698</v>
      </c>
      <c r="F100" s="6" t="s">
        <v>1685</v>
      </c>
    </row>
    <row r="101" spans="1:6" ht="376.5">
      <c r="A101" s="17">
        <f>ROW()</f>
        <v>101</v>
      </c>
      <c r="B101" s="18" t="s">
        <v>2702</v>
      </c>
      <c r="C101" s="19" t="s">
        <v>2775</v>
      </c>
      <c r="D101" s="19" t="str">
        <f t="shared" si="5"/>
        <v xml:space="preserve">Voraussetzungen für den Zugang zu Diensten/Leistungen </v>
      </c>
      <c r="E101" s="33" t="s">
        <v>2699</v>
      </c>
      <c r="F101" s="6" t="s">
        <v>1695</v>
      </c>
    </row>
    <row r="102" spans="1:6" ht="253.5">
      <c r="A102" s="17">
        <f>ROW()</f>
        <v>102</v>
      </c>
      <c r="B102" s="18" t="s">
        <v>2702</v>
      </c>
      <c r="C102" s="19" t="s">
        <v>2775</v>
      </c>
      <c r="D102" s="19" t="str">
        <f t="shared" si="5"/>
        <v>Beträge, Dauer und Kostenbeteiligung</v>
      </c>
      <c r="E102" s="33" t="s">
        <v>2700</v>
      </c>
      <c r="F102" s="6" t="s">
        <v>4633</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940</v>
      </c>
    </row>
    <row r="105" spans="1:6" ht="272.25">
      <c r="A105" s="17">
        <f>ROW()</f>
        <v>105</v>
      </c>
      <c r="B105" s="18" t="s">
        <v>2702</v>
      </c>
      <c r="C105" s="19" t="s">
        <v>2775</v>
      </c>
      <c r="D105" s="19" t="str">
        <f t="shared" si="5"/>
        <v>Auf Leistungen anfallende Sozialabgaben</v>
      </c>
      <c r="E105" s="33" t="s">
        <v>2683</v>
      </c>
      <c r="F105" s="6" t="s">
        <v>940</v>
      </c>
    </row>
    <row r="106" spans="1:6"/>
    <row r="107" spans="1:6"/>
    <row r="108" spans="1:6"/>
    <row r="109" spans="1:6"/>
    <row r="110" spans="1:6"/>
    <row r="111" spans="1:6"/>
    <row r="112" spans="1:6"/>
    <row r="113"/>
  </sheetData>
  <sheetProtection algorithmName="SHA-512" hashValue="fp1sXBhXvXYB8xmeUOoHzmAbjdgx9SVDstPbmWzUCPpe/RHL/+apqUmk6xoKiT52Kkup8iOFsyOhigz0QseOAQ==" saltValue="GdB3UtyQboHIWdhr4pII5w==" spinCount="100000" sheet="1" objects="1" scenarios="1" formatColumns="0" autoFilter="0"/>
  <autoFilter ref="A2:F105" xr:uid="{E0C2E879-D95D-404B-AD78-4AD087D72F5E}"/>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B8334-C491-467F-8294-AE26783C844E}">
  <sheetPr codeName="Tabelle34"/>
  <dimension ref="A1:DR117"/>
  <sheetViews>
    <sheetView topLeftCell="CE79" workbookViewId="0">
      <selection activeCell="CD64" sqref="CD64"/>
    </sheetView>
  </sheetViews>
  <sheetFormatPr baseColWidth="10" defaultColWidth="12.7109375" defaultRowHeight="15"/>
  <cols>
    <col min="1" max="1" width="6.28515625" style="36" customWidth="1"/>
    <col min="2" max="122" width="6.28515625" customWidth="1"/>
  </cols>
  <sheetData>
    <row r="1" spans="1:122" s="36" customFormat="1">
      <c r="A1" s="34" t="s">
        <v>3387</v>
      </c>
      <c r="B1" s="46">
        <v>1900</v>
      </c>
      <c r="C1" s="46">
        <v>1901</v>
      </c>
      <c r="D1" s="46">
        <v>1902</v>
      </c>
      <c r="E1" s="46">
        <v>1903</v>
      </c>
      <c r="F1" s="46">
        <v>1904</v>
      </c>
      <c r="G1" s="46">
        <v>1905</v>
      </c>
      <c r="H1" s="46">
        <v>1906</v>
      </c>
      <c r="I1" s="46">
        <v>1907</v>
      </c>
      <c r="J1" s="46">
        <v>1908</v>
      </c>
      <c r="K1" s="46">
        <v>1909</v>
      </c>
      <c r="L1" s="46">
        <v>1910</v>
      </c>
      <c r="M1" s="46">
        <v>1911</v>
      </c>
      <c r="N1" s="46">
        <v>1912</v>
      </c>
      <c r="O1" s="46">
        <v>1913</v>
      </c>
      <c r="P1" s="46">
        <v>1914</v>
      </c>
      <c r="Q1" s="46">
        <v>1915</v>
      </c>
      <c r="R1" s="46">
        <v>1916</v>
      </c>
      <c r="S1" s="46">
        <v>1917</v>
      </c>
      <c r="T1" s="46">
        <v>1918</v>
      </c>
      <c r="U1" s="46">
        <v>1919</v>
      </c>
      <c r="V1" s="46">
        <v>1920</v>
      </c>
      <c r="W1" s="46">
        <v>1921</v>
      </c>
      <c r="X1" s="46">
        <v>1922</v>
      </c>
      <c r="Y1" s="46">
        <v>1923</v>
      </c>
      <c r="Z1" s="46">
        <v>1924</v>
      </c>
      <c r="AA1" s="46">
        <v>1925</v>
      </c>
      <c r="AB1" s="46">
        <v>1926</v>
      </c>
      <c r="AC1" s="46">
        <v>1927</v>
      </c>
      <c r="AD1" s="46">
        <v>1928</v>
      </c>
      <c r="AE1" s="46">
        <v>1929</v>
      </c>
      <c r="AF1" s="46">
        <v>1930</v>
      </c>
      <c r="AG1" s="46">
        <v>1931</v>
      </c>
      <c r="AH1" s="46">
        <v>1932</v>
      </c>
      <c r="AI1" s="46">
        <v>1933</v>
      </c>
      <c r="AJ1" s="46">
        <v>1934</v>
      </c>
      <c r="AK1" s="46">
        <v>1935</v>
      </c>
      <c r="AL1" s="46">
        <v>1936</v>
      </c>
      <c r="AM1" s="46">
        <v>1937</v>
      </c>
      <c r="AN1" s="46">
        <v>1938</v>
      </c>
      <c r="AO1" s="46">
        <v>1939</v>
      </c>
      <c r="AP1" s="46">
        <v>1940</v>
      </c>
      <c r="AQ1" s="46">
        <v>1941</v>
      </c>
      <c r="AR1" s="46">
        <v>1942</v>
      </c>
      <c r="AS1" s="46">
        <v>1943</v>
      </c>
      <c r="AT1" s="46">
        <v>1944</v>
      </c>
      <c r="AU1" s="46">
        <v>1945</v>
      </c>
      <c r="AV1" s="46">
        <v>1946</v>
      </c>
      <c r="AW1" s="46">
        <v>1947</v>
      </c>
      <c r="AX1" s="46">
        <v>1948</v>
      </c>
      <c r="AY1" s="46">
        <v>1949</v>
      </c>
      <c r="AZ1" s="46">
        <v>1950</v>
      </c>
      <c r="BA1" s="46">
        <v>1951</v>
      </c>
      <c r="BB1" s="46">
        <v>1952</v>
      </c>
      <c r="BC1" s="46">
        <v>1953</v>
      </c>
      <c r="BD1" s="46">
        <v>1954</v>
      </c>
      <c r="BE1" s="46">
        <v>1955</v>
      </c>
      <c r="BF1" s="46">
        <v>1956</v>
      </c>
      <c r="BG1" s="46">
        <v>1957</v>
      </c>
      <c r="BH1" s="46">
        <v>1958</v>
      </c>
      <c r="BI1" s="46">
        <v>1959</v>
      </c>
      <c r="BJ1" s="46">
        <v>1960</v>
      </c>
      <c r="BK1" s="46">
        <v>1961</v>
      </c>
      <c r="BL1" s="46">
        <v>1962</v>
      </c>
      <c r="BM1" s="46">
        <v>1963</v>
      </c>
      <c r="BN1" s="46">
        <v>1964</v>
      </c>
      <c r="BO1" s="46">
        <v>1965</v>
      </c>
      <c r="BP1" s="46">
        <v>1966</v>
      </c>
      <c r="BQ1" s="46">
        <v>1967</v>
      </c>
      <c r="BR1" s="46">
        <v>1968</v>
      </c>
      <c r="BS1" s="46">
        <v>1969</v>
      </c>
      <c r="BT1" s="46">
        <v>1970</v>
      </c>
      <c r="BU1" s="46">
        <v>1971</v>
      </c>
      <c r="BV1" s="46">
        <v>1972</v>
      </c>
      <c r="BW1" s="46">
        <v>1973</v>
      </c>
      <c r="BX1" s="46">
        <v>1974</v>
      </c>
      <c r="BY1" s="46">
        <v>1975</v>
      </c>
      <c r="BZ1" s="46">
        <v>1976</v>
      </c>
      <c r="CA1" s="46">
        <v>1977</v>
      </c>
      <c r="CB1" s="46">
        <v>1978</v>
      </c>
      <c r="CC1" s="46">
        <v>1979</v>
      </c>
      <c r="CD1" s="46">
        <v>1980</v>
      </c>
      <c r="CE1" s="46">
        <v>1981</v>
      </c>
      <c r="CF1" s="46">
        <v>1982</v>
      </c>
      <c r="CG1" s="46">
        <v>1983</v>
      </c>
      <c r="CH1" s="46">
        <v>1984</v>
      </c>
      <c r="CI1" s="46">
        <v>1985</v>
      </c>
      <c r="CJ1" s="46">
        <v>1986</v>
      </c>
      <c r="CK1" s="46">
        <v>1987</v>
      </c>
      <c r="CL1" s="46">
        <v>1988</v>
      </c>
      <c r="CM1" s="46">
        <v>1989</v>
      </c>
      <c r="CN1" s="46">
        <v>1990</v>
      </c>
      <c r="CO1" s="46">
        <v>1991</v>
      </c>
      <c r="CP1" s="46">
        <v>1992</v>
      </c>
      <c r="CQ1" s="46">
        <v>1993</v>
      </c>
      <c r="CR1" s="46">
        <v>1994</v>
      </c>
      <c r="CS1" s="46">
        <v>1995</v>
      </c>
      <c r="CT1" s="46">
        <v>1996</v>
      </c>
      <c r="CU1" s="46">
        <v>1997</v>
      </c>
      <c r="CV1" s="46">
        <v>1998</v>
      </c>
      <c r="CW1" s="46">
        <v>1999</v>
      </c>
      <c r="CX1" s="46">
        <v>2000</v>
      </c>
      <c r="CY1" s="46">
        <v>2001</v>
      </c>
      <c r="CZ1" s="46">
        <v>2002</v>
      </c>
      <c r="DA1" s="46">
        <v>2003</v>
      </c>
      <c r="DB1" s="46">
        <v>2004</v>
      </c>
      <c r="DC1" s="46">
        <v>2005</v>
      </c>
      <c r="DD1" s="46">
        <v>2006</v>
      </c>
      <c r="DE1" s="46">
        <v>2007</v>
      </c>
      <c r="DF1" s="46">
        <v>2008</v>
      </c>
      <c r="DG1" s="46">
        <v>2009</v>
      </c>
      <c r="DH1" s="46">
        <v>2010</v>
      </c>
      <c r="DI1" s="46">
        <v>2011</v>
      </c>
      <c r="DJ1" s="46">
        <v>2012</v>
      </c>
      <c r="DK1" s="46">
        <v>2013</v>
      </c>
      <c r="DL1" s="46">
        <v>2014</v>
      </c>
      <c r="DM1" s="46">
        <v>2015</v>
      </c>
      <c r="DN1" s="46">
        <v>2016</v>
      </c>
      <c r="DO1" s="46">
        <v>2017</v>
      </c>
      <c r="DP1" s="46">
        <v>2018</v>
      </c>
      <c r="DQ1" s="46">
        <v>2019</v>
      </c>
      <c r="DR1" s="46">
        <v>2020</v>
      </c>
    </row>
    <row r="2" spans="1:122">
      <c r="A2" s="44">
        <v>0</v>
      </c>
      <c r="B2" s="45"/>
      <c r="C2" s="45"/>
      <c r="D2" s="45"/>
      <c r="E2" s="45"/>
      <c r="F2" s="45"/>
      <c r="G2" s="45"/>
      <c r="H2" s="45"/>
      <c r="I2" s="45"/>
      <c r="J2" s="45"/>
      <c r="K2" s="45"/>
      <c r="L2" s="45"/>
      <c r="M2" s="45"/>
      <c r="N2" s="45"/>
      <c r="O2" s="45"/>
      <c r="P2" s="45"/>
      <c r="Q2" s="45"/>
      <c r="R2" s="45"/>
      <c r="S2" s="45"/>
      <c r="T2" s="45"/>
      <c r="U2" s="45"/>
      <c r="V2" s="39"/>
      <c r="W2" s="39">
        <v>65.28</v>
      </c>
      <c r="X2" s="39">
        <v>66.06</v>
      </c>
      <c r="Y2" s="39">
        <v>66.28</v>
      </c>
      <c r="Z2" s="39">
        <v>68.099999999999994</v>
      </c>
      <c r="AA2" s="39">
        <v>68.569999999999993</v>
      </c>
      <c r="AB2" s="39">
        <v>69.209999999999994</v>
      </c>
      <c r="AC2" s="39">
        <v>70.08</v>
      </c>
      <c r="AD2" s="39">
        <v>70.86</v>
      </c>
      <c r="AE2" s="39">
        <v>70.98</v>
      </c>
      <c r="AF2" s="39">
        <v>72.040000000000006</v>
      </c>
      <c r="AG2" s="39">
        <v>72.569999999999993</v>
      </c>
      <c r="AH2" s="39">
        <v>72.86</v>
      </c>
      <c r="AI2" s="39">
        <v>73.349999999999994</v>
      </c>
      <c r="AJ2" s="39">
        <v>74.55</v>
      </c>
      <c r="AK2" s="39">
        <v>74.78</v>
      </c>
      <c r="AL2" s="39">
        <v>75.31</v>
      </c>
      <c r="AM2" s="39">
        <v>75.75</v>
      </c>
      <c r="AN2" s="39">
        <v>76.33</v>
      </c>
      <c r="AO2" s="39">
        <v>76.489999999999995</v>
      </c>
      <c r="AP2" s="39">
        <v>76.69</v>
      </c>
      <c r="AQ2" s="39">
        <v>76.81</v>
      </c>
      <c r="AR2" s="39">
        <v>76.88</v>
      </c>
      <c r="AS2" s="39">
        <v>76.489999999999995</v>
      </c>
      <c r="AT2" s="39">
        <v>75.92</v>
      </c>
      <c r="AU2" s="39">
        <v>75.05</v>
      </c>
      <c r="AV2" s="39">
        <v>75.27</v>
      </c>
      <c r="AW2" s="39">
        <v>75.73</v>
      </c>
      <c r="AX2" s="39">
        <v>77.45</v>
      </c>
      <c r="AY2" s="39">
        <v>78.94</v>
      </c>
      <c r="AZ2" s="39">
        <v>79.13</v>
      </c>
      <c r="BA2" s="39">
        <v>79.3</v>
      </c>
      <c r="BB2" s="39">
        <v>79.900000000000006</v>
      </c>
      <c r="BC2" s="39">
        <v>80.22</v>
      </c>
      <c r="BD2" s="39">
        <v>80.59</v>
      </c>
      <c r="BE2" s="39">
        <v>80.78</v>
      </c>
      <c r="BF2" s="39">
        <v>81.209999999999994</v>
      </c>
      <c r="BG2" s="39">
        <v>81.5</v>
      </c>
      <c r="BH2" s="39">
        <v>81.83</v>
      </c>
      <c r="BI2" s="39">
        <v>82.04</v>
      </c>
      <c r="BJ2" s="39">
        <v>82.37</v>
      </c>
      <c r="BK2" s="39">
        <v>82.73</v>
      </c>
      <c r="BL2" s="39">
        <v>83.14</v>
      </c>
      <c r="BM2" s="39">
        <v>83.5</v>
      </c>
      <c r="BN2" s="39">
        <v>83.84</v>
      </c>
      <c r="BO2" s="39">
        <v>84.12</v>
      </c>
      <c r="BP2" s="39">
        <v>84.41</v>
      </c>
      <c r="BQ2" s="39">
        <v>84.61</v>
      </c>
      <c r="BR2" s="39">
        <v>84.83</v>
      </c>
      <c r="BS2" s="39">
        <v>84.98</v>
      </c>
      <c r="BT2" s="39">
        <v>85.18</v>
      </c>
      <c r="BU2" s="39">
        <v>85.36</v>
      </c>
      <c r="BV2" s="39">
        <v>85.58</v>
      </c>
      <c r="BW2" s="39">
        <v>85.79</v>
      </c>
      <c r="BX2" s="39">
        <v>86.01</v>
      </c>
      <c r="BY2" s="39">
        <v>86.22</v>
      </c>
      <c r="BZ2" s="39">
        <v>86.54</v>
      </c>
      <c r="CA2" s="39">
        <v>86.82</v>
      </c>
      <c r="CB2" s="39">
        <v>87.04</v>
      </c>
      <c r="CC2" s="39">
        <v>87.24</v>
      </c>
      <c r="CD2" s="39">
        <v>87.44</v>
      </c>
      <c r="CE2" s="39">
        <v>87.64</v>
      </c>
      <c r="CF2" s="39">
        <v>87.83</v>
      </c>
      <c r="CG2" s="39">
        <v>88.04</v>
      </c>
      <c r="CH2" s="39">
        <v>88.22</v>
      </c>
      <c r="CI2" s="39">
        <v>88.43</v>
      </c>
      <c r="CJ2" s="39">
        <v>88.59</v>
      </c>
      <c r="CK2" s="39">
        <v>88.77</v>
      </c>
      <c r="CL2" s="39">
        <v>88.98</v>
      </c>
      <c r="CM2" s="39">
        <v>89.13</v>
      </c>
      <c r="CN2" s="39">
        <v>89.31</v>
      </c>
      <c r="CO2" s="39">
        <v>89.46</v>
      </c>
      <c r="CP2" s="39">
        <v>89.64</v>
      </c>
      <c r="CQ2" s="39">
        <v>89.79</v>
      </c>
      <c r="CR2" s="39">
        <v>89.95</v>
      </c>
      <c r="CS2" s="39">
        <v>90.1</v>
      </c>
      <c r="CT2" s="39">
        <v>90.25</v>
      </c>
      <c r="CU2" s="39">
        <v>90.39</v>
      </c>
      <c r="CV2" s="39">
        <v>90.5</v>
      </c>
      <c r="CW2" s="39">
        <v>90.65</v>
      </c>
      <c r="CX2" s="39">
        <v>90.79</v>
      </c>
      <c r="CY2" s="39">
        <v>90.92</v>
      </c>
      <c r="CZ2" s="39">
        <v>91.02</v>
      </c>
      <c r="DA2" s="39">
        <v>91.15</v>
      </c>
      <c r="DB2" s="39">
        <v>91.27</v>
      </c>
      <c r="DC2" s="39">
        <v>91.42</v>
      </c>
      <c r="DD2" s="39">
        <v>91.53</v>
      </c>
      <c r="DE2" s="39">
        <v>91.66</v>
      </c>
      <c r="DF2" s="39">
        <v>91.81</v>
      </c>
      <c r="DG2" s="39">
        <v>91.9</v>
      </c>
      <c r="DH2" s="39">
        <v>92.03</v>
      </c>
      <c r="DI2" s="39">
        <v>92.11</v>
      </c>
      <c r="DJ2" s="39">
        <v>92.24</v>
      </c>
      <c r="DK2" s="39">
        <v>92.36</v>
      </c>
      <c r="DL2" s="39">
        <v>92.47</v>
      </c>
      <c r="DM2" s="39">
        <v>92.55</v>
      </c>
      <c r="DN2" s="39">
        <v>92.66</v>
      </c>
      <c r="DO2" s="39">
        <v>92.77</v>
      </c>
      <c r="DP2" s="39">
        <v>92.89</v>
      </c>
      <c r="DQ2" s="39">
        <v>93.01</v>
      </c>
      <c r="DR2" s="39">
        <v>93.12</v>
      </c>
    </row>
    <row r="3" spans="1:122">
      <c r="A3" s="44">
        <v>1</v>
      </c>
      <c r="B3" s="45"/>
      <c r="C3" s="45"/>
      <c r="D3" s="45"/>
      <c r="E3" s="45"/>
      <c r="F3" s="45"/>
      <c r="G3" s="45"/>
      <c r="H3" s="45"/>
      <c r="I3" s="45"/>
      <c r="J3" s="45"/>
      <c r="K3" s="45"/>
      <c r="L3" s="45"/>
      <c r="M3" s="45"/>
      <c r="N3" s="45"/>
      <c r="O3" s="45"/>
      <c r="P3" s="45"/>
      <c r="Q3" s="45"/>
      <c r="R3" s="45"/>
      <c r="S3" s="45"/>
      <c r="T3" s="45"/>
      <c r="U3" s="45"/>
      <c r="V3" s="39"/>
      <c r="W3" s="39">
        <v>73.16</v>
      </c>
      <c r="X3" s="39">
        <v>73.69</v>
      </c>
      <c r="Y3" s="39">
        <v>74.2</v>
      </c>
      <c r="Z3" s="39">
        <v>74.47</v>
      </c>
      <c r="AA3" s="39">
        <v>74.66</v>
      </c>
      <c r="AB3" s="39">
        <v>75.11</v>
      </c>
      <c r="AC3" s="39">
        <v>75.650000000000006</v>
      </c>
      <c r="AD3" s="39">
        <v>75.92</v>
      </c>
      <c r="AE3" s="39">
        <v>76.5</v>
      </c>
      <c r="AF3" s="39">
        <v>76.86</v>
      </c>
      <c r="AG3" s="39">
        <v>77.150000000000006</v>
      </c>
      <c r="AH3" s="39">
        <v>77.41</v>
      </c>
      <c r="AI3" s="39">
        <v>77.680000000000007</v>
      </c>
      <c r="AJ3" s="39">
        <v>78.13</v>
      </c>
      <c r="AK3" s="39">
        <v>78.53</v>
      </c>
      <c r="AL3" s="39">
        <v>78.930000000000007</v>
      </c>
      <c r="AM3" s="39">
        <v>79.27</v>
      </c>
      <c r="AN3" s="39">
        <v>79.540000000000006</v>
      </c>
      <c r="AO3" s="39">
        <v>79.81</v>
      </c>
      <c r="AP3" s="39">
        <v>80.02</v>
      </c>
      <c r="AQ3" s="39">
        <v>80.14</v>
      </c>
      <c r="AR3" s="39">
        <v>80.209999999999994</v>
      </c>
      <c r="AS3" s="39">
        <v>80.260000000000005</v>
      </c>
      <c r="AT3" s="39">
        <v>80.34</v>
      </c>
      <c r="AU3" s="39">
        <v>80.58</v>
      </c>
      <c r="AV3" s="39">
        <v>80.849999999999994</v>
      </c>
      <c r="AW3" s="39">
        <v>81.36</v>
      </c>
      <c r="AX3" s="39">
        <v>81.81</v>
      </c>
      <c r="AY3" s="39">
        <v>82.01</v>
      </c>
      <c r="AZ3" s="39">
        <v>82.2</v>
      </c>
      <c r="BA3" s="39">
        <v>82.38</v>
      </c>
      <c r="BB3" s="39">
        <v>82.53</v>
      </c>
      <c r="BC3" s="39">
        <v>82.69</v>
      </c>
      <c r="BD3" s="39">
        <v>82.82</v>
      </c>
      <c r="BE3" s="39">
        <v>82.97</v>
      </c>
      <c r="BF3" s="39">
        <v>83.16</v>
      </c>
      <c r="BG3" s="39">
        <v>83.38</v>
      </c>
      <c r="BH3" s="39">
        <v>83.57</v>
      </c>
      <c r="BI3" s="39">
        <v>83.74</v>
      </c>
      <c r="BJ3" s="39">
        <v>83.92</v>
      </c>
      <c r="BK3" s="39">
        <v>84.11</v>
      </c>
      <c r="BL3" s="39">
        <v>84.34</v>
      </c>
      <c r="BM3" s="39">
        <v>84.56</v>
      </c>
      <c r="BN3" s="39">
        <v>84.74</v>
      </c>
      <c r="BO3" s="39">
        <v>84.92</v>
      </c>
      <c r="BP3" s="39">
        <v>85.13</v>
      </c>
      <c r="BQ3" s="39">
        <v>85.31</v>
      </c>
      <c r="BR3" s="39">
        <v>85.46</v>
      </c>
      <c r="BS3" s="39">
        <v>85.67</v>
      </c>
      <c r="BT3" s="39">
        <v>85.84</v>
      </c>
      <c r="BU3" s="39">
        <v>86</v>
      </c>
      <c r="BV3" s="39">
        <v>86.17</v>
      </c>
      <c r="BW3" s="39">
        <v>86.33</v>
      </c>
      <c r="BX3" s="39">
        <v>86.49</v>
      </c>
      <c r="BY3" s="39">
        <v>86.65</v>
      </c>
      <c r="BZ3" s="39">
        <v>86.78</v>
      </c>
      <c r="CA3" s="39">
        <v>86.94</v>
      </c>
      <c r="CB3" s="39">
        <v>87.11</v>
      </c>
      <c r="CC3" s="39">
        <v>87.24</v>
      </c>
      <c r="CD3" s="39">
        <v>87.4</v>
      </c>
      <c r="CE3" s="39">
        <v>87.54</v>
      </c>
      <c r="CF3" s="39">
        <v>87.68</v>
      </c>
      <c r="CG3" s="39">
        <v>87.83</v>
      </c>
      <c r="CH3" s="39">
        <v>87.98</v>
      </c>
      <c r="CI3" s="39">
        <v>88.14</v>
      </c>
      <c r="CJ3" s="39">
        <v>88.26</v>
      </c>
      <c r="CK3" s="39">
        <v>88.41</v>
      </c>
      <c r="CL3" s="39">
        <v>88.56</v>
      </c>
      <c r="CM3" s="39">
        <v>88.7</v>
      </c>
      <c r="CN3" s="39">
        <v>88.85</v>
      </c>
      <c r="CO3" s="39">
        <v>88.98</v>
      </c>
      <c r="CP3" s="39">
        <v>89.12</v>
      </c>
      <c r="CQ3" s="39">
        <v>89.24</v>
      </c>
      <c r="CR3" s="39">
        <v>89.38</v>
      </c>
      <c r="CS3" s="39">
        <v>89.52</v>
      </c>
      <c r="CT3" s="39">
        <v>89.65</v>
      </c>
      <c r="CU3" s="39">
        <v>89.77</v>
      </c>
      <c r="CV3" s="39">
        <v>89.88</v>
      </c>
      <c r="CW3" s="39">
        <v>90.01</v>
      </c>
      <c r="CX3" s="39">
        <v>90.14</v>
      </c>
      <c r="CY3" s="39">
        <v>90.26</v>
      </c>
      <c r="CZ3" s="39">
        <v>90.37</v>
      </c>
      <c r="DA3" s="39">
        <v>90.5</v>
      </c>
      <c r="DB3" s="39">
        <v>90.61</v>
      </c>
      <c r="DC3" s="39">
        <v>90.73</v>
      </c>
      <c r="DD3" s="39">
        <v>90.85</v>
      </c>
      <c r="DE3" s="39">
        <v>90.97</v>
      </c>
      <c r="DF3" s="39">
        <v>91.09</v>
      </c>
      <c r="DG3" s="39">
        <v>91.19</v>
      </c>
      <c r="DH3" s="39">
        <v>91.31</v>
      </c>
      <c r="DI3" s="39">
        <v>91.42</v>
      </c>
      <c r="DJ3" s="39">
        <v>91.52</v>
      </c>
      <c r="DK3" s="39">
        <v>91.63</v>
      </c>
      <c r="DL3" s="39">
        <v>91.74</v>
      </c>
      <c r="DM3" s="39">
        <v>91.84</v>
      </c>
      <c r="DN3" s="39">
        <v>91.95</v>
      </c>
      <c r="DO3" s="39">
        <v>92.05</v>
      </c>
      <c r="DP3" s="39">
        <v>92.16</v>
      </c>
      <c r="DQ3" s="39">
        <v>92.26</v>
      </c>
      <c r="DR3" s="39">
        <v>92.36</v>
      </c>
    </row>
    <row r="4" spans="1:122">
      <c r="A4" s="44">
        <v>2</v>
      </c>
      <c r="B4" s="45"/>
      <c r="C4" s="45"/>
      <c r="D4" s="45"/>
      <c r="E4" s="45"/>
      <c r="F4" s="45"/>
      <c r="G4" s="45"/>
      <c r="H4" s="45"/>
      <c r="I4" s="45"/>
      <c r="J4" s="45"/>
      <c r="K4" s="45"/>
      <c r="L4" s="45"/>
      <c r="M4" s="45"/>
      <c r="N4" s="45"/>
      <c r="O4" s="45"/>
      <c r="P4" s="45"/>
      <c r="Q4" s="45"/>
      <c r="R4" s="45"/>
      <c r="S4" s="45"/>
      <c r="T4" s="45"/>
      <c r="U4" s="45"/>
      <c r="V4" s="39"/>
      <c r="W4" s="39">
        <v>73.52</v>
      </c>
      <c r="X4" s="39">
        <v>74.099999999999994</v>
      </c>
      <c r="Y4" s="39">
        <v>74.31</v>
      </c>
      <c r="Z4" s="39">
        <v>74.59</v>
      </c>
      <c r="AA4" s="39">
        <v>74.790000000000006</v>
      </c>
      <c r="AB4" s="39">
        <v>75.150000000000006</v>
      </c>
      <c r="AC4" s="39">
        <v>75.489999999999995</v>
      </c>
      <c r="AD4" s="39">
        <v>75.819999999999993</v>
      </c>
      <c r="AE4" s="39">
        <v>76.19</v>
      </c>
      <c r="AF4" s="39">
        <v>76.52</v>
      </c>
      <c r="AG4" s="39">
        <v>76.78</v>
      </c>
      <c r="AH4" s="39">
        <v>77.05</v>
      </c>
      <c r="AI4" s="39">
        <v>77.319999999999993</v>
      </c>
      <c r="AJ4" s="39">
        <v>77.69</v>
      </c>
      <c r="AK4" s="39">
        <v>78.08</v>
      </c>
      <c r="AL4" s="39">
        <v>78.47</v>
      </c>
      <c r="AM4" s="39">
        <v>78.77</v>
      </c>
      <c r="AN4" s="39">
        <v>79.05</v>
      </c>
      <c r="AO4" s="39">
        <v>79.319999999999993</v>
      </c>
      <c r="AP4" s="39">
        <v>79.53</v>
      </c>
      <c r="AQ4" s="39">
        <v>79.66</v>
      </c>
      <c r="AR4" s="39">
        <v>79.78</v>
      </c>
      <c r="AS4" s="39">
        <v>79.91</v>
      </c>
      <c r="AT4" s="39">
        <v>80.12</v>
      </c>
      <c r="AU4" s="39">
        <v>80.349999999999994</v>
      </c>
      <c r="AV4" s="39">
        <v>80.63</v>
      </c>
      <c r="AW4" s="39">
        <v>80.98</v>
      </c>
      <c r="AX4" s="39">
        <v>81.099999999999994</v>
      </c>
      <c r="AY4" s="39">
        <v>81.3</v>
      </c>
      <c r="AZ4" s="39">
        <v>81.5</v>
      </c>
      <c r="BA4" s="39">
        <v>81.650000000000006</v>
      </c>
      <c r="BB4" s="39">
        <v>81.78</v>
      </c>
      <c r="BC4" s="39">
        <v>81.92</v>
      </c>
      <c r="BD4" s="39">
        <v>82.06</v>
      </c>
      <c r="BE4" s="39">
        <v>82.18</v>
      </c>
      <c r="BF4" s="39">
        <v>82.39</v>
      </c>
      <c r="BG4" s="39">
        <v>82.57</v>
      </c>
      <c r="BH4" s="39">
        <v>82.77</v>
      </c>
      <c r="BI4" s="39">
        <v>82.92</v>
      </c>
      <c r="BJ4" s="39">
        <v>83.1</v>
      </c>
      <c r="BK4" s="39">
        <v>83.28</v>
      </c>
      <c r="BL4" s="39">
        <v>83.49</v>
      </c>
      <c r="BM4" s="39">
        <v>83.71</v>
      </c>
      <c r="BN4" s="39">
        <v>83.88</v>
      </c>
      <c r="BO4" s="39">
        <v>84.05</v>
      </c>
      <c r="BP4" s="39">
        <v>84.26</v>
      </c>
      <c r="BQ4" s="39">
        <v>84.43</v>
      </c>
      <c r="BR4" s="39">
        <v>84.59</v>
      </c>
      <c r="BS4" s="39">
        <v>84.79</v>
      </c>
      <c r="BT4" s="39">
        <v>84.95</v>
      </c>
      <c r="BU4" s="39">
        <v>85.1</v>
      </c>
      <c r="BV4" s="39">
        <v>85.27</v>
      </c>
      <c r="BW4" s="39">
        <v>85.43</v>
      </c>
      <c r="BX4" s="39">
        <v>85.58</v>
      </c>
      <c r="BY4" s="39">
        <v>85.73</v>
      </c>
      <c r="BZ4" s="39">
        <v>85.86</v>
      </c>
      <c r="CA4" s="39">
        <v>86.02</v>
      </c>
      <c r="CB4" s="39">
        <v>86.19</v>
      </c>
      <c r="CC4" s="39">
        <v>86.32</v>
      </c>
      <c r="CD4" s="39">
        <v>86.47</v>
      </c>
      <c r="CE4" s="39">
        <v>86.61</v>
      </c>
      <c r="CF4" s="39">
        <v>86.75</v>
      </c>
      <c r="CG4" s="39">
        <v>86.89</v>
      </c>
      <c r="CH4" s="39">
        <v>87.05</v>
      </c>
      <c r="CI4" s="39">
        <v>87.2</v>
      </c>
      <c r="CJ4" s="39">
        <v>87.31</v>
      </c>
      <c r="CK4" s="39">
        <v>87.46</v>
      </c>
      <c r="CL4" s="39">
        <v>87.61</v>
      </c>
      <c r="CM4" s="39">
        <v>87.75</v>
      </c>
      <c r="CN4" s="39">
        <v>87.9</v>
      </c>
      <c r="CO4" s="39">
        <v>88.03</v>
      </c>
      <c r="CP4" s="39">
        <v>88.17</v>
      </c>
      <c r="CQ4" s="39">
        <v>88.29</v>
      </c>
      <c r="CR4" s="39">
        <v>88.42</v>
      </c>
      <c r="CS4" s="39">
        <v>88.55</v>
      </c>
      <c r="CT4" s="39">
        <v>88.69</v>
      </c>
      <c r="CU4" s="39">
        <v>88.8</v>
      </c>
      <c r="CV4" s="39">
        <v>88.91</v>
      </c>
      <c r="CW4" s="39">
        <v>89.05</v>
      </c>
      <c r="CX4" s="39">
        <v>89.17</v>
      </c>
      <c r="CY4" s="39">
        <v>89.3</v>
      </c>
      <c r="CZ4" s="39">
        <v>89.41</v>
      </c>
      <c r="DA4" s="39">
        <v>89.53</v>
      </c>
      <c r="DB4" s="39">
        <v>89.64</v>
      </c>
      <c r="DC4" s="39">
        <v>89.76</v>
      </c>
      <c r="DD4" s="39">
        <v>89.88</v>
      </c>
      <c r="DE4" s="39">
        <v>89.99</v>
      </c>
      <c r="DF4" s="39">
        <v>90.11</v>
      </c>
      <c r="DG4" s="39">
        <v>90.22</v>
      </c>
      <c r="DH4" s="39">
        <v>90.33</v>
      </c>
      <c r="DI4" s="39">
        <v>90.44</v>
      </c>
      <c r="DJ4" s="39">
        <v>90.54</v>
      </c>
      <c r="DK4" s="39">
        <v>90.65</v>
      </c>
      <c r="DL4" s="39">
        <v>90.76</v>
      </c>
      <c r="DM4" s="39">
        <v>90.86</v>
      </c>
      <c r="DN4" s="39">
        <v>90.97</v>
      </c>
      <c r="DO4" s="39">
        <v>91.07</v>
      </c>
      <c r="DP4" s="39">
        <v>91.18</v>
      </c>
      <c r="DQ4" s="39">
        <v>91.28</v>
      </c>
      <c r="DR4" s="39">
        <v>91.38</v>
      </c>
    </row>
    <row r="5" spans="1:122">
      <c r="A5" s="44">
        <v>3</v>
      </c>
      <c r="B5" s="45"/>
      <c r="C5" s="45"/>
      <c r="D5" s="45"/>
      <c r="E5" s="45"/>
      <c r="F5" s="45"/>
      <c r="G5" s="45"/>
      <c r="H5" s="45"/>
      <c r="I5" s="45"/>
      <c r="J5" s="45"/>
      <c r="K5" s="45"/>
      <c r="L5" s="45"/>
      <c r="M5" s="45"/>
      <c r="N5" s="45"/>
      <c r="O5" s="45"/>
      <c r="P5" s="45"/>
      <c r="Q5" s="45"/>
      <c r="R5" s="45"/>
      <c r="S5" s="45"/>
      <c r="T5" s="45"/>
      <c r="U5" s="45"/>
      <c r="V5" s="39"/>
      <c r="W5" s="39">
        <v>73.31</v>
      </c>
      <c r="X5" s="39">
        <v>73.53</v>
      </c>
      <c r="Y5" s="39">
        <v>73.739999999999995</v>
      </c>
      <c r="Z5" s="39">
        <v>74.010000000000005</v>
      </c>
      <c r="AA5" s="39">
        <v>74.239999999999995</v>
      </c>
      <c r="AB5" s="39">
        <v>74.56</v>
      </c>
      <c r="AC5" s="39">
        <v>74.95</v>
      </c>
      <c r="AD5" s="39">
        <v>75.19</v>
      </c>
      <c r="AE5" s="39">
        <v>75.52</v>
      </c>
      <c r="AF5" s="39">
        <v>75.819999999999993</v>
      </c>
      <c r="AG5" s="39">
        <v>76.09</v>
      </c>
      <c r="AH5" s="39">
        <v>76.36</v>
      </c>
      <c r="AI5" s="39">
        <v>76.67</v>
      </c>
      <c r="AJ5" s="39">
        <v>77.08</v>
      </c>
      <c r="AK5" s="39">
        <v>77.41</v>
      </c>
      <c r="AL5" s="39">
        <v>77.78</v>
      </c>
      <c r="AM5" s="39">
        <v>78.099999999999994</v>
      </c>
      <c r="AN5" s="39">
        <v>78.38</v>
      </c>
      <c r="AO5" s="39">
        <v>78.650000000000006</v>
      </c>
      <c r="AP5" s="39">
        <v>78.86</v>
      </c>
      <c r="AQ5" s="39">
        <v>79.02</v>
      </c>
      <c r="AR5" s="39">
        <v>79.2</v>
      </c>
      <c r="AS5" s="39">
        <v>79.41</v>
      </c>
      <c r="AT5" s="39">
        <v>79.5</v>
      </c>
      <c r="AU5" s="39">
        <v>79.73</v>
      </c>
      <c r="AV5" s="39">
        <v>79.88</v>
      </c>
      <c r="AW5" s="39">
        <v>80.16</v>
      </c>
      <c r="AX5" s="39">
        <v>80.27</v>
      </c>
      <c r="AY5" s="39">
        <v>80.48</v>
      </c>
      <c r="AZ5" s="39">
        <v>80.62</v>
      </c>
      <c r="BA5" s="39">
        <v>80.78</v>
      </c>
      <c r="BB5" s="39">
        <v>80.900000000000006</v>
      </c>
      <c r="BC5" s="39">
        <v>81.040000000000006</v>
      </c>
      <c r="BD5" s="39">
        <v>81.17</v>
      </c>
      <c r="BE5" s="39">
        <v>81.290000000000006</v>
      </c>
      <c r="BF5" s="39">
        <v>81.489999999999995</v>
      </c>
      <c r="BG5" s="39">
        <v>81.67</v>
      </c>
      <c r="BH5" s="39">
        <v>81.86</v>
      </c>
      <c r="BI5" s="39">
        <v>82.01</v>
      </c>
      <c r="BJ5" s="39">
        <v>82.19</v>
      </c>
      <c r="BK5" s="39">
        <v>82.37</v>
      </c>
      <c r="BL5" s="39">
        <v>82.57</v>
      </c>
      <c r="BM5" s="39">
        <v>82.78</v>
      </c>
      <c r="BN5" s="39">
        <v>82.96</v>
      </c>
      <c r="BO5" s="39">
        <v>83.12</v>
      </c>
      <c r="BP5" s="39">
        <v>83.33</v>
      </c>
      <c r="BQ5" s="39">
        <v>83.51</v>
      </c>
      <c r="BR5" s="39">
        <v>83.65</v>
      </c>
      <c r="BS5" s="39">
        <v>83.85</v>
      </c>
      <c r="BT5" s="39">
        <v>84.01</v>
      </c>
      <c r="BU5" s="39">
        <v>84.16</v>
      </c>
      <c r="BV5" s="39">
        <v>84.33</v>
      </c>
      <c r="BW5" s="39">
        <v>84.48</v>
      </c>
      <c r="BX5" s="39">
        <v>84.63</v>
      </c>
      <c r="BY5" s="39">
        <v>84.78</v>
      </c>
      <c r="BZ5" s="39">
        <v>84.91</v>
      </c>
      <c r="CA5" s="39">
        <v>85.07</v>
      </c>
      <c r="CB5" s="39">
        <v>85.23</v>
      </c>
      <c r="CC5" s="39">
        <v>85.37</v>
      </c>
      <c r="CD5" s="39">
        <v>85.51</v>
      </c>
      <c r="CE5" s="39">
        <v>85.64</v>
      </c>
      <c r="CF5" s="39">
        <v>85.79</v>
      </c>
      <c r="CG5" s="39">
        <v>85.92</v>
      </c>
      <c r="CH5" s="39">
        <v>86.08</v>
      </c>
      <c r="CI5" s="39">
        <v>86.23</v>
      </c>
      <c r="CJ5" s="39">
        <v>86.35</v>
      </c>
      <c r="CK5" s="39">
        <v>86.49</v>
      </c>
      <c r="CL5" s="39">
        <v>86.64</v>
      </c>
      <c r="CM5" s="39">
        <v>86.78</v>
      </c>
      <c r="CN5" s="39">
        <v>86.92</v>
      </c>
      <c r="CO5" s="39">
        <v>87.05</v>
      </c>
      <c r="CP5" s="39">
        <v>87.19</v>
      </c>
      <c r="CQ5" s="39">
        <v>87.31</v>
      </c>
      <c r="CR5" s="39">
        <v>87.44</v>
      </c>
      <c r="CS5" s="39">
        <v>87.58</v>
      </c>
      <c r="CT5" s="39">
        <v>87.71</v>
      </c>
      <c r="CU5" s="39">
        <v>87.82</v>
      </c>
      <c r="CV5" s="39">
        <v>87.93</v>
      </c>
      <c r="CW5" s="39">
        <v>88.06</v>
      </c>
      <c r="CX5" s="39">
        <v>88.19</v>
      </c>
      <c r="CY5" s="39">
        <v>88.32</v>
      </c>
      <c r="CZ5" s="39">
        <v>88.42</v>
      </c>
      <c r="DA5" s="39">
        <v>88.54</v>
      </c>
      <c r="DB5" s="39">
        <v>88.65</v>
      </c>
      <c r="DC5" s="39">
        <v>88.77</v>
      </c>
      <c r="DD5" s="39">
        <v>88.89</v>
      </c>
      <c r="DE5" s="39">
        <v>89</v>
      </c>
      <c r="DF5" s="39">
        <v>89.13</v>
      </c>
      <c r="DG5" s="39">
        <v>89.23</v>
      </c>
      <c r="DH5" s="39">
        <v>89.34</v>
      </c>
      <c r="DI5" s="39">
        <v>89.45</v>
      </c>
      <c r="DJ5" s="39">
        <v>89.55</v>
      </c>
      <c r="DK5" s="39">
        <v>89.67</v>
      </c>
      <c r="DL5" s="39">
        <v>89.77</v>
      </c>
      <c r="DM5" s="39">
        <v>89.88</v>
      </c>
      <c r="DN5" s="39">
        <v>89.98</v>
      </c>
      <c r="DO5" s="39">
        <v>90.09</v>
      </c>
      <c r="DP5" s="39">
        <v>90.19</v>
      </c>
      <c r="DQ5" s="39">
        <v>90.29</v>
      </c>
      <c r="DR5" s="39">
        <v>90.39</v>
      </c>
    </row>
    <row r="6" spans="1:122">
      <c r="A6" s="44">
        <v>4</v>
      </c>
      <c r="B6" s="45"/>
      <c r="C6" s="45"/>
      <c r="D6" s="45"/>
      <c r="E6" s="45"/>
      <c r="F6" s="45"/>
      <c r="G6" s="45"/>
      <c r="H6" s="45"/>
      <c r="I6" s="45"/>
      <c r="J6" s="45"/>
      <c r="K6" s="45"/>
      <c r="L6" s="45"/>
      <c r="M6" s="45"/>
      <c r="N6" s="45"/>
      <c r="O6" s="45"/>
      <c r="P6" s="45"/>
      <c r="Q6" s="45"/>
      <c r="R6" s="45"/>
      <c r="S6" s="45"/>
      <c r="T6" s="45"/>
      <c r="U6" s="45"/>
      <c r="V6" s="39"/>
      <c r="W6" s="39">
        <v>72.569999999999993</v>
      </c>
      <c r="X6" s="39">
        <v>72.790000000000006</v>
      </c>
      <c r="Y6" s="39">
        <v>73.010000000000005</v>
      </c>
      <c r="Z6" s="39">
        <v>73.3</v>
      </c>
      <c r="AA6" s="39">
        <v>73.52</v>
      </c>
      <c r="AB6" s="39">
        <v>73.86</v>
      </c>
      <c r="AC6" s="39">
        <v>74.22</v>
      </c>
      <c r="AD6" s="39">
        <v>74.430000000000007</v>
      </c>
      <c r="AE6" s="39">
        <v>74.739999999999995</v>
      </c>
      <c r="AF6" s="39">
        <v>75.040000000000006</v>
      </c>
      <c r="AG6" s="39">
        <v>75.31</v>
      </c>
      <c r="AH6" s="39">
        <v>75.61</v>
      </c>
      <c r="AI6" s="39">
        <v>75.95</v>
      </c>
      <c r="AJ6" s="39">
        <v>76.319999999999993</v>
      </c>
      <c r="AK6" s="39">
        <v>76.63</v>
      </c>
      <c r="AL6" s="39">
        <v>77.010000000000005</v>
      </c>
      <c r="AM6" s="39">
        <v>77.34</v>
      </c>
      <c r="AN6" s="39">
        <v>77.62</v>
      </c>
      <c r="AO6" s="39">
        <v>77.89</v>
      </c>
      <c r="AP6" s="39">
        <v>78.13</v>
      </c>
      <c r="AQ6" s="39">
        <v>78.319999999999993</v>
      </c>
      <c r="AR6" s="39">
        <v>78.56</v>
      </c>
      <c r="AS6" s="39">
        <v>78.69</v>
      </c>
      <c r="AT6" s="39">
        <v>78.78</v>
      </c>
      <c r="AU6" s="39">
        <v>78.92</v>
      </c>
      <c r="AV6" s="39">
        <v>79.010000000000005</v>
      </c>
      <c r="AW6" s="39">
        <v>79.290000000000006</v>
      </c>
      <c r="AX6" s="39">
        <v>79.400000000000006</v>
      </c>
      <c r="AY6" s="39">
        <v>79.56</v>
      </c>
      <c r="AZ6" s="39">
        <v>79.7</v>
      </c>
      <c r="BA6" s="39">
        <v>79.86</v>
      </c>
      <c r="BB6" s="39">
        <v>79.98</v>
      </c>
      <c r="BC6" s="39">
        <v>80.12</v>
      </c>
      <c r="BD6" s="39">
        <v>80.25</v>
      </c>
      <c r="BE6" s="39">
        <v>80.36</v>
      </c>
      <c r="BF6" s="39">
        <v>80.56</v>
      </c>
      <c r="BG6" s="39">
        <v>80.739999999999995</v>
      </c>
      <c r="BH6" s="39">
        <v>80.930000000000007</v>
      </c>
      <c r="BI6" s="39">
        <v>81.069999999999993</v>
      </c>
      <c r="BJ6" s="39">
        <v>81.25</v>
      </c>
      <c r="BK6" s="39">
        <v>81.42</v>
      </c>
      <c r="BL6" s="39">
        <v>81.62</v>
      </c>
      <c r="BM6" s="39">
        <v>81.84</v>
      </c>
      <c r="BN6" s="39">
        <v>82.01</v>
      </c>
      <c r="BO6" s="39">
        <v>82.18</v>
      </c>
      <c r="BP6" s="39">
        <v>82.38</v>
      </c>
      <c r="BQ6" s="39">
        <v>82.56</v>
      </c>
      <c r="BR6" s="39">
        <v>82.7</v>
      </c>
      <c r="BS6" s="39">
        <v>82.9</v>
      </c>
      <c r="BT6" s="39">
        <v>83.06</v>
      </c>
      <c r="BU6" s="39">
        <v>83.2</v>
      </c>
      <c r="BV6" s="39">
        <v>83.37</v>
      </c>
      <c r="BW6" s="39">
        <v>83.52</v>
      </c>
      <c r="BX6" s="39">
        <v>83.68</v>
      </c>
      <c r="BY6" s="39">
        <v>83.82</v>
      </c>
      <c r="BZ6" s="39">
        <v>83.95</v>
      </c>
      <c r="CA6" s="39">
        <v>84.1</v>
      </c>
      <c r="CB6" s="39">
        <v>84.26</v>
      </c>
      <c r="CC6" s="39">
        <v>84.4</v>
      </c>
      <c r="CD6" s="39">
        <v>84.54</v>
      </c>
      <c r="CE6" s="39">
        <v>84.67</v>
      </c>
      <c r="CF6" s="39">
        <v>84.82</v>
      </c>
      <c r="CG6" s="39">
        <v>84.95</v>
      </c>
      <c r="CH6" s="39">
        <v>85.11</v>
      </c>
      <c r="CI6" s="39">
        <v>85.26</v>
      </c>
      <c r="CJ6" s="39">
        <v>85.37</v>
      </c>
      <c r="CK6" s="39">
        <v>85.52</v>
      </c>
      <c r="CL6" s="39">
        <v>85.66</v>
      </c>
      <c r="CM6" s="39">
        <v>85.8</v>
      </c>
      <c r="CN6" s="39">
        <v>85.94</v>
      </c>
      <c r="CO6" s="39">
        <v>86.07</v>
      </c>
      <c r="CP6" s="39">
        <v>86.21</v>
      </c>
      <c r="CQ6" s="39">
        <v>86.32</v>
      </c>
      <c r="CR6" s="39">
        <v>86.45</v>
      </c>
      <c r="CS6" s="39">
        <v>86.59</v>
      </c>
      <c r="CT6" s="39">
        <v>86.72</v>
      </c>
      <c r="CU6" s="39">
        <v>86.84</v>
      </c>
      <c r="CV6" s="39">
        <v>86.94</v>
      </c>
      <c r="CW6" s="39">
        <v>87.08</v>
      </c>
      <c r="CX6" s="39">
        <v>87.2</v>
      </c>
      <c r="CY6" s="39">
        <v>87.33</v>
      </c>
      <c r="CZ6" s="39">
        <v>87.43</v>
      </c>
      <c r="DA6" s="39">
        <v>87.56</v>
      </c>
      <c r="DB6" s="39">
        <v>87.67</v>
      </c>
      <c r="DC6" s="39">
        <v>87.79</v>
      </c>
      <c r="DD6" s="39">
        <v>87.9</v>
      </c>
      <c r="DE6" s="39">
        <v>88.01</v>
      </c>
      <c r="DF6" s="39">
        <v>88.14</v>
      </c>
      <c r="DG6" s="39">
        <v>88.24</v>
      </c>
      <c r="DH6" s="39">
        <v>88.35</v>
      </c>
      <c r="DI6" s="39">
        <v>88.46</v>
      </c>
      <c r="DJ6" s="39">
        <v>88.56</v>
      </c>
      <c r="DK6" s="39">
        <v>88.68</v>
      </c>
      <c r="DL6" s="39">
        <v>88.78</v>
      </c>
      <c r="DM6" s="39">
        <v>88.89</v>
      </c>
      <c r="DN6" s="39">
        <v>88.99</v>
      </c>
      <c r="DO6" s="39">
        <v>89.1</v>
      </c>
      <c r="DP6" s="39">
        <v>89.2</v>
      </c>
      <c r="DQ6" s="39">
        <v>89.3</v>
      </c>
      <c r="DR6" s="39">
        <v>89.4</v>
      </c>
    </row>
    <row r="7" spans="1:122">
      <c r="A7" s="44">
        <v>5</v>
      </c>
      <c r="B7" s="45"/>
      <c r="C7" s="45"/>
      <c r="D7" s="45"/>
      <c r="E7" s="45"/>
      <c r="F7" s="45"/>
      <c r="G7" s="45"/>
      <c r="H7" s="45"/>
      <c r="I7" s="45"/>
      <c r="J7" s="45"/>
      <c r="K7" s="45"/>
      <c r="L7" s="45"/>
      <c r="M7" s="45"/>
      <c r="N7" s="45"/>
      <c r="O7" s="45"/>
      <c r="P7" s="45"/>
      <c r="Q7" s="45"/>
      <c r="R7" s="45"/>
      <c r="S7" s="45"/>
      <c r="T7" s="45"/>
      <c r="U7" s="45"/>
      <c r="V7" s="39"/>
      <c r="W7" s="39">
        <v>71.78</v>
      </c>
      <c r="X7" s="39">
        <v>72</v>
      </c>
      <c r="Y7" s="39">
        <v>72.23</v>
      </c>
      <c r="Z7" s="39">
        <v>72.52</v>
      </c>
      <c r="AA7" s="39">
        <v>72.760000000000005</v>
      </c>
      <c r="AB7" s="39">
        <v>73.09</v>
      </c>
      <c r="AC7" s="39">
        <v>73.41</v>
      </c>
      <c r="AD7" s="39">
        <v>73.61</v>
      </c>
      <c r="AE7" s="39">
        <v>73.92</v>
      </c>
      <c r="AF7" s="39">
        <v>74.23</v>
      </c>
      <c r="AG7" s="39">
        <v>74.52</v>
      </c>
      <c r="AH7" s="39">
        <v>74.84</v>
      </c>
      <c r="AI7" s="39">
        <v>75.150000000000006</v>
      </c>
      <c r="AJ7" s="39">
        <v>75.510000000000005</v>
      </c>
      <c r="AK7" s="39">
        <v>75.83</v>
      </c>
      <c r="AL7" s="39">
        <v>76.209999999999994</v>
      </c>
      <c r="AM7" s="39">
        <v>76.540000000000006</v>
      </c>
      <c r="AN7" s="39">
        <v>76.819999999999993</v>
      </c>
      <c r="AO7" s="39">
        <v>77.11</v>
      </c>
      <c r="AP7" s="39">
        <v>77.38</v>
      </c>
      <c r="AQ7" s="39">
        <v>77.63</v>
      </c>
      <c r="AR7" s="39">
        <v>77.75</v>
      </c>
      <c r="AS7" s="39">
        <v>77.88</v>
      </c>
      <c r="AT7" s="39">
        <v>77.91</v>
      </c>
      <c r="AU7" s="39">
        <v>78.02</v>
      </c>
      <c r="AV7" s="39">
        <v>78.11</v>
      </c>
      <c r="AW7" s="39">
        <v>78.39</v>
      </c>
      <c r="AX7" s="39">
        <v>78.47</v>
      </c>
      <c r="AY7" s="39">
        <v>78.63</v>
      </c>
      <c r="AZ7" s="39">
        <v>78.77</v>
      </c>
      <c r="BA7" s="39">
        <v>78.91</v>
      </c>
      <c r="BB7" s="39">
        <v>79.040000000000006</v>
      </c>
      <c r="BC7" s="39">
        <v>79.180000000000007</v>
      </c>
      <c r="BD7" s="39">
        <v>79.31</v>
      </c>
      <c r="BE7" s="39">
        <v>79.41</v>
      </c>
      <c r="BF7" s="39">
        <v>79.62</v>
      </c>
      <c r="BG7" s="39">
        <v>79.790000000000006</v>
      </c>
      <c r="BH7" s="39">
        <v>79.97</v>
      </c>
      <c r="BI7" s="39">
        <v>80.12</v>
      </c>
      <c r="BJ7" s="39">
        <v>80.290000000000006</v>
      </c>
      <c r="BK7" s="39">
        <v>80.47</v>
      </c>
      <c r="BL7" s="39">
        <v>80.67</v>
      </c>
      <c r="BM7" s="39">
        <v>80.89</v>
      </c>
      <c r="BN7" s="39">
        <v>81.06</v>
      </c>
      <c r="BO7" s="39">
        <v>81.22</v>
      </c>
      <c r="BP7" s="39">
        <v>81.42</v>
      </c>
      <c r="BQ7" s="39">
        <v>81.599999999999994</v>
      </c>
      <c r="BR7" s="39">
        <v>81.75</v>
      </c>
      <c r="BS7" s="39">
        <v>81.93</v>
      </c>
      <c r="BT7" s="39">
        <v>82.1</v>
      </c>
      <c r="BU7" s="39">
        <v>82.24</v>
      </c>
      <c r="BV7" s="39">
        <v>82.41</v>
      </c>
      <c r="BW7" s="39">
        <v>82.56</v>
      </c>
      <c r="BX7" s="39">
        <v>82.71</v>
      </c>
      <c r="BY7" s="39">
        <v>82.85</v>
      </c>
      <c r="BZ7" s="39">
        <v>82.98</v>
      </c>
      <c r="CA7" s="39">
        <v>83.13</v>
      </c>
      <c r="CB7" s="39">
        <v>83.29</v>
      </c>
      <c r="CC7" s="39">
        <v>83.42</v>
      </c>
      <c r="CD7" s="39">
        <v>83.56</v>
      </c>
      <c r="CE7" s="39">
        <v>83.69</v>
      </c>
      <c r="CF7" s="39">
        <v>83.84</v>
      </c>
      <c r="CG7" s="39">
        <v>83.97</v>
      </c>
      <c r="CH7" s="39">
        <v>84.12</v>
      </c>
      <c r="CI7" s="39">
        <v>84.28</v>
      </c>
      <c r="CJ7" s="39">
        <v>84.39</v>
      </c>
      <c r="CK7" s="39">
        <v>84.54</v>
      </c>
      <c r="CL7" s="39">
        <v>84.68</v>
      </c>
      <c r="CM7" s="39">
        <v>84.82</v>
      </c>
      <c r="CN7" s="39">
        <v>84.96</v>
      </c>
      <c r="CO7" s="39">
        <v>85.09</v>
      </c>
      <c r="CP7" s="39">
        <v>85.22</v>
      </c>
      <c r="CQ7" s="39">
        <v>85.34</v>
      </c>
      <c r="CR7" s="39">
        <v>85.46</v>
      </c>
      <c r="CS7" s="39">
        <v>85.61</v>
      </c>
      <c r="CT7" s="39">
        <v>85.73</v>
      </c>
      <c r="CU7" s="39">
        <v>85.85</v>
      </c>
      <c r="CV7" s="39">
        <v>85.96</v>
      </c>
      <c r="CW7" s="39">
        <v>86.09</v>
      </c>
      <c r="CX7" s="39">
        <v>86.21</v>
      </c>
      <c r="CY7" s="39">
        <v>86.34</v>
      </c>
      <c r="CZ7" s="39">
        <v>86.44</v>
      </c>
      <c r="DA7" s="39">
        <v>86.57</v>
      </c>
      <c r="DB7" s="39">
        <v>86.68</v>
      </c>
      <c r="DC7" s="39">
        <v>86.8</v>
      </c>
      <c r="DD7" s="39">
        <v>86.91</v>
      </c>
      <c r="DE7" s="39">
        <v>87.02</v>
      </c>
      <c r="DF7" s="39">
        <v>87.14</v>
      </c>
      <c r="DG7" s="39">
        <v>87.25</v>
      </c>
      <c r="DH7" s="39">
        <v>87.36</v>
      </c>
      <c r="DI7" s="39">
        <v>87.47</v>
      </c>
      <c r="DJ7" s="39">
        <v>87.57</v>
      </c>
      <c r="DK7" s="39">
        <v>87.68</v>
      </c>
      <c r="DL7" s="39">
        <v>87.79</v>
      </c>
      <c r="DM7" s="39">
        <v>87.9</v>
      </c>
      <c r="DN7" s="39">
        <v>88</v>
      </c>
      <c r="DO7" s="39">
        <v>88.1</v>
      </c>
      <c r="DP7" s="39">
        <v>88.21</v>
      </c>
      <c r="DQ7" s="39">
        <v>88.31</v>
      </c>
      <c r="DR7" s="39">
        <v>88.41</v>
      </c>
    </row>
    <row r="8" spans="1:122">
      <c r="A8" s="44">
        <v>6</v>
      </c>
      <c r="B8" s="45"/>
      <c r="C8" s="45"/>
      <c r="D8" s="45"/>
      <c r="E8" s="45"/>
      <c r="F8" s="45"/>
      <c r="G8" s="45"/>
      <c r="H8" s="45"/>
      <c r="I8" s="45"/>
      <c r="J8" s="45"/>
      <c r="K8" s="45"/>
      <c r="L8" s="45"/>
      <c r="M8" s="45"/>
      <c r="N8" s="45"/>
      <c r="O8" s="45"/>
      <c r="P8" s="45"/>
      <c r="Q8" s="45"/>
      <c r="R8" s="45"/>
      <c r="S8" s="45"/>
      <c r="T8" s="45"/>
      <c r="U8" s="45"/>
      <c r="V8" s="39"/>
      <c r="W8" s="39">
        <v>70.94</v>
      </c>
      <c r="X8" s="39">
        <v>71.17</v>
      </c>
      <c r="Y8" s="39">
        <v>71.41</v>
      </c>
      <c r="Z8" s="39">
        <v>71.72</v>
      </c>
      <c r="AA8" s="39">
        <v>71.959999999999994</v>
      </c>
      <c r="AB8" s="39">
        <v>72.260000000000005</v>
      </c>
      <c r="AC8" s="39">
        <v>72.569999999999993</v>
      </c>
      <c r="AD8" s="39">
        <v>72.77</v>
      </c>
      <c r="AE8" s="39">
        <v>73.08</v>
      </c>
      <c r="AF8" s="39">
        <v>73.41</v>
      </c>
      <c r="AG8" s="39">
        <v>73.72</v>
      </c>
      <c r="AH8" s="39">
        <v>74.02</v>
      </c>
      <c r="AI8" s="39">
        <v>74.31</v>
      </c>
      <c r="AJ8" s="39">
        <v>74.680000000000007</v>
      </c>
      <c r="AK8" s="39">
        <v>75</v>
      </c>
      <c r="AL8" s="39">
        <v>75.39</v>
      </c>
      <c r="AM8" s="39">
        <v>75.709999999999994</v>
      </c>
      <c r="AN8" s="39">
        <v>76.010000000000005</v>
      </c>
      <c r="AO8" s="39">
        <v>76.33</v>
      </c>
      <c r="AP8" s="39">
        <v>76.64</v>
      </c>
      <c r="AQ8" s="39">
        <v>76.760000000000005</v>
      </c>
      <c r="AR8" s="39">
        <v>76.89</v>
      </c>
      <c r="AS8" s="39">
        <v>76.98</v>
      </c>
      <c r="AT8" s="39">
        <v>76.98</v>
      </c>
      <c r="AU8" s="39">
        <v>77.099999999999994</v>
      </c>
      <c r="AV8" s="39">
        <v>77.19</v>
      </c>
      <c r="AW8" s="39">
        <v>77.45</v>
      </c>
      <c r="AX8" s="39">
        <v>77.52</v>
      </c>
      <c r="AY8" s="39">
        <v>77.69</v>
      </c>
      <c r="AZ8" s="39">
        <v>77.819999999999993</v>
      </c>
      <c r="BA8" s="39">
        <v>77.959999999999994</v>
      </c>
      <c r="BB8" s="39">
        <v>78.09</v>
      </c>
      <c r="BC8" s="39">
        <v>78.23</v>
      </c>
      <c r="BD8" s="39">
        <v>78.349999999999994</v>
      </c>
      <c r="BE8" s="39">
        <v>78.459999999999994</v>
      </c>
      <c r="BF8" s="39">
        <v>78.66</v>
      </c>
      <c r="BG8" s="39">
        <v>78.83</v>
      </c>
      <c r="BH8" s="39">
        <v>79.010000000000005</v>
      </c>
      <c r="BI8" s="39">
        <v>79.16</v>
      </c>
      <c r="BJ8" s="39">
        <v>79.33</v>
      </c>
      <c r="BK8" s="39">
        <v>79.510000000000005</v>
      </c>
      <c r="BL8" s="39">
        <v>79.709999999999994</v>
      </c>
      <c r="BM8" s="39">
        <v>79.92</v>
      </c>
      <c r="BN8" s="39">
        <v>80.099999999999994</v>
      </c>
      <c r="BO8" s="39">
        <v>80.260000000000005</v>
      </c>
      <c r="BP8" s="39">
        <v>80.459999999999994</v>
      </c>
      <c r="BQ8" s="39">
        <v>80.64</v>
      </c>
      <c r="BR8" s="39">
        <v>80.78</v>
      </c>
      <c r="BS8" s="39">
        <v>80.97</v>
      </c>
      <c r="BT8" s="39">
        <v>81.13</v>
      </c>
      <c r="BU8" s="39">
        <v>81.27</v>
      </c>
      <c r="BV8" s="39">
        <v>81.430000000000007</v>
      </c>
      <c r="BW8" s="39">
        <v>81.59</v>
      </c>
      <c r="BX8" s="39">
        <v>81.73</v>
      </c>
      <c r="BY8" s="39">
        <v>81.87</v>
      </c>
      <c r="BZ8" s="39">
        <v>82.01</v>
      </c>
      <c r="CA8" s="39">
        <v>82.15</v>
      </c>
      <c r="CB8" s="39">
        <v>82.31</v>
      </c>
      <c r="CC8" s="39">
        <v>82.45</v>
      </c>
      <c r="CD8" s="39">
        <v>82.58</v>
      </c>
      <c r="CE8" s="39">
        <v>82.71</v>
      </c>
      <c r="CF8" s="39">
        <v>82.85</v>
      </c>
      <c r="CG8" s="39">
        <v>82.98</v>
      </c>
      <c r="CH8" s="39">
        <v>83.14</v>
      </c>
      <c r="CI8" s="39">
        <v>83.29</v>
      </c>
      <c r="CJ8" s="39">
        <v>83.41</v>
      </c>
      <c r="CK8" s="39">
        <v>83.56</v>
      </c>
      <c r="CL8" s="39">
        <v>83.69</v>
      </c>
      <c r="CM8" s="39">
        <v>83.83</v>
      </c>
      <c r="CN8" s="39">
        <v>83.97</v>
      </c>
      <c r="CO8" s="39">
        <v>84.1</v>
      </c>
      <c r="CP8" s="39">
        <v>84.23</v>
      </c>
      <c r="CQ8" s="39">
        <v>84.35</v>
      </c>
      <c r="CR8" s="39">
        <v>84.47</v>
      </c>
      <c r="CS8" s="39">
        <v>84.61</v>
      </c>
      <c r="CT8" s="39">
        <v>84.74</v>
      </c>
      <c r="CU8" s="39">
        <v>84.86</v>
      </c>
      <c r="CV8" s="39">
        <v>84.97</v>
      </c>
      <c r="CW8" s="39">
        <v>85.1</v>
      </c>
      <c r="CX8" s="39">
        <v>85.22</v>
      </c>
      <c r="CY8" s="39">
        <v>85.34</v>
      </c>
      <c r="CZ8" s="39">
        <v>85.45</v>
      </c>
      <c r="DA8" s="39">
        <v>85.57</v>
      </c>
      <c r="DB8" s="39">
        <v>85.69</v>
      </c>
      <c r="DC8" s="39">
        <v>85.81</v>
      </c>
      <c r="DD8" s="39">
        <v>85.92</v>
      </c>
      <c r="DE8" s="39">
        <v>86.03</v>
      </c>
      <c r="DF8" s="39">
        <v>86.15</v>
      </c>
      <c r="DG8" s="39">
        <v>86.26</v>
      </c>
      <c r="DH8" s="39">
        <v>86.36</v>
      </c>
      <c r="DI8" s="39">
        <v>86.47</v>
      </c>
      <c r="DJ8" s="39">
        <v>86.58</v>
      </c>
      <c r="DK8" s="39">
        <v>86.69</v>
      </c>
      <c r="DL8" s="39">
        <v>86.8</v>
      </c>
      <c r="DM8" s="39">
        <v>86.9</v>
      </c>
      <c r="DN8" s="39">
        <v>87.01</v>
      </c>
      <c r="DO8" s="39">
        <v>87.11</v>
      </c>
      <c r="DP8" s="39">
        <v>87.21</v>
      </c>
      <c r="DQ8" s="39">
        <v>87.31</v>
      </c>
      <c r="DR8" s="39">
        <v>87.41</v>
      </c>
    </row>
    <row r="9" spans="1:122">
      <c r="A9" s="44">
        <v>7</v>
      </c>
      <c r="B9" s="45"/>
      <c r="C9" s="45"/>
      <c r="D9" s="45"/>
      <c r="E9" s="45"/>
      <c r="F9" s="45"/>
      <c r="G9" s="45"/>
      <c r="H9" s="45"/>
      <c r="I9" s="45"/>
      <c r="J9" s="45"/>
      <c r="K9" s="45"/>
      <c r="L9" s="45"/>
      <c r="M9" s="45"/>
      <c r="N9" s="45"/>
      <c r="O9" s="45"/>
      <c r="P9" s="45"/>
      <c r="Q9" s="45"/>
      <c r="R9" s="45"/>
      <c r="S9" s="45"/>
      <c r="T9" s="45"/>
      <c r="U9" s="45"/>
      <c r="V9" s="39"/>
      <c r="W9" s="39">
        <v>70.069999999999993</v>
      </c>
      <c r="X9" s="39">
        <v>70.319999999999993</v>
      </c>
      <c r="Y9" s="39">
        <v>70.58</v>
      </c>
      <c r="Z9" s="39">
        <v>70.900000000000006</v>
      </c>
      <c r="AA9" s="39">
        <v>71.11</v>
      </c>
      <c r="AB9" s="39">
        <v>71.400000000000006</v>
      </c>
      <c r="AC9" s="39">
        <v>71.709999999999994</v>
      </c>
      <c r="AD9" s="39">
        <v>71.91</v>
      </c>
      <c r="AE9" s="39">
        <v>72.239999999999995</v>
      </c>
      <c r="AF9" s="39">
        <v>72.59</v>
      </c>
      <c r="AG9" s="39">
        <v>72.87</v>
      </c>
      <c r="AH9" s="39">
        <v>73.16</v>
      </c>
      <c r="AI9" s="39">
        <v>73.47</v>
      </c>
      <c r="AJ9" s="39">
        <v>73.83</v>
      </c>
      <c r="AK9" s="39">
        <v>74.16</v>
      </c>
      <c r="AL9" s="39">
        <v>74.540000000000006</v>
      </c>
      <c r="AM9" s="39">
        <v>74.88</v>
      </c>
      <c r="AN9" s="39">
        <v>75.209999999999994</v>
      </c>
      <c r="AO9" s="39">
        <v>75.56</v>
      </c>
      <c r="AP9" s="39">
        <v>75.75</v>
      </c>
      <c r="AQ9" s="39">
        <v>75.87</v>
      </c>
      <c r="AR9" s="39">
        <v>75.959999999999994</v>
      </c>
      <c r="AS9" s="39">
        <v>76.040000000000006</v>
      </c>
      <c r="AT9" s="39">
        <v>76.05</v>
      </c>
      <c r="AU9" s="39">
        <v>76.16</v>
      </c>
      <c r="AV9" s="39">
        <v>76.239999999999995</v>
      </c>
      <c r="AW9" s="39">
        <v>76.489999999999995</v>
      </c>
      <c r="AX9" s="39">
        <v>76.569999999999993</v>
      </c>
      <c r="AY9" s="39">
        <v>76.73</v>
      </c>
      <c r="AZ9" s="39">
        <v>76.86</v>
      </c>
      <c r="BA9" s="39">
        <v>77</v>
      </c>
      <c r="BB9" s="39">
        <v>77.13</v>
      </c>
      <c r="BC9" s="39">
        <v>77.260000000000005</v>
      </c>
      <c r="BD9" s="39">
        <v>77.38</v>
      </c>
      <c r="BE9" s="39">
        <v>77.489999999999995</v>
      </c>
      <c r="BF9" s="39">
        <v>77.69</v>
      </c>
      <c r="BG9" s="39">
        <v>77.87</v>
      </c>
      <c r="BH9" s="39">
        <v>78.05</v>
      </c>
      <c r="BI9" s="39">
        <v>78.19</v>
      </c>
      <c r="BJ9" s="39">
        <v>78.37</v>
      </c>
      <c r="BK9" s="39">
        <v>78.55</v>
      </c>
      <c r="BL9" s="39">
        <v>78.739999999999995</v>
      </c>
      <c r="BM9" s="39">
        <v>78.959999999999994</v>
      </c>
      <c r="BN9" s="39">
        <v>79.13</v>
      </c>
      <c r="BO9" s="39">
        <v>79.3</v>
      </c>
      <c r="BP9" s="39">
        <v>79.489999999999995</v>
      </c>
      <c r="BQ9" s="39">
        <v>79.67</v>
      </c>
      <c r="BR9" s="39">
        <v>79.81</v>
      </c>
      <c r="BS9" s="39">
        <v>80</v>
      </c>
      <c r="BT9" s="39">
        <v>80.16</v>
      </c>
      <c r="BU9" s="39">
        <v>80.3</v>
      </c>
      <c r="BV9" s="39">
        <v>80.459999999999994</v>
      </c>
      <c r="BW9" s="39">
        <v>80.62</v>
      </c>
      <c r="BX9" s="39">
        <v>80.75</v>
      </c>
      <c r="BY9" s="39">
        <v>80.900000000000006</v>
      </c>
      <c r="BZ9" s="39">
        <v>81.03</v>
      </c>
      <c r="CA9" s="39">
        <v>81.16</v>
      </c>
      <c r="CB9" s="39">
        <v>81.33</v>
      </c>
      <c r="CC9" s="39">
        <v>81.459999999999994</v>
      </c>
      <c r="CD9" s="39">
        <v>81.59</v>
      </c>
      <c r="CE9" s="39">
        <v>81.72</v>
      </c>
      <c r="CF9" s="39">
        <v>81.87</v>
      </c>
      <c r="CG9" s="39">
        <v>82</v>
      </c>
      <c r="CH9" s="39">
        <v>82.16</v>
      </c>
      <c r="CI9" s="39">
        <v>82.31</v>
      </c>
      <c r="CJ9" s="39">
        <v>82.42</v>
      </c>
      <c r="CK9" s="39">
        <v>82.56</v>
      </c>
      <c r="CL9" s="39">
        <v>82.71</v>
      </c>
      <c r="CM9" s="39">
        <v>82.84</v>
      </c>
      <c r="CN9" s="39">
        <v>82.98</v>
      </c>
      <c r="CO9" s="39">
        <v>83.11</v>
      </c>
      <c r="CP9" s="39">
        <v>83.24</v>
      </c>
      <c r="CQ9" s="39">
        <v>83.36</v>
      </c>
      <c r="CR9" s="39">
        <v>83.49</v>
      </c>
      <c r="CS9" s="39">
        <v>83.62</v>
      </c>
      <c r="CT9" s="39">
        <v>83.75</v>
      </c>
      <c r="CU9" s="39">
        <v>83.87</v>
      </c>
      <c r="CV9" s="39">
        <v>83.98</v>
      </c>
      <c r="CW9" s="39">
        <v>84.11</v>
      </c>
      <c r="CX9" s="39">
        <v>84.23</v>
      </c>
      <c r="CY9" s="39">
        <v>84.35</v>
      </c>
      <c r="CZ9" s="39">
        <v>84.46</v>
      </c>
      <c r="DA9" s="39">
        <v>84.58</v>
      </c>
      <c r="DB9" s="39">
        <v>84.69</v>
      </c>
      <c r="DC9" s="39">
        <v>84.81</v>
      </c>
      <c r="DD9" s="39">
        <v>84.93</v>
      </c>
      <c r="DE9" s="39">
        <v>85.04</v>
      </c>
      <c r="DF9" s="39">
        <v>85.15</v>
      </c>
      <c r="DG9" s="39">
        <v>85.26</v>
      </c>
      <c r="DH9" s="39">
        <v>85.37</v>
      </c>
      <c r="DI9" s="39">
        <v>85.48</v>
      </c>
      <c r="DJ9" s="39">
        <v>85.59</v>
      </c>
      <c r="DK9" s="39">
        <v>85.7</v>
      </c>
      <c r="DL9" s="39">
        <v>85.8</v>
      </c>
      <c r="DM9" s="39">
        <v>85.91</v>
      </c>
      <c r="DN9" s="39">
        <v>86.01</v>
      </c>
      <c r="DO9" s="39">
        <v>86.11</v>
      </c>
      <c r="DP9" s="39">
        <v>86.22</v>
      </c>
      <c r="DQ9" s="39">
        <v>86.32</v>
      </c>
      <c r="DR9" s="39">
        <v>86.42</v>
      </c>
    </row>
    <row r="10" spans="1:122">
      <c r="A10" s="44">
        <v>8</v>
      </c>
      <c r="B10" s="45"/>
      <c r="C10" s="45"/>
      <c r="D10" s="45"/>
      <c r="E10" s="45"/>
      <c r="F10" s="45"/>
      <c r="G10" s="45"/>
      <c r="H10" s="45"/>
      <c r="I10" s="45"/>
      <c r="J10" s="45"/>
      <c r="K10" s="45"/>
      <c r="L10" s="45"/>
      <c r="M10" s="45"/>
      <c r="N10" s="45"/>
      <c r="O10" s="45"/>
      <c r="P10" s="45"/>
      <c r="Q10" s="45"/>
      <c r="R10" s="45"/>
      <c r="S10" s="45"/>
      <c r="T10" s="45"/>
      <c r="U10" s="45"/>
      <c r="V10" s="39"/>
      <c r="W10" s="39">
        <v>69.2</v>
      </c>
      <c r="X10" s="39">
        <v>69.45</v>
      </c>
      <c r="Y10" s="39">
        <v>69.709999999999994</v>
      </c>
      <c r="Z10" s="39">
        <v>70.010000000000005</v>
      </c>
      <c r="AA10" s="39">
        <v>70.23</v>
      </c>
      <c r="AB10" s="39">
        <v>70.52</v>
      </c>
      <c r="AC10" s="39">
        <v>70.83</v>
      </c>
      <c r="AD10" s="39">
        <v>71.06</v>
      </c>
      <c r="AE10" s="39">
        <v>71.39</v>
      </c>
      <c r="AF10" s="39">
        <v>71.72</v>
      </c>
      <c r="AG10" s="39">
        <v>72</v>
      </c>
      <c r="AH10" s="39">
        <v>72.290000000000006</v>
      </c>
      <c r="AI10" s="39">
        <v>72.599999999999994</v>
      </c>
      <c r="AJ10" s="39">
        <v>72.959999999999994</v>
      </c>
      <c r="AK10" s="39">
        <v>73.290000000000006</v>
      </c>
      <c r="AL10" s="39">
        <v>73.69</v>
      </c>
      <c r="AM10" s="39">
        <v>74.05</v>
      </c>
      <c r="AN10" s="39">
        <v>74.41</v>
      </c>
      <c r="AO10" s="39">
        <v>74.650000000000006</v>
      </c>
      <c r="AP10" s="39">
        <v>74.83</v>
      </c>
      <c r="AQ10" s="39">
        <v>74.94</v>
      </c>
      <c r="AR10" s="39">
        <v>75.010000000000005</v>
      </c>
      <c r="AS10" s="39">
        <v>75.09</v>
      </c>
      <c r="AT10" s="39">
        <v>75.09</v>
      </c>
      <c r="AU10" s="39">
        <v>75.2</v>
      </c>
      <c r="AV10" s="39">
        <v>75.27</v>
      </c>
      <c r="AW10" s="39">
        <v>75.52</v>
      </c>
      <c r="AX10" s="39">
        <v>75.599999999999994</v>
      </c>
      <c r="AY10" s="39">
        <v>75.760000000000005</v>
      </c>
      <c r="AZ10" s="39">
        <v>75.89</v>
      </c>
      <c r="BA10" s="39">
        <v>76.03</v>
      </c>
      <c r="BB10" s="39">
        <v>76.16</v>
      </c>
      <c r="BC10" s="39">
        <v>76.290000000000006</v>
      </c>
      <c r="BD10" s="39">
        <v>76.42</v>
      </c>
      <c r="BE10" s="39">
        <v>76.53</v>
      </c>
      <c r="BF10" s="39">
        <v>76.72</v>
      </c>
      <c r="BG10" s="39">
        <v>76.900000000000006</v>
      </c>
      <c r="BH10" s="39">
        <v>77.08</v>
      </c>
      <c r="BI10" s="39">
        <v>77.22</v>
      </c>
      <c r="BJ10" s="39">
        <v>77.400000000000006</v>
      </c>
      <c r="BK10" s="39">
        <v>77.58</v>
      </c>
      <c r="BL10" s="39">
        <v>77.77</v>
      </c>
      <c r="BM10" s="39">
        <v>77.989999999999995</v>
      </c>
      <c r="BN10" s="39">
        <v>78.16</v>
      </c>
      <c r="BO10" s="39">
        <v>78.33</v>
      </c>
      <c r="BP10" s="39">
        <v>78.52</v>
      </c>
      <c r="BQ10" s="39">
        <v>78.7</v>
      </c>
      <c r="BR10" s="39">
        <v>78.84</v>
      </c>
      <c r="BS10" s="39">
        <v>79.02</v>
      </c>
      <c r="BT10" s="39">
        <v>79.180000000000007</v>
      </c>
      <c r="BU10" s="39">
        <v>79.319999999999993</v>
      </c>
      <c r="BV10" s="39">
        <v>79.48</v>
      </c>
      <c r="BW10" s="39">
        <v>79.64</v>
      </c>
      <c r="BX10" s="39">
        <v>79.77</v>
      </c>
      <c r="BY10" s="39">
        <v>79.92</v>
      </c>
      <c r="BZ10" s="39">
        <v>80.05</v>
      </c>
      <c r="CA10" s="39">
        <v>80.180000000000007</v>
      </c>
      <c r="CB10" s="39">
        <v>80.34</v>
      </c>
      <c r="CC10" s="39">
        <v>80.48</v>
      </c>
      <c r="CD10" s="39">
        <v>80.61</v>
      </c>
      <c r="CE10" s="39">
        <v>80.739999999999995</v>
      </c>
      <c r="CF10" s="39">
        <v>80.89</v>
      </c>
      <c r="CG10" s="39">
        <v>81.010000000000005</v>
      </c>
      <c r="CH10" s="39">
        <v>81.17</v>
      </c>
      <c r="CI10" s="39">
        <v>81.319999999999993</v>
      </c>
      <c r="CJ10" s="39">
        <v>81.44</v>
      </c>
      <c r="CK10" s="39">
        <v>81.58</v>
      </c>
      <c r="CL10" s="39">
        <v>81.72</v>
      </c>
      <c r="CM10" s="39">
        <v>81.849999999999994</v>
      </c>
      <c r="CN10" s="39">
        <v>81.99</v>
      </c>
      <c r="CO10" s="39">
        <v>82.11</v>
      </c>
      <c r="CP10" s="39">
        <v>82.25</v>
      </c>
      <c r="CQ10" s="39">
        <v>82.36</v>
      </c>
      <c r="CR10" s="39">
        <v>82.49</v>
      </c>
      <c r="CS10" s="39">
        <v>82.63</v>
      </c>
      <c r="CT10" s="39">
        <v>82.76</v>
      </c>
      <c r="CU10" s="39">
        <v>82.87</v>
      </c>
      <c r="CV10" s="39">
        <v>82.99</v>
      </c>
      <c r="CW10" s="39">
        <v>83.11</v>
      </c>
      <c r="CX10" s="39">
        <v>83.23</v>
      </c>
      <c r="CY10" s="39">
        <v>83.35</v>
      </c>
      <c r="CZ10" s="39">
        <v>83.47</v>
      </c>
      <c r="DA10" s="39">
        <v>83.59</v>
      </c>
      <c r="DB10" s="39">
        <v>83.7</v>
      </c>
      <c r="DC10" s="39">
        <v>83.82</v>
      </c>
      <c r="DD10" s="39">
        <v>83.93</v>
      </c>
      <c r="DE10" s="39">
        <v>84.04</v>
      </c>
      <c r="DF10" s="39">
        <v>84.16</v>
      </c>
      <c r="DG10" s="39">
        <v>84.27</v>
      </c>
      <c r="DH10" s="39">
        <v>84.38</v>
      </c>
      <c r="DI10" s="39">
        <v>84.49</v>
      </c>
      <c r="DJ10" s="39">
        <v>84.59</v>
      </c>
      <c r="DK10" s="39">
        <v>84.7</v>
      </c>
      <c r="DL10" s="39">
        <v>84.81</v>
      </c>
      <c r="DM10" s="39">
        <v>84.91</v>
      </c>
      <c r="DN10" s="39">
        <v>85.02</v>
      </c>
      <c r="DO10" s="39">
        <v>85.12</v>
      </c>
      <c r="DP10" s="39">
        <v>85.22</v>
      </c>
      <c r="DQ10" s="39">
        <v>85.32</v>
      </c>
      <c r="DR10" s="39">
        <v>85.42</v>
      </c>
    </row>
    <row r="11" spans="1:122">
      <c r="A11" s="44">
        <v>9</v>
      </c>
      <c r="B11" s="45"/>
      <c r="C11" s="45"/>
      <c r="D11" s="45"/>
      <c r="E11" s="45"/>
      <c r="F11" s="45"/>
      <c r="G11" s="45"/>
      <c r="H11" s="45"/>
      <c r="I11" s="45"/>
      <c r="J11" s="45"/>
      <c r="K11" s="45"/>
      <c r="L11" s="45"/>
      <c r="M11" s="45"/>
      <c r="N11" s="45"/>
      <c r="O11" s="45"/>
      <c r="P11" s="45"/>
      <c r="Q11" s="45"/>
      <c r="R11" s="45"/>
      <c r="S11" s="45"/>
      <c r="T11" s="45"/>
      <c r="U11" s="45"/>
      <c r="V11" s="39"/>
      <c r="W11" s="39">
        <v>68.31</v>
      </c>
      <c r="X11" s="39">
        <v>68.569999999999993</v>
      </c>
      <c r="Y11" s="39">
        <v>68.8</v>
      </c>
      <c r="Z11" s="39">
        <v>69.11</v>
      </c>
      <c r="AA11" s="39">
        <v>69.33</v>
      </c>
      <c r="AB11" s="39">
        <v>69.63</v>
      </c>
      <c r="AC11" s="39">
        <v>69.959999999999994</v>
      </c>
      <c r="AD11" s="39">
        <v>70.180000000000007</v>
      </c>
      <c r="AE11" s="39">
        <v>70.5</v>
      </c>
      <c r="AF11" s="39">
        <v>70.819999999999993</v>
      </c>
      <c r="AG11" s="39">
        <v>71.11</v>
      </c>
      <c r="AH11" s="39">
        <v>71.400000000000006</v>
      </c>
      <c r="AI11" s="39">
        <v>71.709999999999994</v>
      </c>
      <c r="AJ11" s="39">
        <v>72.069999999999993</v>
      </c>
      <c r="AK11" s="39">
        <v>72.41</v>
      </c>
      <c r="AL11" s="39">
        <v>72.83</v>
      </c>
      <c r="AM11" s="39">
        <v>73.22</v>
      </c>
      <c r="AN11" s="39">
        <v>73.48</v>
      </c>
      <c r="AO11" s="39">
        <v>73.73</v>
      </c>
      <c r="AP11" s="39">
        <v>73.89</v>
      </c>
      <c r="AQ11" s="39">
        <v>73.98</v>
      </c>
      <c r="AR11" s="39">
        <v>74.05</v>
      </c>
      <c r="AS11" s="39">
        <v>74.13</v>
      </c>
      <c r="AT11" s="39">
        <v>74.13</v>
      </c>
      <c r="AU11" s="39">
        <v>74.23</v>
      </c>
      <c r="AV11" s="39">
        <v>74.3</v>
      </c>
      <c r="AW11" s="39">
        <v>74.55</v>
      </c>
      <c r="AX11" s="39">
        <v>74.63</v>
      </c>
      <c r="AY11" s="39">
        <v>74.78</v>
      </c>
      <c r="AZ11" s="39">
        <v>74.92</v>
      </c>
      <c r="BA11" s="39">
        <v>75.06</v>
      </c>
      <c r="BB11" s="39">
        <v>75.19</v>
      </c>
      <c r="BC11" s="39">
        <v>75.319999999999993</v>
      </c>
      <c r="BD11" s="39">
        <v>75.45</v>
      </c>
      <c r="BE11" s="39">
        <v>75.55</v>
      </c>
      <c r="BF11" s="39">
        <v>75.739999999999995</v>
      </c>
      <c r="BG11" s="39">
        <v>75.92</v>
      </c>
      <c r="BH11" s="39">
        <v>76.099999999999994</v>
      </c>
      <c r="BI11" s="39">
        <v>76.25</v>
      </c>
      <c r="BJ11" s="39">
        <v>76.42</v>
      </c>
      <c r="BK11" s="39">
        <v>76.599999999999994</v>
      </c>
      <c r="BL11" s="39">
        <v>76.8</v>
      </c>
      <c r="BM11" s="39">
        <v>77.02</v>
      </c>
      <c r="BN11" s="39">
        <v>77.19</v>
      </c>
      <c r="BO11" s="39">
        <v>77.349999999999994</v>
      </c>
      <c r="BP11" s="39">
        <v>77.540000000000006</v>
      </c>
      <c r="BQ11" s="39">
        <v>77.72</v>
      </c>
      <c r="BR11" s="39">
        <v>77.86</v>
      </c>
      <c r="BS11" s="39">
        <v>78.040000000000006</v>
      </c>
      <c r="BT11" s="39">
        <v>78.2</v>
      </c>
      <c r="BU11" s="39">
        <v>78.34</v>
      </c>
      <c r="BV11" s="39">
        <v>78.5</v>
      </c>
      <c r="BW11" s="39">
        <v>78.650000000000006</v>
      </c>
      <c r="BX11" s="39">
        <v>78.790000000000006</v>
      </c>
      <c r="BY11" s="39">
        <v>78.930000000000007</v>
      </c>
      <c r="BZ11" s="39">
        <v>79.06</v>
      </c>
      <c r="CA11" s="39">
        <v>79.2</v>
      </c>
      <c r="CB11" s="39">
        <v>79.36</v>
      </c>
      <c r="CC11" s="39">
        <v>79.489999999999995</v>
      </c>
      <c r="CD11" s="39">
        <v>79.62</v>
      </c>
      <c r="CE11" s="39">
        <v>79.760000000000005</v>
      </c>
      <c r="CF11" s="39">
        <v>79.900000000000006</v>
      </c>
      <c r="CG11" s="39">
        <v>80.03</v>
      </c>
      <c r="CH11" s="39">
        <v>80.180000000000007</v>
      </c>
      <c r="CI11" s="39">
        <v>80.33</v>
      </c>
      <c r="CJ11" s="39">
        <v>80.45</v>
      </c>
      <c r="CK11" s="39">
        <v>80.59</v>
      </c>
      <c r="CL11" s="39">
        <v>80.72</v>
      </c>
      <c r="CM11" s="39">
        <v>80.86</v>
      </c>
      <c r="CN11" s="39">
        <v>80.989999999999995</v>
      </c>
      <c r="CO11" s="39">
        <v>81.12</v>
      </c>
      <c r="CP11" s="39">
        <v>81.25</v>
      </c>
      <c r="CQ11" s="39">
        <v>81.37</v>
      </c>
      <c r="CR11" s="39">
        <v>81.5</v>
      </c>
      <c r="CS11" s="39">
        <v>81.64</v>
      </c>
      <c r="CT11" s="39">
        <v>81.760000000000005</v>
      </c>
      <c r="CU11" s="39">
        <v>81.88</v>
      </c>
      <c r="CV11" s="39">
        <v>81.99</v>
      </c>
      <c r="CW11" s="39">
        <v>82.12</v>
      </c>
      <c r="CX11" s="39">
        <v>82.24</v>
      </c>
      <c r="CY11" s="39">
        <v>82.36</v>
      </c>
      <c r="CZ11" s="39">
        <v>82.48</v>
      </c>
      <c r="DA11" s="39">
        <v>82.59</v>
      </c>
      <c r="DB11" s="39">
        <v>82.71</v>
      </c>
      <c r="DC11" s="39">
        <v>82.82</v>
      </c>
      <c r="DD11" s="39">
        <v>82.94</v>
      </c>
      <c r="DE11" s="39">
        <v>83.05</v>
      </c>
      <c r="DF11" s="39">
        <v>83.16</v>
      </c>
      <c r="DG11" s="39">
        <v>83.27</v>
      </c>
      <c r="DH11" s="39">
        <v>83.38</v>
      </c>
      <c r="DI11" s="39">
        <v>83.49</v>
      </c>
      <c r="DJ11" s="39">
        <v>83.6</v>
      </c>
      <c r="DK11" s="39">
        <v>83.71</v>
      </c>
      <c r="DL11" s="39">
        <v>83.81</v>
      </c>
      <c r="DM11" s="39">
        <v>83.92</v>
      </c>
      <c r="DN11" s="39">
        <v>84.02</v>
      </c>
      <c r="DO11" s="39">
        <v>84.12</v>
      </c>
      <c r="DP11" s="39">
        <v>84.22</v>
      </c>
      <c r="DQ11" s="39">
        <v>84.33</v>
      </c>
      <c r="DR11" s="39">
        <v>84.43</v>
      </c>
    </row>
    <row r="12" spans="1:122">
      <c r="A12" s="44">
        <v>10</v>
      </c>
      <c r="B12" s="45"/>
      <c r="C12" s="45"/>
      <c r="D12" s="45"/>
      <c r="E12" s="45"/>
      <c r="F12" s="45"/>
      <c r="G12" s="45"/>
      <c r="H12" s="45"/>
      <c r="I12" s="45"/>
      <c r="J12" s="45"/>
      <c r="K12" s="45"/>
      <c r="L12" s="45"/>
      <c r="M12" s="45"/>
      <c r="N12" s="45"/>
      <c r="O12" s="45"/>
      <c r="P12" s="45"/>
      <c r="Q12" s="45"/>
      <c r="R12" s="45"/>
      <c r="S12" s="45"/>
      <c r="T12" s="45"/>
      <c r="U12" s="45"/>
      <c r="V12" s="39"/>
      <c r="W12" s="39">
        <v>67.41</v>
      </c>
      <c r="X12" s="39">
        <v>67.650000000000006</v>
      </c>
      <c r="Y12" s="39">
        <v>67.89</v>
      </c>
      <c r="Z12" s="39">
        <v>68.2</v>
      </c>
      <c r="AA12" s="39">
        <v>68.42</v>
      </c>
      <c r="AB12" s="39">
        <v>68.73</v>
      </c>
      <c r="AC12" s="39">
        <v>69.069999999999993</v>
      </c>
      <c r="AD12" s="39">
        <v>69.27</v>
      </c>
      <c r="AE12" s="39">
        <v>69.58</v>
      </c>
      <c r="AF12" s="39">
        <v>69.92</v>
      </c>
      <c r="AG12" s="39">
        <v>70.2</v>
      </c>
      <c r="AH12" s="39">
        <v>70.5</v>
      </c>
      <c r="AI12" s="39">
        <v>70.8</v>
      </c>
      <c r="AJ12" s="39">
        <v>71.180000000000007</v>
      </c>
      <c r="AK12" s="39">
        <v>71.53</v>
      </c>
      <c r="AL12" s="39">
        <v>71.97</v>
      </c>
      <c r="AM12" s="39">
        <v>72.290000000000006</v>
      </c>
      <c r="AN12" s="39">
        <v>72.56</v>
      </c>
      <c r="AO12" s="39">
        <v>72.78</v>
      </c>
      <c r="AP12" s="39">
        <v>72.930000000000007</v>
      </c>
      <c r="AQ12" s="39">
        <v>73.02</v>
      </c>
      <c r="AR12" s="39">
        <v>73.09</v>
      </c>
      <c r="AS12" s="39">
        <v>73.16</v>
      </c>
      <c r="AT12" s="39">
        <v>73.16</v>
      </c>
      <c r="AU12" s="39">
        <v>73.25</v>
      </c>
      <c r="AV12" s="39">
        <v>73.319999999999993</v>
      </c>
      <c r="AW12" s="39">
        <v>73.58</v>
      </c>
      <c r="AX12" s="39">
        <v>73.66</v>
      </c>
      <c r="AY12" s="39">
        <v>73.81</v>
      </c>
      <c r="AZ12" s="39">
        <v>73.94</v>
      </c>
      <c r="BA12" s="39">
        <v>74.09</v>
      </c>
      <c r="BB12" s="39">
        <v>74.209999999999994</v>
      </c>
      <c r="BC12" s="39">
        <v>74.34</v>
      </c>
      <c r="BD12" s="39">
        <v>74.47</v>
      </c>
      <c r="BE12" s="39">
        <v>74.58</v>
      </c>
      <c r="BF12" s="39">
        <v>74.760000000000005</v>
      </c>
      <c r="BG12" s="39">
        <v>74.94</v>
      </c>
      <c r="BH12" s="39">
        <v>75.13</v>
      </c>
      <c r="BI12" s="39">
        <v>75.28</v>
      </c>
      <c r="BJ12" s="39">
        <v>75.45</v>
      </c>
      <c r="BK12" s="39">
        <v>75.63</v>
      </c>
      <c r="BL12" s="39">
        <v>75.83</v>
      </c>
      <c r="BM12" s="39">
        <v>76.040000000000006</v>
      </c>
      <c r="BN12" s="39">
        <v>76.209999999999994</v>
      </c>
      <c r="BO12" s="39">
        <v>76.37</v>
      </c>
      <c r="BP12" s="39">
        <v>76.569999999999993</v>
      </c>
      <c r="BQ12" s="39">
        <v>76.73</v>
      </c>
      <c r="BR12" s="39">
        <v>76.88</v>
      </c>
      <c r="BS12" s="39">
        <v>77.06</v>
      </c>
      <c r="BT12" s="39">
        <v>77.22</v>
      </c>
      <c r="BU12" s="39">
        <v>77.36</v>
      </c>
      <c r="BV12" s="39">
        <v>77.510000000000005</v>
      </c>
      <c r="BW12" s="39">
        <v>77.67</v>
      </c>
      <c r="BX12" s="39">
        <v>77.8</v>
      </c>
      <c r="BY12" s="39">
        <v>77.95</v>
      </c>
      <c r="BZ12" s="39">
        <v>78.08</v>
      </c>
      <c r="CA12" s="39">
        <v>78.209999999999994</v>
      </c>
      <c r="CB12" s="39">
        <v>78.37</v>
      </c>
      <c r="CC12" s="39">
        <v>78.5</v>
      </c>
      <c r="CD12" s="39">
        <v>78.63</v>
      </c>
      <c r="CE12" s="39">
        <v>78.77</v>
      </c>
      <c r="CF12" s="39">
        <v>78.91</v>
      </c>
      <c r="CG12" s="39">
        <v>79.040000000000006</v>
      </c>
      <c r="CH12" s="39">
        <v>79.19</v>
      </c>
      <c r="CI12" s="39">
        <v>79.34</v>
      </c>
      <c r="CJ12" s="39">
        <v>79.45</v>
      </c>
      <c r="CK12" s="39">
        <v>79.59</v>
      </c>
      <c r="CL12" s="39">
        <v>79.73</v>
      </c>
      <c r="CM12" s="39">
        <v>79.87</v>
      </c>
      <c r="CN12" s="39">
        <v>80</v>
      </c>
      <c r="CO12" s="39">
        <v>80.13</v>
      </c>
      <c r="CP12" s="39">
        <v>80.260000000000005</v>
      </c>
      <c r="CQ12" s="39">
        <v>80.38</v>
      </c>
      <c r="CR12" s="39">
        <v>80.5</v>
      </c>
      <c r="CS12" s="39">
        <v>80.650000000000006</v>
      </c>
      <c r="CT12" s="39">
        <v>80.77</v>
      </c>
      <c r="CU12" s="39">
        <v>80.89</v>
      </c>
      <c r="CV12" s="39">
        <v>81</v>
      </c>
      <c r="CW12" s="39">
        <v>81.12</v>
      </c>
      <c r="CX12" s="39">
        <v>81.239999999999995</v>
      </c>
      <c r="CY12" s="39">
        <v>81.37</v>
      </c>
      <c r="CZ12" s="39">
        <v>81.48</v>
      </c>
      <c r="DA12" s="39">
        <v>81.599999999999994</v>
      </c>
      <c r="DB12" s="39">
        <v>81.709999999999994</v>
      </c>
      <c r="DC12" s="39">
        <v>81.83</v>
      </c>
      <c r="DD12" s="39">
        <v>81.94</v>
      </c>
      <c r="DE12" s="39">
        <v>82.05</v>
      </c>
      <c r="DF12" s="39">
        <v>82.17</v>
      </c>
      <c r="DG12" s="39">
        <v>82.28</v>
      </c>
      <c r="DH12" s="39">
        <v>82.39</v>
      </c>
      <c r="DI12" s="39">
        <v>82.5</v>
      </c>
      <c r="DJ12" s="39">
        <v>82.6</v>
      </c>
      <c r="DK12" s="39">
        <v>82.71</v>
      </c>
      <c r="DL12" s="39">
        <v>82.82</v>
      </c>
      <c r="DM12" s="39">
        <v>82.92</v>
      </c>
      <c r="DN12" s="39">
        <v>83.02</v>
      </c>
      <c r="DO12" s="39">
        <v>83.13</v>
      </c>
      <c r="DP12" s="39">
        <v>83.23</v>
      </c>
      <c r="DQ12" s="39">
        <v>83.33</v>
      </c>
      <c r="DR12" s="39">
        <v>83.43</v>
      </c>
    </row>
    <row r="13" spans="1:122">
      <c r="A13" s="44">
        <v>11</v>
      </c>
      <c r="B13" s="45"/>
      <c r="C13" s="45"/>
      <c r="D13" s="45"/>
      <c r="E13" s="45"/>
      <c r="F13" s="45"/>
      <c r="G13" s="45"/>
      <c r="H13" s="45"/>
      <c r="I13" s="45"/>
      <c r="J13" s="45"/>
      <c r="K13" s="45"/>
      <c r="L13" s="45"/>
      <c r="M13" s="45"/>
      <c r="N13" s="45"/>
      <c r="O13" s="45"/>
      <c r="P13" s="45"/>
      <c r="Q13" s="45"/>
      <c r="R13" s="45"/>
      <c r="S13" s="45"/>
      <c r="T13" s="45"/>
      <c r="U13" s="45"/>
      <c r="V13" s="39"/>
      <c r="W13" s="39">
        <v>66.48</v>
      </c>
      <c r="X13" s="39">
        <v>66.72</v>
      </c>
      <c r="Y13" s="39">
        <v>66.97</v>
      </c>
      <c r="Z13" s="39">
        <v>67.28</v>
      </c>
      <c r="AA13" s="39">
        <v>67.52</v>
      </c>
      <c r="AB13" s="39">
        <v>67.819999999999993</v>
      </c>
      <c r="AC13" s="39">
        <v>68.150000000000006</v>
      </c>
      <c r="AD13" s="39">
        <v>68.349999999999994</v>
      </c>
      <c r="AE13" s="39">
        <v>68.67</v>
      </c>
      <c r="AF13" s="39">
        <v>69</v>
      </c>
      <c r="AG13" s="39">
        <v>69.290000000000006</v>
      </c>
      <c r="AH13" s="39">
        <v>69.58</v>
      </c>
      <c r="AI13" s="39">
        <v>69.900000000000006</v>
      </c>
      <c r="AJ13" s="39">
        <v>70.290000000000006</v>
      </c>
      <c r="AK13" s="39">
        <v>70.66</v>
      </c>
      <c r="AL13" s="39">
        <v>71.040000000000006</v>
      </c>
      <c r="AM13" s="39">
        <v>71.36</v>
      </c>
      <c r="AN13" s="39">
        <v>71.61</v>
      </c>
      <c r="AO13" s="39">
        <v>71.819999999999993</v>
      </c>
      <c r="AP13" s="39">
        <v>71.97</v>
      </c>
      <c r="AQ13" s="39">
        <v>72.05</v>
      </c>
      <c r="AR13" s="39">
        <v>72.11</v>
      </c>
      <c r="AS13" s="39">
        <v>72.19</v>
      </c>
      <c r="AT13" s="39">
        <v>72.180000000000007</v>
      </c>
      <c r="AU13" s="39">
        <v>72.27</v>
      </c>
      <c r="AV13" s="39">
        <v>72.349999999999994</v>
      </c>
      <c r="AW13" s="39">
        <v>72.61</v>
      </c>
      <c r="AX13" s="39">
        <v>72.680000000000007</v>
      </c>
      <c r="AY13" s="39">
        <v>72.83</v>
      </c>
      <c r="AZ13" s="39">
        <v>72.959999999999994</v>
      </c>
      <c r="BA13" s="39">
        <v>73.11</v>
      </c>
      <c r="BB13" s="39">
        <v>73.23</v>
      </c>
      <c r="BC13" s="39">
        <v>73.36</v>
      </c>
      <c r="BD13" s="39">
        <v>73.489999999999995</v>
      </c>
      <c r="BE13" s="39">
        <v>73.599999999999994</v>
      </c>
      <c r="BF13" s="39">
        <v>73.78</v>
      </c>
      <c r="BG13" s="39">
        <v>73.959999999999994</v>
      </c>
      <c r="BH13" s="39">
        <v>74.150000000000006</v>
      </c>
      <c r="BI13" s="39">
        <v>74.3</v>
      </c>
      <c r="BJ13" s="39">
        <v>74.47</v>
      </c>
      <c r="BK13" s="39">
        <v>74.650000000000006</v>
      </c>
      <c r="BL13" s="39">
        <v>74.849999999999994</v>
      </c>
      <c r="BM13" s="39">
        <v>75.06</v>
      </c>
      <c r="BN13" s="39">
        <v>75.22</v>
      </c>
      <c r="BO13" s="39">
        <v>75.39</v>
      </c>
      <c r="BP13" s="39">
        <v>75.58</v>
      </c>
      <c r="BQ13" s="39">
        <v>75.75</v>
      </c>
      <c r="BR13" s="39">
        <v>75.900000000000006</v>
      </c>
      <c r="BS13" s="39">
        <v>76.08</v>
      </c>
      <c r="BT13" s="39">
        <v>76.239999999999995</v>
      </c>
      <c r="BU13" s="39">
        <v>76.37</v>
      </c>
      <c r="BV13" s="39">
        <v>76.52</v>
      </c>
      <c r="BW13" s="39">
        <v>76.680000000000007</v>
      </c>
      <c r="BX13" s="39">
        <v>76.81</v>
      </c>
      <c r="BY13" s="39">
        <v>76.959999999999994</v>
      </c>
      <c r="BZ13" s="39">
        <v>77.09</v>
      </c>
      <c r="CA13" s="39">
        <v>77.22</v>
      </c>
      <c r="CB13" s="39">
        <v>77.38</v>
      </c>
      <c r="CC13" s="39">
        <v>77.510000000000005</v>
      </c>
      <c r="CD13" s="39">
        <v>77.64</v>
      </c>
      <c r="CE13" s="39">
        <v>77.78</v>
      </c>
      <c r="CF13" s="39">
        <v>77.92</v>
      </c>
      <c r="CG13" s="39">
        <v>78.05</v>
      </c>
      <c r="CH13" s="39">
        <v>78.19</v>
      </c>
      <c r="CI13" s="39">
        <v>78.349999999999994</v>
      </c>
      <c r="CJ13" s="39">
        <v>78.459999999999994</v>
      </c>
      <c r="CK13" s="39">
        <v>78.599999999999994</v>
      </c>
      <c r="CL13" s="39">
        <v>78.739999999999995</v>
      </c>
      <c r="CM13" s="39">
        <v>78.88</v>
      </c>
      <c r="CN13" s="39">
        <v>79.010000000000005</v>
      </c>
      <c r="CO13" s="39">
        <v>79.14</v>
      </c>
      <c r="CP13" s="39">
        <v>79.27</v>
      </c>
      <c r="CQ13" s="39">
        <v>79.38</v>
      </c>
      <c r="CR13" s="39">
        <v>79.510000000000005</v>
      </c>
      <c r="CS13" s="39">
        <v>79.650000000000006</v>
      </c>
      <c r="CT13" s="39">
        <v>79.77</v>
      </c>
      <c r="CU13" s="39">
        <v>79.89</v>
      </c>
      <c r="CV13" s="39">
        <v>80</v>
      </c>
      <c r="CW13" s="39">
        <v>80.13</v>
      </c>
      <c r="CX13" s="39">
        <v>80.25</v>
      </c>
      <c r="CY13" s="39">
        <v>80.37</v>
      </c>
      <c r="CZ13" s="39">
        <v>80.489999999999995</v>
      </c>
      <c r="DA13" s="39">
        <v>80.599999999999994</v>
      </c>
      <c r="DB13" s="39">
        <v>80.72</v>
      </c>
      <c r="DC13" s="39">
        <v>80.83</v>
      </c>
      <c r="DD13" s="39">
        <v>80.95</v>
      </c>
      <c r="DE13" s="39">
        <v>81.06</v>
      </c>
      <c r="DF13" s="39">
        <v>81.17</v>
      </c>
      <c r="DG13" s="39">
        <v>81.28</v>
      </c>
      <c r="DH13" s="39">
        <v>81.39</v>
      </c>
      <c r="DI13" s="39">
        <v>81.5</v>
      </c>
      <c r="DJ13" s="39">
        <v>81.61</v>
      </c>
      <c r="DK13" s="39">
        <v>81.709999999999994</v>
      </c>
      <c r="DL13" s="39">
        <v>81.819999999999993</v>
      </c>
      <c r="DM13" s="39">
        <v>81.92</v>
      </c>
      <c r="DN13" s="39">
        <v>82.03</v>
      </c>
      <c r="DO13" s="39">
        <v>82.13</v>
      </c>
      <c r="DP13" s="39">
        <v>82.23</v>
      </c>
      <c r="DQ13" s="39">
        <v>82.33</v>
      </c>
      <c r="DR13" s="39">
        <v>82.43</v>
      </c>
    </row>
    <row r="14" spans="1:122">
      <c r="A14" s="44">
        <v>12</v>
      </c>
      <c r="B14" s="45"/>
      <c r="C14" s="45"/>
      <c r="D14" s="45"/>
      <c r="E14" s="45"/>
      <c r="F14" s="45"/>
      <c r="G14" s="45"/>
      <c r="H14" s="45"/>
      <c r="I14" s="45"/>
      <c r="J14" s="45"/>
      <c r="K14" s="45"/>
      <c r="L14" s="45"/>
      <c r="M14" s="45"/>
      <c r="N14" s="45"/>
      <c r="O14" s="45"/>
      <c r="P14" s="45"/>
      <c r="Q14" s="45"/>
      <c r="R14" s="45"/>
      <c r="S14" s="45"/>
      <c r="T14" s="45"/>
      <c r="U14" s="45"/>
      <c r="V14" s="39"/>
      <c r="W14" s="39">
        <v>65.55</v>
      </c>
      <c r="X14" s="39">
        <v>65.790000000000006</v>
      </c>
      <c r="Y14" s="39">
        <v>66.040000000000006</v>
      </c>
      <c r="Z14" s="39">
        <v>66.36</v>
      </c>
      <c r="AA14" s="39">
        <v>66.599999999999994</v>
      </c>
      <c r="AB14" s="39">
        <v>66.900000000000006</v>
      </c>
      <c r="AC14" s="39">
        <v>67.22</v>
      </c>
      <c r="AD14" s="39">
        <v>67.430000000000007</v>
      </c>
      <c r="AE14" s="39">
        <v>67.739999999999995</v>
      </c>
      <c r="AF14" s="39">
        <v>68.08</v>
      </c>
      <c r="AG14" s="39">
        <v>68.36</v>
      </c>
      <c r="AH14" s="39">
        <v>68.66</v>
      </c>
      <c r="AI14" s="39">
        <v>68.989999999999995</v>
      </c>
      <c r="AJ14" s="39">
        <v>69.400000000000006</v>
      </c>
      <c r="AK14" s="39">
        <v>69.72</v>
      </c>
      <c r="AL14" s="39">
        <v>70.099999999999994</v>
      </c>
      <c r="AM14" s="39">
        <v>70.41</v>
      </c>
      <c r="AN14" s="39">
        <v>70.64</v>
      </c>
      <c r="AO14" s="39">
        <v>70.849999999999994</v>
      </c>
      <c r="AP14" s="39">
        <v>71</v>
      </c>
      <c r="AQ14" s="39">
        <v>71.08</v>
      </c>
      <c r="AR14" s="39">
        <v>71.14</v>
      </c>
      <c r="AS14" s="39">
        <v>71.209999999999994</v>
      </c>
      <c r="AT14" s="39">
        <v>71.2</v>
      </c>
      <c r="AU14" s="39">
        <v>71.3</v>
      </c>
      <c r="AV14" s="39">
        <v>71.37</v>
      </c>
      <c r="AW14" s="39">
        <v>71.63</v>
      </c>
      <c r="AX14" s="39">
        <v>71.7</v>
      </c>
      <c r="AY14" s="39">
        <v>71.849999999999994</v>
      </c>
      <c r="AZ14" s="39">
        <v>71.98</v>
      </c>
      <c r="BA14" s="39">
        <v>72.13</v>
      </c>
      <c r="BB14" s="39">
        <v>72.25</v>
      </c>
      <c r="BC14" s="39">
        <v>72.38</v>
      </c>
      <c r="BD14" s="39">
        <v>72.510000000000005</v>
      </c>
      <c r="BE14" s="39">
        <v>72.62</v>
      </c>
      <c r="BF14" s="39">
        <v>72.81</v>
      </c>
      <c r="BG14" s="39">
        <v>72.98</v>
      </c>
      <c r="BH14" s="39">
        <v>73.17</v>
      </c>
      <c r="BI14" s="39">
        <v>73.319999999999993</v>
      </c>
      <c r="BJ14" s="39">
        <v>73.489999999999995</v>
      </c>
      <c r="BK14" s="39">
        <v>73.67</v>
      </c>
      <c r="BL14" s="39">
        <v>73.86</v>
      </c>
      <c r="BM14" s="39">
        <v>74.069999999999993</v>
      </c>
      <c r="BN14" s="39">
        <v>74.239999999999995</v>
      </c>
      <c r="BO14" s="39">
        <v>74.41</v>
      </c>
      <c r="BP14" s="39">
        <v>74.599999999999994</v>
      </c>
      <c r="BQ14" s="39">
        <v>74.760000000000005</v>
      </c>
      <c r="BR14" s="39">
        <v>74.91</v>
      </c>
      <c r="BS14" s="39">
        <v>75.09</v>
      </c>
      <c r="BT14" s="39">
        <v>75.25</v>
      </c>
      <c r="BU14" s="39">
        <v>75.38</v>
      </c>
      <c r="BV14" s="39">
        <v>75.540000000000006</v>
      </c>
      <c r="BW14" s="39">
        <v>75.69</v>
      </c>
      <c r="BX14" s="39">
        <v>75.83</v>
      </c>
      <c r="BY14" s="39">
        <v>75.97</v>
      </c>
      <c r="BZ14" s="39">
        <v>76.099999999999994</v>
      </c>
      <c r="CA14" s="39">
        <v>76.23</v>
      </c>
      <c r="CB14" s="39">
        <v>76.39</v>
      </c>
      <c r="CC14" s="39">
        <v>76.53</v>
      </c>
      <c r="CD14" s="39">
        <v>76.650000000000006</v>
      </c>
      <c r="CE14" s="39">
        <v>76.790000000000006</v>
      </c>
      <c r="CF14" s="39">
        <v>76.930000000000007</v>
      </c>
      <c r="CG14" s="39">
        <v>77.06</v>
      </c>
      <c r="CH14" s="39">
        <v>77.2</v>
      </c>
      <c r="CI14" s="39">
        <v>77.36</v>
      </c>
      <c r="CJ14" s="39">
        <v>77.47</v>
      </c>
      <c r="CK14" s="39">
        <v>77.61</v>
      </c>
      <c r="CL14" s="39">
        <v>77.75</v>
      </c>
      <c r="CM14" s="39">
        <v>77.88</v>
      </c>
      <c r="CN14" s="39">
        <v>78.02</v>
      </c>
      <c r="CO14" s="39">
        <v>78.14</v>
      </c>
      <c r="CP14" s="39">
        <v>78.28</v>
      </c>
      <c r="CQ14" s="39">
        <v>78.39</v>
      </c>
      <c r="CR14" s="39">
        <v>78.52</v>
      </c>
      <c r="CS14" s="39">
        <v>78.66</v>
      </c>
      <c r="CT14" s="39">
        <v>78.78</v>
      </c>
      <c r="CU14" s="39">
        <v>78.900000000000006</v>
      </c>
      <c r="CV14" s="39">
        <v>79.010000000000005</v>
      </c>
      <c r="CW14" s="39">
        <v>79.14</v>
      </c>
      <c r="CX14" s="39">
        <v>79.260000000000005</v>
      </c>
      <c r="CY14" s="39">
        <v>79.37</v>
      </c>
      <c r="CZ14" s="39">
        <v>79.489999999999995</v>
      </c>
      <c r="DA14" s="39">
        <v>79.61</v>
      </c>
      <c r="DB14" s="39">
        <v>79.73</v>
      </c>
      <c r="DC14" s="39">
        <v>79.84</v>
      </c>
      <c r="DD14" s="39">
        <v>79.95</v>
      </c>
      <c r="DE14" s="39">
        <v>80.069999999999993</v>
      </c>
      <c r="DF14" s="39">
        <v>80.180000000000007</v>
      </c>
      <c r="DG14" s="39">
        <v>80.290000000000006</v>
      </c>
      <c r="DH14" s="39">
        <v>80.400000000000006</v>
      </c>
      <c r="DI14" s="39">
        <v>80.510000000000005</v>
      </c>
      <c r="DJ14" s="39">
        <v>80.61</v>
      </c>
      <c r="DK14" s="39">
        <v>80.72</v>
      </c>
      <c r="DL14" s="39">
        <v>80.819999999999993</v>
      </c>
      <c r="DM14" s="39">
        <v>80.930000000000007</v>
      </c>
      <c r="DN14" s="39">
        <v>81.03</v>
      </c>
      <c r="DO14" s="39">
        <v>81.13</v>
      </c>
      <c r="DP14" s="39">
        <v>81.239999999999995</v>
      </c>
      <c r="DQ14" s="39">
        <v>81.34</v>
      </c>
      <c r="DR14" s="39">
        <v>81.44</v>
      </c>
    </row>
    <row r="15" spans="1:122">
      <c r="A15" s="44">
        <v>13</v>
      </c>
      <c r="B15" s="45"/>
      <c r="C15" s="45"/>
      <c r="D15" s="45"/>
      <c r="E15" s="45"/>
      <c r="F15" s="45"/>
      <c r="G15" s="45"/>
      <c r="H15" s="45"/>
      <c r="I15" s="45"/>
      <c r="J15" s="45"/>
      <c r="K15" s="45"/>
      <c r="L15" s="45"/>
      <c r="M15" s="45"/>
      <c r="N15" s="45"/>
      <c r="O15" s="45"/>
      <c r="P15" s="45"/>
      <c r="Q15" s="45"/>
      <c r="R15" s="45"/>
      <c r="S15" s="45"/>
      <c r="T15" s="45"/>
      <c r="U15" s="45"/>
      <c r="V15" s="39"/>
      <c r="W15" s="39">
        <v>64.61</v>
      </c>
      <c r="X15" s="39">
        <v>64.86</v>
      </c>
      <c r="Y15" s="39">
        <v>65.12</v>
      </c>
      <c r="Z15" s="39">
        <v>65.45</v>
      </c>
      <c r="AA15" s="39">
        <v>65.680000000000007</v>
      </c>
      <c r="AB15" s="39">
        <v>65.97</v>
      </c>
      <c r="AC15" s="39">
        <v>66.3</v>
      </c>
      <c r="AD15" s="39">
        <v>66.510000000000005</v>
      </c>
      <c r="AE15" s="39">
        <v>66.819999999999993</v>
      </c>
      <c r="AF15" s="39">
        <v>67.16</v>
      </c>
      <c r="AG15" s="39">
        <v>67.45</v>
      </c>
      <c r="AH15" s="39">
        <v>67.77</v>
      </c>
      <c r="AI15" s="39">
        <v>68.12</v>
      </c>
      <c r="AJ15" s="39">
        <v>68.459999999999994</v>
      </c>
      <c r="AK15" s="39">
        <v>68.790000000000006</v>
      </c>
      <c r="AL15" s="39">
        <v>69.150000000000006</v>
      </c>
      <c r="AM15" s="39">
        <v>69.44</v>
      </c>
      <c r="AN15" s="39">
        <v>69.67</v>
      </c>
      <c r="AO15" s="39">
        <v>69.88</v>
      </c>
      <c r="AP15" s="39">
        <v>70.02</v>
      </c>
      <c r="AQ15" s="39">
        <v>70.099999999999994</v>
      </c>
      <c r="AR15" s="39">
        <v>70.16</v>
      </c>
      <c r="AS15" s="39">
        <v>70.23</v>
      </c>
      <c r="AT15" s="39">
        <v>70.22</v>
      </c>
      <c r="AU15" s="39">
        <v>70.319999999999993</v>
      </c>
      <c r="AV15" s="39">
        <v>70.39</v>
      </c>
      <c r="AW15" s="39">
        <v>70.650000000000006</v>
      </c>
      <c r="AX15" s="39">
        <v>70.72</v>
      </c>
      <c r="AY15" s="39">
        <v>70.88</v>
      </c>
      <c r="AZ15" s="39">
        <v>71</v>
      </c>
      <c r="BA15" s="39">
        <v>71.150000000000006</v>
      </c>
      <c r="BB15" s="39">
        <v>71.27</v>
      </c>
      <c r="BC15" s="39">
        <v>71.400000000000006</v>
      </c>
      <c r="BD15" s="39">
        <v>71.53</v>
      </c>
      <c r="BE15" s="39">
        <v>71.64</v>
      </c>
      <c r="BF15" s="39">
        <v>71.83</v>
      </c>
      <c r="BG15" s="39">
        <v>72</v>
      </c>
      <c r="BH15" s="39">
        <v>72.19</v>
      </c>
      <c r="BI15" s="39">
        <v>72.34</v>
      </c>
      <c r="BJ15" s="39">
        <v>72.510000000000005</v>
      </c>
      <c r="BK15" s="39">
        <v>72.680000000000007</v>
      </c>
      <c r="BL15" s="39">
        <v>72.88</v>
      </c>
      <c r="BM15" s="39">
        <v>73.09</v>
      </c>
      <c r="BN15" s="39">
        <v>73.260000000000005</v>
      </c>
      <c r="BO15" s="39">
        <v>73.42</v>
      </c>
      <c r="BP15" s="39">
        <v>73.61</v>
      </c>
      <c r="BQ15" s="39">
        <v>73.78</v>
      </c>
      <c r="BR15" s="39">
        <v>73.930000000000007</v>
      </c>
      <c r="BS15" s="39">
        <v>74.11</v>
      </c>
      <c r="BT15" s="39">
        <v>74.27</v>
      </c>
      <c r="BU15" s="39">
        <v>74.400000000000006</v>
      </c>
      <c r="BV15" s="39">
        <v>74.55</v>
      </c>
      <c r="BW15" s="39">
        <v>74.7</v>
      </c>
      <c r="BX15" s="39">
        <v>74.84</v>
      </c>
      <c r="BY15" s="39">
        <v>74.98</v>
      </c>
      <c r="BZ15" s="39">
        <v>75.11</v>
      </c>
      <c r="CA15" s="39">
        <v>75.239999999999995</v>
      </c>
      <c r="CB15" s="39">
        <v>75.400000000000006</v>
      </c>
      <c r="CC15" s="39">
        <v>75.540000000000006</v>
      </c>
      <c r="CD15" s="39">
        <v>75.66</v>
      </c>
      <c r="CE15" s="39">
        <v>75.8</v>
      </c>
      <c r="CF15" s="39">
        <v>75.94</v>
      </c>
      <c r="CG15" s="39">
        <v>76.069999999999993</v>
      </c>
      <c r="CH15" s="39">
        <v>76.209999999999994</v>
      </c>
      <c r="CI15" s="39">
        <v>76.37</v>
      </c>
      <c r="CJ15" s="39">
        <v>76.48</v>
      </c>
      <c r="CK15" s="39">
        <v>76.62</v>
      </c>
      <c r="CL15" s="39">
        <v>76.75</v>
      </c>
      <c r="CM15" s="39">
        <v>76.89</v>
      </c>
      <c r="CN15" s="39">
        <v>77.03</v>
      </c>
      <c r="CO15" s="39">
        <v>77.150000000000006</v>
      </c>
      <c r="CP15" s="39">
        <v>77.290000000000006</v>
      </c>
      <c r="CQ15" s="39">
        <v>77.39</v>
      </c>
      <c r="CR15" s="39">
        <v>77.53</v>
      </c>
      <c r="CS15" s="39">
        <v>77.66</v>
      </c>
      <c r="CT15" s="39">
        <v>77.790000000000006</v>
      </c>
      <c r="CU15" s="39">
        <v>77.900000000000006</v>
      </c>
      <c r="CV15" s="39">
        <v>78.02</v>
      </c>
      <c r="CW15" s="39">
        <v>78.14</v>
      </c>
      <c r="CX15" s="39">
        <v>78.260000000000005</v>
      </c>
      <c r="CY15" s="39">
        <v>78.38</v>
      </c>
      <c r="CZ15" s="39">
        <v>78.5</v>
      </c>
      <c r="DA15" s="39">
        <v>78.61</v>
      </c>
      <c r="DB15" s="39">
        <v>78.73</v>
      </c>
      <c r="DC15" s="39">
        <v>78.849999999999994</v>
      </c>
      <c r="DD15" s="39">
        <v>78.959999999999994</v>
      </c>
      <c r="DE15" s="39">
        <v>79.069999999999993</v>
      </c>
      <c r="DF15" s="39">
        <v>79.180000000000007</v>
      </c>
      <c r="DG15" s="39">
        <v>79.290000000000006</v>
      </c>
      <c r="DH15" s="39">
        <v>79.400000000000006</v>
      </c>
      <c r="DI15" s="39">
        <v>79.510000000000005</v>
      </c>
      <c r="DJ15" s="39">
        <v>79.62</v>
      </c>
      <c r="DK15" s="39">
        <v>79.72</v>
      </c>
      <c r="DL15" s="39">
        <v>79.83</v>
      </c>
      <c r="DM15" s="39">
        <v>79.930000000000007</v>
      </c>
      <c r="DN15" s="39">
        <v>80.040000000000006</v>
      </c>
      <c r="DO15" s="39">
        <v>80.14</v>
      </c>
      <c r="DP15" s="39">
        <v>80.239999999999995</v>
      </c>
      <c r="DQ15" s="39">
        <v>80.34</v>
      </c>
      <c r="DR15" s="39">
        <v>80.44</v>
      </c>
    </row>
    <row r="16" spans="1:122">
      <c r="A16" s="44">
        <v>14</v>
      </c>
      <c r="B16" s="45"/>
      <c r="C16" s="45"/>
      <c r="D16" s="45"/>
      <c r="E16" s="45"/>
      <c r="F16" s="45"/>
      <c r="G16" s="45"/>
      <c r="H16" s="45"/>
      <c r="I16" s="45"/>
      <c r="J16" s="45"/>
      <c r="K16" s="45"/>
      <c r="L16" s="45"/>
      <c r="M16" s="45"/>
      <c r="N16" s="45"/>
      <c r="O16" s="45"/>
      <c r="P16" s="45"/>
      <c r="Q16" s="45"/>
      <c r="R16" s="45"/>
      <c r="S16" s="45"/>
      <c r="T16" s="45"/>
      <c r="U16" s="45"/>
      <c r="V16" s="39"/>
      <c r="W16" s="39">
        <v>63.68</v>
      </c>
      <c r="X16" s="39">
        <v>63.95</v>
      </c>
      <c r="Y16" s="39">
        <v>64.209999999999994</v>
      </c>
      <c r="Z16" s="39">
        <v>64.53</v>
      </c>
      <c r="AA16" s="39">
        <v>64.760000000000005</v>
      </c>
      <c r="AB16" s="39">
        <v>65.06</v>
      </c>
      <c r="AC16" s="39">
        <v>65.38</v>
      </c>
      <c r="AD16" s="39">
        <v>65.59</v>
      </c>
      <c r="AE16" s="39">
        <v>65.91</v>
      </c>
      <c r="AF16" s="39">
        <v>66.25</v>
      </c>
      <c r="AG16" s="39">
        <v>66.56</v>
      </c>
      <c r="AH16" s="39">
        <v>66.900000000000006</v>
      </c>
      <c r="AI16" s="39">
        <v>67.180000000000007</v>
      </c>
      <c r="AJ16" s="39">
        <v>67.53</v>
      </c>
      <c r="AK16" s="39">
        <v>67.84</v>
      </c>
      <c r="AL16" s="39">
        <v>68.19</v>
      </c>
      <c r="AM16" s="39">
        <v>68.48</v>
      </c>
      <c r="AN16" s="39">
        <v>68.709999999999994</v>
      </c>
      <c r="AO16" s="39">
        <v>68.91</v>
      </c>
      <c r="AP16" s="39">
        <v>69.05</v>
      </c>
      <c r="AQ16" s="39">
        <v>69.13</v>
      </c>
      <c r="AR16" s="39">
        <v>69.19</v>
      </c>
      <c r="AS16" s="39">
        <v>69.260000000000005</v>
      </c>
      <c r="AT16" s="39">
        <v>69.25</v>
      </c>
      <c r="AU16" s="39">
        <v>69.34</v>
      </c>
      <c r="AV16" s="39">
        <v>69.41</v>
      </c>
      <c r="AW16" s="39">
        <v>69.67</v>
      </c>
      <c r="AX16" s="39">
        <v>69.739999999999995</v>
      </c>
      <c r="AY16" s="39">
        <v>69.900000000000006</v>
      </c>
      <c r="AZ16" s="39">
        <v>70.02</v>
      </c>
      <c r="BA16" s="39">
        <v>70.17</v>
      </c>
      <c r="BB16" s="39">
        <v>70.3</v>
      </c>
      <c r="BC16" s="39">
        <v>70.42</v>
      </c>
      <c r="BD16" s="39">
        <v>70.55</v>
      </c>
      <c r="BE16" s="39">
        <v>70.66</v>
      </c>
      <c r="BF16" s="39">
        <v>70.849999999999994</v>
      </c>
      <c r="BG16" s="39">
        <v>71.02</v>
      </c>
      <c r="BH16" s="39">
        <v>71.209999999999994</v>
      </c>
      <c r="BI16" s="39">
        <v>71.36</v>
      </c>
      <c r="BJ16" s="39">
        <v>71.53</v>
      </c>
      <c r="BK16" s="39">
        <v>71.7</v>
      </c>
      <c r="BL16" s="39">
        <v>71.900000000000006</v>
      </c>
      <c r="BM16" s="39">
        <v>72.11</v>
      </c>
      <c r="BN16" s="39">
        <v>72.27</v>
      </c>
      <c r="BO16" s="39">
        <v>72.44</v>
      </c>
      <c r="BP16" s="39">
        <v>72.63</v>
      </c>
      <c r="BQ16" s="39">
        <v>72.790000000000006</v>
      </c>
      <c r="BR16" s="39">
        <v>72.94</v>
      </c>
      <c r="BS16" s="39">
        <v>73.12</v>
      </c>
      <c r="BT16" s="39">
        <v>73.28</v>
      </c>
      <c r="BU16" s="39">
        <v>73.41</v>
      </c>
      <c r="BV16" s="39">
        <v>73.56</v>
      </c>
      <c r="BW16" s="39">
        <v>73.709999999999994</v>
      </c>
      <c r="BX16" s="39">
        <v>73.849999999999994</v>
      </c>
      <c r="BY16" s="39">
        <v>73.989999999999995</v>
      </c>
      <c r="BZ16" s="39">
        <v>74.12</v>
      </c>
      <c r="CA16" s="39">
        <v>74.25</v>
      </c>
      <c r="CB16" s="39">
        <v>74.41</v>
      </c>
      <c r="CC16" s="39">
        <v>74.55</v>
      </c>
      <c r="CD16" s="39">
        <v>74.680000000000007</v>
      </c>
      <c r="CE16" s="39">
        <v>74.81</v>
      </c>
      <c r="CF16" s="39">
        <v>74.95</v>
      </c>
      <c r="CG16" s="39">
        <v>75.069999999999993</v>
      </c>
      <c r="CH16" s="39">
        <v>75.22</v>
      </c>
      <c r="CI16" s="39">
        <v>75.37</v>
      </c>
      <c r="CJ16" s="39">
        <v>75.489999999999995</v>
      </c>
      <c r="CK16" s="39">
        <v>75.62</v>
      </c>
      <c r="CL16" s="39">
        <v>75.77</v>
      </c>
      <c r="CM16" s="39">
        <v>75.900000000000006</v>
      </c>
      <c r="CN16" s="39">
        <v>76.03</v>
      </c>
      <c r="CO16" s="39">
        <v>76.150000000000006</v>
      </c>
      <c r="CP16" s="39">
        <v>76.290000000000006</v>
      </c>
      <c r="CQ16" s="39">
        <v>76.400000000000006</v>
      </c>
      <c r="CR16" s="39">
        <v>76.540000000000006</v>
      </c>
      <c r="CS16" s="39">
        <v>76.67</v>
      </c>
      <c r="CT16" s="39">
        <v>76.790000000000006</v>
      </c>
      <c r="CU16" s="39">
        <v>76.91</v>
      </c>
      <c r="CV16" s="39">
        <v>77.03</v>
      </c>
      <c r="CW16" s="39">
        <v>77.150000000000006</v>
      </c>
      <c r="CX16" s="39">
        <v>77.27</v>
      </c>
      <c r="CY16" s="39">
        <v>77.39</v>
      </c>
      <c r="CZ16" s="39">
        <v>77.510000000000005</v>
      </c>
      <c r="DA16" s="39">
        <v>77.62</v>
      </c>
      <c r="DB16" s="39">
        <v>77.739999999999995</v>
      </c>
      <c r="DC16" s="39">
        <v>77.849999999999994</v>
      </c>
      <c r="DD16" s="39">
        <v>77.97</v>
      </c>
      <c r="DE16" s="39">
        <v>78.08</v>
      </c>
      <c r="DF16" s="39">
        <v>78.19</v>
      </c>
      <c r="DG16" s="39">
        <v>78.3</v>
      </c>
      <c r="DH16" s="39">
        <v>78.41</v>
      </c>
      <c r="DI16" s="39">
        <v>78.52</v>
      </c>
      <c r="DJ16" s="39">
        <v>78.62</v>
      </c>
      <c r="DK16" s="39">
        <v>78.73</v>
      </c>
      <c r="DL16" s="39">
        <v>78.83</v>
      </c>
      <c r="DM16" s="39">
        <v>78.94</v>
      </c>
      <c r="DN16" s="39">
        <v>79.040000000000006</v>
      </c>
      <c r="DO16" s="39">
        <v>79.14</v>
      </c>
      <c r="DP16" s="39">
        <v>79.239999999999995</v>
      </c>
      <c r="DQ16" s="39">
        <v>79.34</v>
      </c>
      <c r="DR16" s="39">
        <v>79.44</v>
      </c>
    </row>
    <row r="17" spans="1:122">
      <c r="A17" s="44">
        <v>15</v>
      </c>
      <c r="B17" s="45"/>
      <c r="C17" s="45"/>
      <c r="D17" s="45"/>
      <c r="E17" s="45"/>
      <c r="F17" s="45"/>
      <c r="G17" s="45"/>
      <c r="H17" s="45"/>
      <c r="I17" s="45"/>
      <c r="J17" s="45"/>
      <c r="K17" s="45"/>
      <c r="L17" s="45"/>
      <c r="M17" s="45"/>
      <c r="N17" s="45"/>
      <c r="O17" s="45"/>
      <c r="P17" s="45"/>
      <c r="Q17" s="45"/>
      <c r="R17" s="45"/>
      <c r="S17" s="45"/>
      <c r="T17" s="45"/>
      <c r="U17" s="45"/>
      <c r="V17" s="39"/>
      <c r="W17" s="39">
        <v>62.77</v>
      </c>
      <c r="X17" s="39">
        <v>63.04</v>
      </c>
      <c r="Y17" s="39">
        <v>63.3</v>
      </c>
      <c r="Z17" s="39">
        <v>63.61</v>
      </c>
      <c r="AA17" s="39">
        <v>63.84</v>
      </c>
      <c r="AB17" s="39">
        <v>64.14</v>
      </c>
      <c r="AC17" s="39">
        <v>64.47</v>
      </c>
      <c r="AD17" s="39">
        <v>64.680000000000007</v>
      </c>
      <c r="AE17" s="39">
        <v>65.010000000000005</v>
      </c>
      <c r="AF17" s="39">
        <v>65.36</v>
      </c>
      <c r="AG17" s="39">
        <v>65.69</v>
      </c>
      <c r="AH17" s="39">
        <v>65.97</v>
      </c>
      <c r="AI17" s="39">
        <v>66.25</v>
      </c>
      <c r="AJ17" s="39">
        <v>66.59</v>
      </c>
      <c r="AK17" s="39">
        <v>66.88</v>
      </c>
      <c r="AL17" s="39">
        <v>67.23</v>
      </c>
      <c r="AM17" s="39">
        <v>67.52</v>
      </c>
      <c r="AN17" s="39">
        <v>67.739999999999995</v>
      </c>
      <c r="AO17" s="39">
        <v>67.94</v>
      </c>
      <c r="AP17" s="39">
        <v>68.08</v>
      </c>
      <c r="AQ17" s="39">
        <v>68.150000000000006</v>
      </c>
      <c r="AR17" s="39">
        <v>68.209999999999994</v>
      </c>
      <c r="AS17" s="39">
        <v>68.290000000000006</v>
      </c>
      <c r="AT17" s="39">
        <v>68.28</v>
      </c>
      <c r="AU17" s="39">
        <v>68.37</v>
      </c>
      <c r="AV17" s="39">
        <v>68.430000000000007</v>
      </c>
      <c r="AW17" s="39">
        <v>68.7</v>
      </c>
      <c r="AX17" s="39">
        <v>68.760000000000005</v>
      </c>
      <c r="AY17" s="39">
        <v>68.92</v>
      </c>
      <c r="AZ17" s="39">
        <v>69.040000000000006</v>
      </c>
      <c r="BA17" s="39">
        <v>69.19</v>
      </c>
      <c r="BB17" s="39">
        <v>69.319999999999993</v>
      </c>
      <c r="BC17" s="39">
        <v>69.44</v>
      </c>
      <c r="BD17" s="39">
        <v>69.58</v>
      </c>
      <c r="BE17" s="39">
        <v>69.69</v>
      </c>
      <c r="BF17" s="39">
        <v>69.87</v>
      </c>
      <c r="BG17" s="39">
        <v>70.040000000000006</v>
      </c>
      <c r="BH17" s="39">
        <v>70.23</v>
      </c>
      <c r="BI17" s="39">
        <v>70.38</v>
      </c>
      <c r="BJ17" s="39">
        <v>70.55</v>
      </c>
      <c r="BK17" s="39">
        <v>70.72</v>
      </c>
      <c r="BL17" s="39">
        <v>70.92</v>
      </c>
      <c r="BM17" s="39">
        <v>71.13</v>
      </c>
      <c r="BN17" s="39">
        <v>71.290000000000006</v>
      </c>
      <c r="BO17" s="39">
        <v>71.459999999999994</v>
      </c>
      <c r="BP17" s="39">
        <v>71.650000000000006</v>
      </c>
      <c r="BQ17" s="39">
        <v>71.81</v>
      </c>
      <c r="BR17" s="39">
        <v>71.959999999999994</v>
      </c>
      <c r="BS17" s="39">
        <v>72.14</v>
      </c>
      <c r="BT17" s="39">
        <v>72.290000000000006</v>
      </c>
      <c r="BU17" s="39">
        <v>72.430000000000007</v>
      </c>
      <c r="BV17" s="39">
        <v>72.569999999999993</v>
      </c>
      <c r="BW17" s="39">
        <v>72.72</v>
      </c>
      <c r="BX17" s="39">
        <v>72.86</v>
      </c>
      <c r="BY17" s="39">
        <v>73</v>
      </c>
      <c r="BZ17" s="39">
        <v>73.14</v>
      </c>
      <c r="CA17" s="39">
        <v>73.260000000000005</v>
      </c>
      <c r="CB17" s="39">
        <v>73.42</v>
      </c>
      <c r="CC17" s="39">
        <v>73.56</v>
      </c>
      <c r="CD17" s="39">
        <v>73.69</v>
      </c>
      <c r="CE17" s="39">
        <v>73.819999999999993</v>
      </c>
      <c r="CF17" s="39">
        <v>73.959999999999994</v>
      </c>
      <c r="CG17" s="39">
        <v>74.08</v>
      </c>
      <c r="CH17" s="39">
        <v>74.23</v>
      </c>
      <c r="CI17" s="39">
        <v>74.39</v>
      </c>
      <c r="CJ17" s="39">
        <v>74.5</v>
      </c>
      <c r="CK17" s="39">
        <v>74.63</v>
      </c>
      <c r="CL17" s="39">
        <v>74.78</v>
      </c>
      <c r="CM17" s="39">
        <v>74.91</v>
      </c>
      <c r="CN17" s="39">
        <v>75.040000000000006</v>
      </c>
      <c r="CO17" s="39">
        <v>75.17</v>
      </c>
      <c r="CP17" s="39">
        <v>75.3</v>
      </c>
      <c r="CQ17" s="39">
        <v>75.41</v>
      </c>
      <c r="CR17" s="39">
        <v>75.540000000000006</v>
      </c>
      <c r="CS17" s="39">
        <v>75.680000000000007</v>
      </c>
      <c r="CT17" s="39">
        <v>75.8</v>
      </c>
      <c r="CU17" s="39">
        <v>75.91</v>
      </c>
      <c r="CV17" s="39">
        <v>76.03</v>
      </c>
      <c r="CW17" s="39">
        <v>76.16</v>
      </c>
      <c r="CX17" s="39">
        <v>76.28</v>
      </c>
      <c r="CY17" s="39">
        <v>76.39</v>
      </c>
      <c r="CZ17" s="39">
        <v>76.510000000000005</v>
      </c>
      <c r="DA17" s="39">
        <v>76.63</v>
      </c>
      <c r="DB17" s="39">
        <v>76.75</v>
      </c>
      <c r="DC17" s="39">
        <v>76.86</v>
      </c>
      <c r="DD17" s="39">
        <v>76.97</v>
      </c>
      <c r="DE17" s="39">
        <v>77.08</v>
      </c>
      <c r="DF17" s="39">
        <v>77.2</v>
      </c>
      <c r="DG17" s="39">
        <v>77.3</v>
      </c>
      <c r="DH17" s="39">
        <v>77.41</v>
      </c>
      <c r="DI17" s="39">
        <v>77.52</v>
      </c>
      <c r="DJ17" s="39">
        <v>77.63</v>
      </c>
      <c r="DK17" s="39">
        <v>77.73</v>
      </c>
      <c r="DL17" s="39">
        <v>77.84</v>
      </c>
      <c r="DM17" s="39">
        <v>77.94</v>
      </c>
      <c r="DN17" s="39">
        <v>78.05</v>
      </c>
      <c r="DO17" s="39">
        <v>78.150000000000006</v>
      </c>
      <c r="DP17" s="39">
        <v>78.25</v>
      </c>
      <c r="DQ17" s="39">
        <v>78.349999999999994</v>
      </c>
      <c r="DR17" s="39">
        <v>78.45</v>
      </c>
    </row>
    <row r="18" spans="1:122">
      <c r="A18" s="44">
        <v>16</v>
      </c>
      <c r="B18" s="45"/>
      <c r="C18" s="45"/>
      <c r="D18" s="45"/>
      <c r="E18" s="45"/>
      <c r="F18" s="45"/>
      <c r="G18" s="45"/>
      <c r="H18" s="45"/>
      <c r="I18" s="45"/>
      <c r="J18" s="45"/>
      <c r="K18" s="45"/>
      <c r="L18" s="45"/>
      <c r="M18" s="45"/>
      <c r="N18" s="45"/>
      <c r="O18" s="45"/>
      <c r="P18" s="45"/>
      <c r="Q18" s="45"/>
      <c r="R18" s="45"/>
      <c r="S18" s="45"/>
      <c r="T18" s="45"/>
      <c r="U18" s="45"/>
      <c r="V18" s="39"/>
      <c r="W18" s="39">
        <v>61.87</v>
      </c>
      <c r="X18" s="39">
        <v>62.13</v>
      </c>
      <c r="Y18" s="39">
        <v>62.39</v>
      </c>
      <c r="Z18" s="39">
        <v>62.7</v>
      </c>
      <c r="AA18" s="39">
        <v>62.93</v>
      </c>
      <c r="AB18" s="39">
        <v>63.24</v>
      </c>
      <c r="AC18" s="39">
        <v>63.56</v>
      </c>
      <c r="AD18" s="39">
        <v>63.78</v>
      </c>
      <c r="AE18" s="39">
        <v>64.12</v>
      </c>
      <c r="AF18" s="39">
        <v>64.510000000000005</v>
      </c>
      <c r="AG18" s="39">
        <v>64.78</v>
      </c>
      <c r="AH18" s="39">
        <v>65.06</v>
      </c>
      <c r="AI18" s="39">
        <v>65.319999999999993</v>
      </c>
      <c r="AJ18" s="39">
        <v>65.63</v>
      </c>
      <c r="AK18" s="39">
        <v>65.92</v>
      </c>
      <c r="AL18" s="39">
        <v>66.27</v>
      </c>
      <c r="AM18" s="39">
        <v>66.55</v>
      </c>
      <c r="AN18" s="39">
        <v>66.77</v>
      </c>
      <c r="AO18" s="39">
        <v>66.97</v>
      </c>
      <c r="AP18" s="39">
        <v>67.11</v>
      </c>
      <c r="AQ18" s="39">
        <v>67.19</v>
      </c>
      <c r="AR18" s="39">
        <v>67.239999999999995</v>
      </c>
      <c r="AS18" s="39">
        <v>67.31</v>
      </c>
      <c r="AT18" s="39">
        <v>67.31</v>
      </c>
      <c r="AU18" s="39">
        <v>67.400000000000006</v>
      </c>
      <c r="AV18" s="39">
        <v>67.459999999999994</v>
      </c>
      <c r="AW18" s="39">
        <v>67.73</v>
      </c>
      <c r="AX18" s="39">
        <v>67.790000000000006</v>
      </c>
      <c r="AY18" s="39">
        <v>67.94</v>
      </c>
      <c r="AZ18" s="39">
        <v>68.069999999999993</v>
      </c>
      <c r="BA18" s="39">
        <v>68.22</v>
      </c>
      <c r="BB18" s="39">
        <v>68.349999999999994</v>
      </c>
      <c r="BC18" s="39">
        <v>68.47</v>
      </c>
      <c r="BD18" s="39">
        <v>68.61</v>
      </c>
      <c r="BE18" s="39">
        <v>68.72</v>
      </c>
      <c r="BF18" s="39">
        <v>68.900000000000006</v>
      </c>
      <c r="BG18" s="39">
        <v>69.069999999999993</v>
      </c>
      <c r="BH18" s="39">
        <v>69.260000000000005</v>
      </c>
      <c r="BI18" s="39">
        <v>69.41</v>
      </c>
      <c r="BJ18" s="39">
        <v>69.58</v>
      </c>
      <c r="BK18" s="39">
        <v>69.75</v>
      </c>
      <c r="BL18" s="39">
        <v>69.95</v>
      </c>
      <c r="BM18" s="39">
        <v>70.150000000000006</v>
      </c>
      <c r="BN18" s="39">
        <v>70.319999999999993</v>
      </c>
      <c r="BO18" s="39">
        <v>70.48</v>
      </c>
      <c r="BP18" s="39">
        <v>70.67</v>
      </c>
      <c r="BQ18" s="39">
        <v>70.83</v>
      </c>
      <c r="BR18" s="39">
        <v>70.98</v>
      </c>
      <c r="BS18" s="39">
        <v>71.16</v>
      </c>
      <c r="BT18" s="39">
        <v>71.31</v>
      </c>
      <c r="BU18" s="39">
        <v>71.44</v>
      </c>
      <c r="BV18" s="39">
        <v>71.59</v>
      </c>
      <c r="BW18" s="39">
        <v>71.739999999999995</v>
      </c>
      <c r="BX18" s="39">
        <v>71.88</v>
      </c>
      <c r="BY18" s="39">
        <v>72.02</v>
      </c>
      <c r="BZ18" s="39">
        <v>72.16</v>
      </c>
      <c r="CA18" s="39">
        <v>72.27</v>
      </c>
      <c r="CB18" s="39">
        <v>72.44</v>
      </c>
      <c r="CC18" s="39">
        <v>72.58</v>
      </c>
      <c r="CD18" s="39">
        <v>72.709999999999994</v>
      </c>
      <c r="CE18" s="39">
        <v>72.83</v>
      </c>
      <c r="CF18" s="39">
        <v>72.98</v>
      </c>
      <c r="CG18" s="39">
        <v>73.099999999999994</v>
      </c>
      <c r="CH18" s="39">
        <v>73.25</v>
      </c>
      <c r="CI18" s="39">
        <v>73.400000000000006</v>
      </c>
      <c r="CJ18" s="39">
        <v>73.510000000000005</v>
      </c>
      <c r="CK18" s="39">
        <v>73.650000000000006</v>
      </c>
      <c r="CL18" s="39">
        <v>73.790000000000006</v>
      </c>
      <c r="CM18" s="39">
        <v>73.92</v>
      </c>
      <c r="CN18" s="39">
        <v>74.05</v>
      </c>
      <c r="CO18" s="39">
        <v>74.180000000000007</v>
      </c>
      <c r="CP18" s="39">
        <v>74.31</v>
      </c>
      <c r="CQ18" s="39">
        <v>74.42</v>
      </c>
      <c r="CR18" s="39">
        <v>74.56</v>
      </c>
      <c r="CS18" s="39">
        <v>74.69</v>
      </c>
      <c r="CT18" s="39">
        <v>74.81</v>
      </c>
      <c r="CU18" s="39">
        <v>74.92</v>
      </c>
      <c r="CV18" s="39">
        <v>75.040000000000006</v>
      </c>
      <c r="CW18" s="39">
        <v>75.17</v>
      </c>
      <c r="CX18" s="39">
        <v>75.290000000000006</v>
      </c>
      <c r="CY18" s="39">
        <v>75.400000000000006</v>
      </c>
      <c r="CZ18" s="39">
        <v>75.52</v>
      </c>
      <c r="DA18" s="39">
        <v>75.64</v>
      </c>
      <c r="DB18" s="39">
        <v>75.75</v>
      </c>
      <c r="DC18" s="39">
        <v>75.87</v>
      </c>
      <c r="DD18" s="39">
        <v>75.98</v>
      </c>
      <c r="DE18" s="39">
        <v>76.09</v>
      </c>
      <c r="DF18" s="39">
        <v>76.2</v>
      </c>
      <c r="DG18" s="39">
        <v>76.31</v>
      </c>
      <c r="DH18" s="39">
        <v>76.42</v>
      </c>
      <c r="DI18" s="39">
        <v>76.53</v>
      </c>
      <c r="DJ18" s="39">
        <v>76.63</v>
      </c>
      <c r="DK18" s="39">
        <v>76.739999999999995</v>
      </c>
      <c r="DL18" s="39">
        <v>76.849999999999994</v>
      </c>
      <c r="DM18" s="39">
        <v>76.95</v>
      </c>
      <c r="DN18" s="39">
        <v>77.05</v>
      </c>
      <c r="DO18" s="39">
        <v>77.150000000000006</v>
      </c>
      <c r="DP18" s="39">
        <v>77.25</v>
      </c>
      <c r="DQ18" s="39">
        <v>77.349999999999994</v>
      </c>
      <c r="DR18" s="39">
        <v>77.45</v>
      </c>
    </row>
    <row r="19" spans="1:122">
      <c r="A19" s="44">
        <v>17</v>
      </c>
      <c r="B19" s="45"/>
      <c r="C19" s="45"/>
      <c r="D19" s="45"/>
      <c r="E19" s="45"/>
      <c r="F19" s="45"/>
      <c r="G19" s="45"/>
      <c r="H19" s="45"/>
      <c r="I19" s="45"/>
      <c r="J19" s="45"/>
      <c r="K19" s="45"/>
      <c r="L19" s="45"/>
      <c r="M19" s="45"/>
      <c r="N19" s="45"/>
      <c r="O19" s="45"/>
      <c r="P19" s="45"/>
      <c r="Q19" s="45"/>
      <c r="R19" s="45"/>
      <c r="S19" s="45"/>
      <c r="T19" s="45"/>
      <c r="U19" s="45"/>
      <c r="V19" s="39"/>
      <c r="W19" s="39">
        <v>60.96</v>
      </c>
      <c r="X19" s="39">
        <v>61.22</v>
      </c>
      <c r="Y19" s="39">
        <v>61.48</v>
      </c>
      <c r="Z19" s="39">
        <v>61.8</v>
      </c>
      <c r="AA19" s="39">
        <v>62.03</v>
      </c>
      <c r="AB19" s="39">
        <v>62.33</v>
      </c>
      <c r="AC19" s="39">
        <v>62.67</v>
      </c>
      <c r="AD19" s="39">
        <v>62.9</v>
      </c>
      <c r="AE19" s="39">
        <v>63.29</v>
      </c>
      <c r="AF19" s="39">
        <v>63.61</v>
      </c>
      <c r="AG19" s="39">
        <v>63.88</v>
      </c>
      <c r="AH19" s="39">
        <v>64.14</v>
      </c>
      <c r="AI19" s="39">
        <v>64.37</v>
      </c>
      <c r="AJ19" s="39">
        <v>64.680000000000007</v>
      </c>
      <c r="AK19" s="39">
        <v>64.97</v>
      </c>
      <c r="AL19" s="39">
        <v>65.319999999999993</v>
      </c>
      <c r="AM19" s="39">
        <v>65.59</v>
      </c>
      <c r="AN19" s="39">
        <v>65.81</v>
      </c>
      <c r="AO19" s="39">
        <v>66</v>
      </c>
      <c r="AP19" s="39">
        <v>66.14</v>
      </c>
      <c r="AQ19" s="39">
        <v>66.22</v>
      </c>
      <c r="AR19" s="39">
        <v>66.28</v>
      </c>
      <c r="AS19" s="39">
        <v>66.349999999999994</v>
      </c>
      <c r="AT19" s="39">
        <v>66.34</v>
      </c>
      <c r="AU19" s="39">
        <v>66.430000000000007</v>
      </c>
      <c r="AV19" s="39">
        <v>66.489999999999995</v>
      </c>
      <c r="AW19" s="39">
        <v>66.760000000000005</v>
      </c>
      <c r="AX19" s="39">
        <v>66.819999999999993</v>
      </c>
      <c r="AY19" s="39">
        <v>66.97</v>
      </c>
      <c r="AZ19" s="39">
        <v>67.11</v>
      </c>
      <c r="BA19" s="39">
        <v>67.25</v>
      </c>
      <c r="BB19" s="39">
        <v>67.38</v>
      </c>
      <c r="BC19" s="39">
        <v>67.5</v>
      </c>
      <c r="BD19" s="39">
        <v>67.64</v>
      </c>
      <c r="BE19" s="39">
        <v>67.760000000000005</v>
      </c>
      <c r="BF19" s="39">
        <v>67.94</v>
      </c>
      <c r="BG19" s="39">
        <v>68.11</v>
      </c>
      <c r="BH19" s="39">
        <v>68.290000000000006</v>
      </c>
      <c r="BI19" s="39">
        <v>68.44</v>
      </c>
      <c r="BJ19" s="39">
        <v>68.62</v>
      </c>
      <c r="BK19" s="39">
        <v>68.790000000000006</v>
      </c>
      <c r="BL19" s="39">
        <v>68.98</v>
      </c>
      <c r="BM19" s="39">
        <v>69.19</v>
      </c>
      <c r="BN19" s="39">
        <v>69.349999999999994</v>
      </c>
      <c r="BO19" s="39">
        <v>69.510000000000005</v>
      </c>
      <c r="BP19" s="39">
        <v>69.7</v>
      </c>
      <c r="BQ19" s="39">
        <v>69.849999999999994</v>
      </c>
      <c r="BR19" s="39">
        <v>70</v>
      </c>
      <c r="BS19" s="39">
        <v>70.180000000000007</v>
      </c>
      <c r="BT19" s="39">
        <v>70.33</v>
      </c>
      <c r="BU19" s="39">
        <v>70.459999999999994</v>
      </c>
      <c r="BV19" s="39">
        <v>70.599999999999994</v>
      </c>
      <c r="BW19" s="39">
        <v>70.760000000000005</v>
      </c>
      <c r="BX19" s="39">
        <v>70.900000000000006</v>
      </c>
      <c r="BY19" s="39">
        <v>71.040000000000006</v>
      </c>
      <c r="BZ19" s="39">
        <v>71.180000000000007</v>
      </c>
      <c r="CA19" s="39">
        <v>71.3</v>
      </c>
      <c r="CB19" s="39">
        <v>71.459999999999994</v>
      </c>
      <c r="CC19" s="39">
        <v>71.599999999999994</v>
      </c>
      <c r="CD19" s="39">
        <v>71.73</v>
      </c>
      <c r="CE19" s="39">
        <v>71.849999999999994</v>
      </c>
      <c r="CF19" s="39">
        <v>71.989999999999995</v>
      </c>
      <c r="CG19" s="39">
        <v>72.11</v>
      </c>
      <c r="CH19" s="39">
        <v>72.260000000000005</v>
      </c>
      <c r="CI19" s="39">
        <v>72.41</v>
      </c>
      <c r="CJ19" s="39">
        <v>72.53</v>
      </c>
      <c r="CK19" s="39">
        <v>72.66</v>
      </c>
      <c r="CL19" s="39">
        <v>72.8</v>
      </c>
      <c r="CM19" s="39">
        <v>72.930000000000007</v>
      </c>
      <c r="CN19" s="39">
        <v>73.06</v>
      </c>
      <c r="CO19" s="39">
        <v>73.19</v>
      </c>
      <c r="CP19" s="39">
        <v>73.33</v>
      </c>
      <c r="CQ19" s="39">
        <v>73.430000000000007</v>
      </c>
      <c r="CR19" s="39">
        <v>73.569999999999993</v>
      </c>
      <c r="CS19" s="39">
        <v>73.7</v>
      </c>
      <c r="CT19" s="39">
        <v>73.81</v>
      </c>
      <c r="CU19" s="39">
        <v>73.94</v>
      </c>
      <c r="CV19" s="39">
        <v>74.05</v>
      </c>
      <c r="CW19" s="39">
        <v>74.180000000000007</v>
      </c>
      <c r="CX19" s="39">
        <v>74.3</v>
      </c>
      <c r="CY19" s="39">
        <v>74.42</v>
      </c>
      <c r="CZ19" s="39">
        <v>74.53</v>
      </c>
      <c r="DA19" s="39">
        <v>74.650000000000006</v>
      </c>
      <c r="DB19" s="39">
        <v>74.760000000000005</v>
      </c>
      <c r="DC19" s="39">
        <v>74.88</v>
      </c>
      <c r="DD19" s="39">
        <v>74.989999999999995</v>
      </c>
      <c r="DE19" s="39">
        <v>75.099999999999994</v>
      </c>
      <c r="DF19" s="39">
        <v>75.209999999999994</v>
      </c>
      <c r="DG19" s="39">
        <v>75.319999999999993</v>
      </c>
      <c r="DH19" s="39">
        <v>75.430000000000007</v>
      </c>
      <c r="DI19" s="39">
        <v>75.540000000000006</v>
      </c>
      <c r="DJ19" s="39">
        <v>75.64</v>
      </c>
      <c r="DK19" s="39">
        <v>75.75</v>
      </c>
      <c r="DL19" s="39">
        <v>75.849999999999994</v>
      </c>
      <c r="DM19" s="39">
        <v>75.959999999999994</v>
      </c>
      <c r="DN19" s="39">
        <v>76.06</v>
      </c>
      <c r="DO19" s="39">
        <v>76.16</v>
      </c>
      <c r="DP19" s="39">
        <v>76.260000000000005</v>
      </c>
      <c r="DQ19" s="39">
        <v>76.36</v>
      </c>
      <c r="DR19" s="39">
        <v>76.459999999999994</v>
      </c>
    </row>
    <row r="20" spans="1:122">
      <c r="A20" s="44">
        <v>18</v>
      </c>
      <c r="B20" s="45"/>
      <c r="C20" s="45"/>
      <c r="D20" s="45"/>
      <c r="E20" s="45"/>
      <c r="F20" s="45"/>
      <c r="G20" s="45"/>
      <c r="H20" s="45"/>
      <c r="I20" s="45"/>
      <c r="J20" s="45"/>
      <c r="K20" s="45"/>
      <c r="L20" s="45"/>
      <c r="M20" s="45"/>
      <c r="N20" s="45"/>
      <c r="O20" s="45"/>
      <c r="P20" s="45"/>
      <c r="Q20" s="45"/>
      <c r="R20" s="45"/>
      <c r="S20" s="45"/>
      <c r="T20" s="45"/>
      <c r="U20" s="45"/>
      <c r="V20" s="39"/>
      <c r="W20" s="39">
        <v>60.06</v>
      </c>
      <c r="X20" s="39">
        <v>60.32</v>
      </c>
      <c r="Y20" s="39">
        <v>60.58</v>
      </c>
      <c r="Z20" s="39">
        <v>60.9</v>
      </c>
      <c r="AA20" s="39">
        <v>61.13</v>
      </c>
      <c r="AB20" s="39">
        <v>61.44</v>
      </c>
      <c r="AC20" s="39">
        <v>61.79</v>
      </c>
      <c r="AD20" s="39">
        <v>62.08</v>
      </c>
      <c r="AE20" s="39">
        <v>62.4</v>
      </c>
      <c r="AF20" s="39">
        <v>62.72</v>
      </c>
      <c r="AG20" s="39">
        <v>62.96</v>
      </c>
      <c r="AH20" s="39">
        <v>63.19</v>
      </c>
      <c r="AI20" s="39">
        <v>63.43</v>
      </c>
      <c r="AJ20" s="39">
        <v>63.74</v>
      </c>
      <c r="AK20" s="39">
        <v>64.02</v>
      </c>
      <c r="AL20" s="39">
        <v>64.349999999999994</v>
      </c>
      <c r="AM20" s="39">
        <v>64.63</v>
      </c>
      <c r="AN20" s="39">
        <v>64.849999999999994</v>
      </c>
      <c r="AO20" s="39">
        <v>65.040000000000006</v>
      </c>
      <c r="AP20" s="39">
        <v>65.180000000000007</v>
      </c>
      <c r="AQ20" s="39">
        <v>65.25</v>
      </c>
      <c r="AR20" s="39">
        <v>65.31</v>
      </c>
      <c r="AS20" s="39">
        <v>65.38</v>
      </c>
      <c r="AT20" s="39">
        <v>65.37</v>
      </c>
      <c r="AU20" s="39">
        <v>65.459999999999994</v>
      </c>
      <c r="AV20" s="39">
        <v>65.52</v>
      </c>
      <c r="AW20" s="39">
        <v>65.790000000000006</v>
      </c>
      <c r="AX20" s="39">
        <v>65.849999999999994</v>
      </c>
      <c r="AY20" s="39">
        <v>66</v>
      </c>
      <c r="AZ20" s="39">
        <v>66.14</v>
      </c>
      <c r="BA20" s="39">
        <v>66.290000000000006</v>
      </c>
      <c r="BB20" s="39">
        <v>66.41</v>
      </c>
      <c r="BC20" s="39">
        <v>66.540000000000006</v>
      </c>
      <c r="BD20" s="39">
        <v>66.680000000000007</v>
      </c>
      <c r="BE20" s="39">
        <v>66.8</v>
      </c>
      <c r="BF20" s="39">
        <v>66.97</v>
      </c>
      <c r="BG20" s="39">
        <v>67.14</v>
      </c>
      <c r="BH20" s="39">
        <v>67.33</v>
      </c>
      <c r="BI20" s="39">
        <v>67.48</v>
      </c>
      <c r="BJ20" s="39">
        <v>67.66</v>
      </c>
      <c r="BK20" s="39">
        <v>67.83</v>
      </c>
      <c r="BL20" s="39">
        <v>68.010000000000005</v>
      </c>
      <c r="BM20" s="39">
        <v>68.22</v>
      </c>
      <c r="BN20" s="39">
        <v>68.39</v>
      </c>
      <c r="BO20" s="39">
        <v>68.540000000000006</v>
      </c>
      <c r="BP20" s="39">
        <v>68.73</v>
      </c>
      <c r="BQ20" s="39">
        <v>68.88</v>
      </c>
      <c r="BR20" s="39">
        <v>69.03</v>
      </c>
      <c r="BS20" s="39">
        <v>69.2</v>
      </c>
      <c r="BT20" s="39">
        <v>69.36</v>
      </c>
      <c r="BU20" s="39">
        <v>69.489999999999995</v>
      </c>
      <c r="BV20" s="39">
        <v>69.63</v>
      </c>
      <c r="BW20" s="39">
        <v>69.78</v>
      </c>
      <c r="BX20" s="39">
        <v>69.92</v>
      </c>
      <c r="BY20" s="39">
        <v>70.06</v>
      </c>
      <c r="BZ20" s="39">
        <v>70.2</v>
      </c>
      <c r="CA20" s="39">
        <v>70.319999999999993</v>
      </c>
      <c r="CB20" s="39">
        <v>70.48</v>
      </c>
      <c r="CC20" s="39">
        <v>70.61</v>
      </c>
      <c r="CD20" s="39">
        <v>70.739999999999995</v>
      </c>
      <c r="CE20" s="39">
        <v>70.88</v>
      </c>
      <c r="CF20" s="39">
        <v>71.02</v>
      </c>
      <c r="CG20" s="39">
        <v>71.13</v>
      </c>
      <c r="CH20" s="39">
        <v>71.28</v>
      </c>
      <c r="CI20" s="39">
        <v>71.430000000000007</v>
      </c>
      <c r="CJ20" s="39">
        <v>71.540000000000006</v>
      </c>
      <c r="CK20" s="39">
        <v>71.680000000000007</v>
      </c>
      <c r="CL20" s="39">
        <v>71.819999999999993</v>
      </c>
      <c r="CM20" s="39">
        <v>71.94</v>
      </c>
      <c r="CN20" s="39">
        <v>72.08</v>
      </c>
      <c r="CO20" s="39">
        <v>72.2</v>
      </c>
      <c r="CP20" s="39">
        <v>72.34</v>
      </c>
      <c r="CQ20" s="39">
        <v>72.45</v>
      </c>
      <c r="CR20" s="39">
        <v>72.58</v>
      </c>
      <c r="CS20" s="39">
        <v>72.709999999999994</v>
      </c>
      <c r="CT20" s="39">
        <v>72.83</v>
      </c>
      <c r="CU20" s="39">
        <v>72.94</v>
      </c>
      <c r="CV20" s="39">
        <v>73.069999999999993</v>
      </c>
      <c r="CW20" s="39">
        <v>73.19</v>
      </c>
      <c r="CX20" s="39">
        <v>73.31</v>
      </c>
      <c r="CY20" s="39">
        <v>73.430000000000007</v>
      </c>
      <c r="CZ20" s="39">
        <v>73.540000000000006</v>
      </c>
      <c r="DA20" s="39">
        <v>73.66</v>
      </c>
      <c r="DB20" s="39">
        <v>73.77</v>
      </c>
      <c r="DC20" s="39">
        <v>73.88</v>
      </c>
      <c r="DD20" s="39">
        <v>74</v>
      </c>
      <c r="DE20" s="39">
        <v>74.11</v>
      </c>
      <c r="DF20" s="39">
        <v>74.22</v>
      </c>
      <c r="DG20" s="39">
        <v>74.33</v>
      </c>
      <c r="DH20" s="39">
        <v>74.44</v>
      </c>
      <c r="DI20" s="39">
        <v>74.540000000000006</v>
      </c>
      <c r="DJ20" s="39">
        <v>74.650000000000006</v>
      </c>
      <c r="DK20" s="39">
        <v>74.75</v>
      </c>
      <c r="DL20" s="39">
        <v>74.86</v>
      </c>
      <c r="DM20" s="39">
        <v>74.959999999999994</v>
      </c>
      <c r="DN20" s="39">
        <v>75.06</v>
      </c>
      <c r="DO20" s="39">
        <v>75.17</v>
      </c>
      <c r="DP20" s="39">
        <v>75.27</v>
      </c>
      <c r="DQ20" s="39">
        <v>75.37</v>
      </c>
      <c r="DR20" s="39">
        <v>75.459999999999994</v>
      </c>
    </row>
    <row r="21" spans="1:122">
      <c r="A21" s="44">
        <v>19</v>
      </c>
      <c r="B21" s="45"/>
      <c r="C21" s="45"/>
      <c r="D21" s="45"/>
      <c r="E21" s="45"/>
      <c r="F21" s="45"/>
      <c r="G21" s="45"/>
      <c r="H21" s="45"/>
      <c r="I21" s="45"/>
      <c r="J21" s="45"/>
      <c r="K21" s="45"/>
      <c r="L21" s="45"/>
      <c r="M21" s="45"/>
      <c r="N21" s="45"/>
      <c r="O21" s="45"/>
      <c r="P21" s="45"/>
      <c r="Q21" s="45"/>
      <c r="R21" s="45"/>
      <c r="S21" s="45"/>
      <c r="T21" s="45"/>
      <c r="U21" s="45"/>
      <c r="V21" s="39"/>
      <c r="W21" s="39">
        <v>59.16</v>
      </c>
      <c r="X21" s="39">
        <v>59.43</v>
      </c>
      <c r="Y21" s="39">
        <v>59.69</v>
      </c>
      <c r="Z21" s="39">
        <v>60.01</v>
      </c>
      <c r="AA21" s="39">
        <v>60.25</v>
      </c>
      <c r="AB21" s="39">
        <v>60.58</v>
      </c>
      <c r="AC21" s="39">
        <v>60.99</v>
      </c>
      <c r="AD21" s="39">
        <v>61.2</v>
      </c>
      <c r="AE21" s="39">
        <v>61.52</v>
      </c>
      <c r="AF21" s="39">
        <v>61.81</v>
      </c>
      <c r="AG21" s="39">
        <v>62.02</v>
      </c>
      <c r="AH21" s="39">
        <v>62.25</v>
      </c>
      <c r="AI21" s="39">
        <v>62.49</v>
      </c>
      <c r="AJ21" s="39">
        <v>62.78</v>
      </c>
      <c r="AK21" s="39">
        <v>63.06</v>
      </c>
      <c r="AL21" s="39">
        <v>63.4</v>
      </c>
      <c r="AM21" s="39">
        <v>63.67</v>
      </c>
      <c r="AN21" s="39">
        <v>63.88</v>
      </c>
      <c r="AO21" s="39">
        <v>64.069999999999993</v>
      </c>
      <c r="AP21" s="39">
        <v>64.209999999999994</v>
      </c>
      <c r="AQ21" s="39">
        <v>64.290000000000006</v>
      </c>
      <c r="AR21" s="39">
        <v>64.349999999999994</v>
      </c>
      <c r="AS21" s="39">
        <v>64.42</v>
      </c>
      <c r="AT21" s="39">
        <v>64.41</v>
      </c>
      <c r="AU21" s="39">
        <v>64.489999999999995</v>
      </c>
      <c r="AV21" s="39">
        <v>64.56</v>
      </c>
      <c r="AW21" s="39">
        <v>64.83</v>
      </c>
      <c r="AX21" s="39">
        <v>64.89</v>
      </c>
      <c r="AY21" s="39">
        <v>65.040000000000006</v>
      </c>
      <c r="AZ21" s="39">
        <v>65.180000000000007</v>
      </c>
      <c r="BA21" s="39">
        <v>65.33</v>
      </c>
      <c r="BB21" s="39">
        <v>65.459999999999994</v>
      </c>
      <c r="BC21" s="39">
        <v>65.58</v>
      </c>
      <c r="BD21" s="39">
        <v>65.72</v>
      </c>
      <c r="BE21" s="39">
        <v>65.83</v>
      </c>
      <c r="BF21" s="39">
        <v>66.010000000000005</v>
      </c>
      <c r="BG21" s="39">
        <v>66.180000000000007</v>
      </c>
      <c r="BH21" s="39">
        <v>66.37</v>
      </c>
      <c r="BI21" s="39">
        <v>66.52</v>
      </c>
      <c r="BJ21" s="39">
        <v>66.69</v>
      </c>
      <c r="BK21" s="39">
        <v>66.86</v>
      </c>
      <c r="BL21" s="39">
        <v>67.05</v>
      </c>
      <c r="BM21" s="39">
        <v>67.260000000000005</v>
      </c>
      <c r="BN21" s="39">
        <v>67.42</v>
      </c>
      <c r="BO21" s="39">
        <v>67.569999999999993</v>
      </c>
      <c r="BP21" s="39">
        <v>67.760000000000005</v>
      </c>
      <c r="BQ21" s="39">
        <v>67.91</v>
      </c>
      <c r="BR21" s="39">
        <v>68.05</v>
      </c>
      <c r="BS21" s="39">
        <v>68.23</v>
      </c>
      <c r="BT21" s="39">
        <v>68.38</v>
      </c>
      <c r="BU21" s="39">
        <v>68.510000000000005</v>
      </c>
      <c r="BV21" s="39">
        <v>68.66</v>
      </c>
      <c r="BW21" s="39">
        <v>68.81</v>
      </c>
      <c r="BX21" s="39">
        <v>68.94</v>
      </c>
      <c r="BY21" s="39">
        <v>69.09</v>
      </c>
      <c r="BZ21" s="39">
        <v>69.23</v>
      </c>
      <c r="CA21" s="39">
        <v>69.34</v>
      </c>
      <c r="CB21" s="39">
        <v>69.510000000000005</v>
      </c>
      <c r="CC21" s="39">
        <v>69.64</v>
      </c>
      <c r="CD21" s="39">
        <v>69.77</v>
      </c>
      <c r="CE21" s="39">
        <v>69.900000000000006</v>
      </c>
      <c r="CF21" s="39">
        <v>70.040000000000006</v>
      </c>
      <c r="CG21" s="39">
        <v>70.16</v>
      </c>
      <c r="CH21" s="39">
        <v>70.3</v>
      </c>
      <c r="CI21" s="39">
        <v>70.45</v>
      </c>
      <c r="CJ21" s="39">
        <v>70.56</v>
      </c>
      <c r="CK21" s="39">
        <v>70.69</v>
      </c>
      <c r="CL21" s="39">
        <v>70.83</v>
      </c>
      <c r="CM21" s="39">
        <v>70.959999999999994</v>
      </c>
      <c r="CN21" s="39">
        <v>71.09</v>
      </c>
      <c r="CO21" s="39">
        <v>71.22</v>
      </c>
      <c r="CP21" s="39">
        <v>71.349999999999994</v>
      </c>
      <c r="CQ21" s="39">
        <v>71.459999999999994</v>
      </c>
      <c r="CR21" s="39">
        <v>71.599999999999994</v>
      </c>
      <c r="CS21" s="39">
        <v>71.72</v>
      </c>
      <c r="CT21" s="39">
        <v>71.84</v>
      </c>
      <c r="CU21" s="39">
        <v>71.959999999999994</v>
      </c>
      <c r="CV21" s="39">
        <v>72.08</v>
      </c>
      <c r="CW21" s="39">
        <v>72.2</v>
      </c>
      <c r="CX21" s="39">
        <v>72.319999999999993</v>
      </c>
      <c r="CY21" s="39">
        <v>72.44</v>
      </c>
      <c r="CZ21" s="39">
        <v>72.55</v>
      </c>
      <c r="DA21" s="39">
        <v>72.67</v>
      </c>
      <c r="DB21" s="39">
        <v>72.78</v>
      </c>
      <c r="DC21" s="39">
        <v>72.89</v>
      </c>
      <c r="DD21" s="39">
        <v>73.010000000000005</v>
      </c>
      <c r="DE21" s="39">
        <v>73.12</v>
      </c>
      <c r="DF21" s="39">
        <v>73.23</v>
      </c>
      <c r="DG21" s="39">
        <v>73.34</v>
      </c>
      <c r="DH21" s="39">
        <v>73.44</v>
      </c>
      <c r="DI21" s="39">
        <v>73.55</v>
      </c>
      <c r="DJ21" s="39">
        <v>73.66</v>
      </c>
      <c r="DK21" s="39">
        <v>73.760000000000005</v>
      </c>
      <c r="DL21" s="39">
        <v>73.87</v>
      </c>
      <c r="DM21" s="39">
        <v>73.97</v>
      </c>
      <c r="DN21" s="39">
        <v>74.069999999999993</v>
      </c>
      <c r="DO21" s="39">
        <v>74.17</v>
      </c>
      <c r="DP21" s="39">
        <v>74.27</v>
      </c>
      <c r="DQ21" s="39">
        <v>74.37</v>
      </c>
      <c r="DR21" s="39">
        <v>74.47</v>
      </c>
    </row>
    <row r="22" spans="1:122">
      <c r="A22" s="44">
        <v>20</v>
      </c>
      <c r="B22" s="45"/>
      <c r="C22" s="45"/>
      <c r="D22" s="45"/>
      <c r="E22" s="45"/>
      <c r="F22" s="45"/>
      <c r="G22" s="45"/>
      <c r="H22" s="45"/>
      <c r="I22" s="45"/>
      <c r="J22" s="45"/>
      <c r="K22" s="45"/>
      <c r="L22" s="45"/>
      <c r="M22" s="45"/>
      <c r="N22" s="45"/>
      <c r="O22" s="45"/>
      <c r="P22" s="45"/>
      <c r="Q22" s="45"/>
      <c r="R22" s="45"/>
      <c r="S22" s="45"/>
      <c r="T22" s="45"/>
      <c r="U22" s="45"/>
      <c r="V22" s="39"/>
      <c r="W22" s="39">
        <v>58.28</v>
      </c>
      <c r="X22" s="39">
        <v>58.54</v>
      </c>
      <c r="Y22" s="39">
        <v>58.8</v>
      </c>
      <c r="Z22" s="39">
        <v>59.13</v>
      </c>
      <c r="AA22" s="39">
        <v>59.39</v>
      </c>
      <c r="AB22" s="39">
        <v>59.78</v>
      </c>
      <c r="AC22" s="39">
        <v>60.12</v>
      </c>
      <c r="AD22" s="39">
        <v>60.34</v>
      </c>
      <c r="AE22" s="39">
        <v>60.62</v>
      </c>
      <c r="AF22" s="39">
        <v>60.88</v>
      </c>
      <c r="AG22" s="39">
        <v>61.09</v>
      </c>
      <c r="AH22" s="39">
        <v>61.32</v>
      </c>
      <c r="AI22" s="39">
        <v>61.54</v>
      </c>
      <c r="AJ22" s="39">
        <v>61.83</v>
      </c>
      <c r="AK22" s="39">
        <v>62.11</v>
      </c>
      <c r="AL22" s="39">
        <v>62.44</v>
      </c>
      <c r="AM22" s="39">
        <v>62.71</v>
      </c>
      <c r="AN22" s="39">
        <v>62.93</v>
      </c>
      <c r="AO22" s="39">
        <v>63.11</v>
      </c>
      <c r="AP22" s="39">
        <v>63.25</v>
      </c>
      <c r="AQ22" s="39">
        <v>63.33</v>
      </c>
      <c r="AR22" s="39">
        <v>63.39</v>
      </c>
      <c r="AS22" s="39">
        <v>63.46</v>
      </c>
      <c r="AT22" s="39">
        <v>63.45</v>
      </c>
      <c r="AU22" s="39">
        <v>63.53</v>
      </c>
      <c r="AV22" s="39">
        <v>63.6</v>
      </c>
      <c r="AW22" s="39">
        <v>63.86</v>
      </c>
      <c r="AX22" s="39">
        <v>63.93</v>
      </c>
      <c r="AY22" s="39">
        <v>64.08</v>
      </c>
      <c r="AZ22" s="39">
        <v>64.22</v>
      </c>
      <c r="BA22" s="39">
        <v>64.37</v>
      </c>
      <c r="BB22" s="39">
        <v>64.5</v>
      </c>
      <c r="BC22" s="39">
        <v>64.62</v>
      </c>
      <c r="BD22" s="39">
        <v>64.75</v>
      </c>
      <c r="BE22" s="39">
        <v>64.87</v>
      </c>
      <c r="BF22" s="39">
        <v>65.05</v>
      </c>
      <c r="BG22" s="39">
        <v>65.22</v>
      </c>
      <c r="BH22" s="39">
        <v>65.41</v>
      </c>
      <c r="BI22" s="39">
        <v>65.56</v>
      </c>
      <c r="BJ22" s="39">
        <v>65.73</v>
      </c>
      <c r="BK22" s="39">
        <v>65.900000000000006</v>
      </c>
      <c r="BL22" s="39">
        <v>66.09</v>
      </c>
      <c r="BM22" s="39">
        <v>66.290000000000006</v>
      </c>
      <c r="BN22" s="39">
        <v>66.459999999999994</v>
      </c>
      <c r="BO22" s="39">
        <v>66.61</v>
      </c>
      <c r="BP22" s="39">
        <v>66.78</v>
      </c>
      <c r="BQ22" s="39">
        <v>66.930000000000007</v>
      </c>
      <c r="BR22" s="39">
        <v>67.08</v>
      </c>
      <c r="BS22" s="39">
        <v>67.25</v>
      </c>
      <c r="BT22" s="39">
        <v>67.41</v>
      </c>
      <c r="BU22" s="39">
        <v>67.540000000000006</v>
      </c>
      <c r="BV22" s="39">
        <v>67.69</v>
      </c>
      <c r="BW22" s="39">
        <v>67.83</v>
      </c>
      <c r="BX22" s="39">
        <v>67.97</v>
      </c>
      <c r="BY22" s="39">
        <v>68.11</v>
      </c>
      <c r="BZ22" s="39">
        <v>68.25</v>
      </c>
      <c r="CA22" s="39">
        <v>68.37</v>
      </c>
      <c r="CB22" s="39">
        <v>68.53</v>
      </c>
      <c r="CC22" s="39">
        <v>68.67</v>
      </c>
      <c r="CD22" s="39">
        <v>68.790000000000006</v>
      </c>
      <c r="CE22" s="39">
        <v>68.930000000000007</v>
      </c>
      <c r="CF22" s="39">
        <v>69.06</v>
      </c>
      <c r="CG22" s="39">
        <v>69.180000000000007</v>
      </c>
      <c r="CH22" s="39">
        <v>69.319999999999993</v>
      </c>
      <c r="CI22" s="39">
        <v>69.459999999999994</v>
      </c>
      <c r="CJ22" s="39">
        <v>69.58</v>
      </c>
      <c r="CK22" s="39">
        <v>69.709999999999994</v>
      </c>
      <c r="CL22" s="39">
        <v>69.849999999999994</v>
      </c>
      <c r="CM22" s="39">
        <v>69.97</v>
      </c>
      <c r="CN22" s="39">
        <v>70.11</v>
      </c>
      <c r="CO22" s="39">
        <v>70.23</v>
      </c>
      <c r="CP22" s="39">
        <v>70.37</v>
      </c>
      <c r="CQ22" s="39">
        <v>70.48</v>
      </c>
      <c r="CR22" s="39">
        <v>70.61</v>
      </c>
      <c r="CS22" s="39">
        <v>70.73</v>
      </c>
      <c r="CT22" s="39">
        <v>70.849999999999994</v>
      </c>
      <c r="CU22" s="39">
        <v>70.97</v>
      </c>
      <c r="CV22" s="39">
        <v>71.09</v>
      </c>
      <c r="CW22" s="39">
        <v>71.209999999999994</v>
      </c>
      <c r="CX22" s="39">
        <v>71.33</v>
      </c>
      <c r="CY22" s="39">
        <v>71.45</v>
      </c>
      <c r="CZ22" s="39">
        <v>71.56</v>
      </c>
      <c r="DA22" s="39">
        <v>71.680000000000007</v>
      </c>
      <c r="DB22" s="39">
        <v>71.790000000000006</v>
      </c>
      <c r="DC22" s="39">
        <v>71.900000000000006</v>
      </c>
      <c r="DD22" s="39">
        <v>72.02</v>
      </c>
      <c r="DE22" s="39">
        <v>72.13</v>
      </c>
      <c r="DF22" s="39">
        <v>72.239999999999995</v>
      </c>
      <c r="DG22" s="39">
        <v>72.349999999999994</v>
      </c>
      <c r="DH22" s="39">
        <v>72.45</v>
      </c>
      <c r="DI22" s="39">
        <v>72.56</v>
      </c>
      <c r="DJ22" s="39">
        <v>72.67</v>
      </c>
      <c r="DK22" s="39">
        <v>72.77</v>
      </c>
      <c r="DL22" s="39">
        <v>72.87</v>
      </c>
      <c r="DM22" s="39">
        <v>72.98</v>
      </c>
      <c r="DN22" s="39">
        <v>73.08</v>
      </c>
      <c r="DO22" s="39">
        <v>73.180000000000007</v>
      </c>
      <c r="DP22" s="39">
        <v>73.28</v>
      </c>
      <c r="DQ22" s="39">
        <v>73.38</v>
      </c>
      <c r="DR22" s="39">
        <v>73.48</v>
      </c>
    </row>
    <row r="23" spans="1:122">
      <c r="A23" s="44">
        <v>21</v>
      </c>
      <c r="B23" s="45"/>
      <c r="C23" s="45"/>
      <c r="D23" s="45"/>
      <c r="E23" s="45"/>
      <c r="F23" s="45"/>
      <c r="G23" s="45"/>
      <c r="H23" s="45"/>
      <c r="I23" s="45"/>
      <c r="J23" s="45"/>
      <c r="K23" s="45"/>
      <c r="L23" s="45"/>
      <c r="M23" s="45"/>
      <c r="N23" s="45"/>
      <c r="O23" s="45"/>
      <c r="P23" s="45"/>
      <c r="Q23" s="45"/>
      <c r="R23" s="45"/>
      <c r="S23" s="45"/>
      <c r="T23" s="45"/>
      <c r="U23" s="45"/>
      <c r="V23" s="39"/>
      <c r="W23" s="39">
        <v>57.4</v>
      </c>
      <c r="X23" s="39">
        <v>57.66</v>
      </c>
      <c r="Y23" s="39">
        <v>57.93</v>
      </c>
      <c r="Z23" s="39">
        <v>58.28</v>
      </c>
      <c r="AA23" s="39">
        <v>58.61</v>
      </c>
      <c r="AB23" s="39">
        <v>58.93</v>
      </c>
      <c r="AC23" s="39">
        <v>59.27</v>
      </c>
      <c r="AD23" s="39">
        <v>59.44</v>
      </c>
      <c r="AE23" s="39">
        <v>59.69</v>
      </c>
      <c r="AF23" s="39">
        <v>59.95</v>
      </c>
      <c r="AG23" s="39">
        <v>60.16</v>
      </c>
      <c r="AH23" s="39">
        <v>60.37</v>
      </c>
      <c r="AI23" s="39">
        <v>60.59</v>
      </c>
      <c r="AJ23" s="39">
        <v>60.88</v>
      </c>
      <c r="AK23" s="39">
        <v>61.15</v>
      </c>
      <c r="AL23" s="39">
        <v>61.49</v>
      </c>
      <c r="AM23" s="39">
        <v>61.76</v>
      </c>
      <c r="AN23" s="39">
        <v>61.97</v>
      </c>
      <c r="AO23" s="39">
        <v>62.15</v>
      </c>
      <c r="AP23" s="39">
        <v>62.29</v>
      </c>
      <c r="AQ23" s="39">
        <v>62.37</v>
      </c>
      <c r="AR23" s="39">
        <v>62.43</v>
      </c>
      <c r="AS23" s="39">
        <v>62.49</v>
      </c>
      <c r="AT23" s="39">
        <v>62.48</v>
      </c>
      <c r="AU23" s="39">
        <v>62.57</v>
      </c>
      <c r="AV23" s="39">
        <v>62.64</v>
      </c>
      <c r="AW23" s="39">
        <v>62.9</v>
      </c>
      <c r="AX23" s="39">
        <v>62.97</v>
      </c>
      <c r="AY23" s="39">
        <v>63.12</v>
      </c>
      <c r="AZ23" s="39">
        <v>63.26</v>
      </c>
      <c r="BA23" s="39">
        <v>63.41</v>
      </c>
      <c r="BB23" s="39">
        <v>63.54</v>
      </c>
      <c r="BC23" s="39">
        <v>63.66</v>
      </c>
      <c r="BD23" s="39">
        <v>63.79</v>
      </c>
      <c r="BE23" s="39">
        <v>63.91</v>
      </c>
      <c r="BF23" s="39">
        <v>64.09</v>
      </c>
      <c r="BG23" s="39">
        <v>64.260000000000005</v>
      </c>
      <c r="BH23" s="39">
        <v>64.45</v>
      </c>
      <c r="BI23" s="39">
        <v>64.59</v>
      </c>
      <c r="BJ23" s="39">
        <v>64.760000000000005</v>
      </c>
      <c r="BK23" s="39">
        <v>64.930000000000007</v>
      </c>
      <c r="BL23" s="39">
        <v>65.12</v>
      </c>
      <c r="BM23" s="39">
        <v>65.319999999999993</v>
      </c>
      <c r="BN23" s="39">
        <v>65.489999999999995</v>
      </c>
      <c r="BO23" s="39">
        <v>65.63</v>
      </c>
      <c r="BP23" s="39">
        <v>65.81</v>
      </c>
      <c r="BQ23" s="39">
        <v>65.959999999999994</v>
      </c>
      <c r="BR23" s="39">
        <v>66.11</v>
      </c>
      <c r="BS23" s="39">
        <v>66.28</v>
      </c>
      <c r="BT23" s="39">
        <v>66.430000000000007</v>
      </c>
      <c r="BU23" s="39">
        <v>66.569999999999993</v>
      </c>
      <c r="BV23" s="39">
        <v>66.709999999999994</v>
      </c>
      <c r="BW23" s="39">
        <v>66.86</v>
      </c>
      <c r="BX23" s="39">
        <v>66.989999999999995</v>
      </c>
      <c r="BY23" s="39">
        <v>67.14</v>
      </c>
      <c r="BZ23" s="39">
        <v>67.28</v>
      </c>
      <c r="CA23" s="39">
        <v>67.400000000000006</v>
      </c>
      <c r="CB23" s="39">
        <v>67.55</v>
      </c>
      <c r="CC23" s="39">
        <v>67.69</v>
      </c>
      <c r="CD23" s="39">
        <v>67.819999999999993</v>
      </c>
      <c r="CE23" s="39">
        <v>67.95</v>
      </c>
      <c r="CF23" s="39">
        <v>68.08</v>
      </c>
      <c r="CG23" s="39">
        <v>68.2</v>
      </c>
      <c r="CH23" s="39">
        <v>68.34</v>
      </c>
      <c r="CI23" s="39">
        <v>68.48</v>
      </c>
      <c r="CJ23" s="39">
        <v>68.59</v>
      </c>
      <c r="CK23" s="39">
        <v>68.73</v>
      </c>
      <c r="CL23" s="39">
        <v>68.86</v>
      </c>
      <c r="CM23" s="39">
        <v>68.98</v>
      </c>
      <c r="CN23" s="39">
        <v>69.12</v>
      </c>
      <c r="CO23" s="39">
        <v>69.25</v>
      </c>
      <c r="CP23" s="39">
        <v>69.38</v>
      </c>
      <c r="CQ23" s="39">
        <v>69.489999999999995</v>
      </c>
      <c r="CR23" s="39">
        <v>69.62</v>
      </c>
      <c r="CS23" s="39">
        <v>69.75</v>
      </c>
      <c r="CT23" s="39">
        <v>69.87</v>
      </c>
      <c r="CU23" s="39">
        <v>69.989999999999995</v>
      </c>
      <c r="CV23" s="39">
        <v>70.11</v>
      </c>
      <c r="CW23" s="39">
        <v>70.22</v>
      </c>
      <c r="CX23" s="39">
        <v>70.34</v>
      </c>
      <c r="CY23" s="39">
        <v>70.459999999999994</v>
      </c>
      <c r="CZ23" s="39">
        <v>70.569999999999993</v>
      </c>
      <c r="DA23" s="39">
        <v>70.69</v>
      </c>
      <c r="DB23" s="39">
        <v>70.8</v>
      </c>
      <c r="DC23" s="39">
        <v>70.91</v>
      </c>
      <c r="DD23" s="39">
        <v>71.03</v>
      </c>
      <c r="DE23" s="39">
        <v>71.14</v>
      </c>
      <c r="DF23" s="39">
        <v>71.25</v>
      </c>
      <c r="DG23" s="39">
        <v>71.349999999999994</v>
      </c>
      <c r="DH23" s="39">
        <v>71.459999999999994</v>
      </c>
      <c r="DI23" s="39">
        <v>71.569999999999993</v>
      </c>
      <c r="DJ23" s="39">
        <v>71.67</v>
      </c>
      <c r="DK23" s="39">
        <v>71.78</v>
      </c>
      <c r="DL23" s="39">
        <v>71.88</v>
      </c>
      <c r="DM23" s="39">
        <v>71.98</v>
      </c>
      <c r="DN23" s="39">
        <v>72.09</v>
      </c>
      <c r="DO23" s="39">
        <v>72.19</v>
      </c>
      <c r="DP23" s="39">
        <v>72.290000000000006</v>
      </c>
      <c r="DQ23" s="39">
        <v>72.39</v>
      </c>
      <c r="DR23" s="39">
        <v>72.48</v>
      </c>
    </row>
    <row r="24" spans="1:122">
      <c r="A24" s="44">
        <v>22</v>
      </c>
      <c r="B24" s="45"/>
      <c r="C24" s="45"/>
      <c r="D24" s="45"/>
      <c r="E24" s="45"/>
      <c r="F24" s="45"/>
      <c r="G24" s="45"/>
      <c r="H24" s="45"/>
      <c r="I24" s="45"/>
      <c r="J24" s="45"/>
      <c r="K24" s="45"/>
      <c r="L24" s="45"/>
      <c r="M24" s="45"/>
      <c r="N24" s="45"/>
      <c r="O24" s="45"/>
      <c r="P24" s="45"/>
      <c r="Q24" s="45"/>
      <c r="R24" s="45"/>
      <c r="S24" s="45"/>
      <c r="T24" s="45"/>
      <c r="U24" s="45"/>
      <c r="V24" s="39"/>
      <c r="W24" s="39">
        <v>56.52</v>
      </c>
      <c r="X24" s="39">
        <v>56.8</v>
      </c>
      <c r="Y24" s="39">
        <v>57.09</v>
      </c>
      <c r="Z24" s="39">
        <v>57.51</v>
      </c>
      <c r="AA24" s="39">
        <v>57.75</v>
      </c>
      <c r="AB24" s="39">
        <v>58.07</v>
      </c>
      <c r="AC24" s="39">
        <v>58.37</v>
      </c>
      <c r="AD24" s="39">
        <v>58.52</v>
      </c>
      <c r="AE24" s="39">
        <v>58.76</v>
      </c>
      <c r="AF24" s="39">
        <v>59.02</v>
      </c>
      <c r="AG24" s="39">
        <v>59.21</v>
      </c>
      <c r="AH24" s="39">
        <v>59.42</v>
      </c>
      <c r="AI24" s="39">
        <v>59.64</v>
      </c>
      <c r="AJ24" s="39">
        <v>59.92</v>
      </c>
      <c r="AK24" s="39">
        <v>60.2</v>
      </c>
      <c r="AL24" s="39">
        <v>60.52</v>
      </c>
      <c r="AM24" s="39">
        <v>60.8</v>
      </c>
      <c r="AN24" s="39">
        <v>61</v>
      </c>
      <c r="AO24" s="39">
        <v>61.19</v>
      </c>
      <c r="AP24" s="39">
        <v>61.33</v>
      </c>
      <c r="AQ24" s="39">
        <v>61.4</v>
      </c>
      <c r="AR24" s="39">
        <v>61.46</v>
      </c>
      <c r="AS24" s="39">
        <v>61.53</v>
      </c>
      <c r="AT24" s="39">
        <v>61.52</v>
      </c>
      <c r="AU24" s="39">
        <v>61.6</v>
      </c>
      <c r="AV24" s="39">
        <v>61.67</v>
      </c>
      <c r="AW24" s="39">
        <v>61.93</v>
      </c>
      <c r="AX24" s="39">
        <v>62</v>
      </c>
      <c r="AY24" s="39">
        <v>62.15</v>
      </c>
      <c r="AZ24" s="39">
        <v>62.3</v>
      </c>
      <c r="BA24" s="39">
        <v>62.45</v>
      </c>
      <c r="BB24" s="39">
        <v>62.58</v>
      </c>
      <c r="BC24" s="39">
        <v>62.7</v>
      </c>
      <c r="BD24" s="39">
        <v>62.82</v>
      </c>
      <c r="BE24" s="39">
        <v>62.95</v>
      </c>
      <c r="BF24" s="39">
        <v>63.12</v>
      </c>
      <c r="BG24" s="39">
        <v>63.29</v>
      </c>
      <c r="BH24" s="39">
        <v>63.48</v>
      </c>
      <c r="BI24" s="39">
        <v>63.62</v>
      </c>
      <c r="BJ24" s="39">
        <v>63.79</v>
      </c>
      <c r="BK24" s="39">
        <v>63.95</v>
      </c>
      <c r="BL24" s="39">
        <v>64.150000000000006</v>
      </c>
      <c r="BM24" s="39">
        <v>64.34</v>
      </c>
      <c r="BN24" s="39">
        <v>64.510000000000005</v>
      </c>
      <c r="BO24" s="39">
        <v>64.650000000000006</v>
      </c>
      <c r="BP24" s="39">
        <v>64.84</v>
      </c>
      <c r="BQ24" s="39">
        <v>64.98</v>
      </c>
      <c r="BR24" s="39">
        <v>65.13</v>
      </c>
      <c r="BS24" s="39">
        <v>65.31</v>
      </c>
      <c r="BT24" s="39">
        <v>65.459999999999994</v>
      </c>
      <c r="BU24" s="39">
        <v>65.59</v>
      </c>
      <c r="BV24" s="39">
        <v>65.73</v>
      </c>
      <c r="BW24" s="39">
        <v>65.88</v>
      </c>
      <c r="BX24" s="39">
        <v>66.02</v>
      </c>
      <c r="BY24" s="39">
        <v>66.16</v>
      </c>
      <c r="BZ24" s="39">
        <v>66.3</v>
      </c>
      <c r="CA24" s="39">
        <v>66.42</v>
      </c>
      <c r="CB24" s="39">
        <v>66.58</v>
      </c>
      <c r="CC24" s="39">
        <v>66.709999999999994</v>
      </c>
      <c r="CD24" s="39">
        <v>66.84</v>
      </c>
      <c r="CE24" s="39">
        <v>66.959999999999994</v>
      </c>
      <c r="CF24" s="39">
        <v>67.099999999999994</v>
      </c>
      <c r="CG24" s="39">
        <v>67.22</v>
      </c>
      <c r="CH24" s="39">
        <v>67.36</v>
      </c>
      <c r="CI24" s="39">
        <v>67.489999999999995</v>
      </c>
      <c r="CJ24" s="39">
        <v>67.61</v>
      </c>
      <c r="CK24" s="39">
        <v>67.739999999999995</v>
      </c>
      <c r="CL24" s="39">
        <v>67.87</v>
      </c>
      <c r="CM24" s="39">
        <v>68</v>
      </c>
      <c r="CN24" s="39">
        <v>68.13</v>
      </c>
      <c r="CO24" s="39">
        <v>68.260000000000005</v>
      </c>
      <c r="CP24" s="39">
        <v>68.39</v>
      </c>
      <c r="CQ24" s="39">
        <v>68.5</v>
      </c>
      <c r="CR24" s="39">
        <v>68.63</v>
      </c>
      <c r="CS24" s="39">
        <v>68.760000000000005</v>
      </c>
      <c r="CT24" s="39">
        <v>68.88</v>
      </c>
      <c r="CU24" s="39">
        <v>69</v>
      </c>
      <c r="CV24" s="39">
        <v>69.12</v>
      </c>
      <c r="CW24" s="39">
        <v>69.239999999999995</v>
      </c>
      <c r="CX24" s="39">
        <v>69.349999999999994</v>
      </c>
      <c r="CY24" s="39">
        <v>69.47</v>
      </c>
      <c r="CZ24" s="39">
        <v>69.58</v>
      </c>
      <c r="DA24" s="39">
        <v>69.7</v>
      </c>
      <c r="DB24" s="39">
        <v>69.81</v>
      </c>
      <c r="DC24" s="39">
        <v>69.92</v>
      </c>
      <c r="DD24" s="39">
        <v>70.03</v>
      </c>
      <c r="DE24" s="39">
        <v>70.14</v>
      </c>
      <c r="DF24" s="39">
        <v>70.25</v>
      </c>
      <c r="DG24" s="39">
        <v>70.36</v>
      </c>
      <c r="DH24" s="39">
        <v>70.47</v>
      </c>
      <c r="DI24" s="39">
        <v>70.58</v>
      </c>
      <c r="DJ24" s="39">
        <v>70.680000000000007</v>
      </c>
      <c r="DK24" s="39">
        <v>70.790000000000006</v>
      </c>
      <c r="DL24" s="39">
        <v>70.89</v>
      </c>
      <c r="DM24" s="39">
        <v>70.989999999999995</v>
      </c>
      <c r="DN24" s="39">
        <v>71.09</v>
      </c>
      <c r="DO24" s="39">
        <v>71.19</v>
      </c>
      <c r="DP24" s="39">
        <v>71.290000000000006</v>
      </c>
      <c r="DQ24" s="39">
        <v>71.39</v>
      </c>
      <c r="DR24" s="39">
        <v>71.489999999999995</v>
      </c>
    </row>
    <row r="25" spans="1:122">
      <c r="A25" s="44">
        <v>23</v>
      </c>
      <c r="B25" s="45"/>
      <c r="C25" s="45"/>
      <c r="D25" s="45"/>
      <c r="E25" s="45"/>
      <c r="F25" s="45"/>
      <c r="G25" s="45"/>
      <c r="H25" s="45"/>
      <c r="I25" s="45"/>
      <c r="J25" s="45"/>
      <c r="K25" s="45"/>
      <c r="L25" s="45"/>
      <c r="M25" s="45"/>
      <c r="N25" s="45"/>
      <c r="O25" s="45"/>
      <c r="P25" s="45"/>
      <c r="Q25" s="45"/>
      <c r="R25" s="45"/>
      <c r="S25" s="45"/>
      <c r="T25" s="45"/>
      <c r="U25" s="45"/>
      <c r="V25" s="39"/>
      <c r="W25" s="39">
        <v>55.66</v>
      </c>
      <c r="X25" s="39">
        <v>55.95</v>
      </c>
      <c r="Y25" s="39">
        <v>56.32</v>
      </c>
      <c r="Z25" s="39">
        <v>56.65</v>
      </c>
      <c r="AA25" s="39">
        <v>56.9</v>
      </c>
      <c r="AB25" s="39">
        <v>57.18</v>
      </c>
      <c r="AC25" s="39">
        <v>57.44</v>
      </c>
      <c r="AD25" s="39">
        <v>57.59</v>
      </c>
      <c r="AE25" s="39">
        <v>57.84</v>
      </c>
      <c r="AF25" s="39">
        <v>58.08</v>
      </c>
      <c r="AG25" s="39">
        <v>58.27</v>
      </c>
      <c r="AH25" s="39">
        <v>58.47</v>
      </c>
      <c r="AI25" s="39">
        <v>58.68</v>
      </c>
      <c r="AJ25" s="39">
        <v>58.96</v>
      </c>
      <c r="AK25" s="39">
        <v>59.24</v>
      </c>
      <c r="AL25" s="39">
        <v>59.56</v>
      </c>
      <c r="AM25" s="39">
        <v>59.84</v>
      </c>
      <c r="AN25" s="39">
        <v>60.04</v>
      </c>
      <c r="AO25" s="39">
        <v>60.22</v>
      </c>
      <c r="AP25" s="39">
        <v>60.37</v>
      </c>
      <c r="AQ25" s="39">
        <v>60.43</v>
      </c>
      <c r="AR25" s="39">
        <v>60.5</v>
      </c>
      <c r="AS25" s="39">
        <v>60.56</v>
      </c>
      <c r="AT25" s="39">
        <v>60.56</v>
      </c>
      <c r="AU25" s="39">
        <v>60.64</v>
      </c>
      <c r="AV25" s="39">
        <v>60.71</v>
      </c>
      <c r="AW25" s="39">
        <v>60.97</v>
      </c>
      <c r="AX25" s="39">
        <v>61.04</v>
      </c>
      <c r="AY25" s="39">
        <v>61.19</v>
      </c>
      <c r="AZ25" s="39">
        <v>61.33</v>
      </c>
      <c r="BA25" s="39">
        <v>61.48</v>
      </c>
      <c r="BB25" s="39">
        <v>61.61</v>
      </c>
      <c r="BC25" s="39">
        <v>61.73</v>
      </c>
      <c r="BD25" s="39">
        <v>61.86</v>
      </c>
      <c r="BE25" s="39">
        <v>61.99</v>
      </c>
      <c r="BF25" s="39">
        <v>62.16</v>
      </c>
      <c r="BG25" s="39">
        <v>62.32</v>
      </c>
      <c r="BH25" s="39">
        <v>62.52</v>
      </c>
      <c r="BI25" s="39">
        <v>62.65</v>
      </c>
      <c r="BJ25" s="39">
        <v>62.82</v>
      </c>
      <c r="BK25" s="39">
        <v>62.98</v>
      </c>
      <c r="BL25" s="39">
        <v>63.17</v>
      </c>
      <c r="BM25" s="39">
        <v>63.37</v>
      </c>
      <c r="BN25" s="39">
        <v>63.54</v>
      </c>
      <c r="BO25" s="39">
        <v>63.68</v>
      </c>
      <c r="BP25" s="39">
        <v>63.86</v>
      </c>
      <c r="BQ25" s="39">
        <v>64.010000000000005</v>
      </c>
      <c r="BR25" s="39">
        <v>64.16</v>
      </c>
      <c r="BS25" s="39">
        <v>64.33</v>
      </c>
      <c r="BT25" s="39">
        <v>64.48</v>
      </c>
      <c r="BU25" s="39">
        <v>64.62</v>
      </c>
      <c r="BV25" s="39">
        <v>64.75</v>
      </c>
      <c r="BW25" s="39">
        <v>64.91</v>
      </c>
      <c r="BX25" s="39">
        <v>65.040000000000006</v>
      </c>
      <c r="BY25" s="39">
        <v>65.180000000000007</v>
      </c>
      <c r="BZ25" s="39">
        <v>65.319999999999993</v>
      </c>
      <c r="CA25" s="39">
        <v>65.44</v>
      </c>
      <c r="CB25" s="39">
        <v>65.59</v>
      </c>
      <c r="CC25" s="39">
        <v>65.73</v>
      </c>
      <c r="CD25" s="39">
        <v>65.86</v>
      </c>
      <c r="CE25" s="39">
        <v>65.98</v>
      </c>
      <c r="CF25" s="39">
        <v>66.11</v>
      </c>
      <c r="CG25" s="39">
        <v>66.23</v>
      </c>
      <c r="CH25" s="39">
        <v>66.37</v>
      </c>
      <c r="CI25" s="39">
        <v>66.510000000000005</v>
      </c>
      <c r="CJ25" s="39">
        <v>66.62</v>
      </c>
      <c r="CK25" s="39">
        <v>66.760000000000005</v>
      </c>
      <c r="CL25" s="39">
        <v>66.89</v>
      </c>
      <c r="CM25" s="39">
        <v>67.02</v>
      </c>
      <c r="CN25" s="39">
        <v>67.150000000000006</v>
      </c>
      <c r="CO25" s="39">
        <v>67.27</v>
      </c>
      <c r="CP25" s="39">
        <v>67.400000000000006</v>
      </c>
      <c r="CQ25" s="39">
        <v>67.52</v>
      </c>
      <c r="CR25" s="39">
        <v>67.64</v>
      </c>
      <c r="CS25" s="39">
        <v>67.77</v>
      </c>
      <c r="CT25" s="39">
        <v>67.89</v>
      </c>
      <c r="CU25" s="39">
        <v>68.010000000000005</v>
      </c>
      <c r="CV25" s="39">
        <v>68.13</v>
      </c>
      <c r="CW25" s="39">
        <v>68.25</v>
      </c>
      <c r="CX25" s="39">
        <v>68.36</v>
      </c>
      <c r="CY25" s="39">
        <v>68.48</v>
      </c>
      <c r="CZ25" s="39">
        <v>68.59</v>
      </c>
      <c r="DA25" s="39">
        <v>68.709999999999994</v>
      </c>
      <c r="DB25" s="39">
        <v>68.819999999999993</v>
      </c>
      <c r="DC25" s="39">
        <v>68.930000000000007</v>
      </c>
      <c r="DD25" s="39">
        <v>69.040000000000006</v>
      </c>
      <c r="DE25" s="39">
        <v>69.150000000000006</v>
      </c>
      <c r="DF25" s="39">
        <v>69.260000000000005</v>
      </c>
      <c r="DG25" s="39">
        <v>69.37</v>
      </c>
      <c r="DH25" s="39">
        <v>69.48</v>
      </c>
      <c r="DI25" s="39">
        <v>69.58</v>
      </c>
      <c r="DJ25" s="39">
        <v>69.69</v>
      </c>
      <c r="DK25" s="39">
        <v>69.790000000000006</v>
      </c>
      <c r="DL25" s="39">
        <v>69.900000000000006</v>
      </c>
      <c r="DM25" s="39">
        <v>70</v>
      </c>
      <c r="DN25" s="39">
        <v>70.099999999999994</v>
      </c>
      <c r="DO25" s="39">
        <v>70.2</v>
      </c>
      <c r="DP25" s="39">
        <v>70.3</v>
      </c>
      <c r="DQ25" s="39">
        <v>70.400000000000006</v>
      </c>
      <c r="DR25" s="39">
        <v>70.5</v>
      </c>
    </row>
    <row r="26" spans="1:122">
      <c r="A26" s="44">
        <v>24</v>
      </c>
      <c r="B26" s="45"/>
      <c r="C26" s="45"/>
      <c r="D26" s="45"/>
      <c r="E26" s="45"/>
      <c r="F26" s="45"/>
      <c r="G26" s="45"/>
      <c r="H26" s="45"/>
      <c r="I26" s="45"/>
      <c r="J26" s="45"/>
      <c r="K26" s="45"/>
      <c r="L26" s="45"/>
      <c r="M26" s="45"/>
      <c r="N26" s="45"/>
      <c r="O26" s="45"/>
      <c r="P26" s="45"/>
      <c r="Q26" s="45"/>
      <c r="R26" s="45"/>
      <c r="S26" s="45"/>
      <c r="T26" s="45"/>
      <c r="U26" s="45"/>
      <c r="V26" s="39"/>
      <c r="W26" s="39">
        <v>54.81</v>
      </c>
      <c r="X26" s="39">
        <v>55.18</v>
      </c>
      <c r="Y26" s="39">
        <v>55.46</v>
      </c>
      <c r="Z26" s="39">
        <v>55.8</v>
      </c>
      <c r="AA26" s="39">
        <v>56.01</v>
      </c>
      <c r="AB26" s="39">
        <v>56.26</v>
      </c>
      <c r="AC26" s="39">
        <v>56.52</v>
      </c>
      <c r="AD26" s="39">
        <v>56.66</v>
      </c>
      <c r="AE26" s="39">
        <v>56.9</v>
      </c>
      <c r="AF26" s="39">
        <v>57.13</v>
      </c>
      <c r="AG26" s="39">
        <v>57.32</v>
      </c>
      <c r="AH26" s="39">
        <v>57.52</v>
      </c>
      <c r="AI26" s="39">
        <v>57.73</v>
      </c>
      <c r="AJ26" s="39">
        <v>58.01</v>
      </c>
      <c r="AK26" s="39">
        <v>58.29</v>
      </c>
      <c r="AL26" s="39">
        <v>58.6</v>
      </c>
      <c r="AM26" s="39">
        <v>58.88</v>
      </c>
      <c r="AN26" s="39">
        <v>59.09</v>
      </c>
      <c r="AO26" s="39">
        <v>59.26</v>
      </c>
      <c r="AP26" s="39">
        <v>59.41</v>
      </c>
      <c r="AQ26" s="39">
        <v>59.47</v>
      </c>
      <c r="AR26" s="39">
        <v>59.54</v>
      </c>
      <c r="AS26" s="39">
        <v>59.6</v>
      </c>
      <c r="AT26" s="39">
        <v>59.59</v>
      </c>
      <c r="AU26" s="39">
        <v>59.67</v>
      </c>
      <c r="AV26" s="39">
        <v>59.75</v>
      </c>
      <c r="AW26" s="39">
        <v>60</v>
      </c>
      <c r="AX26" s="39">
        <v>60.07</v>
      </c>
      <c r="AY26" s="39">
        <v>60.23</v>
      </c>
      <c r="AZ26" s="39">
        <v>60.37</v>
      </c>
      <c r="BA26" s="39">
        <v>60.51</v>
      </c>
      <c r="BB26" s="39">
        <v>60.65</v>
      </c>
      <c r="BC26" s="39">
        <v>60.76</v>
      </c>
      <c r="BD26" s="39">
        <v>60.89</v>
      </c>
      <c r="BE26" s="39">
        <v>61.02</v>
      </c>
      <c r="BF26" s="39">
        <v>61.19</v>
      </c>
      <c r="BG26" s="39">
        <v>61.35</v>
      </c>
      <c r="BH26" s="39">
        <v>61.54</v>
      </c>
      <c r="BI26" s="39">
        <v>61.68</v>
      </c>
      <c r="BJ26" s="39">
        <v>61.85</v>
      </c>
      <c r="BK26" s="39">
        <v>62.01</v>
      </c>
      <c r="BL26" s="39">
        <v>62.2</v>
      </c>
      <c r="BM26" s="39">
        <v>62.39</v>
      </c>
      <c r="BN26" s="39">
        <v>62.56</v>
      </c>
      <c r="BO26" s="39">
        <v>62.7</v>
      </c>
      <c r="BP26" s="39">
        <v>62.89</v>
      </c>
      <c r="BQ26" s="39">
        <v>63.03</v>
      </c>
      <c r="BR26" s="39">
        <v>63.18</v>
      </c>
      <c r="BS26" s="39">
        <v>63.35</v>
      </c>
      <c r="BT26" s="39">
        <v>63.5</v>
      </c>
      <c r="BU26" s="39">
        <v>63.64</v>
      </c>
      <c r="BV26" s="39">
        <v>63.77</v>
      </c>
      <c r="BW26" s="39">
        <v>63.92</v>
      </c>
      <c r="BX26" s="39">
        <v>64.06</v>
      </c>
      <c r="BY26" s="39">
        <v>64.2</v>
      </c>
      <c r="BZ26" s="39">
        <v>64.34</v>
      </c>
      <c r="CA26" s="39">
        <v>64.459999999999994</v>
      </c>
      <c r="CB26" s="39">
        <v>64.61</v>
      </c>
      <c r="CC26" s="39">
        <v>64.739999999999995</v>
      </c>
      <c r="CD26" s="39">
        <v>64.87</v>
      </c>
      <c r="CE26" s="39">
        <v>65</v>
      </c>
      <c r="CF26" s="39">
        <v>65.13</v>
      </c>
      <c r="CG26" s="39">
        <v>65.25</v>
      </c>
      <c r="CH26" s="39">
        <v>65.39</v>
      </c>
      <c r="CI26" s="39">
        <v>65.52</v>
      </c>
      <c r="CJ26" s="39">
        <v>65.64</v>
      </c>
      <c r="CK26" s="39">
        <v>65.78</v>
      </c>
      <c r="CL26" s="39">
        <v>65.900000000000006</v>
      </c>
      <c r="CM26" s="39">
        <v>66.03</v>
      </c>
      <c r="CN26" s="39">
        <v>66.16</v>
      </c>
      <c r="CO26" s="39">
        <v>66.290000000000006</v>
      </c>
      <c r="CP26" s="39">
        <v>66.41</v>
      </c>
      <c r="CQ26" s="39">
        <v>66.53</v>
      </c>
      <c r="CR26" s="39">
        <v>66.66</v>
      </c>
      <c r="CS26" s="39">
        <v>66.78</v>
      </c>
      <c r="CT26" s="39">
        <v>66.900000000000006</v>
      </c>
      <c r="CU26" s="39">
        <v>67.02</v>
      </c>
      <c r="CV26" s="39">
        <v>67.14</v>
      </c>
      <c r="CW26" s="39">
        <v>67.260000000000005</v>
      </c>
      <c r="CX26" s="39">
        <v>67.37</v>
      </c>
      <c r="CY26" s="39">
        <v>67.489999999999995</v>
      </c>
      <c r="CZ26" s="39">
        <v>67.599999999999994</v>
      </c>
      <c r="DA26" s="39">
        <v>67.72</v>
      </c>
      <c r="DB26" s="39">
        <v>67.83</v>
      </c>
      <c r="DC26" s="39">
        <v>67.94</v>
      </c>
      <c r="DD26" s="39">
        <v>68.05</v>
      </c>
      <c r="DE26" s="39">
        <v>68.16</v>
      </c>
      <c r="DF26" s="39">
        <v>68.27</v>
      </c>
      <c r="DG26" s="39">
        <v>68.38</v>
      </c>
      <c r="DH26" s="39">
        <v>68.48</v>
      </c>
      <c r="DI26" s="39">
        <v>68.59</v>
      </c>
      <c r="DJ26" s="39">
        <v>68.69</v>
      </c>
      <c r="DK26" s="39">
        <v>68.8</v>
      </c>
      <c r="DL26" s="39">
        <v>68.900000000000006</v>
      </c>
      <c r="DM26" s="39">
        <v>69</v>
      </c>
      <c r="DN26" s="39">
        <v>69.11</v>
      </c>
      <c r="DO26" s="39">
        <v>69.209999999999994</v>
      </c>
      <c r="DP26" s="39">
        <v>69.3</v>
      </c>
      <c r="DQ26" s="39">
        <v>69.400000000000006</v>
      </c>
      <c r="DR26" s="39">
        <v>69.5</v>
      </c>
    </row>
    <row r="27" spans="1:122">
      <c r="A27" s="44">
        <v>25</v>
      </c>
      <c r="B27" s="45"/>
      <c r="C27" s="45"/>
      <c r="D27" s="45"/>
      <c r="E27" s="45"/>
      <c r="F27" s="45"/>
      <c r="G27" s="45"/>
      <c r="H27" s="45"/>
      <c r="I27" s="45"/>
      <c r="J27" s="45"/>
      <c r="K27" s="45"/>
      <c r="L27" s="45"/>
      <c r="M27" s="45"/>
      <c r="N27" s="45"/>
      <c r="O27" s="45"/>
      <c r="P27" s="45"/>
      <c r="Q27" s="45"/>
      <c r="R27" s="45"/>
      <c r="S27" s="45"/>
      <c r="T27" s="45"/>
      <c r="U27" s="45"/>
      <c r="V27" s="39"/>
      <c r="W27" s="39">
        <v>54.04</v>
      </c>
      <c r="X27" s="39">
        <v>54.32</v>
      </c>
      <c r="Y27" s="39">
        <v>54.6</v>
      </c>
      <c r="Z27" s="39">
        <v>54.92</v>
      </c>
      <c r="AA27" s="39">
        <v>55.09</v>
      </c>
      <c r="AB27" s="39">
        <v>55.33</v>
      </c>
      <c r="AC27" s="39">
        <v>55.59</v>
      </c>
      <c r="AD27" s="39">
        <v>55.73</v>
      </c>
      <c r="AE27" s="39">
        <v>55.95</v>
      </c>
      <c r="AF27" s="39">
        <v>56.18</v>
      </c>
      <c r="AG27" s="39">
        <v>56.37</v>
      </c>
      <c r="AH27" s="39">
        <v>56.57</v>
      </c>
      <c r="AI27" s="39">
        <v>56.77</v>
      </c>
      <c r="AJ27" s="39">
        <v>57.05</v>
      </c>
      <c r="AK27" s="39">
        <v>57.33</v>
      </c>
      <c r="AL27" s="39">
        <v>57.64</v>
      </c>
      <c r="AM27" s="39">
        <v>57.92</v>
      </c>
      <c r="AN27" s="39">
        <v>58.12</v>
      </c>
      <c r="AO27" s="39">
        <v>58.3</v>
      </c>
      <c r="AP27" s="39">
        <v>58.44</v>
      </c>
      <c r="AQ27" s="39">
        <v>58.51</v>
      </c>
      <c r="AR27" s="39">
        <v>58.58</v>
      </c>
      <c r="AS27" s="39">
        <v>58.64</v>
      </c>
      <c r="AT27" s="39">
        <v>58.63</v>
      </c>
      <c r="AU27" s="39">
        <v>58.71</v>
      </c>
      <c r="AV27" s="39">
        <v>58.79</v>
      </c>
      <c r="AW27" s="39">
        <v>59.04</v>
      </c>
      <c r="AX27" s="39">
        <v>59.11</v>
      </c>
      <c r="AY27" s="39">
        <v>59.26</v>
      </c>
      <c r="AZ27" s="39">
        <v>59.4</v>
      </c>
      <c r="BA27" s="39">
        <v>59.55</v>
      </c>
      <c r="BB27" s="39">
        <v>59.68</v>
      </c>
      <c r="BC27" s="39">
        <v>59.8</v>
      </c>
      <c r="BD27" s="39">
        <v>59.93</v>
      </c>
      <c r="BE27" s="39">
        <v>60.05</v>
      </c>
      <c r="BF27" s="39">
        <v>60.22</v>
      </c>
      <c r="BG27" s="39">
        <v>60.38</v>
      </c>
      <c r="BH27" s="39">
        <v>60.57</v>
      </c>
      <c r="BI27" s="39">
        <v>60.71</v>
      </c>
      <c r="BJ27" s="39">
        <v>60.87</v>
      </c>
      <c r="BK27" s="39">
        <v>61.04</v>
      </c>
      <c r="BL27" s="39">
        <v>61.22</v>
      </c>
      <c r="BM27" s="39">
        <v>61.42</v>
      </c>
      <c r="BN27" s="39">
        <v>61.58</v>
      </c>
      <c r="BO27" s="39">
        <v>61.73</v>
      </c>
      <c r="BP27" s="39">
        <v>61.91</v>
      </c>
      <c r="BQ27" s="39">
        <v>62.06</v>
      </c>
      <c r="BR27" s="39">
        <v>62.2</v>
      </c>
      <c r="BS27" s="39">
        <v>62.37</v>
      </c>
      <c r="BT27" s="39">
        <v>62.52</v>
      </c>
      <c r="BU27" s="39">
        <v>62.66</v>
      </c>
      <c r="BV27" s="39">
        <v>62.79</v>
      </c>
      <c r="BW27" s="39">
        <v>62.94</v>
      </c>
      <c r="BX27" s="39">
        <v>63.08</v>
      </c>
      <c r="BY27" s="39">
        <v>63.22</v>
      </c>
      <c r="BZ27" s="39">
        <v>63.35</v>
      </c>
      <c r="CA27" s="39">
        <v>63.48</v>
      </c>
      <c r="CB27" s="39">
        <v>63.62</v>
      </c>
      <c r="CC27" s="39">
        <v>63.76</v>
      </c>
      <c r="CD27" s="39">
        <v>63.89</v>
      </c>
      <c r="CE27" s="39">
        <v>64.010000000000005</v>
      </c>
      <c r="CF27" s="39">
        <v>64.14</v>
      </c>
      <c r="CG27" s="39">
        <v>64.260000000000005</v>
      </c>
      <c r="CH27" s="39">
        <v>64.400000000000006</v>
      </c>
      <c r="CI27" s="39">
        <v>64.540000000000006</v>
      </c>
      <c r="CJ27" s="39">
        <v>64.650000000000006</v>
      </c>
      <c r="CK27" s="39">
        <v>64.790000000000006</v>
      </c>
      <c r="CL27" s="39">
        <v>64.92</v>
      </c>
      <c r="CM27" s="39">
        <v>65.040000000000006</v>
      </c>
      <c r="CN27" s="39">
        <v>65.17</v>
      </c>
      <c r="CO27" s="39">
        <v>65.3</v>
      </c>
      <c r="CP27" s="39">
        <v>65.42</v>
      </c>
      <c r="CQ27" s="39">
        <v>65.540000000000006</v>
      </c>
      <c r="CR27" s="39">
        <v>65.67</v>
      </c>
      <c r="CS27" s="39">
        <v>65.790000000000006</v>
      </c>
      <c r="CT27" s="39">
        <v>65.91</v>
      </c>
      <c r="CU27" s="39">
        <v>66.03</v>
      </c>
      <c r="CV27" s="39">
        <v>66.150000000000006</v>
      </c>
      <c r="CW27" s="39">
        <v>66.27</v>
      </c>
      <c r="CX27" s="39">
        <v>66.38</v>
      </c>
      <c r="CY27" s="39">
        <v>66.5</v>
      </c>
      <c r="CZ27" s="39">
        <v>66.61</v>
      </c>
      <c r="DA27" s="39">
        <v>66.73</v>
      </c>
      <c r="DB27" s="39">
        <v>66.84</v>
      </c>
      <c r="DC27" s="39">
        <v>66.95</v>
      </c>
      <c r="DD27" s="39">
        <v>67.06</v>
      </c>
      <c r="DE27" s="39">
        <v>67.17</v>
      </c>
      <c r="DF27" s="39">
        <v>67.28</v>
      </c>
      <c r="DG27" s="39">
        <v>67.38</v>
      </c>
      <c r="DH27" s="39">
        <v>67.489999999999995</v>
      </c>
      <c r="DI27" s="39">
        <v>67.599999999999994</v>
      </c>
      <c r="DJ27" s="39">
        <v>67.7</v>
      </c>
      <c r="DK27" s="39">
        <v>67.81</v>
      </c>
      <c r="DL27" s="39">
        <v>67.91</v>
      </c>
      <c r="DM27" s="39">
        <v>68.010000000000005</v>
      </c>
      <c r="DN27" s="39">
        <v>68.11</v>
      </c>
      <c r="DO27" s="39">
        <v>68.209999999999994</v>
      </c>
      <c r="DP27" s="39">
        <v>68.31</v>
      </c>
      <c r="DQ27" s="39">
        <v>68.41</v>
      </c>
      <c r="DR27" s="39">
        <v>68.510000000000005</v>
      </c>
    </row>
    <row r="28" spans="1:122">
      <c r="A28" s="44">
        <v>26</v>
      </c>
      <c r="B28" s="45"/>
      <c r="C28" s="45"/>
      <c r="D28" s="45"/>
      <c r="E28" s="45"/>
      <c r="F28" s="45"/>
      <c r="G28" s="45"/>
      <c r="H28" s="45"/>
      <c r="I28" s="45"/>
      <c r="J28" s="45"/>
      <c r="K28" s="45"/>
      <c r="L28" s="45"/>
      <c r="M28" s="45"/>
      <c r="N28" s="45"/>
      <c r="O28" s="45"/>
      <c r="P28" s="45"/>
      <c r="Q28" s="45"/>
      <c r="R28" s="45"/>
      <c r="S28" s="45"/>
      <c r="T28" s="45"/>
      <c r="U28" s="45"/>
      <c r="V28" s="39"/>
      <c r="W28" s="39">
        <v>53.18</v>
      </c>
      <c r="X28" s="39">
        <v>53.46</v>
      </c>
      <c r="Y28" s="39">
        <v>53.72</v>
      </c>
      <c r="Z28" s="39">
        <v>53.99</v>
      </c>
      <c r="AA28" s="39">
        <v>54.16</v>
      </c>
      <c r="AB28" s="39">
        <v>54.4</v>
      </c>
      <c r="AC28" s="39">
        <v>54.65</v>
      </c>
      <c r="AD28" s="39">
        <v>54.78</v>
      </c>
      <c r="AE28" s="39">
        <v>55</v>
      </c>
      <c r="AF28" s="39">
        <v>55.23</v>
      </c>
      <c r="AG28" s="39">
        <v>55.42</v>
      </c>
      <c r="AH28" s="39">
        <v>55.62</v>
      </c>
      <c r="AI28" s="39">
        <v>55.81</v>
      </c>
      <c r="AJ28" s="39">
        <v>56.1</v>
      </c>
      <c r="AK28" s="39">
        <v>56.37</v>
      </c>
      <c r="AL28" s="39">
        <v>56.68</v>
      </c>
      <c r="AM28" s="39">
        <v>56.96</v>
      </c>
      <c r="AN28" s="39">
        <v>57.16</v>
      </c>
      <c r="AO28" s="39">
        <v>57.33</v>
      </c>
      <c r="AP28" s="39">
        <v>57.48</v>
      </c>
      <c r="AQ28" s="39">
        <v>57.54</v>
      </c>
      <c r="AR28" s="39">
        <v>57.62</v>
      </c>
      <c r="AS28" s="39">
        <v>57.67</v>
      </c>
      <c r="AT28" s="39">
        <v>57.66</v>
      </c>
      <c r="AU28" s="39">
        <v>57.74</v>
      </c>
      <c r="AV28" s="39">
        <v>57.82</v>
      </c>
      <c r="AW28" s="39">
        <v>58.07</v>
      </c>
      <c r="AX28" s="39">
        <v>58.15</v>
      </c>
      <c r="AY28" s="39">
        <v>58.3</v>
      </c>
      <c r="AZ28" s="39">
        <v>58.43</v>
      </c>
      <c r="BA28" s="39">
        <v>58.58</v>
      </c>
      <c r="BB28" s="39">
        <v>58.72</v>
      </c>
      <c r="BC28" s="39">
        <v>58.83</v>
      </c>
      <c r="BD28" s="39">
        <v>58.96</v>
      </c>
      <c r="BE28" s="39">
        <v>59.08</v>
      </c>
      <c r="BF28" s="39">
        <v>59.24</v>
      </c>
      <c r="BG28" s="39">
        <v>59.41</v>
      </c>
      <c r="BH28" s="39">
        <v>59.6</v>
      </c>
      <c r="BI28" s="39">
        <v>59.74</v>
      </c>
      <c r="BJ28" s="39">
        <v>59.9</v>
      </c>
      <c r="BK28" s="39">
        <v>60.06</v>
      </c>
      <c r="BL28" s="39">
        <v>60.25</v>
      </c>
      <c r="BM28" s="39">
        <v>60.44</v>
      </c>
      <c r="BN28" s="39">
        <v>60.61</v>
      </c>
      <c r="BO28" s="39">
        <v>60.76</v>
      </c>
      <c r="BP28" s="39">
        <v>60.93</v>
      </c>
      <c r="BQ28" s="39">
        <v>61.08</v>
      </c>
      <c r="BR28" s="39">
        <v>61.23</v>
      </c>
      <c r="BS28" s="39">
        <v>61.39</v>
      </c>
      <c r="BT28" s="39">
        <v>61.54</v>
      </c>
      <c r="BU28" s="39">
        <v>61.68</v>
      </c>
      <c r="BV28" s="39">
        <v>61.81</v>
      </c>
      <c r="BW28" s="39">
        <v>61.97</v>
      </c>
      <c r="BX28" s="39">
        <v>62.09</v>
      </c>
      <c r="BY28" s="39">
        <v>62.24</v>
      </c>
      <c r="BZ28" s="39">
        <v>62.37</v>
      </c>
      <c r="CA28" s="39">
        <v>62.5</v>
      </c>
      <c r="CB28" s="39">
        <v>62.64</v>
      </c>
      <c r="CC28" s="39">
        <v>62.77</v>
      </c>
      <c r="CD28" s="39">
        <v>62.9</v>
      </c>
      <c r="CE28" s="39">
        <v>63.03</v>
      </c>
      <c r="CF28" s="39">
        <v>63.16</v>
      </c>
      <c r="CG28" s="39">
        <v>63.28</v>
      </c>
      <c r="CH28" s="39">
        <v>63.42</v>
      </c>
      <c r="CI28" s="39">
        <v>63.55</v>
      </c>
      <c r="CJ28" s="39">
        <v>63.67</v>
      </c>
      <c r="CK28" s="39">
        <v>63.8</v>
      </c>
      <c r="CL28" s="39">
        <v>63.93</v>
      </c>
      <c r="CM28" s="39">
        <v>64.06</v>
      </c>
      <c r="CN28" s="39">
        <v>64.180000000000007</v>
      </c>
      <c r="CO28" s="39">
        <v>64.31</v>
      </c>
      <c r="CP28" s="39">
        <v>64.44</v>
      </c>
      <c r="CQ28" s="39">
        <v>64.56</v>
      </c>
      <c r="CR28" s="39">
        <v>64.680000000000007</v>
      </c>
      <c r="CS28" s="39">
        <v>64.8</v>
      </c>
      <c r="CT28" s="39">
        <v>64.92</v>
      </c>
      <c r="CU28" s="39">
        <v>65.040000000000006</v>
      </c>
      <c r="CV28" s="39">
        <v>65.16</v>
      </c>
      <c r="CW28" s="39">
        <v>65.28</v>
      </c>
      <c r="CX28" s="39">
        <v>65.39</v>
      </c>
      <c r="CY28" s="39">
        <v>65.510000000000005</v>
      </c>
      <c r="CZ28" s="39">
        <v>65.62</v>
      </c>
      <c r="DA28" s="39">
        <v>65.73</v>
      </c>
      <c r="DB28" s="39">
        <v>65.849999999999994</v>
      </c>
      <c r="DC28" s="39">
        <v>65.959999999999994</v>
      </c>
      <c r="DD28" s="39">
        <v>66.069999999999993</v>
      </c>
      <c r="DE28" s="39">
        <v>66.180000000000007</v>
      </c>
      <c r="DF28" s="39">
        <v>66.290000000000006</v>
      </c>
      <c r="DG28" s="39">
        <v>66.39</v>
      </c>
      <c r="DH28" s="39">
        <v>66.5</v>
      </c>
      <c r="DI28" s="39">
        <v>66.599999999999994</v>
      </c>
      <c r="DJ28" s="39">
        <v>66.709999999999994</v>
      </c>
      <c r="DK28" s="39">
        <v>66.81</v>
      </c>
      <c r="DL28" s="39">
        <v>66.92</v>
      </c>
      <c r="DM28" s="39">
        <v>67.02</v>
      </c>
      <c r="DN28" s="39">
        <v>67.12</v>
      </c>
      <c r="DO28" s="39">
        <v>67.22</v>
      </c>
      <c r="DP28" s="39">
        <v>67.319999999999993</v>
      </c>
      <c r="DQ28" s="39">
        <v>67.41</v>
      </c>
      <c r="DR28" s="39">
        <v>67.510000000000005</v>
      </c>
    </row>
    <row r="29" spans="1:122">
      <c r="A29" s="44">
        <v>27</v>
      </c>
      <c r="B29" s="45"/>
      <c r="C29" s="45"/>
      <c r="D29" s="45"/>
      <c r="E29" s="45"/>
      <c r="F29" s="45"/>
      <c r="G29" s="45"/>
      <c r="H29" s="45"/>
      <c r="I29" s="45"/>
      <c r="J29" s="45"/>
      <c r="K29" s="45"/>
      <c r="L29" s="45"/>
      <c r="M29" s="45"/>
      <c r="N29" s="45"/>
      <c r="O29" s="45"/>
      <c r="P29" s="45"/>
      <c r="Q29" s="45"/>
      <c r="R29" s="45"/>
      <c r="S29" s="45"/>
      <c r="T29" s="45"/>
      <c r="U29" s="45"/>
      <c r="V29" s="39"/>
      <c r="W29" s="39">
        <v>52.31</v>
      </c>
      <c r="X29" s="39">
        <v>52.57</v>
      </c>
      <c r="Y29" s="39">
        <v>52.79</v>
      </c>
      <c r="Z29" s="39">
        <v>53.06</v>
      </c>
      <c r="AA29" s="39">
        <v>53.23</v>
      </c>
      <c r="AB29" s="39">
        <v>53.46</v>
      </c>
      <c r="AC29" s="39">
        <v>53.71</v>
      </c>
      <c r="AD29" s="39">
        <v>53.84</v>
      </c>
      <c r="AE29" s="39">
        <v>54.06</v>
      </c>
      <c r="AF29" s="39">
        <v>54.28</v>
      </c>
      <c r="AG29" s="39">
        <v>54.47</v>
      </c>
      <c r="AH29" s="39">
        <v>54.66</v>
      </c>
      <c r="AI29" s="39">
        <v>54.86</v>
      </c>
      <c r="AJ29" s="39">
        <v>55.14</v>
      </c>
      <c r="AK29" s="39">
        <v>55.42</v>
      </c>
      <c r="AL29" s="39">
        <v>55.72</v>
      </c>
      <c r="AM29" s="39">
        <v>55.99</v>
      </c>
      <c r="AN29" s="39">
        <v>56.2</v>
      </c>
      <c r="AO29" s="39">
        <v>56.37</v>
      </c>
      <c r="AP29" s="39">
        <v>56.52</v>
      </c>
      <c r="AQ29" s="39">
        <v>56.58</v>
      </c>
      <c r="AR29" s="39">
        <v>56.66</v>
      </c>
      <c r="AS29" s="39">
        <v>56.71</v>
      </c>
      <c r="AT29" s="39">
        <v>56.7</v>
      </c>
      <c r="AU29" s="39">
        <v>56.78</v>
      </c>
      <c r="AV29" s="39">
        <v>56.86</v>
      </c>
      <c r="AW29" s="39">
        <v>57.11</v>
      </c>
      <c r="AX29" s="39">
        <v>57.18</v>
      </c>
      <c r="AY29" s="39">
        <v>57.33</v>
      </c>
      <c r="AZ29" s="39">
        <v>57.47</v>
      </c>
      <c r="BA29" s="39">
        <v>57.61</v>
      </c>
      <c r="BB29" s="39">
        <v>57.75</v>
      </c>
      <c r="BC29" s="39">
        <v>57.86</v>
      </c>
      <c r="BD29" s="39">
        <v>58</v>
      </c>
      <c r="BE29" s="39">
        <v>58.12</v>
      </c>
      <c r="BF29" s="39">
        <v>58.27</v>
      </c>
      <c r="BG29" s="39">
        <v>58.44</v>
      </c>
      <c r="BH29" s="39">
        <v>58.63</v>
      </c>
      <c r="BI29" s="39">
        <v>58.76</v>
      </c>
      <c r="BJ29" s="39">
        <v>58.92</v>
      </c>
      <c r="BK29" s="39">
        <v>59.08</v>
      </c>
      <c r="BL29" s="39">
        <v>59.27</v>
      </c>
      <c r="BM29" s="39">
        <v>59.46</v>
      </c>
      <c r="BN29" s="39">
        <v>59.63</v>
      </c>
      <c r="BO29" s="39">
        <v>59.78</v>
      </c>
      <c r="BP29" s="39">
        <v>59.95</v>
      </c>
      <c r="BQ29" s="39">
        <v>60.11</v>
      </c>
      <c r="BR29" s="39">
        <v>60.25</v>
      </c>
      <c r="BS29" s="39">
        <v>60.41</v>
      </c>
      <c r="BT29" s="39">
        <v>60.56</v>
      </c>
      <c r="BU29" s="39">
        <v>60.7</v>
      </c>
      <c r="BV29" s="39">
        <v>60.83</v>
      </c>
      <c r="BW29" s="39">
        <v>60.98</v>
      </c>
      <c r="BX29" s="39">
        <v>61.11</v>
      </c>
      <c r="BY29" s="39">
        <v>61.25</v>
      </c>
      <c r="BZ29" s="39">
        <v>61.39</v>
      </c>
      <c r="CA29" s="39">
        <v>61.52</v>
      </c>
      <c r="CB29" s="39">
        <v>61.65</v>
      </c>
      <c r="CC29" s="39">
        <v>61.79</v>
      </c>
      <c r="CD29" s="39">
        <v>61.92</v>
      </c>
      <c r="CE29" s="39">
        <v>62.04</v>
      </c>
      <c r="CF29" s="39">
        <v>62.18</v>
      </c>
      <c r="CG29" s="39">
        <v>62.29</v>
      </c>
      <c r="CH29" s="39">
        <v>62.43</v>
      </c>
      <c r="CI29" s="39">
        <v>62.56</v>
      </c>
      <c r="CJ29" s="39">
        <v>62.68</v>
      </c>
      <c r="CK29" s="39">
        <v>62.81</v>
      </c>
      <c r="CL29" s="39">
        <v>62.94</v>
      </c>
      <c r="CM29" s="39">
        <v>63.07</v>
      </c>
      <c r="CN29" s="39">
        <v>63.2</v>
      </c>
      <c r="CO29" s="39">
        <v>63.32</v>
      </c>
      <c r="CP29" s="39">
        <v>63.45</v>
      </c>
      <c r="CQ29" s="39">
        <v>63.57</v>
      </c>
      <c r="CR29" s="39">
        <v>63.69</v>
      </c>
      <c r="CS29" s="39">
        <v>63.81</v>
      </c>
      <c r="CT29" s="39">
        <v>63.93</v>
      </c>
      <c r="CU29" s="39">
        <v>64.05</v>
      </c>
      <c r="CV29" s="39">
        <v>64.17</v>
      </c>
      <c r="CW29" s="39">
        <v>64.290000000000006</v>
      </c>
      <c r="CX29" s="39">
        <v>64.400000000000006</v>
      </c>
      <c r="CY29" s="39">
        <v>64.52</v>
      </c>
      <c r="CZ29" s="39">
        <v>64.63</v>
      </c>
      <c r="DA29" s="39">
        <v>64.739999999999995</v>
      </c>
      <c r="DB29" s="39">
        <v>64.849999999999994</v>
      </c>
      <c r="DC29" s="39">
        <v>64.97</v>
      </c>
      <c r="DD29" s="39">
        <v>65.08</v>
      </c>
      <c r="DE29" s="39">
        <v>65.180000000000007</v>
      </c>
      <c r="DF29" s="39">
        <v>65.290000000000006</v>
      </c>
      <c r="DG29" s="39">
        <v>65.400000000000006</v>
      </c>
      <c r="DH29" s="39">
        <v>65.510000000000005</v>
      </c>
      <c r="DI29" s="39">
        <v>65.61</v>
      </c>
      <c r="DJ29" s="39">
        <v>65.72</v>
      </c>
      <c r="DK29" s="39">
        <v>65.819999999999993</v>
      </c>
      <c r="DL29" s="39">
        <v>65.92</v>
      </c>
      <c r="DM29" s="39">
        <v>66.02</v>
      </c>
      <c r="DN29" s="39">
        <v>66.12</v>
      </c>
      <c r="DO29" s="39">
        <v>66.22</v>
      </c>
      <c r="DP29" s="39">
        <v>66.319999999999993</v>
      </c>
      <c r="DQ29" s="39">
        <v>66.42</v>
      </c>
      <c r="DR29" s="39">
        <v>66.52</v>
      </c>
    </row>
    <row r="30" spans="1:122">
      <c r="A30" s="44">
        <v>28</v>
      </c>
      <c r="B30" s="45"/>
      <c r="C30" s="45"/>
      <c r="D30" s="45"/>
      <c r="E30" s="45"/>
      <c r="F30" s="45"/>
      <c r="G30" s="45"/>
      <c r="H30" s="45"/>
      <c r="I30" s="45"/>
      <c r="J30" s="45"/>
      <c r="K30" s="45"/>
      <c r="L30" s="45"/>
      <c r="M30" s="45"/>
      <c r="N30" s="45"/>
      <c r="O30" s="45"/>
      <c r="P30" s="45"/>
      <c r="Q30" s="45"/>
      <c r="R30" s="45"/>
      <c r="S30" s="45"/>
      <c r="T30" s="45"/>
      <c r="U30" s="45"/>
      <c r="V30" s="39"/>
      <c r="W30" s="39">
        <v>51.42</v>
      </c>
      <c r="X30" s="39">
        <v>51.65</v>
      </c>
      <c r="Y30" s="39">
        <v>51.87</v>
      </c>
      <c r="Z30" s="39">
        <v>52.14</v>
      </c>
      <c r="AA30" s="39">
        <v>52.3</v>
      </c>
      <c r="AB30" s="39">
        <v>52.52</v>
      </c>
      <c r="AC30" s="39">
        <v>52.76</v>
      </c>
      <c r="AD30" s="39">
        <v>52.89</v>
      </c>
      <c r="AE30" s="39">
        <v>53.11</v>
      </c>
      <c r="AF30" s="39">
        <v>53.33</v>
      </c>
      <c r="AG30" s="39">
        <v>53.52</v>
      </c>
      <c r="AH30" s="39">
        <v>53.71</v>
      </c>
      <c r="AI30" s="39">
        <v>53.9</v>
      </c>
      <c r="AJ30" s="39">
        <v>54.19</v>
      </c>
      <c r="AK30" s="39">
        <v>54.46</v>
      </c>
      <c r="AL30" s="39">
        <v>54.76</v>
      </c>
      <c r="AM30" s="39">
        <v>55.03</v>
      </c>
      <c r="AN30" s="39">
        <v>55.24</v>
      </c>
      <c r="AO30" s="39">
        <v>55.41</v>
      </c>
      <c r="AP30" s="39">
        <v>55.56</v>
      </c>
      <c r="AQ30" s="39">
        <v>55.62</v>
      </c>
      <c r="AR30" s="39">
        <v>55.7</v>
      </c>
      <c r="AS30" s="39">
        <v>55.75</v>
      </c>
      <c r="AT30" s="39">
        <v>55.74</v>
      </c>
      <c r="AU30" s="39">
        <v>55.81</v>
      </c>
      <c r="AV30" s="39">
        <v>55.9</v>
      </c>
      <c r="AW30" s="39">
        <v>56.14</v>
      </c>
      <c r="AX30" s="39">
        <v>56.21</v>
      </c>
      <c r="AY30" s="39">
        <v>56.37</v>
      </c>
      <c r="AZ30" s="39">
        <v>56.51</v>
      </c>
      <c r="BA30" s="39">
        <v>56.65</v>
      </c>
      <c r="BB30" s="39">
        <v>56.78</v>
      </c>
      <c r="BC30" s="39">
        <v>56.9</v>
      </c>
      <c r="BD30" s="39">
        <v>57.03</v>
      </c>
      <c r="BE30" s="39">
        <v>57.15</v>
      </c>
      <c r="BF30" s="39">
        <v>57.3</v>
      </c>
      <c r="BG30" s="39">
        <v>57.47</v>
      </c>
      <c r="BH30" s="39">
        <v>57.65</v>
      </c>
      <c r="BI30" s="39">
        <v>57.79</v>
      </c>
      <c r="BJ30" s="39">
        <v>57.95</v>
      </c>
      <c r="BK30" s="39">
        <v>58.11</v>
      </c>
      <c r="BL30" s="39">
        <v>58.3</v>
      </c>
      <c r="BM30" s="39">
        <v>58.49</v>
      </c>
      <c r="BN30" s="39">
        <v>58.65</v>
      </c>
      <c r="BO30" s="39">
        <v>58.81</v>
      </c>
      <c r="BP30" s="39">
        <v>58.97</v>
      </c>
      <c r="BQ30" s="39">
        <v>59.13</v>
      </c>
      <c r="BR30" s="39">
        <v>59.27</v>
      </c>
      <c r="BS30" s="39">
        <v>59.43</v>
      </c>
      <c r="BT30" s="39">
        <v>59.58</v>
      </c>
      <c r="BU30" s="39">
        <v>59.72</v>
      </c>
      <c r="BV30" s="39">
        <v>59.85</v>
      </c>
      <c r="BW30" s="39">
        <v>60</v>
      </c>
      <c r="BX30" s="39">
        <v>60.13</v>
      </c>
      <c r="BY30" s="39">
        <v>60.27</v>
      </c>
      <c r="BZ30" s="39">
        <v>60.4</v>
      </c>
      <c r="CA30" s="39">
        <v>60.53</v>
      </c>
      <c r="CB30" s="39">
        <v>60.67</v>
      </c>
      <c r="CC30" s="39">
        <v>60.81</v>
      </c>
      <c r="CD30" s="39">
        <v>60.93</v>
      </c>
      <c r="CE30" s="39">
        <v>61.06</v>
      </c>
      <c r="CF30" s="39">
        <v>61.19</v>
      </c>
      <c r="CG30" s="39">
        <v>61.31</v>
      </c>
      <c r="CH30" s="39">
        <v>61.45</v>
      </c>
      <c r="CI30" s="39">
        <v>61.58</v>
      </c>
      <c r="CJ30" s="39">
        <v>61.69</v>
      </c>
      <c r="CK30" s="39">
        <v>61.83</v>
      </c>
      <c r="CL30" s="39">
        <v>61.96</v>
      </c>
      <c r="CM30" s="39">
        <v>62.08</v>
      </c>
      <c r="CN30" s="39">
        <v>62.21</v>
      </c>
      <c r="CO30" s="39">
        <v>62.33</v>
      </c>
      <c r="CP30" s="39">
        <v>62.46</v>
      </c>
      <c r="CQ30" s="39">
        <v>62.58</v>
      </c>
      <c r="CR30" s="39">
        <v>62.7</v>
      </c>
      <c r="CS30" s="39">
        <v>62.82</v>
      </c>
      <c r="CT30" s="39">
        <v>62.94</v>
      </c>
      <c r="CU30" s="39">
        <v>63.06</v>
      </c>
      <c r="CV30" s="39">
        <v>63.18</v>
      </c>
      <c r="CW30" s="39">
        <v>63.3</v>
      </c>
      <c r="CX30" s="39">
        <v>63.41</v>
      </c>
      <c r="CY30" s="39">
        <v>63.53</v>
      </c>
      <c r="CZ30" s="39">
        <v>63.64</v>
      </c>
      <c r="DA30" s="39">
        <v>63.75</v>
      </c>
      <c r="DB30" s="39">
        <v>63.86</v>
      </c>
      <c r="DC30" s="39">
        <v>63.97</v>
      </c>
      <c r="DD30" s="39">
        <v>64.08</v>
      </c>
      <c r="DE30" s="39">
        <v>64.19</v>
      </c>
      <c r="DF30" s="39">
        <v>64.3</v>
      </c>
      <c r="DG30" s="39">
        <v>64.41</v>
      </c>
      <c r="DH30" s="39">
        <v>64.510000000000005</v>
      </c>
      <c r="DI30" s="39">
        <v>64.62</v>
      </c>
      <c r="DJ30" s="39">
        <v>64.72</v>
      </c>
      <c r="DK30" s="39">
        <v>64.83</v>
      </c>
      <c r="DL30" s="39">
        <v>64.930000000000007</v>
      </c>
      <c r="DM30" s="39">
        <v>65.03</v>
      </c>
      <c r="DN30" s="39">
        <v>65.13</v>
      </c>
      <c r="DO30" s="39">
        <v>65.23</v>
      </c>
      <c r="DP30" s="39">
        <v>65.33</v>
      </c>
      <c r="DQ30" s="39">
        <v>65.430000000000007</v>
      </c>
      <c r="DR30" s="39">
        <v>65.52</v>
      </c>
    </row>
    <row r="31" spans="1:122">
      <c r="A31" s="44">
        <v>29</v>
      </c>
      <c r="B31" s="45"/>
      <c r="C31" s="45"/>
      <c r="D31" s="45"/>
      <c r="E31" s="45"/>
      <c r="F31" s="45"/>
      <c r="G31" s="45"/>
      <c r="H31" s="45"/>
      <c r="I31" s="45"/>
      <c r="J31" s="45"/>
      <c r="K31" s="45"/>
      <c r="L31" s="45"/>
      <c r="M31" s="45"/>
      <c r="N31" s="45"/>
      <c r="O31" s="45"/>
      <c r="P31" s="45"/>
      <c r="Q31" s="45"/>
      <c r="R31" s="45"/>
      <c r="S31" s="45"/>
      <c r="T31" s="45"/>
      <c r="U31" s="45"/>
      <c r="V31" s="39"/>
      <c r="W31" s="39">
        <v>50.5</v>
      </c>
      <c r="X31" s="39">
        <v>50.73</v>
      </c>
      <c r="Y31" s="39">
        <v>50.95</v>
      </c>
      <c r="Z31" s="39">
        <v>51.2</v>
      </c>
      <c r="AA31" s="39">
        <v>51.36</v>
      </c>
      <c r="AB31" s="39">
        <v>51.58</v>
      </c>
      <c r="AC31" s="39">
        <v>51.82</v>
      </c>
      <c r="AD31" s="39">
        <v>51.95</v>
      </c>
      <c r="AE31" s="39">
        <v>52.17</v>
      </c>
      <c r="AF31" s="39">
        <v>52.38</v>
      </c>
      <c r="AG31" s="39">
        <v>52.58</v>
      </c>
      <c r="AH31" s="39">
        <v>52.77</v>
      </c>
      <c r="AI31" s="39">
        <v>52.95</v>
      </c>
      <c r="AJ31" s="39">
        <v>53.23</v>
      </c>
      <c r="AK31" s="39">
        <v>53.5</v>
      </c>
      <c r="AL31" s="39">
        <v>53.8</v>
      </c>
      <c r="AM31" s="39">
        <v>54.07</v>
      </c>
      <c r="AN31" s="39">
        <v>54.28</v>
      </c>
      <c r="AO31" s="39">
        <v>54.45</v>
      </c>
      <c r="AP31" s="39">
        <v>54.59</v>
      </c>
      <c r="AQ31" s="39">
        <v>54.66</v>
      </c>
      <c r="AR31" s="39">
        <v>54.73</v>
      </c>
      <c r="AS31" s="39">
        <v>54.78</v>
      </c>
      <c r="AT31" s="39">
        <v>54.78</v>
      </c>
      <c r="AU31" s="39">
        <v>54.85</v>
      </c>
      <c r="AV31" s="39">
        <v>54.93</v>
      </c>
      <c r="AW31" s="39">
        <v>55.18</v>
      </c>
      <c r="AX31" s="39">
        <v>55.24</v>
      </c>
      <c r="AY31" s="39">
        <v>55.4</v>
      </c>
      <c r="AZ31" s="39">
        <v>55.54</v>
      </c>
      <c r="BA31" s="39">
        <v>55.68</v>
      </c>
      <c r="BB31" s="39">
        <v>55.82</v>
      </c>
      <c r="BC31" s="39">
        <v>55.93</v>
      </c>
      <c r="BD31" s="39">
        <v>56.06</v>
      </c>
      <c r="BE31" s="39">
        <v>56.18</v>
      </c>
      <c r="BF31" s="39">
        <v>56.33</v>
      </c>
      <c r="BG31" s="39">
        <v>56.5</v>
      </c>
      <c r="BH31" s="39">
        <v>56.68</v>
      </c>
      <c r="BI31" s="39">
        <v>56.82</v>
      </c>
      <c r="BJ31" s="39">
        <v>56.97</v>
      </c>
      <c r="BK31" s="39">
        <v>57.13</v>
      </c>
      <c r="BL31" s="39">
        <v>57.32</v>
      </c>
      <c r="BM31" s="39">
        <v>57.52</v>
      </c>
      <c r="BN31" s="39">
        <v>57.68</v>
      </c>
      <c r="BO31" s="39">
        <v>57.83</v>
      </c>
      <c r="BP31" s="39">
        <v>58</v>
      </c>
      <c r="BQ31" s="39">
        <v>58.15</v>
      </c>
      <c r="BR31" s="39">
        <v>58.29</v>
      </c>
      <c r="BS31" s="39">
        <v>58.46</v>
      </c>
      <c r="BT31" s="39">
        <v>58.6</v>
      </c>
      <c r="BU31" s="39">
        <v>58.74</v>
      </c>
      <c r="BV31" s="39">
        <v>58.87</v>
      </c>
      <c r="BW31" s="39">
        <v>59.02</v>
      </c>
      <c r="BX31" s="39">
        <v>59.15</v>
      </c>
      <c r="BY31" s="39">
        <v>59.29</v>
      </c>
      <c r="BZ31" s="39">
        <v>59.42</v>
      </c>
      <c r="CA31" s="39">
        <v>59.55</v>
      </c>
      <c r="CB31" s="39">
        <v>59.68</v>
      </c>
      <c r="CC31" s="39">
        <v>59.82</v>
      </c>
      <c r="CD31" s="39">
        <v>59.95</v>
      </c>
      <c r="CE31" s="39">
        <v>60.07</v>
      </c>
      <c r="CF31" s="39">
        <v>60.21</v>
      </c>
      <c r="CG31" s="39">
        <v>60.33</v>
      </c>
      <c r="CH31" s="39">
        <v>60.46</v>
      </c>
      <c r="CI31" s="39">
        <v>60.59</v>
      </c>
      <c r="CJ31" s="39">
        <v>60.71</v>
      </c>
      <c r="CK31" s="39">
        <v>60.84</v>
      </c>
      <c r="CL31" s="39">
        <v>60.97</v>
      </c>
      <c r="CM31" s="39">
        <v>61.1</v>
      </c>
      <c r="CN31" s="39">
        <v>61.22</v>
      </c>
      <c r="CO31" s="39">
        <v>61.35</v>
      </c>
      <c r="CP31" s="39">
        <v>61.47</v>
      </c>
      <c r="CQ31" s="39">
        <v>61.59</v>
      </c>
      <c r="CR31" s="39">
        <v>61.72</v>
      </c>
      <c r="CS31" s="39">
        <v>61.84</v>
      </c>
      <c r="CT31" s="39">
        <v>61.96</v>
      </c>
      <c r="CU31" s="39">
        <v>62.07</v>
      </c>
      <c r="CV31" s="39">
        <v>62.19</v>
      </c>
      <c r="CW31" s="39">
        <v>62.31</v>
      </c>
      <c r="CX31" s="39">
        <v>62.42</v>
      </c>
      <c r="CY31" s="39">
        <v>62.54</v>
      </c>
      <c r="CZ31" s="39">
        <v>62.65</v>
      </c>
      <c r="DA31" s="39">
        <v>62.76</v>
      </c>
      <c r="DB31" s="39">
        <v>62.87</v>
      </c>
      <c r="DC31" s="39">
        <v>62.98</v>
      </c>
      <c r="DD31" s="39">
        <v>63.09</v>
      </c>
      <c r="DE31" s="39">
        <v>63.2</v>
      </c>
      <c r="DF31" s="39">
        <v>63.31</v>
      </c>
      <c r="DG31" s="39">
        <v>63.42</v>
      </c>
      <c r="DH31" s="39">
        <v>63.52</v>
      </c>
      <c r="DI31" s="39">
        <v>63.63</v>
      </c>
      <c r="DJ31" s="39">
        <v>63.73</v>
      </c>
      <c r="DK31" s="39">
        <v>63.83</v>
      </c>
      <c r="DL31" s="39">
        <v>63.94</v>
      </c>
      <c r="DM31" s="39">
        <v>64.040000000000006</v>
      </c>
      <c r="DN31" s="39">
        <v>64.14</v>
      </c>
      <c r="DO31" s="39">
        <v>64.239999999999995</v>
      </c>
      <c r="DP31" s="39">
        <v>64.34</v>
      </c>
      <c r="DQ31" s="39">
        <v>64.430000000000007</v>
      </c>
      <c r="DR31" s="39">
        <v>64.53</v>
      </c>
    </row>
    <row r="32" spans="1:122">
      <c r="A32" s="44">
        <v>30</v>
      </c>
      <c r="B32" s="45"/>
      <c r="C32" s="45"/>
      <c r="D32" s="45"/>
      <c r="E32" s="45"/>
      <c r="F32" s="45"/>
      <c r="G32" s="45"/>
      <c r="H32" s="45"/>
      <c r="I32" s="45"/>
      <c r="J32" s="45"/>
      <c r="K32" s="45"/>
      <c r="L32" s="45"/>
      <c r="M32" s="45"/>
      <c r="N32" s="45"/>
      <c r="O32" s="45"/>
      <c r="P32" s="45"/>
      <c r="Q32" s="45"/>
      <c r="R32" s="45"/>
      <c r="S32" s="45"/>
      <c r="T32" s="45"/>
      <c r="U32" s="45"/>
      <c r="V32" s="39"/>
      <c r="W32" s="39">
        <v>49.58</v>
      </c>
      <c r="X32" s="39">
        <v>49.8</v>
      </c>
      <c r="Y32" s="39">
        <v>50.01</v>
      </c>
      <c r="Z32" s="39">
        <v>50.26</v>
      </c>
      <c r="AA32" s="39">
        <v>50.42</v>
      </c>
      <c r="AB32" s="39">
        <v>50.64</v>
      </c>
      <c r="AC32" s="39">
        <v>50.87</v>
      </c>
      <c r="AD32" s="39">
        <v>51</v>
      </c>
      <c r="AE32" s="39">
        <v>51.23</v>
      </c>
      <c r="AF32" s="39">
        <v>51.44</v>
      </c>
      <c r="AG32" s="39">
        <v>51.63</v>
      </c>
      <c r="AH32" s="39">
        <v>51.82</v>
      </c>
      <c r="AI32" s="39">
        <v>52</v>
      </c>
      <c r="AJ32" s="39">
        <v>52.28</v>
      </c>
      <c r="AK32" s="39">
        <v>52.55</v>
      </c>
      <c r="AL32" s="39">
        <v>52.85</v>
      </c>
      <c r="AM32" s="39">
        <v>53.11</v>
      </c>
      <c r="AN32" s="39">
        <v>53.32</v>
      </c>
      <c r="AO32" s="39">
        <v>53.49</v>
      </c>
      <c r="AP32" s="39">
        <v>53.63</v>
      </c>
      <c r="AQ32" s="39">
        <v>53.7</v>
      </c>
      <c r="AR32" s="39">
        <v>53.77</v>
      </c>
      <c r="AS32" s="39">
        <v>53.82</v>
      </c>
      <c r="AT32" s="39">
        <v>53.81</v>
      </c>
      <c r="AU32" s="39">
        <v>53.89</v>
      </c>
      <c r="AV32" s="39">
        <v>53.97</v>
      </c>
      <c r="AW32" s="39">
        <v>54.21</v>
      </c>
      <c r="AX32" s="39">
        <v>54.28</v>
      </c>
      <c r="AY32" s="39">
        <v>54.45</v>
      </c>
      <c r="AZ32" s="39">
        <v>54.58</v>
      </c>
      <c r="BA32" s="39">
        <v>54.71</v>
      </c>
      <c r="BB32" s="39">
        <v>54.85</v>
      </c>
      <c r="BC32" s="39">
        <v>54.96</v>
      </c>
      <c r="BD32" s="39">
        <v>55.09</v>
      </c>
      <c r="BE32" s="39">
        <v>55.22</v>
      </c>
      <c r="BF32" s="39">
        <v>55.36</v>
      </c>
      <c r="BG32" s="39">
        <v>55.52</v>
      </c>
      <c r="BH32" s="39">
        <v>55.71</v>
      </c>
      <c r="BI32" s="39">
        <v>55.85</v>
      </c>
      <c r="BJ32" s="39">
        <v>56</v>
      </c>
      <c r="BK32" s="39">
        <v>56.16</v>
      </c>
      <c r="BL32" s="39">
        <v>56.35</v>
      </c>
      <c r="BM32" s="39">
        <v>56.54</v>
      </c>
      <c r="BN32" s="39">
        <v>56.71</v>
      </c>
      <c r="BO32" s="39">
        <v>56.85</v>
      </c>
      <c r="BP32" s="39">
        <v>57.02</v>
      </c>
      <c r="BQ32" s="39">
        <v>57.17</v>
      </c>
      <c r="BR32" s="39">
        <v>57.31</v>
      </c>
      <c r="BS32" s="39">
        <v>57.48</v>
      </c>
      <c r="BT32" s="39">
        <v>57.62</v>
      </c>
      <c r="BU32" s="39">
        <v>57.76</v>
      </c>
      <c r="BV32" s="39">
        <v>57.89</v>
      </c>
      <c r="BW32" s="39">
        <v>58.04</v>
      </c>
      <c r="BX32" s="39">
        <v>58.17</v>
      </c>
      <c r="BY32" s="39">
        <v>58.3</v>
      </c>
      <c r="BZ32" s="39">
        <v>58.43</v>
      </c>
      <c r="CA32" s="39">
        <v>58.57</v>
      </c>
      <c r="CB32" s="39">
        <v>58.7</v>
      </c>
      <c r="CC32" s="39">
        <v>58.83</v>
      </c>
      <c r="CD32" s="39">
        <v>58.97</v>
      </c>
      <c r="CE32" s="39">
        <v>59.09</v>
      </c>
      <c r="CF32" s="39">
        <v>59.22</v>
      </c>
      <c r="CG32" s="39">
        <v>59.35</v>
      </c>
      <c r="CH32" s="39">
        <v>59.48</v>
      </c>
      <c r="CI32" s="39">
        <v>59.61</v>
      </c>
      <c r="CJ32" s="39">
        <v>59.73</v>
      </c>
      <c r="CK32" s="39">
        <v>59.86</v>
      </c>
      <c r="CL32" s="39">
        <v>59.99</v>
      </c>
      <c r="CM32" s="39">
        <v>60.11</v>
      </c>
      <c r="CN32" s="39">
        <v>60.24</v>
      </c>
      <c r="CO32" s="39">
        <v>60.36</v>
      </c>
      <c r="CP32" s="39">
        <v>60.49</v>
      </c>
      <c r="CQ32" s="39">
        <v>60.61</v>
      </c>
      <c r="CR32" s="39">
        <v>60.73</v>
      </c>
      <c r="CS32" s="39">
        <v>60.85</v>
      </c>
      <c r="CT32" s="39">
        <v>60.97</v>
      </c>
      <c r="CU32" s="39">
        <v>61.09</v>
      </c>
      <c r="CV32" s="39">
        <v>61.2</v>
      </c>
      <c r="CW32" s="39">
        <v>61.32</v>
      </c>
      <c r="CX32" s="39">
        <v>61.43</v>
      </c>
      <c r="CY32" s="39">
        <v>61.55</v>
      </c>
      <c r="CZ32" s="39">
        <v>61.66</v>
      </c>
      <c r="DA32" s="39">
        <v>61.77</v>
      </c>
      <c r="DB32" s="39">
        <v>61.88</v>
      </c>
      <c r="DC32" s="39">
        <v>61.99</v>
      </c>
      <c r="DD32" s="39">
        <v>62.1</v>
      </c>
      <c r="DE32" s="39">
        <v>62.21</v>
      </c>
      <c r="DF32" s="39">
        <v>62.32</v>
      </c>
      <c r="DG32" s="39">
        <v>62.43</v>
      </c>
      <c r="DH32" s="39">
        <v>62.53</v>
      </c>
      <c r="DI32" s="39">
        <v>62.64</v>
      </c>
      <c r="DJ32" s="39">
        <v>62.74</v>
      </c>
      <c r="DK32" s="39">
        <v>62.84</v>
      </c>
      <c r="DL32" s="39">
        <v>62.94</v>
      </c>
      <c r="DM32" s="39">
        <v>63.05</v>
      </c>
      <c r="DN32" s="39">
        <v>63.15</v>
      </c>
      <c r="DO32" s="39">
        <v>63.25</v>
      </c>
      <c r="DP32" s="39">
        <v>63.34</v>
      </c>
      <c r="DQ32" s="39">
        <v>63.44</v>
      </c>
      <c r="DR32" s="39">
        <v>63.54</v>
      </c>
    </row>
    <row r="33" spans="1:122">
      <c r="A33" s="44">
        <v>31</v>
      </c>
      <c r="B33" s="45"/>
      <c r="C33" s="45"/>
      <c r="D33" s="45"/>
      <c r="E33" s="45"/>
      <c r="F33" s="45"/>
      <c r="G33" s="45"/>
      <c r="H33" s="45"/>
      <c r="I33" s="45"/>
      <c r="J33" s="45"/>
      <c r="K33" s="45"/>
      <c r="L33" s="45"/>
      <c r="M33" s="45"/>
      <c r="N33" s="45"/>
      <c r="O33" s="45"/>
      <c r="P33" s="45"/>
      <c r="Q33" s="45"/>
      <c r="R33" s="45"/>
      <c r="S33" s="45"/>
      <c r="T33" s="45"/>
      <c r="U33" s="45"/>
      <c r="V33" s="39"/>
      <c r="W33" s="39">
        <v>48.66</v>
      </c>
      <c r="X33" s="39">
        <v>48.87</v>
      </c>
      <c r="Y33" s="39">
        <v>49.08</v>
      </c>
      <c r="Z33" s="39">
        <v>49.33</v>
      </c>
      <c r="AA33" s="39">
        <v>49.48</v>
      </c>
      <c r="AB33" s="39">
        <v>49.7</v>
      </c>
      <c r="AC33" s="39">
        <v>49.94</v>
      </c>
      <c r="AD33" s="39">
        <v>50.05</v>
      </c>
      <c r="AE33" s="39">
        <v>50.28</v>
      </c>
      <c r="AF33" s="39">
        <v>50.49</v>
      </c>
      <c r="AG33" s="39">
        <v>50.68</v>
      </c>
      <c r="AH33" s="39">
        <v>50.86</v>
      </c>
      <c r="AI33" s="39">
        <v>51.05</v>
      </c>
      <c r="AJ33" s="39">
        <v>51.33</v>
      </c>
      <c r="AK33" s="39">
        <v>51.6</v>
      </c>
      <c r="AL33" s="39">
        <v>51.89</v>
      </c>
      <c r="AM33" s="39">
        <v>52.16</v>
      </c>
      <c r="AN33" s="39">
        <v>52.37</v>
      </c>
      <c r="AO33" s="39">
        <v>52.54</v>
      </c>
      <c r="AP33" s="39">
        <v>52.68</v>
      </c>
      <c r="AQ33" s="39">
        <v>52.74</v>
      </c>
      <c r="AR33" s="39">
        <v>52.81</v>
      </c>
      <c r="AS33" s="39">
        <v>52.86</v>
      </c>
      <c r="AT33" s="39">
        <v>52.86</v>
      </c>
      <c r="AU33" s="39">
        <v>52.93</v>
      </c>
      <c r="AV33" s="39">
        <v>53.01</v>
      </c>
      <c r="AW33" s="39">
        <v>53.25</v>
      </c>
      <c r="AX33" s="39">
        <v>53.32</v>
      </c>
      <c r="AY33" s="39">
        <v>53.48</v>
      </c>
      <c r="AZ33" s="39">
        <v>53.61</v>
      </c>
      <c r="BA33" s="39">
        <v>53.75</v>
      </c>
      <c r="BB33" s="39">
        <v>53.88</v>
      </c>
      <c r="BC33" s="39">
        <v>53.99</v>
      </c>
      <c r="BD33" s="39">
        <v>54.12</v>
      </c>
      <c r="BE33" s="39">
        <v>54.25</v>
      </c>
      <c r="BF33" s="39">
        <v>54.39</v>
      </c>
      <c r="BG33" s="39">
        <v>54.55</v>
      </c>
      <c r="BH33" s="39">
        <v>54.74</v>
      </c>
      <c r="BI33" s="39">
        <v>54.88</v>
      </c>
      <c r="BJ33" s="39">
        <v>55.03</v>
      </c>
      <c r="BK33" s="39">
        <v>55.19</v>
      </c>
      <c r="BL33" s="39">
        <v>55.38</v>
      </c>
      <c r="BM33" s="39">
        <v>55.57</v>
      </c>
      <c r="BN33" s="39">
        <v>55.73</v>
      </c>
      <c r="BO33" s="39">
        <v>55.88</v>
      </c>
      <c r="BP33" s="39">
        <v>56.05</v>
      </c>
      <c r="BQ33" s="39">
        <v>56.2</v>
      </c>
      <c r="BR33" s="39">
        <v>56.33</v>
      </c>
      <c r="BS33" s="39">
        <v>56.5</v>
      </c>
      <c r="BT33" s="39">
        <v>56.64</v>
      </c>
      <c r="BU33" s="39">
        <v>56.78</v>
      </c>
      <c r="BV33" s="39">
        <v>56.91</v>
      </c>
      <c r="BW33" s="39">
        <v>57.06</v>
      </c>
      <c r="BX33" s="39">
        <v>57.19</v>
      </c>
      <c r="BY33" s="39">
        <v>57.32</v>
      </c>
      <c r="BZ33" s="39">
        <v>57.45</v>
      </c>
      <c r="CA33" s="39">
        <v>57.58</v>
      </c>
      <c r="CB33" s="39">
        <v>57.72</v>
      </c>
      <c r="CC33" s="39">
        <v>57.85</v>
      </c>
      <c r="CD33" s="39">
        <v>57.98</v>
      </c>
      <c r="CE33" s="39">
        <v>58.11</v>
      </c>
      <c r="CF33" s="39">
        <v>58.24</v>
      </c>
      <c r="CG33" s="39">
        <v>58.36</v>
      </c>
      <c r="CH33" s="39">
        <v>58.49</v>
      </c>
      <c r="CI33" s="39">
        <v>58.62</v>
      </c>
      <c r="CJ33" s="39">
        <v>58.75</v>
      </c>
      <c r="CK33" s="39">
        <v>58.88</v>
      </c>
      <c r="CL33" s="39">
        <v>59</v>
      </c>
      <c r="CM33" s="39">
        <v>59.13</v>
      </c>
      <c r="CN33" s="39">
        <v>59.25</v>
      </c>
      <c r="CO33" s="39">
        <v>59.38</v>
      </c>
      <c r="CP33" s="39">
        <v>59.5</v>
      </c>
      <c r="CQ33" s="39">
        <v>59.62</v>
      </c>
      <c r="CR33" s="39">
        <v>59.74</v>
      </c>
      <c r="CS33" s="39">
        <v>59.86</v>
      </c>
      <c r="CT33" s="39">
        <v>59.98</v>
      </c>
      <c r="CU33" s="39">
        <v>60.1</v>
      </c>
      <c r="CV33" s="39">
        <v>60.22</v>
      </c>
      <c r="CW33" s="39">
        <v>60.33</v>
      </c>
      <c r="CX33" s="39">
        <v>60.45</v>
      </c>
      <c r="CY33" s="39">
        <v>60.56</v>
      </c>
      <c r="CZ33" s="39">
        <v>60.67</v>
      </c>
      <c r="DA33" s="39">
        <v>60.78</v>
      </c>
      <c r="DB33" s="39">
        <v>60.9</v>
      </c>
      <c r="DC33" s="39">
        <v>61.01</v>
      </c>
      <c r="DD33" s="39">
        <v>61.11</v>
      </c>
      <c r="DE33" s="39">
        <v>61.22</v>
      </c>
      <c r="DF33" s="39">
        <v>61.33</v>
      </c>
      <c r="DG33" s="39">
        <v>61.44</v>
      </c>
      <c r="DH33" s="39">
        <v>61.54</v>
      </c>
      <c r="DI33" s="39">
        <v>61.65</v>
      </c>
      <c r="DJ33" s="39">
        <v>61.75</v>
      </c>
      <c r="DK33" s="39">
        <v>61.85</v>
      </c>
      <c r="DL33" s="39">
        <v>61.95</v>
      </c>
      <c r="DM33" s="39">
        <v>62.05</v>
      </c>
      <c r="DN33" s="39">
        <v>62.15</v>
      </c>
      <c r="DO33" s="39">
        <v>62.25</v>
      </c>
      <c r="DP33" s="39">
        <v>62.35</v>
      </c>
      <c r="DQ33" s="39">
        <v>62.45</v>
      </c>
      <c r="DR33" s="39">
        <v>62.54</v>
      </c>
    </row>
    <row r="34" spans="1:122">
      <c r="A34" s="44">
        <v>32</v>
      </c>
      <c r="B34" s="45"/>
      <c r="C34" s="45"/>
      <c r="D34" s="45"/>
      <c r="E34" s="45"/>
      <c r="F34" s="45"/>
      <c r="G34" s="45"/>
      <c r="H34" s="45"/>
      <c r="I34" s="45"/>
      <c r="J34" s="45"/>
      <c r="K34" s="45"/>
      <c r="L34" s="45"/>
      <c r="M34" s="45"/>
      <c r="N34" s="45"/>
      <c r="O34" s="45"/>
      <c r="P34" s="45"/>
      <c r="Q34" s="45"/>
      <c r="R34" s="45"/>
      <c r="S34" s="45"/>
      <c r="T34" s="45"/>
      <c r="U34" s="45"/>
      <c r="V34" s="39"/>
      <c r="W34" s="39">
        <v>47.73</v>
      </c>
      <c r="X34" s="39">
        <v>47.93</v>
      </c>
      <c r="Y34" s="39">
        <v>48.14</v>
      </c>
      <c r="Z34" s="39">
        <v>48.39</v>
      </c>
      <c r="AA34" s="39">
        <v>48.54</v>
      </c>
      <c r="AB34" s="39">
        <v>48.75</v>
      </c>
      <c r="AC34" s="39">
        <v>48.99</v>
      </c>
      <c r="AD34" s="39">
        <v>49.11</v>
      </c>
      <c r="AE34" s="39">
        <v>49.34</v>
      </c>
      <c r="AF34" s="39">
        <v>49.54</v>
      </c>
      <c r="AG34" s="39">
        <v>49.73</v>
      </c>
      <c r="AH34" s="39">
        <v>49.91</v>
      </c>
      <c r="AI34" s="39">
        <v>50.1</v>
      </c>
      <c r="AJ34" s="39">
        <v>50.38</v>
      </c>
      <c r="AK34" s="39">
        <v>50.64</v>
      </c>
      <c r="AL34" s="39">
        <v>50.93</v>
      </c>
      <c r="AM34" s="39">
        <v>51.2</v>
      </c>
      <c r="AN34" s="39">
        <v>51.41</v>
      </c>
      <c r="AO34" s="39">
        <v>51.58</v>
      </c>
      <c r="AP34" s="39">
        <v>51.72</v>
      </c>
      <c r="AQ34" s="39">
        <v>51.78</v>
      </c>
      <c r="AR34" s="39">
        <v>51.85</v>
      </c>
      <c r="AS34" s="39">
        <v>51.91</v>
      </c>
      <c r="AT34" s="39">
        <v>51.9</v>
      </c>
      <c r="AU34" s="39">
        <v>51.98</v>
      </c>
      <c r="AV34" s="39">
        <v>52.05</v>
      </c>
      <c r="AW34" s="39">
        <v>52.29</v>
      </c>
      <c r="AX34" s="39">
        <v>52.35</v>
      </c>
      <c r="AY34" s="39">
        <v>52.52</v>
      </c>
      <c r="AZ34" s="39">
        <v>52.65</v>
      </c>
      <c r="BA34" s="39">
        <v>52.79</v>
      </c>
      <c r="BB34" s="39">
        <v>52.92</v>
      </c>
      <c r="BC34" s="39">
        <v>53.03</v>
      </c>
      <c r="BD34" s="39">
        <v>53.15</v>
      </c>
      <c r="BE34" s="39">
        <v>53.28</v>
      </c>
      <c r="BF34" s="39">
        <v>53.42</v>
      </c>
      <c r="BG34" s="39">
        <v>53.58</v>
      </c>
      <c r="BH34" s="39">
        <v>53.77</v>
      </c>
      <c r="BI34" s="39">
        <v>53.91</v>
      </c>
      <c r="BJ34" s="39">
        <v>54.06</v>
      </c>
      <c r="BK34" s="39">
        <v>54.22</v>
      </c>
      <c r="BL34" s="39">
        <v>54.4</v>
      </c>
      <c r="BM34" s="39">
        <v>54.6</v>
      </c>
      <c r="BN34" s="39">
        <v>54.76</v>
      </c>
      <c r="BO34" s="39">
        <v>54.9</v>
      </c>
      <c r="BP34" s="39">
        <v>55.07</v>
      </c>
      <c r="BQ34" s="39">
        <v>55.22</v>
      </c>
      <c r="BR34" s="39">
        <v>55.36</v>
      </c>
      <c r="BS34" s="39">
        <v>55.52</v>
      </c>
      <c r="BT34" s="39">
        <v>55.66</v>
      </c>
      <c r="BU34" s="39">
        <v>55.8</v>
      </c>
      <c r="BV34" s="39">
        <v>55.93</v>
      </c>
      <c r="BW34" s="39">
        <v>56.08</v>
      </c>
      <c r="BX34" s="39">
        <v>56.2</v>
      </c>
      <c r="BY34" s="39">
        <v>56.34</v>
      </c>
      <c r="BZ34" s="39">
        <v>56.47</v>
      </c>
      <c r="CA34" s="39">
        <v>56.6</v>
      </c>
      <c r="CB34" s="39">
        <v>56.74</v>
      </c>
      <c r="CC34" s="39">
        <v>56.87</v>
      </c>
      <c r="CD34" s="39">
        <v>57</v>
      </c>
      <c r="CE34" s="39">
        <v>57.13</v>
      </c>
      <c r="CF34" s="39">
        <v>57.25</v>
      </c>
      <c r="CG34" s="39">
        <v>57.38</v>
      </c>
      <c r="CH34" s="39">
        <v>57.51</v>
      </c>
      <c r="CI34" s="39">
        <v>57.64</v>
      </c>
      <c r="CJ34" s="39">
        <v>57.77</v>
      </c>
      <c r="CK34" s="39">
        <v>57.9</v>
      </c>
      <c r="CL34" s="39">
        <v>58.02</v>
      </c>
      <c r="CM34" s="39">
        <v>58.15</v>
      </c>
      <c r="CN34" s="39">
        <v>58.27</v>
      </c>
      <c r="CO34" s="39">
        <v>58.39</v>
      </c>
      <c r="CP34" s="39">
        <v>58.52</v>
      </c>
      <c r="CQ34" s="39">
        <v>58.64</v>
      </c>
      <c r="CR34" s="39">
        <v>58.76</v>
      </c>
      <c r="CS34" s="39">
        <v>58.88</v>
      </c>
      <c r="CT34" s="39">
        <v>59</v>
      </c>
      <c r="CU34" s="39">
        <v>59.11</v>
      </c>
      <c r="CV34" s="39">
        <v>59.23</v>
      </c>
      <c r="CW34" s="39">
        <v>59.35</v>
      </c>
      <c r="CX34" s="39">
        <v>59.46</v>
      </c>
      <c r="CY34" s="39">
        <v>59.57</v>
      </c>
      <c r="CZ34" s="39">
        <v>59.69</v>
      </c>
      <c r="DA34" s="39">
        <v>59.8</v>
      </c>
      <c r="DB34" s="39">
        <v>59.91</v>
      </c>
      <c r="DC34" s="39">
        <v>60.02</v>
      </c>
      <c r="DD34" s="39">
        <v>60.13</v>
      </c>
      <c r="DE34" s="39">
        <v>60.23</v>
      </c>
      <c r="DF34" s="39">
        <v>60.34</v>
      </c>
      <c r="DG34" s="39">
        <v>60.45</v>
      </c>
      <c r="DH34" s="39">
        <v>60.55</v>
      </c>
      <c r="DI34" s="39">
        <v>60.66</v>
      </c>
      <c r="DJ34" s="39">
        <v>60.76</v>
      </c>
      <c r="DK34" s="39">
        <v>60.86</v>
      </c>
      <c r="DL34" s="39">
        <v>60.96</v>
      </c>
      <c r="DM34" s="39">
        <v>61.06</v>
      </c>
      <c r="DN34" s="39">
        <v>61.16</v>
      </c>
      <c r="DO34" s="39">
        <v>61.26</v>
      </c>
      <c r="DP34" s="39">
        <v>61.36</v>
      </c>
      <c r="DQ34" s="39">
        <v>61.46</v>
      </c>
      <c r="DR34" s="39">
        <v>61.55</v>
      </c>
    </row>
    <row r="35" spans="1:122">
      <c r="A35" s="44">
        <v>33</v>
      </c>
      <c r="B35" s="45"/>
      <c r="C35" s="45"/>
      <c r="D35" s="45"/>
      <c r="E35" s="45"/>
      <c r="F35" s="45"/>
      <c r="G35" s="45"/>
      <c r="H35" s="45"/>
      <c r="I35" s="45"/>
      <c r="J35" s="45"/>
      <c r="K35" s="45"/>
      <c r="L35" s="45"/>
      <c r="M35" s="45"/>
      <c r="N35" s="45"/>
      <c r="O35" s="45"/>
      <c r="P35" s="45"/>
      <c r="Q35" s="45"/>
      <c r="R35" s="45"/>
      <c r="S35" s="45"/>
      <c r="T35" s="45"/>
      <c r="U35" s="45"/>
      <c r="V35" s="39"/>
      <c r="W35" s="39">
        <v>46.8</v>
      </c>
      <c r="X35" s="39">
        <v>47</v>
      </c>
      <c r="Y35" s="39">
        <v>47.21</v>
      </c>
      <c r="Z35" s="39">
        <v>47.45</v>
      </c>
      <c r="AA35" s="39">
        <v>47.6</v>
      </c>
      <c r="AB35" s="39">
        <v>47.81</v>
      </c>
      <c r="AC35" s="39">
        <v>48.04</v>
      </c>
      <c r="AD35" s="39">
        <v>48.16</v>
      </c>
      <c r="AE35" s="39">
        <v>48.39</v>
      </c>
      <c r="AF35" s="39">
        <v>48.59</v>
      </c>
      <c r="AG35" s="39">
        <v>48.78</v>
      </c>
      <c r="AH35" s="39">
        <v>48.96</v>
      </c>
      <c r="AI35" s="39">
        <v>49.15</v>
      </c>
      <c r="AJ35" s="39">
        <v>49.43</v>
      </c>
      <c r="AK35" s="39">
        <v>49.69</v>
      </c>
      <c r="AL35" s="39">
        <v>49.98</v>
      </c>
      <c r="AM35" s="39">
        <v>50.25</v>
      </c>
      <c r="AN35" s="39">
        <v>50.45</v>
      </c>
      <c r="AO35" s="39">
        <v>50.62</v>
      </c>
      <c r="AP35" s="39">
        <v>50.76</v>
      </c>
      <c r="AQ35" s="39">
        <v>50.83</v>
      </c>
      <c r="AR35" s="39">
        <v>50.9</v>
      </c>
      <c r="AS35" s="39">
        <v>50.95</v>
      </c>
      <c r="AT35" s="39">
        <v>50.94</v>
      </c>
      <c r="AU35" s="39">
        <v>51.02</v>
      </c>
      <c r="AV35" s="39">
        <v>51.09</v>
      </c>
      <c r="AW35" s="39">
        <v>51.33</v>
      </c>
      <c r="AX35" s="39">
        <v>51.4</v>
      </c>
      <c r="AY35" s="39">
        <v>51.56</v>
      </c>
      <c r="AZ35" s="39">
        <v>51.69</v>
      </c>
      <c r="BA35" s="39">
        <v>51.82</v>
      </c>
      <c r="BB35" s="39">
        <v>51.95</v>
      </c>
      <c r="BC35" s="39">
        <v>52.06</v>
      </c>
      <c r="BD35" s="39">
        <v>52.18</v>
      </c>
      <c r="BE35" s="39">
        <v>52.31</v>
      </c>
      <c r="BF35" s="39">
        <v>52.46</v>
      </c>
      <c r="BG35" s="39">
        <v>52.62</v>
      </c>
      <c r="BH35" s="39">
        <v>52.8</v>
      </c>
      <c r="BI35" s="39">
        <v>52.94</v>
      </c>
      <c r="BJ35" s="39">
        <v>53.09</v>
      </c>
      <c r="BK35" s="39">
        <v>53.26</v>
      </c>
      <c r="BL35" s="39">
        <v>53.43</v>
      </c>
      <c r="BM35" s="39">
        <v>53.63</v>
      </c>
      <c r="BN35" s="39">
        <v>53.79</v>
      </c>
      <c r="BO35" s="39">
        <v>53.93</v>
      </c>
      <c r="BP35" s="39">
        <v>54.09</v>
      </c>
      <c r="BQ35" s="39">
        <v>54.24</v>
      </c>
      <c r="BR35" s="39">
        <v>54.38</v>
      </c>
      <c r="BS35" s="39">
        <v>54.54</v>
      </c>
      <c r="BT35" s="39">
        <v>54.68</v>
      </c>
      <c r="BU35" s="39">
        <v>54.82</v>
      </c>
      <c r="BV35" s="39">
        <v>54.95</v>
      </c>
      <c r="BW35" s="39">
        <v>55.1</v>
      </c>
      <c r="BX35" s="39">
        <v>55.22</v>
      </c>
      <c r="BY35" s="39">
        <v>55.36</v>
      </c>
      <c r="BZ35" s="39">
        <v>55.49</v>
      </c>
      <c r="CA35" s="39">
        <v>55.62</v>
      </c>
      <c r="CB35" s="39">
        <v>55.76</v>
      </c>
      <c r="CC35" s="39">
        <v>55.89</v>
      </c>
      <c r="CD35" s="39">
        <v>56.02</v>
      </c>
      <c r="CE35" s="39">
        <v>56.15</v>
      </c>
      <c r="CF35" s="39">
        <v>56.27</v>
      </c>
      <c r="CG35" s="39">
        <v>56.4</v>
      </c>
      <c r="CH35" s="39">
        <v>56.53</v>
      </c>
      <c r="CI35" s="39">
        <v>56.66</v>
      </c>
      <c r="CJ35" s="39">
        <v>56.79</v>
      </c>
      <c r="CK35" s="39">
        <v>56.91</v>
      </c>
      <c r="CL35" s="39">
        <v>57.04</v>
      </c>
      <c r="CM35" s="39">
        <v>57.16</v>
      </c>
      <c r="CN35" s="39">
        <v>57.29</v>
      </c>
      <c r="CO35" s="39">
        <v>57.41</v>
      </c>
      <c r="CP35" s="39">
        <v>57.53</v>
      </c>
      <c r="CQ35" s="39">
        <v>57.65</v>
      </c>
      <c r="CR35" s="39">
        <v>57.77</v>
      </c>
      <c r="CS35" s="39">
        <v>57.89</v>
      </c>
      <c r="CT35" s="39">
        <v>58.01</v>
      </c>
      <c r="CU35" s="39">
        <v>58.13</v>
      </c>
      <c r="CV35" s="39">
        <v>58.24</v>
      </c>
      <c r="CW35" s="39">
        <v>58.36</v>
      </c>
      <c r="CX35" s="39">
        <v>58.47</v>
      </c>
      <c r="CY35" s="39">
        <v>58.59</v>
      </c>
      <c r="CZ35" s="39">
        <v>58.7</v>
      </c>
      <c r="DA35" s="39">
        <v>58.81</v>
      </c>
      <c r="DB35" s="39">
        <v>58.92</v>
      </c>
      <c r="DC35" s="39">
        <v>59.03</v>
      </c>
      <c r="DD35" s="39">
        <v>59.14</v>
      </c>
      <c r="DE35" s="39">
        <v>59.25</v>
      </c>
      <c r="DF35" s="39">
        <v>59.35</v>
      </c>
      <c r="DG35" s="39">
        <v>59.46</v>
      </c>
      <c r="DH35" s="39">
        <v>59.56</v>
      </c>
      <c r="DI35" s="39">
        <v>59.67</v>
      </c>
      <c r="DJ35" s="39">
        <v>59.77</v>
      </c>
      <c r="DK35" s="39">
        <v>59.87</v>
      </c>
      <c r="DL35" s="39">
        <v>59.97</v>
      </c>
      <c r="DM35" s="39">
        <v>60.07</v>
      </c>
      <c r="DN35" s="39">
        <v>60.17</v>
      </c>
      <c r="DO35" s="39">
        <v>60.27</v>
      </c>
      <c r="DP35" s="39">
        <v>60.37</v>
      </c>
      <c r="DQ35" s="39">
        <v>60.47</v>
      </c>
      <c r="DR35" s="39">
        <v>60.56</v>
      </c>
    </row>
    <row r="36" spans="1:122">
      <c r="A36" s="44">
        <v>34</v>
      </c>
      <c r="B36" s="45"/>
      <c r="C36" s="45"/>
      <c r="D36" s="45"/>
      <c r="E36" s="45"/>
      <c r="F36" s="45"/>
      <c r="G36" s="45"/>
      <c r="H36" s="45"/>
      <c r="I36" s="45"/>
      <c r="J36" s="45"/>
      <c r="K36" s="45"/>
      <c r="L36" s="45"/>
      <c r="M36" s="45"/>
      <c r="N36" s="45"/>
      <c r="O36" s="45"/>
      <c r="P36" s="45"/>
      <c r="Q36" s="45"/>
      <c r="R36" s="45"/>
      <c r="S36" s="45"/>
      <c r="T36" s="45"/>
      <c r="U36" s="45"/>
      <c r="V36" s="39"/>
      <c r="W36" s="39">
        <v>45.86</v>
      </c>
      <c r="X36" s="39">
        <v>46.07</v>
      </c>
      <c r="Y36" s="39">
        <v>46.27</v>
      </c>
      <c r="Z36" s="39">
        <v>46.51</v>
      </c>
      <c r="AA36" s="39">
        <v>46.66</v>
      </c>
      <c r="AB36" s="39">
        <v>46.87</v>
      </c>
      <c r="AC36" s="39">
        <v>47.1</v>
      </c>
      <c r="AD36" s="39">
        <v>47.22</v>
      </c>
      <c r="AE36" s="39">
        <v>47.45</v>
      </c>
      <c r="AF36" s="39">
        <v>47.64</v>
      </c>
      <c r="AG36" s="39">
        <v>47.83</v>
      </c>
      <c r="AH36" s="39">
        <v>48.01</v>
      </c>
      <c r="AI36" s="39">
        <v>48.21</v>
      </c>
      <c r="AJ36" s="39">
        <v>48.48</v>
      </c>
      <c r="AK36" s="39">
        <v>48.74</v>
      </c>
      <c r="AL36" s="39">
        <v>49.03</v>
      </c>
      <c r="AM36" s="39">
        <v>49.3</v>
      </c>
      <c r="AN36" s="39">
        <v>49.5</v>
      </c>
      <c r="AO36" s="39">
        <v>49.67</v>
      </c>
      <c r="AP36" s="39">
        <v>49.81</v>
      </c>
      <c r="AQ36" s="39">
        <v>49.87</v>
      </c>
      <c r="AR36" s="39">
        <v>49.94</v>
      </c>
      <c r="AS36" s="39">
        <v>49.99</v>
      </c>
      <c r="AT36" s="39">
        <v>49.99</v>
      </c>
      <c r="AU36" s="39">
        <v>50.07</v>
      </c>
      <c r="AV36" s="39">
        <v>50.14</v>
      </c>
      <c r="AW36" s="39">
        <v>50.37</v>
      </c>
      <c r="AX36" s="39">
        <v>50.43</v>
      </c>
      <c r="AY36" s="39">
        <v>50.6</v>
      </c>
      <c r="AZ36" s="39">
        <v>50.73</v>
      </c>
      <c r="BA36" s="39">
        <v>50.86</v>
      </c>
      <c r="BB36" s="39">
        <v>50.99</v>
      </c>
      <c r="BC36" s="39">
        <v>51.1</v>
      </c>
      <c r="BD36" s="39">
        <v>51.22</v>
      </c>
      <c r="BE36" s="39">
        <v>51.35</v>
      </c>
      <c r="BF36" s="39">
        <v>51.49</v>
      </c>
      <c r="BG36" s="39">
        <v>51.66</v>
      </c>
      <c r="BH36" s="39">
        <v>51.84</v>
      </c>
      <c r="BI36" s="39">
        <v>51.98</v>
      </c>
      <c r="BJ36" s="39">
        <v>52.13</v>
      </c>
      <c r="BK36" s="39">
        <v>52.29</v>
      </c>
      <c r="BL36" s="39">
        <v>52.46</v>
      </c>
      <c r="BM36" s="39">
        <v>52.65</v>
      </c>
      <c r="BN36" s="39">
        <v>52.82</v>
      </c>
      <c r="BO36" s="39">
        <v>52.95</v>
      </c>
      <c r="BP36" s="39">
        <v>53.12</v>
      </c>
      <c r="BQ36" s="39">
        <v>53.27</v>
      </c>
      <c r="BR36" s="39">
        <v>53.4</v>
      </c>
      <c r="BS36" s="39">
        <v>53.56</v>
      </c>
      <c r="BT36" s="39">
        <v>53.7</v>
      </c>
      <c r="BU36" s="39">
        <v>53.84</v>
      </c>
      <c r="BV36" s="39">
        <v>53.97</v>
      </c>
      <c r="BW36" s="39">
        <v>54.12</v>
      </c>
      <c r="BX36" s="39">
        <v>54.24</v>
      </c>
      <c r="BY36" s="39">
        <v>54.38</v>
      </c>
      <c r="BZ36" s="39">
        <v>54.51</v>
      </c>
      <c r="CA36" s="39">
        <v>54.64</v>
      </c>
      <c r="CB36" s="39">
        <v>54.78</v>
      </c>
      <c r="CC36" s="39">
        <v>54.91</v>
      </c>
      <c r="CD36" s="39">
        <v>55.04</v>
      </c>
      <c r="CE36" s="39">
        <v>55.17</v>
      </c>
      <c r="CF36" s="39">
        <v>55.29</v>
      </c>
      <c r="CG36" s="39">
        <v>55.42</v>
      </c>
      <c r="CH36" s="39">
        <v>55.55</v>
      </c>
      <c r="CI36" s="39">
        <v>55.68</v>
      </c>
      <c r="CJ36" s="39">
        <v>55.81</v>
      </c>
      <c r="CK36" s="39">
        <v>55.93</v>
      </c>
      <c r="CL36" s="39">
        <v>56.06</v>
      </c>
      <c r="CM36" s="39">
        <v>56.18</v>
      </c>
      <c r="CN36" s="39">
        <v>56.31</v>
      </c>
      <c r="CO36" s="39">
        <v>56.43</v>
      </c>
      <c r="CP36" s="39">
        <v>56.55</v>
      </c>
      <c r="CQ36" s="39">
        <v>56.67</v>
      </c>
      <c r="CR36" s="39">
        <v>56.79</v>
      </c>
      <c r="CS36" s="39">
        <v>56.91</v>
      </c>
      <c r="CT36" s="39">
        <v>57.03</v>
      </c>
      <c r="CU36" s="39">
        <v>57.14</v>
      </c>
      <c r="CV36" s="39">
        <v>57.26</v>
      </c>
      <c r="CW36" s="39">
        <v>57.37</v>
      </c>
      <c r="CX36" s="39">
        <v>57.49</v>
      </c>
      <c r="CY36" s="39">
        <v>57.6</v>
      </c>
      <c r="CZ36" s="39">
        <v>57.71</v>
      </c>
      <c r="DA36" s="39">
        <v>57.82</v>
      </c>
      <c r="DB36" s="39">
        <v>57.93</v>
      </c>
      <c r="DC36" s="39">
        <v>58.04</v>
      </c>
      <c r="DD36" s="39">
        <v>58.15</v>
      </c>
      <c r="DE36" s="39">
        <v>58.26</v>
      </c>
      <c r="DF36" s="39">
        <v>58.36</v>
      </c>
      <c r="DG36" s="39">
        <v>58.47</v>
      </c>
      <c r="DH36" s="39">
        <v>58.57</v>
      </c>
      <c r="DI36" s="39">
        <v>58.68</v>
      </c>
      <c r="DJ36" s="39">
        <v>58.78</v>
      </c>
      <c r="DK36" s="39">
        <v>58.88</v>
      </c>
      <c r="DL36" s="39">
        <v>58.98</v>
      </c>
      <c r="DM36" s="39">
        <v>59.08</v>
      </c>
      <c r="DN36" s="39">
        <v>59.18</v>
      </c>
      <c r="DO36" s="39">
        <v>59.28</v>
      </c>
      <c r="DP36" s="39">
        <v>59.38</v>
      </c>
      <c r="DQ36" s="39">
        <v>59.48</v>
      </c>
      <c r="DR36" s="39">
        <v>59.57</v>
      </c>
    </row>
    <row r="37" spans="1:122">
      <c r="A37" s="44">
        <v>35</v>
      </c>
      <c r="B37" s="45"/>
      <c r="C37" s="45"/>
      <c r="D37" s="45"/>
      <c r="E37" s="45"/>
      <c r="F37" s="45"/>
      <c r="G37" s="45"/>
      <c r="H37" s="45"/>
      <c r="I37" s="45"/>
      <c r="J37" s="45"/>
      <c r="K37" s="45"/>
      <c r="L37" s="45"/>
      <c r="M37" s="45"/>
      <c r="N37" s="45"/>
      <c r="O37" s="45"/>
      <c r="P37" s="45"/>
      <c r="Q37" s="45"/>
      <c r="R37" s="45"/>
      <c r="S37" s="45"/>
      <c r="T37" s="45"/>
      <c r="U37" s="45"/>
      <c r="V37" s="39"/>
      <c r="W37" s="39">
        <v>44.94</v>
      </c>
      <c r="X37" s="39">
        <v>45.13</v>
      </c>
      <c r="Y37" s="39">
        <v>45.34</v>
      </c>
      <c r="Z37" s="39">
        <v>45.58</v>
      </c>
      <c r="AA37" s="39">
        <v>45.72</v>
      </c>
      <c r="AB37" s="39">
        <v>45.93</v>
      </c>
      <c r="AC37" s="39">
        <v>46.16</v>
      </c>
      <c r="AD37" s="39">
        <v>46.27</v>
      </c>
      <c r="AE37" s="39">
        <v>46.51</v>
      </c>
      <c r="AF37" s="39">
        <v>46.7</v>
      </c>
      <c r="AG37" s="39">
        <v>46.89</v>
      </c>
      <c r="AH37" s="39">
        <v>47.07</v>
      </c>
      <c r="AI37" s="39">
        <v>47.26</v>
      </c>
      <c r="AJ37" s="39">
        <v>47.53</v>
      </c>
      <c r="AK37" s="39">
        <v>47.79</v>
      </c>
      <c r="AL37" s="39">
        <v>48.08</v>
      </c>
      <c r="AM37" s="39">
        <v>48.35</v>
      </c>
      <c r="AN37" s="39">
        <v>48.55</v>
      </c>
      <c r="AO37" s="39">
        <v>48.72</v>
      </c>
      <c r="AP37" s="39">
        <v>48.86</v>
      </c>
      <c r="AQ37" s="39">
        <v>48.92</v>
      </c>
      <c r="AR37" s="39">
        <v>48.99</v>
      </c>
      <c r="AS37" s="39">
        <v>49.04</v>
      </c>
      <c r="AT37" s="39">
        <v>49.04</v>
      </c>
      <c r="AU37" s="39">
        <v>49.11</v>
      </c>
      <c r="AV37" s="39">
        <v>49.18</v>
      </c>
      <c r="AW37" s="39">
        <v>49.41</v>
      </c>
      <c r="AX37" s="39">
        <v>49.47</v>
      </c>
      <c r="AY37" s="39">
        <v>49.64</v>
      </c>
      <c r="AZ37" s="39">
        <v>49.76</v>
      </c>
      <c r="BA37" s="39">
        <v>49.9</v>
      </c>
      <c r="BB37" s="39">
        <v>50.02</v>
      </c>
      <c r="BC37" s="39">
        <v>50.14</v>
      </c>
      <c r="BD37" s="39">
        <v>50.25</v>
      </c>
      <c r="BE37" s="39">
        <v>50.39</v>
      </c>
      <c r="BF37" s="39">
        <v>50.53</v>
      </c>
      <c r="BG37" s="39">
        <v>50.7</v>
      </c>
      <c r="BH37" s="39">
        <v>50.88</v>
      </c>
      <c r="BI37" s="39">
        <v>51.01</v>
      </c>
      <c r="BJ37" s="39">
        <v>51.17</v>
      </c>
      <c r="BK37" s="39">
        <v>51.32</v>
      </c>
      <c r="BL37" s="39">
        <v>51.5</v>
      </c>
      <c r="BM37" s="39">
        <v>51.68</v>
      </c>
      <c r="BN37" s="39">
        <v>51.84</v>
      </c>
      <c r="BO37" s="39">
        <v>51.98</v>
      </c>
      <c r="BP37" s="39">
        <v>52.15</v>
      </c>
      <c r="BQ37" s="39">
        <v>52.29</v>
      </c>
      <c r="BR37" s="39">
        <v>52.43</v>
      </c>
      <c r="BS37" s="39">
        <v>52.59</v>
      </c>
      <c r="BT37" s="39">
        <v>52.72</v>
      </c>
      <c r="BU37" s="39">
        <v>52.86</v>
      </c>
      <c r="BV37" s="39">
        <v>52.99</v>
      </c>
      <c r="BW37" s="39">
        <v>53.14</v>
      </c>
      <c r="BX37" s="39">
        <v>53.27</v>
      </c>
      <c r="BY37" s="39">
        <v>53.4</v>
      </c>
      <c r="BZ37" s="39">
        <v>53.53</v>
      </c>
      <c r="CA37" s="39">
        <v>53.67</v>
      </c>
      <c r="CB37" s="39">
        <v>53.8</v>
      </c>
      <c r="CC37" s="39">
        <v>53.93</v>
      </c>
      <c r="CD37" s="39">
        <v>54.06</v>
      </c>
      <c r="CE37" s="39">
        <v>54.19</v>
      </c>
      <c r="CF37" s="39">
        <v>54.31</v>
      </c>
      <c r="CG37" s="39">
        <v>54.44</v>
      </c>
      <c r="CH37" s="39">
        <v>54.57</v>
      </c>
      <c r="CI37" s="39">
        <v>54.7</v>
      </c>
      <c r="CJ37" s="39">
        <v>54.83</v>
      </c>
      <c r="CK37" s="39">
        <v>54.95</v>
      </c>
      <c r="CL37" s="39">
        <v>55.08</v>
      </c>
      <c r="CM37" s="39">
        <v>55.2</v>
      </c>
      <c r="CN37" s="39">
        <v>55.33</v>
      </c>
      <c r="CO37" s="39">
        <v>55.45</v>
      </c>
      <c r="CP37" s="39">
        <v>55.57</v>
      </c>
      <c r="CQ37" s="39">
        <v>55.69</v>
      </c>
      <c r="CR37" s="39">
        <v>55.81</v>
      </c>
      <c r="CS37" s="39">
        <v>55.93</v>
      </c>
      <c r="CT37" s="39">
        <v>56.04</v>
      </c>
      <c r="CU37" s="39">
        <v>56.16</v>
      </c>
      <c r="CV37" s="39">
        <v>56.28</v>
      </c>
      <c r="CW37" s="39">
        <v>56.39</v>
      </c>
      <c r="CX37" s="39">
        <v>56.5</v>
      </c>
      <c r="CY37" s="39">
        <v>56.62</v>
      </c>
      <c r="CZ37" s="39">
        <v>56.73</v>
      </c>
      <c r="DA37" s="39">
        <v>56.84</v>
      </c>
      <c r="DB37" s="39">
        <v>56.95</v>
      </c>
      <c r="DC37" s="39">
        <v>57.06</v>
      </c>
      <c r="DD37" s="39">
        <v>57.16</v>
      </c>
      <c r="DE37" s="39">
        <v>57.27</v>
      </c>
      <c r="DF37" s="39">
        <v>57.38</v>
      </c>
      <c r="DG37" s="39">
        <v>57.48</v>
      </c>
      <c r="DH37" s="39">
        <v>57.59</v>
      </c>
      <c r="DI37" s="39">
        <v>57.69</v>
      </c>
      <c r="DJ37" s="39">
        <v>57.79</v>
      </c>
      <c r="DK37" s="39">
        <v>57.89</v>
      </c>
      <c r="DL37" s="39">
        <v>58</v>
      </c>
      <c r="DM37" s="39">
        <v>58.09</v>
      </c>
      <c r="DN37" s="39">
        <v>58.19</v>
      </c>
      <c r="DO37" s="39">
        <v>58.29</v>
      </c>
      <c r="DP37" s="39">
        <v>58.39</v>
      </c>
      <c r="DQ37" s="39">
        <v>58.49</v>
      </c>
      <c r="DR37" s="39">
        <v>58.58</v>
      </c>
    </row>
    <row r="38" spans="1:122">
      <c r="A38" s="44">
        <v>36</v>
      </c>
      <c r="B38" s="45"/>
      <c r="C38" s="45"/>
      <c r="D38" s="45"/>
      <c r="E38" s="45"/>
      <c r="F38" s="45"/>
      <c r="G38" s="45"/>
      <c r="H38" s="45"/>
      <c r="I38" s="45"/>
      <c r="J38" s="45"/>
      <c r="K38" s="45"/>
      <c r="L38" s="45"/>
      <c r="M38" s="45"/>
      <c r="N38" s="45"/>
      <c r="O38" s="45"/>
      <c r="P38" s="45"/>
      <c r="Q38" s="45"/>
      <c r="R38" s="45"/>
      <c r="S38" s="45"/>
      <c r="T38" s="45"/>
      <c r="U38" s="45"/>
      <c r="V38" s="39"/>
      <c r="W38" s="39">
        <v>44</v>
      </c>
      <c r="X38" s="39">
        <v>44.2</v>
      </c>
      <c r="Y38" s="39">
        <v>44.4</v>
      </c>
      <c r="Z38" s="39">
        <v>44.64</v>
      </c>
      <c r="AA38" s="39">
        <v>44.79</v>
      </c>
      <c r="AB38" s="39">
        <v>45</v>
      </c>
      <c r="AC38" s="39">
        <v>45.22</v>
      </c>
      <c r="AD38" s="39">
        <v>45.33</v>
      </c>
      <c r="AE38" s="39">
        <v>45.57</v>
      </c>
      <c r="AF38" s="39">
        <v>45.76</v>
      </c>
      <c r="AG38" s="39">
        <v>45.94</v>
      </c>
      <c r="AH38" s="39">
        <v>46.13</v>
      </c>
      <c r="AI38" s="39">
        <v>46.31</v>
      </c>
      <c r="AJ38" s="39">
        <v>46.59</v>
      </c>
      <c r="AK38" s="39">
        <v>46.85</v>
      </c>
      <c r="AL38" s="39">
        <v>47.13</v>
      </c>
      <c r="AM38" s="39">
        <v>47.39</v>
      </c>
      <c r="AN38" s="39">
        <v>47.6</v>
      </c>
      <c r="AO38" s="39">
        <v>47.77</v>
      </c>
      <c r="AP38" s="39">
        <v>47.91</v>
      </c>
      <c r="AQ38" s="39">
        <v>47.97</v>
      </c>
      <c r="AR38" s="39">
        <v>48.04</v>
      </c>
      <c r="AS38" s="39">
        <v>48.09</v>
      </c>
      <c r="AT38" s="39">
        <v>48.09</v>
      </c>
      <c r="AU38" s="39">
        <v>48.16</v>
      </c>
      <c r="AV38" s="39">
        <v>48.23</v>
      </c>
      <c r="AW38" s="39">
        <v>48.46</v>
      </c>
      <c r="AX38" s="39">
        <v>48.52</v>
      </c>
      <c r="AY38" s="39">
        <v>48.69</v>
      </c>
      <c r="AZ38" s="39">
        <v>48.8</v>
      </c>
      <c r="BA38" s="39">
        <v>48.94</v>
      </c>
      <c r="BB38" s="39">
        <v>49.06</v>
      </c>
      <c r="BC38" s="39">
        <v>49.18</v>
      </c>
      <c r="BD38" s="39">
        <v>49.29</v>
      </c>
      <c r="BE38" s="39">
        <v>49.43</v>
      </c>
      <c r="BF38" s="39">
        <v>49.57</v>
      </c>
      <c r="BG38" s="39">
        <v>49.74</v>
      </c>
      <c r="BH38" s="39">
        <v>49.91</v>
      </c>
      <c r="BI38" s="39">
        <v>50.05</v>
      </c>
      <c r="BJ38" s="39">
        <v>50.21</v>
      </c>
      <c r="BK38" s="39">
        <v>50.36</v>
      </c>
      <c r="BL38" s="39">
        <v>50.53</v>
      </c>
      <c r="BM38" s="39">
        <v>50.72</v>
      </c>
      <c r="BN38" s="39">
        <v>50.87</v>
      </c>
      <c r="BO38" s="39">
        <v>51.01</v>
      </c>
      <c r="BP38" s="39">
        <v>51.18</v>
      </c>
      <c r="BQ38" s="39">
        <v>51.32</v>
      </c>
      <c r="BR38" s="39">
        <v>51.45</v>
      </c>
      <c r="BS38" s="39">
        <v>51.61</v>
      </c>
      <c r="BT38" s="39">
        <v>51.75</v>
      </c>
      <c r="BU38" s="39">
        <v>51.88</v>
      </c>
      <c r="BV38" s="39">
        <v>52.01</v>
      </c>
      <c r="BW38" s="39">
        <v>52.16</v>
      </c>
      <c r="BX38" s="39">
        <v>52.29</v>
      </c>
      <c r="BY38" s="39">
        <v>52.42</v>
      </c>
      <c r="BZ38" s="39">
        <v>52.56</v>
      </c>
      <c r="CA38" s="39">
        <v>52.69</v>
      </c>
      <c r="CB38" s="39">
        <v>52.82</v>
      </c>
      <c r="CC38" s="39">
        <v>52.95</v>
      </c>
      <c r="CD38" s="39">
        <v>53.08</v>
      </c>
      <c r="CE38" s="39">
        <v>53.21</v>
      </c>
      <c r="CF38" s="39">
        <v>53.34</v>
      </c>
      <c r="CG38" s="39">
        <v>53.47</v>
      </c>
      <c r="CH38" s="39">
        <v>53.6</v>
      </c>
      <c r="CI38" s="39">
        <v>53.72</v>
      </c>
      <c r="CJ38" s="39">
        <v>53.85</v>
      </c>
      <c r="CK38" s="39">
        <v>53.98</v>
      </c>
      <c r="CL38" s="39">
        <v>54.1</v>
      </c>
      <c r="CM38" s="39">
        <v>54.22</v>
      </c>
      <c r="CN38" s="39">
        <v>54.35</v>
      </c>
      <c r="CO38" s="39">
        <v>54.47</v>
      </c>
      <c r="CP38" s="39">
        <v>54.59</v>
      </c>
      <c r="CQ38" s="39">
        <v>54.71</v>
      </c>
      <c r="CR38" s="39">
        <v>54.83</v>
      </c>
      <c r="CS38" s="39">
        <v>54.95</v>
      </c>
      <c r="CT38" s="39">
        <v>55.06</v>
      </c>
      <c r="CU38" s="39">
        <v>55.18</v>
      </c>
      <c r="CV38" s="39">
        <v>55.29</v>
      </c>
      <c r="CW38" s="39">
        <v>55.41</v>
      </c>
      <c r="CX38" s="39">
        <v>55.52</v>
      </c>
      <c r="CY38" s="39">
        <v>55.63</v>
      </c>
      <c r="CZ38" s="39">
        <v>55.74</v>
      </c>
      <c r="DA38" s="39">
        <v>55.85</v>
      </c>
      <c r="DB38" s="39">
        <v>55.96</v>
      </c>
      <c r="DC38" s="39">
        <v>56.07</v>
      </c>
      <c r="DD38" s="39">
        <v>56.18</v>
      </c>
      <c r="DE38" s="39">
        <v>56.29</v>
      </c>
      <c r="DF38" s="39">
        <v>56.39</v>
      </c>
      <c r="DG38" s="39">
        <v>56.5</v>
      </c>
      <c r="DH38" s="39">
        <v>56.6</v>
      </c>
      <c r="DI38" s="39">
        <v>56.7</v>
      </c>
      <c r="DJ38" s="39">
        <v>56.81</v>
      </c>
      <c r="DK38" s="39">
        <v>56.91</v>
      </c>
      <c r="DL38" s="39">
        <v>57.01</v>
      </c>
      <c r="DM38" s="39">
        <v>57.11</v>
      </c>
      <c r="DN38" s="39">
        <v>57.21</v>
      </c>
      <c r="DO38" s="39">
        <v>57.3</v>
      </c>
      <c r="DP38" s="39">
        <v>57.4</v>
      </c>
      <c r="DQ38" s="39">
        <v>57.5</v>
      </c>
      <c r="DR38" s="39">
        <v>57.59</v>
      </c>
    </row>
    <row r="39" spans="1:122">
      <c r="A39" s="44">
        <v>37</v>
      </c>
      <c r="B39" s="45"/>
      <c r="C39" s="45"/>
      <c r="D39" s="45"/>
      <c r="E39" s="45"/>
      <c r="F39" s="45"/>
      <c r="G39" s="45"/>
      <c r="H39" s="45"/>
      <c r="I39" s="45"/>
      <c r="J39" s="45"/>
      <c r="K39" s="45"/>
      <c r="L39" s="45"/>
      <c r="M39" s="45"/>
      <c r="N39" s="45"/>
      <c r="O39" s="45"/>
      <c r="P39" s="45"/>
      <c r="Q39" s="45"/>
      <c r="R39" s="45"/>
      <c r="S39" s="45"/>
      <c r="T39" s="45"/>
      <c r="U39" s="45"/>
      <c r="V39" s="39"/>
      <c r="W39" s="39">
        <v>43.07</v>
      </c>
      <c r="X39" s="39">
        <v>43.27</v>
      </c>
      <c r="Y39" s="39">
        <v>43.47</v>
      </c>
      <c r="Z39" s="39">
        <v>43.71</v>
      </c>
      <c r="AA39" s="39">
        <v>43.85</v>
      </c>
      <c r="AB39" s="39">
        <v>44.06</v>
      </c>
      <c r="AC39" s="39">
        <v>44.28</v>
      </c>
      <c r="AD39" s="39">
        <v>44.4</v>
      </c>
      <c r="AE39" s="39">
        <v>44.62</v>
      </c>
      <c r="AF39" s="39">
        <v>44.82</v>
      </c>
      <c r="AG39" s="39">
        <v>45</v>
      </c>
      <c r="AH39" s="39">
        <v>45.18</v>
      </c>
      <c r="AI39" s="39">
        <v>45.38</v>
      </c>
      <c r="AJ39" s="39">
        <v>45.65</v>
      </c>
      <c r="AK39" s="39">
        <v>45.9</v>
      </c>
      <c r="AL39" s="39">
        <v>46.19</v>
      </c>
      <c r="AM39" s="39">
        <v>46.45</v>
      </c>
      <c r="AN39" s="39">
        <v>46.66</v>
      </c>
      <c r="AO39" s="39">
        <v>46.83</v>
      </c>
      <c r="AP39" s="39">
        <v>46.96</v>
      </c>
      <c r="AQ39" s="39">
        <v>47.02</v>
      </c>
      <c r="AR39" s="39">
        <v>47.09</v>
      </c>
      <c r="AS39" s="39">
        <v>47.14</v>
      </c>
      <c r="AT39" s="39">
        <v>47.14</v>
      </c>
      <c r="AU39" s="39">
        <v>47.21</v>
      </c>
      <c r="AV39" s="39">
        <v>47.28</v>
      </c>
      <c r="AW39" s="39">
        <v>47.51</v>
      </c>
      <c r="AX39" s="39">
        <v>47.57</v>
      </c>
      <c r="AY39" s="39">
        <v>47.73</v>
      </c>
      <c r="AZ39" s="39">
        <v>47.84</v>
      </c>
      <c r="BA39" s="39">
        <v>47.98</v>
      </c>
      <c r="BB39" s="39">
        <v>48.11</v>
      </c>
      <c r="BC39" s="39">
        <v>48.22</v>
      </c>
      <c r="BD39" s="39">
        <v>48.34</v>
      </c>
      <c r="BE39" s="39">
        <v>48.48</v>
      </c>
      <c r="BF39" s="39">
        <v>48.61</v>
      </c>
      <c r="BG39" s="39">
        <v>48.78</v>
      </c>
      <c r="BH39" s="39">
        <v>48.95</v>
      </c>
      <c r="BI39" s="39">
        <v>49.09</v>
      </c>
      <c r="BJ39" s="39">
        <v>49.24</v>
      </c>
      <c r="BK39" s="39">
        <v>49.4</v>
      </c>
      <c r="BL39" s="39">
        <v>49.57</v>
      </c>
      <c r="BM39" s="39">
        <v>49.75</v>
      </c>
      <c r="BN39" s="39">
        <v>49.91</v>
      </c>
      <c r="BO39" s="39">
        <v>50.04</v>
      </c>
      <c r="BP39" s="39">
        <v>50.21</v>
      </c>
      <c r="BQ39" s="39">
        <v>50.35</v>
      </c>
      <c r="BR39" s="39">
        <v>50.48</v>
      </c>
      <c r="BS39" s="39">
        <v>50.64</v>
      </c>
      <c r="BT39" s="39">
        <v>50.77</v>
      </c>
      <c r="BU39" s="39">
        <v>50.91</v>
      </c>
      <c r="BV39" s="39">
        <v>51.04</v>
      </c>
      <c r="BW39" s="39">
        <v>51.19</v>
      </c>
      <c r="BX39" s="39">
        <v>51.31</v>
      </c>
      <c r="BY39" s="39">
        <v>51.44</v>
      </c>
      <c r="BZ39" s="39">
        <v>51.58</v>
      </c>
      <c r="CA39" s="39">
        <v>51.71</v>
      </c>
      <c r="CB39" s="39">
        <v>51.84</v>
      </c>
      <c r="CC39" s="39">
        <v>51.97</v>
      </c>
      <c r="CD39" s="39">
        <v>52.11</v>
      </c>
      <c r="CE39" s="39">
        <v>52.23</v>
      </c>
      <c r="CF39" s="39">
        <v>52.36</v>
      </c>
      <c r="CG39" s="39">
        <v>52.49</v>
      </c>
      <c r="CH39" s="39">
        <v>52.62</v>
      </c>
      <c r="CI39" s="39">
        <v>52.75</v>
      </c>
      <c r="CJ39" s="39">
        <v>52.87</v>
      </c>
      <c r="CK39" s="39">
        <v>53</v>
      </c>
      <c r="CL39" s="39">
        <v>53.12</v>
      </c>
      <c r="CM39" s="39">
        <v>53.25</v>
      </c>
      <c r="CN39" s="39">
        <v>53.37</v>
      </c>
      <c r="CO39" s="39">
        <v>53.49</v>
      </c>
      <c r="CP39" s="39">
        <v>53.61</v>
      </c>
      <c r="CQ39" s="39">
        <v>53.73</v>
      </c>
      <c r="CR39" s="39">
        <v>53.85</v>
      </c>
      <c r="CS39" s="39">
        <v>53.96</v>
      </c>
      <c r="CT39" s="39">
        <v>54.08</v>
      </c>
      <c r="CU39" s="39">
        <v>54.2</v>
      </c>
      <c r="CV39" s="39">
        <v>54.31</v>
      </c>
      <c r="CW39" s="39">
        <v>54.42</v>
      </c>
      <c r="CX39" s="39">
        <v>54.54</v>
      </c>
      <c r="CY39" s="39">
        <v>54.65</v>
      </c>
      <c r="CZ39" s="39">
        <v>54.76</v>
      </c>
      <c r="DA39" s="39">
        <v>54.87</v>
      </c>
      <c r="DB39" s="39">
        <v>54.98</v>
      </c>
      <c r="DC39" s="39">
        <v>55.09</v>
      </c>
      <c r="DD39" s="39">
        <v>55.19</v>
      </c>
      <c r="DE39" s="39">
        <v>55.3</v>
      </c>
      <c r="DF39" s="39">
        <v>55.41</v>
      </c>
      <c r="DG39" s="39">
        <v>55.51</v>
      </c>
      <c r="DH39" s="39">
        <v>55.61</v>
      </c>
      <c r="DI39" s="39">
        <v>55.72</v>
      </c>
      <c r="DJ39" s="39">
        <v>55.82</v>
      </c>
      <c r="DK39" s="39">
        <v>55.92</v>
      </c>
      <c r="DL39" s="39">
        <v>56.02</v>
      </c>
      <c r="DM39" s="39">
        <v>56.12</v>
      </c>
      <c r="DN39" s="39">
        <v>56.22</v>
      </c>
      <c r="DO39" s="39">
        <v>56.31</v>
      </c>
      <c r="DP39" s="39">
        <v>56.41</v>
      </c>
      <c r="DQ39" s="39">
        <v>56.51</v>
      </c>
      <c r="DR39" s="39">
        <v>56.6</v>
      </c>
    </row>
    <row r="40" spans="1:122">
      <c r="A40" s="44">
        <v>38</v>
      </c>
      <c r="B40" s="45"/>
      <c r="C40" s="45"/>
      <c r="D40" s="45"/>
      <c r="E40" s="45"/>
      <c r="F40" s="45"/>
      <c r="G40" s="45"/>
      <c r="H40" s="45"/>
      <c r="I40" s="45"/>
      <c r="J40" s="45"/>
      <c r="K40" s="45"/>
      <c r="L40" s="45"/>
      <c r="M40" s="45"/>
      <c r="N40" s="45"/>
      <c r="O40" s="45"/>
      <c r="P40" s="45"/>
      <c r="Q40" s="45"/>
      <c r="R40" s="45"/>
      <c r="S40" s="45"/>
      <c r="T40" s="45"/>
      <c r="U40" s="45"/>
      <c r="V40" s="39"/>
      <c r="W40" s="39">
        <v>42.15</v>
      </c>
      <c r="X40" s="39">
        <v>42.34</v>
      </c>
      <c r="Y40" s="39">
        <v>42.55</v>
      </c>
      <c r="Z40" s="39">
        <v>42.78</v>
      </c>
      <c r="AA40" s="39">
        <v>42.92</v>
      </c>
      <c r="AB40" s="39">
        <v>43.12</v>
      </c>
      <c r="AC40" s="39">
        <v>43.35</v>
      </c>
      <c r="AD40" s="39">
        <v>43.47</v>
      </c>
      <c r="AE40" s="39">
        <v>43.69</v>
      </c>
      <c r="AF40" s="39">
        <v>43.88</v>
      </c>
      <c r="AG40" s="39">
        <v>44.07</v>
      </c>
      <c r="AH40" s="39">
        <v>44.25</v>
      </c>
      <c r="AI40" s="39">
        <v>44.44</v>
      </c>
      <c r="AJ40" s="39">
        <v>44.71</v>
      </c>
      <c r="AK40" s="39">
        <v>44.97</v>
      </c>
      <c r="AL40" s="39">
        <v>45.25</v>
      </c>
      <c r="AM40" s="39">
        <v>45.5</v>
      </c>
      <c r="AN40" s="39">
        <v>45.71</v>
      </c>
      <c r="AO40" s="39">
        <v>45.88</v>
      </c>
      <c r="AP40" s="39">
        <v>46.01</v>
      </c>
      <c r="AQ40" s="39">
        <v>46.07</v>
      </c>
      <c r="AR40" s="39">
        <v>46.15</v>
      </c>
      <c r="AS40" s="39">
        <v>46.2</v>
      </c>
      <c r="AT40" s="39">
        <v>46.19</v>
      </c>
      <c r="AU40" s="39">
        <v>46.26</v>
      </c>
      <c r="AV40" s="39">
        <v>46.33</v>
      </c>
      <c r="AW40" s="39">
        <v>46.56</v>
      </c>
      <c r="AX40" s="39">
        <v>46.61</v>
      </c>
      <c r="AY40" s="39">
        <v>46.78</v>
      </c>
      <c r="AZ40" s="39">
        <v>46.89</v>
      </c>
      <c r="BA40" s="39">
        <v>47.03</v>
      </c>
      <c r="BB40" s="39">
        <v>47.15</v>
      </c>
      <c r="BC40" s="39">
        <v>47.27</v>
      </c>
      <c r="BD40" s="39">
        <v>47.39</v>
      </c>
      <c r="BE40" s="39">
        <v>47.52</v>
      </c>
      <c r="BF40" s="39">
        <v>47.66</v>
      </c>
      <c r="BG40" s="39">
        <v>47.82</v>
      </c>
      <c r="BH40" s="39">
        <v>47.99</v>
      </c>
      <c r="BI40" s="39">
        <v>48.13</v>
      </c>
      <c r="BJ40" s="39">
        <v>48.28</v>
      </c>
      <c r="BK40" s="39">
        <v>48.44</v>
      </c>
      <c r="BL40" s="39">
        <v>48.6</v>
      </c>
      <c r="BM40" s="39">
        <v>48.78</v>
      </c>
      <c r="BN40" s="39">
        <v>48.94</v>
      </c>
      <c r="BO40" s="39">
        <v>49.07</v>
      </c>
      <c r="BP40" s="39">
        <v>49.24</v>
      </c>
      <c r="BQ40" s="39">
        <v>49.38</v>
      </c>
      <c r="BR40" s="39">
        <v>49.51</v>
      </c>
      <c r="BS40" s="39">
        <v>49.67</v>
      </c>
      <c r="BT40" s="39">
        <v>49.8</v>
      </c>
      <c r="BU40" s="39">
        <v>49.93</v>
      </c>
      <c r="BV40" s="39">
        <v>50.06</v>
      </c>
      <c r="BW40" s="39">
        <v>50.21</v>
      </c>
      <c r="BX40" s="39">
        <v>50.34</v>
      </c>
      <c r="BY40" s="39">
        <v>50.47</v>
      </c>
      <c r="BZ40" s="39">
        <v>50.6</v>
      </c>
      <c r="CA40" s="39">
        <v>50.74</v>
      </c>
      <c r="CB40" s="39">
        <v>50.87</v>
      </c>
      <c r="CC40" s="39">
        <v>51</v>
      </c>
      <c r="CD40" s="39">
        <v>51.13</v>
      </c>
      <c r="CE40" s="39">
        <v>51.26</v>
      </c>
      <c r="CF40" s="39">
        <v>51.39</v>
      </c>
      <c r="CG40" s="39">
        <v>51.52</v>
      </c>
      <c r="CH40" s="39">
        <v>51.65</v>
      </c>
      <c r="CI40" s="39">
        <v>51.77</v>
      </c>
      <c r="CJ40" s="39">
        <v>51.9</v>
      </c>
      <c r="CK40" s="39">
        <v>52.02</v>
      </c>
      <c r="CL40" s="39">
        <v>52.15</v>
      </c>
      <c r="CM40" s="39">
        <v>52.27</v>
      </c>
      <c r="CN40" s="39">
        <v>52.39</v>
      </c>
      <c r="CO40" s="39">
        <v>52.51</v>
      </c>
      <c r="CP40" s="39">
        <v>52.63</v>
      </c>
      <c r="CQ40" s="39">
        <v>52.75</v>
      </c>
      <c r="CR40" s="39">
        <v>52.87</v>
      </c>
      <c r="CS40" s="39">
        <v>52.98</v>
      </c>
      <c r="CT40" s="39">
        <v>53.1</v>
      </c>
      <c r="CU40" s="39">
        <v>53.22</v>
      </c>
      <c r="CV40" s="39">
        <v>53.33</v>
      </c>
      <c r="CW40" s="39">
        <v>53.44</v>
      </c>
      <c r="CX40" s="39">
        <v>53.56</v>
      </c>
      <c r="CY40" s="39">
        <v>53.67</v>
      </c>
      <c r="CZ40" s="39">
        <v>53.78</v>
      </c>
      <c r="DA40" s="39">
        <v>53.89</v>
      </c>
      <c r="DB40" s="39">
        <v>54</v>
      </c>
      <c r="DC40" s="39">
        <v>54.1</v>
      </c>
      <c r="DD40" s="39">
        <v>54.21</v>
      </c>
      <c r="DE40" s="39">
        <v>54.32</v>
      </c>
      <c r="DF40" s="39">
        <v>54.42</v>
      </c>
      <c r="DG40" s="39">
        <v>54.53</v>
      </c>
      <c r="DH40" s="39">
        <v>54.63</v>
      </c>
      <c r="DI40" s="39">
        <v>54.73</v>
      </c>
      <c r="DJ40" s="39">
        <v>54.83</v>
      </c>
      <c r="DK40" s="39">
        <v>54.93</v>
      </c>
      <c r="DL40" s="39">
        <v>55.03</v>
      </c>
      <c r="DM40" s="39">
        <v>55.13</v>
      </c>
      <c r="DN40" s="39">
        <v>55.23</v>
      </c>
      <c r="DO40" s="39">
        <v>55.33</v>
      </c>
      <c r="DP40" s="39">
        <v>55.42</v>
      </c>
      <c r="DQ40" s="39">
        <v>55.52</v>
      </c>
      <c r="DR40" s="39">
        <v>55.61</v>
      </c>
    </row>
    <row r="41" spans="1:122">
      <c r="A41" s="44">
        <v>39</v>
      </c>
      <c r="B41" s="45"/>
      <c r="C41" s="45"/>
      <c r="D41" s="45"/>
      <c r="E41" s="45"/>
      <c r="F41" s="45"/>
      <c r="G41" s="45"/>
      <c r="H41" s="45"/>
      <c r="I41" s="45"/>
      <c r="J41" s="45"/>
      <c r="K41" s="45"/>
      <c r="L41" s="45"/>
      <c r="M41" s="45"/>
      <c r="N41" s="45"/>
      <c r="O41" s="45"/>
      <c r="P41" s="45"/>
      <c r="Q41" s="45"/>
      <c r="R41" s="45"/>
      <c r="S41" s="45"/>
      <c r="T41" s="45"/>
      <c r="U41" s="45"/>
      <c r="V41" s="39"/>
      <c r="W41" s="39">
        <v>41.22</v>
      </c>
      <c r="X41" s="39">
        <v>41.42</v>
      </c>
      <c r="Y41" s="39">
        <v>41.61</v>
      </c>
      <c r="Z41" s="39">
        <v>41.85</v>
      </c>
      <c r="AA41" s="39">
        <v>41.99</v>
      </c>
      <c r="AB41" s="39">
        <v>42.19</v>
      </c>
      <c r="AC41" s="39">
        <v>42.42</v>
      </c>
      <c r="AD41" s="39">
        <v>42.54</v>
      </c>
      <c r="AE41" s="39">
        <v>42.76</v>
      </c>
      <c r="AF41" s="39">
        <v>42.95</v>
      </c>
      <c r="AG41" s="39">
        <v>43.14</v>
      </c>
      <c r="AH41" s="39">
        <v>43.32</v>
      </c>
      <c r="AI41" s="39">
        <v>43.51</v>
      </c>
      <c r="AJ41" s="39">
        <v>43.78</v>
      </c>
      <c r="AK41" s="39">
        <v>44.03</v>
      </c>
      <c r="AL41" s="39">
        <v>44.31</v>
      </c>
      <c r="AM41" s="39">
        <v>44.57</v>
      </c>
      <c r="AN41" s="39">
        <v>44.77</v>
      </c>
      <c r="AO41" s="39">
        <v>44.94</v>
      </c>
      <c r="AP41" s="39">
        <v>45.06</v>
      </c>
      <c r="AQ41" s="39">
        <v>45.13</v>
      </c>
      <c r="AR41" s="39">
        <v>45.2</v>
      </c>
      <c r="AS41" s="39">
        <v>45.25</v>
      </c>
      <c r="AT41" s="39">
        <v>45.25</v>
      </c>
      <c r="AU41" s="39">
        <v>45.31</v>
      </c>
      <c r="AV41" s="39">
        <v>45.38</v>
      </c>
      <c r="AW41" s="39">
        <v>45.61</v>
      </c>
      <c r="AX41" s="39">
        <v>45.66</v>
      </c>
      <c r="AY41" s="39">
        <v>45.83</v>
      </c>
      <c r="AZ41" s="39">
        <v>45.94</v>
      </c>
      <c r="BA41" s="39">
        <v>46.08</v>
      </c>
      <c r="BB41" s="39">
        <v>46.2</v>
      </c>
      <c r="BC41" s="39">
        <v>46.32</v>
      </c>
      <c r="BD41" s="39">
        <v>46.44</v>
      </c>
      <c r="BE41" s="39">
        <v>46.57</v>
      </c>
      <c r="BF41" s="39">
        <v>46.7</v>
      </c>
      <c r="BG41" s="39">
        <v>46.87</v>
      </c>
      <c r="BH41" s="39">
        <v>47.04</v>
      </c>
      <c r="BI41" s="39">
        <v>47.17</v>
      </c>
      <c r="BJ41" s="39">
        <v>47.32</v>
      </c>
      <c r="BK41" s="39">
        <v>47.48</v>
      </c>
      <c r="BL41" s="39">
        <v>47.64</v>
      </c>
      <c r="BM41" s="39">
        <v>47.82</v>
      </c>
      <c r="BN41" s="39">
        <v>47.98</v>
      </c>
      <c r="BO41" s="39">
        <v>48.11</v>
      </c>
      <c r="BP41" s="39">
        <v>48.27</v>
      </c>
      <c r="BQ41" s="39">
        <v>48.41</v>
      </c>
      <c r="BR41" s="39">
        <v>48.54</v>
      </c>
      <c r="BS41" s="39">
        <v>48.7</v>
      </c>
      <c r="BT41" s="39">
        <v>48.83</v>
      </c>
      <c r="BU41" s="39">
        <v>48.96</v>
      </c>
      <c r="BV41" s="39">
        <v>49.09</v>
      </c>
      <c r="BW41" s="39">
        <v>49.24</v>
      </c>
      <c r="BX41" s="39">
        <v>49.37</v>
      </c>
      <c r="BY41" s="39">
        <v>49.5</v>
      </c>
      <c r="BZ41" s="39">
        <v>49.63</v>
      </c>
      <c r="CA41" s="39">
        <v>49.77</v>
      </c>
      <c r="CB41" s="39">
        <v>49.9</v>
      </c>
      <c r="CC41" s="39">
        <v>50.03</v>
      </c>
      <c r="CD41" s="39">
        <v>50.16</v>
      </c>
      <c r="CE41" s="39">
        <v>50.29</v>
      </c>
      <c r="CF41" s="39">
        <v>50.42</v>
      </c>
      <c r="CG41" s="39">
        <v>50.55</v>
      </c>
      <c r="CH41" s="39">
        <v>50.67</v>
      </c>
      <c r="CI41" s="39">
        <v>50.8</v>
      </c>
      <c r="CJ41" s="39">
        <v>50.92</v>
      </c>
      <c r="CK41" s="39">
        <v>51.05</v>
      </c>
      <c r="CL41" s="39">
        <v>51.17</v>
      </c>
      <c r="CM41" s="39">
        <v>51.29</v>
      </c>
      <c r="CN41" s="39">
        <v>51.41</v>
      </c>
      <c r="CO41" s="39">
        <v>51.53</v>
      </c>
      <c r="CP41" s="39">
        <v>51.65</v>
      </c>
      <c r="CQ41" s="39">
        <v>51.77</v>
      </c>
      <c r="CR41" s="39">
        <v>51.89</v>
      </c>
      <c r="CS41" s="39">
        <v>52.01</v>
      </c>
      <c r="CT41" s="39">
        <v>52.12</v>
      </c>
      <c r="CU41" s="39">
        <v>52.24</v>
      </c>
      <c r="CV41" s="39">
        <v>52.35</v>
      </c>
      <c r="CW41" s="39">
        <v>52.46</v>
      </c>
      <c r="CX41" s="39">
        <v>52.57</v>
      </c>
      <c r="CY41" s="39">
        <v>52.68</v>
      </c>
      <c r="CZ41" s="39">
        <v>52.79</v>
      </c>
      <c r="DA41" s="39">
        <v>52.9</v>
      </c>
      <c r="DB41" s="39">
        <v>53.01</v>
      </c>
      <c r="DC41" s="39">
        <v>53.12</v>
      </c>
      <c r="DD41" s="39">
        <v>53.23</v>
      </c>
      <c r="DE41" s="39">
        <v>53.33</v>
      </c>
      <c r="DF41" s="39">
        <v>53.44</v>
      </c>
      <c r="DG41" s="39">
        <v>53.54</v>
      </c>
      <c r="DH41" s="39">
        <v>53.64</v>
      </c>
      <c r="DI41" s="39">
        <v>53.75</v>
      </c>
      <c r="DJ41" s="39">
        <v>53.85</v>
      </c>
      <c r="DK41" s="39">
        <v>53.95</v>
      </c>
      <c r="DL41" s="39">
        <v>54.05</v>
      </c>
      <c r="DM41" s="39">
        <v>54.15</v>
      </c>
      <c r="DN41" s="39">
        <v>54.24</v>
      </c>
      <c r="DO41" s="39">
        <v>54.34</v>
      </c>
      <c r="DP41" s="39">
        <v>54.44</v>
      </c>
      <c r="DQ41" s="39">
        <v>54.53</v>
      </c>
      <c r="DR41" s="39">
        <v>54.63</v>
      </c>
    </row>
    <row r="42" spans="1:122">
      <c r="A42" s="44">
        <v>40</v>
      </c>
      <c r="B42" s="45"/>
      <c r="C42" s="45"/>
      <c r="D42" s="45"/>
      <c r="E42" s="45"/>
      <c r="F42" s="45"/>
      <c r="G42" s="45"/>
      <c r="H42" s="45"/>
      <c r="I42" s="45"/>
      <c r="J42" s="45"/>
      <c r="K42" s="45"/>
      <c r="L42" s="45"/>
      <c r="M42" s="45"/>
      <c r="N42" s="45"/>
      <c r="O42" s="45"/>
      <c r="P42" s="45"/>
      <c r="Q42" s="45"/>
      <c r="R42" s="45"/>
      <c r="S42" s="45"/>
      <c r="T42" s="45"/>
      <c r="U42" s="45"/>
      <c r="V42" s="39"/>
      <c r="W42" s="39">
        <v>40.299999999999997</v>
      </c>
      <c r="X42" s="39">
        <v>40.5</v>
      </c>
      <c r="Y42" s="39">
        <v>40.69</v>
      </c>
      <c r="Z42" s="39">
        <v>40.92</v>
      </c>
      <c r="AA42" s="39">
        <v>41.07</v>
      </c>
      <c r="AB42" s="39">
        <v>41.26</v>
      </c>
      <c r="AC42" s="39">
        <v>41.49</v>
      </c>
      <c r="AD42" s="39">
        <v>41.61</v>
      </c>
      <c r="AE42" s="39">
        <v>41.83</v>
      </c>
      <c r="AF42" s="39">
        <v>42.02</v>
      </c>
      <c r="AG42" s="39">
        <v>42.21</v>
      </c>
      <c r="AH42" s="39">
        <v>42.39</v>
      </c>
      <c r="AI42" s="39">
        <v>42.58</v>
      </c>
      <c r="AJ42" s="39">
        <v>42.84</v>
      </c>
      <c r="AK42" s="39">
        <v>43.09</v>
      </c>
      <c r="AL42" s="39">
        <v>43.37</v>
      </c>
      <c r="AM42" s="39">
        <v>43.63</v>
      </c>
      <c r="AN42" s="39">
        <v>43.83</v>
      </c>
      <c r="AO42" s="39">
        <v>44</v>
      </c>
      <c r="AP42" s="39">
        <v>44.13</v>
      </c>
      <c r="AQ42" s="39">
        <v>44.19</v>
      </c>
      <c r="AR42" s="39">
        <v>44.26</v>
      </c>
      <c r="AS42" s="39">
        <v>44.31</v>
      </c>
      <c r="AT42" s="39">
        <v>44.3</v>
      </c>
      <c r="AU42" s="39">
        <v>44.37</v>
      </c>
      <c r="AV42" s="39">
        <v>44.44</v>
      </c>
      <c r="AW42" s="39">
        <v>44.66</v>
      </c>
      <c r="AX42" s="39">
        <v>44.71</v>
      </c>
      <c r="AY42" s="39">
        <v>44.88</v>
      </c>
      <c r="AZ42" s="39">
        <v>45</v>
      </c>
      <c r="BA42" s="39">
        <v>45.13</v>
      </c>
      <c r="BB42" s="39">
        <v>45.26</v>
      </c>
      <c r="BC42" s="39">
        <v>45.37</v>
      </c>
      <c r="BD42" s="39">
        <v>45.49</v>
      </c>
      <c r="BE42" s="39">
        <v>45.62</v>
      </c>
      <c r="BF42" s="39">
        <v>45.75</v>
      </c>
      <c r="BG42" s="39">
        <v>45.91</v>
      </c>
      <c r="BH42" s="39">
        <v>46.08</v>
      </c>
      <c r="BI42" s="39">
        <v>46.22</v>
      </c>
      <c r="BJ42" s="39">
        <v>46.37</v>
      </c>
      <c r="BK42" s="39">
        <v>46.52</v>
      </c>
      <c r="BL42" s="39">
        <v>46.68</v>
      </c>
      <c r="BM42" s="39">
        <v>46.86</v>
      </c>
      <c r="BN42" s="39">
        <v>47.01</v>
      </c>
      <c r="BO42" s="39">
        <v>47.14</v>
      </c>
      <c r="BP42" s="39">
        <v>47.3</v>
      </c>
      <c r="BQ42" s="39">
        <v>47.44</v>
      </c>
      <c r="BR42" s="39">
        <v>47.57</v>
      </c>
      <c r="BS42" s="39">
        <v>47.73</v>
      </c>
      <c r="BT42" s="39">
        <v>47.86</v>
      </c>
      <c r="BU42" s="39">
        <v>47.99</v>
      </c>
      <c r="BV42" s="39">
        <v>48.12</v>
      </c>
      <c r="BW42" s="39">
        <v>48.27</v>
      </c>
      <c r="BX42" s="39">
        <v>48.4</v>
      </c>
      <c r="BY42" s="39">
        <v>48.53</v>
      </c>
      <c r="BZ42" s="39">
        <v>48.66</v>
      </c>
      <c r="CA42" s="39">
        <v>48.8</v>
      </c>
      <c r="CB42" s="39">
        <v>48.93</v>
      </c>
      <c r="CC42" s="39">
        <v>49.06</v>
      </c>
      <c r="CD42" s="39">
        <v>49.19</v>
      </c>
      <c r="CE42" s="39">
        <v>49.32</v>
      </c>
      <c r="CF42" s="39">
        <v>49.45</v>
      </c>
      <c r="CG42" s="39">
        <v>49.57</v>
      </c>
      <c r="CH42" s="39">
        <v>49.7</v>
      </c>
      <c r="CI42" s="39">
        <v>49.82</v>
      </c>
      <c r="CJ42" s="39">
        <v>49.95</v>
      </c>
      <c r="CK42" s="39">
        <v>50.07</v>
      </c>
      <c r="CL42" s="39">
        <v>50.2</v>
      </c>
      <c r="CM42" s="39">
        <v>50.32</v>
      </c>
      <c r="CN42" s="39">
        <v>50.44</v>
      </c>
      <c r="CO42" s="39">
        <v>50.56</v>
      </c>
      <c r="CP42" s="39">
        <v>50.68</v>
      </c>
      <c r="CQ42" s="39">
        <v>50.79</v>
      </c>
      <c r="CR42" s="39">
        <v>50.91</v>
      </c>
      <c r="CS42" s="39">
        <v>51.03</v>
      </c>
      <c r="CT42" s="39">
        <v>51.14</v>
      </c>
      <c r="CU42" s="39">
        <v>51.26</v>
      </c>
      <c r="CV42" s="39">
        <v>51.37</v>
      </c>
      <c r="CW42" s="39">
        <v>51.48</v>
      </c>
      <c r="CX42" s="39">
        <v>51.59</v>
      </c>
      <c r="CY42" s="39">
        <v>51.7</v>
      </c>
      <c r="CZ42" s="39">
        <v>51.81</v>
      </c>
      <c r="DA42" s="39">
        <v>51.92</v>
      </c>
      <c r="DB42" s="39">
        <v>52.03</v>
      </c>
      <c r="DC42" s="39">
        <v>52.14</v>
      </c>
      <c r="DD42" s="39">
        <v>52.24</v>
      </c>
      <c r="DE42" s="39">
        <v>52.35</v>
      </c>
      <c r="DF42" s="39">
        <v>52.45</v>
      </c>
      <c r="DG42" s="39">
        <v>52.56</v>
      </c>
      <c r="DH42" s="39">
        <v>52.66</v>
      </c>
      <c r="DI42" s="39">
        <v>52.76</v>
      </c>
      <c r="DJ42" s="39">
        <v>52.86</v>
      </c>
      <c r="DK42" s="39">
        <v>52.96</v>
      </c>
      <c r="DL42" s="39">
        <v>53.06</v>
      </c>
      <c r="DM42" s="39">
        <v>53.16</v>
      </c>
      <c r="DN42" s="39">
        <v>53.26</v>
      </c>
      <c r="DO42" s="39">
        <v>53.35</v>
      </c>
      <c r="DP42" s="39">
        <v>53.45</v>
      </c>
      <c r="DQ42" s="39">
        <v>53.55</v>
      </c>
      <c r="DR42" s="39">
        <v>53.64</v>
      </c>
    </row>
    <row r="43" spans="1:122">
      <c r="A43" s="44">
        <v>41</v>
      </c>
      <c r="B43" s="45"/>
      <c r="C43" s="45"/>
      <c r="D43" s="45"/>
      <c r="E43" s="45"/>
      <c r="F43" s="45"/>
      <c r="G43" s="45"/>
      <c r="H43" s="45"/>
      <c r="I43" s="45"/>
      <c r="J43" s="45"/>
      <c r="K43" s="45"/>
      <c r="L43" s="45"/>
      <c r="M43" s="45"/>
      <c r="N43" s="45"/>
      <c r="O43" s="45"/>
      <c r="P43" s="45"/>
      <c r="Q43" s="45"/>
      <c r="R43" s="45"/>
      <c r="S43" s="45"/>
      <c r="T43" s="45"/>
      <c r="U43" s="45"/>
      <c r="V43" s="39"/>
      <c r="W43" s="39">
        <v>39.380000000000003</v>
      </c>
      <c r="X43" s="39">
        <v>39.58</v>
      </c>
      <c r="Y43" s="39">
        <v>39.770000000000003</v>
      </c>
      <c r="Z43" s="39">
        <v>40</v>
      </c>
      <c r="AA43" s="39">
        <v>40.14</v>
      </c>
      <c r="AB43" s="39">
        <v>40.340000000000003</v>
      </c>
      <c r="AC43" s="39">
        <v>40.56</v>
      </c>
      <c r="AD43" s="39">
        <v>40.68</v>
      </c>
      <c r="AE43" s="39">
        <v>40.909999999999997</v>
      </c>
      <c r="AF43" s="39">
        <v>41.1</v>
      </c>
      <c r="AG43" s="39">
        <v>41.28</v>
      </c>
      <c r="AH43" s="39">
        <v>41.46</v>
      </c>
      <c r="AI43" s="39">
        <v>41.65</v>
      </c>
      <c r="AJ43" s="39">
        <v>41.91</v>
      </c>
      <c r="AK43" s="39">
        <v>42.17</v>
      </c>
      <c r="AL43" s="39">
        <v>42.44</v>
      </c>
      <c r="AM43" s="39">
        <v>42.69</v>
      </c>
      <c r="AN43" s="39">
        <v>42.9</v>
      </c>
      <c r="AO43" s="39">
        <v>43.06</v>
      </c>
      <c r="AP43" s="39">
        <v>43.19</v>
      </c>
      <c r="AQ43" s="39">
        <v>43.25</v>
      </c>
      <c r="AR43" s="39">
        <v>43.32</v>
      </c>
      <c r="AS43" s="39">
        <v>43.37</v>
      </c>
      <c r="AT43" s="39">
        <v>43.36</v>
      </c>
      <c r="AU43" s="39">
        <v>43.43</v>
      </c>
      <c r="AV43" s="39">
        <v>43.49</v>
      </c>
      <c r="AW43" s="39">
        <v>43.72</v>
      </c>
      <c r="AX43" s="39">
        <v>43.77</v>
      </c>
      <c r="AY43" s="39">
        <v>43.93</v>
      </c>
      <c r="AZ43" s="39">
        <v>44.06</v>
      </c>
      <c r="BA43" s="39">
        <v>44.18</v>
      </c>
      <c r="BB43" s="39">
        <v>44.31</v>
      </c>
      <c r="BC43" s="39">
        <v>44.43</v>
      </c>
      <c r="BD43" s="39">
        <v>44.54</v>
      </c>
      <c r="BE43" s="39">
        <v>44.67</v>
      </c>
      <c r="BF43" s="39">
        <v>44.81</v>
      </c>
      <c r="BG43" s="39">
        <v>44.96</v>
      </c>
      <c r="BH43" s="39">
        <v>45.13</v>
      </c>
      <c r="BI43" s="39">
        <v>45.26</v>
      </c>
      <c r="BJ43" s="39">
        <v>45.41</v>
      </c>
      <c r="BK43" s="39">
        <v>45.56</v>
      </c>
      <c r="BL43" s="39">
        <v>45.72</v>
      </c>
      <c r="BM43" s="39">
        <v>45.9</v>
      </c>
      <c r="BN43" s="39">
        <v>46.05</v>
      </c>
      <c r="BO43" s="39">
        <v>46.18</v>
      </c>
      <c r="BP43" s="39">
        <v>46.34</v>
      </c>
      <c r="BQ43" s="39">
        <v>46.47</v>
      </c>
      <c r="BR43" s="39">
        <v>46.6</v>
      </c>
      <c r="BS43" s="39">
        <v>46.76</v>
      </c>
      <c r="BT43" s="39">
        <v>46.89</v>
      </c>
      <c r="BU43" s="39">
        <v>47.03</v>
      </c>
      <c r="BV43" s="39">
        <v>47.16</v>
      </c>
      <c r="BW43" s="39">
        <v>47.3</v>
      </c>
      <c r="BX43" s="39">
        <v>47.43</v>
      </c>
      <c r="BY43" s="39">
        <v>47.56</v>
      </c>
      <c r="BZ43" s="39">
        <v>47.69</v>
      </c>
      <c r="CA43" s="39">
        <v>47.83</v>
      </c>
      <c r="CB43" s="39">
        <v>47.96</v>
      </c>
      <c r="CC43" s="39">
        <v>48.09</v>
      </c>
      <c r="CD43" s="39">
        <v>48.22</v>
      </c>
      <c r="CE43" s="39">
        <v>48.35</v>
      </c>
      <c r="CF43" s="39">
        <v>48.48</v>
      </c>
      <c r="CG43" s="39">
        <v>48.6</v>
      </c>
      <c r="CH43" s="39">
        <v>48.73</v>
      </c>
      <c r="CI43" s="39">
        <v>48.85</v>
      </c>
      <c r="CJ43" s="39">
        <v>48.98</v>
      </c>
      <c r="CK43" s="39">
        <v>49.1</v>
      </c>
      <c r="CL43" s="39">
        <v>49.22</v>
      </c>
      <c r="CM43" s="39">
        <v>49.34</v>
      </c>
      <c r="CN43" s="39">
        <v>49.46</v>
      </c>
      <c r="CO43" s="39">
        <v>49.58</v>
      </c>
      <c r="CP43" s="39">
        <v>49.7</v>
      </c>
      <c r="CQ43" s="39">
        <v>49.82</v>
      </c>
      <c r="CR43" s="39">
        <v>49.93</v>
      </c>
      <c r="CS43" s="39">
        <v>50.05</v>
      </c>
      <c r="CT43" s="39">
        <v>50.16</v>
      </c>
      <c r="CU43" s="39">
        <v>50.28</v>
      </c>
      <c r="CV43" s="39">
        <v>50.39</v>
      </c>
      <c r="CW43" s="39">
        <v>50.5</v>
      </c>
      <c r="CX43" s="39">
        <v>50.61</v>
      </c>
      <c r="CY43" s="39">
        <v>50.72</v>
      </c>
      <c r="CZ43" s="39">
        <v>50.83</v>
      </c>
      <c r="DA43" s="39">
        <v>50.94</v>
      </c>
      <c r="DB43" s="39">
        <v>51.05</v>
      </c>
      <c r="DC43" s="39">
        <v>51.16</v>
      </c>
      <c r="DD43" s="39">
        <v>51.26</v>
      </c>
      <c r="DE43" s="39">
        <v>51.37</v>
      </c>
      <c r="DF43" s="39">
        <v>51.47</v>
      </c>
      <c r="DG43" s="39">
        <v>51.57</v>
      </c>
      <c r="DH43" s="39">
        <v>51.68</v>
      </c>
      <c r="DI43" s="39">
        <v>51.78</v>
      </c>
      <c r="DJ43" s="39">
        <v>51.88</v>
      </c>
      <c r="DK43" s="39">
        <v>51.98</v>
      </c>
      <c r="DL43" s="39">
        <v>52.08</v>
      </c>
      <c r="DM43" s="39">
        <v>52.18</v>
      </c>
      <c r="DN43" s="39">
        <v>52.27</v>
      </c>
      <c r="DO43" s="39">
        <v>52.37</v>
      </c>
      <c r="DP43" s="39">
        <v>52.46</v>
      </c>
      <c r="DQ43" s="39">
        <v>52.56</v>
      </c>
      <c r="DR43" s="39">
        <v>52.65</v>
      </c>
    </row>
    <row r="44" spans="1:122">
      <c r="A44" s="44">
        <v>42</v>
      </c>
      <c r="B44" s="45"/>
      <c r="C44" s="45"/>
      <c r="D44" s="45"/>
      <c r="E44" s="45"/>
      <c r="F44" s="45"/>
      <c r="G44" s="45"/>
      <c r="H44" s="45"/>
      <c r="I44" s="45"/>
      <c r="J44" s="45"/>
      <c r="K44" s="45"/>
      <c r="L44" s="45"/>
      <c r="M44" s="45"/>
      <c r="N44" s="45"/>
      <c r="O44" s="45"/>
      <c r="P44" s="45"/>
      <c r="Q44" s="45"/>
      <c r="R44" s="45"/>
      <c r="S44" s="45"/>
      <c r="T44" s="45"/>
      <c r="U44" s="45"/>
      <c r="V44" s="39"/>
      <c r="W44" s="39">
        <v>38.46</v>
      </c>
      <c r="X44" s="39">
        <v>38.659999999999997</v>
      </c>
      <c r="Y44" s="39">
        <v>38.85</v>
      </c>
      <c r="Z44" s="39">
        <v>39.08</v>
      </c>
      <c r="AA44" s="39">
        <v>39.22</v>
      </c>
      <c r="AB44" s="39">
        <v>39.42</v>
      </c>
      <c r="AC44" s="39">
        <v>39.64</v>
      </c>
      <c r="AD44" s="39">
        <v>39.76</v>
      </c>
      <c r="AE44" s="39">
        <v>39.99</v>
      </c>
      <c r="AF44" s="39">
        <v>40.17</v>
      </c>
      <c r="AG44" s="39">
        <v>40.35</v>
      </c>
      <c r="AH44" s="39">
        <v>40.53</v>
      </c>
      <c r="AI44" s="39">
        <v>40.729999999999997</v>
      </c>
      <c r="AJ44" s="39">
        <v>40.99</v>
      </c>
      <c r="AK44" s="39">
        <v>41.24</v>
      </c>
      <c r="AL44" s="39">
        <v>41.51</v>
      </c>
      <c r="AM44" s="39">
        <v>41.76</v>
      </c>
      <c r="AN44" s="39">
        <v>41.97</v>
      </c>
      <c r="AO44" s="39">
        <v>42.12</v>
      </c>
      <c r="AP44" s="39">
        <v>42.25</v>
      </c>
      <c r="AQ44" s="39">
        <v>42.31</v>
      </c>
      <c r="AR44" s="39">
        <v>42.38</v>
      </c>
      <c r="AS44" s="39">
        <v>42.44</v>
      </c>
      <c r="AT44" s="39">
        <v>42.42</v>
      </c>
      <c r="AU44" s="39">
        <v>42.49</v>
      </c>
      <c r="AV44" s="39">
        <v>42.55</v>
      </c>
      <c r="AW44" s="39">
        <v>42.78</v>
      </c>
      <c r="AX44" s="39">
        <v>42.83</v>
      </c>
      <c r="AY44" s="39">
        <v>42.99</v>
      </c>
      <c r="AZ44" s="39">
        <v>43.12</v>
      </c>
      <c r="BA44" s="39">
        <v>43.24</v>
      </c>
      <c r="BB44" s="39">
        <v>43.37</v>
      </c>
      <c r="BC44" s="39">
        <v>43.49</v>
      </c>
      <c r="BD44" s="39">
        <v>43.6</v>
      </c>
      <c r="BE44" s="39">
        <v>43.73</v>
      </c>
      <c r="BF44" s="39">
        <v>43.86</v>
      </c>
      <c r="BG44" s="39">
        <v>44.01</v>
      </c>
      <c r="BH44" s="39">
        <v>44.18</v>
      </c>
      <c r="BI44" s="39">
        <v>44.31</v>
      </c>
      <c r="BJ44" s="39">
        <v>44.46</v>
      </c>
      <c r="BK44" s="39">
        <v>44.61</v>
      </c>
      <c r="BL44" s="39">
        <v>44.77</v>
      </c>
      <c r="BM44" s="39">
        <v>44.94</v>
      </c>
      <c r="BN44" s="39">
        <v>45.09</v>
      </c>
      <c r="BO44" s="39">
        <v>45.22</v>
      </c>
      <c r="BP44" s="39">
        <v>45.38</v>
      </c>
      <c r="BQ44" s="39">
        <v>45.51</v>
      </c>
      <c r="BR44" s="39">
        <v>45.64</v>
      </c>
      <c r="BS44" s="39">
        <v>45.8</v>
      </c>
      <c r="BT44" s="39">
        <v>45.93</v>
      </c>
      <c r="BU44" s="39">
        <v>46.06</v>
      </c>
      <c r="BV44" s="39">
        <v>46.19</v>
      </c>
      <c r="BW44" s="39">
        <v>46.34</v>
      </c>
      <c r="BX44" s="39">
        <v>46.46</v>
      </c>
      <c r="BY44" s="39">
        <v>46.6</v>
      </c>
      <c r="BZ44" s="39">
        <v>46.73</v>
      </c>
      <c r="CA44" s="39">
        <v>46.86</v>
      </c>
      <c r="CB44" s="39">
        <v>46.99</v>
      </c>
      <c r="CC44" s="39">
        <v>47.12</v>
      </c>
      <c r="CD44" s="39">
        <v>47.25</v>
      </c>
      <c r="CE44" s="39">
        <v>47.38</v>
      </c>
      <c r="CF44" s="39">
        <v>47.51</v>
      </c>
      <c r="CG44" s="39">
        <v>47.63</v>
      </c>
      <c r="CH44" s="39">
        <v>47.76</v>
      </c>
      <c r="CI44" s="39">
        <v>47.88</v>
      </c>
      <c r="CJ44" s="39">
        <v>48</v>
      </c>
      <c r="CK44" s="39">
        <v>48.13</v>
      </c>
      <c r="CL44" s="39">
        <v>48.25</v>
      </c>
      <c r="CM44" s="39">
        <v>48.37</v>
      </c>
      <c r="CN44" s="39">
        <v>48.49</v>
      </c>
      <c r="CO44" s="39">
        <v>48.61</v>
      </c>
      <c r="CP44" s="39">
        <v>48.73</v>
      </c>
      <c r="CQ44" s="39">
        <v>48.84</v>
      </c>
      <c r="CR44" s="39">
        <v>48.96</v>
      </c>
      <c r="CS44" s="39">
        <v>49.07</v>
      </c>
      <c r="CT44" s="39">
        <v>49.19</v>
      </c>
      <c r="CU44" s="39">
        <v>49.3</v>
      </c>
      <c r="CV44" s="39">
        <v>49.41</v>
      </c>
      <c r="CW44" s="39">
        <v>49.53</v>
      </c>
      <c r="CX44" s="39">
        <v>49.64</v>
      </c>
      <c r="CY44" s="39">
        <v>49.75</v>
      </c>
      <c r="CZ44" s="39">
        <v>49.85</v>
      </c>
      <c r="DA44" s="39">
        <v>49.96</v>
      </c>
      <c r="DB44" s="39">
        <v>50.07</v>
      </c>
      <c r="DC44" s="39">
        <v>50.18</v>
      </c>
      <c r="DD44" s="39">
        <v>50.28</v>
      </c>
      <c r="DE44" s="39">
        <v>50.39</v>
      </c>
      <c r="DF44" s="39">
        <v>50.49</v>
      </c>
      <c r="DG44" s="39">
        <v>50.59</v>
      </c>
      <c r="DH44" s="39">
        <v>50.69</v>
      </c>
      <c r="DI44" s="39">
        <v>50.8</v>
      </c>
      <c r="DJ44" s="39">
        <v>50.9</v>
      </c>
      <c r="DK44" s="39">
        <v>50.99</v>
      </c>
      <c r="DL44" s="39">
        <v>51.09</v>
      </c>
      <c r="DM44" s="39">
        <v>51.19</v>
      </c>
      <c r="DN44" s="39">
        <v>51.29</v>
      </c>
      <c r="DO44" s="39">
        <v>51.38</v>
      </c>
      <c r="DP44" s="39">
        <v>51.48</v>
      </c>
      <c r="DQ44" s="39">
        <v>51.57</v>
      </c>
      <c r="DR44" s="39">
        <v>51.67</v>
      </c>
    </row>
    <row r="45" spans="1:122">
      <c r="A45" s="44">
        <v>43</v>
      </c>
      <c r="B45" s="45"/>
      <c r="C45" s="45"/>
      <c r="D45" s="45"/>
      <c r="E45" s="45"/>
      <c r="F45" s="45"/>
      <c r="G45" s="45"/>
      <c r="H45" s="45"/>
      <c r="I45" s="45"/>
      <c r="J45" s="45"/>
      <c r="K45" s="45"/>
      <c r="L45" s="45"/>
      <c r="M45" s="45"/>
      <c r="N45" s="45"/>
      <c r="O45" s="45"/>
      <c r="P45" s="45"/>
      <c r="Q45" s="45"/>
      <c r="R45" s="45"/>
      <c r="S45" s="45"/>
      <c r="T45" s="45"/>
      <c r="U45" s="45"/>
      <c r="V45" s="39"/>
      <c r="W45" s="39">
        <v>37.549999999999997</v>
      </c>
      <c r="X45" s="39">
        <v>37.75</v>
      </c>
      <c r="Y45" s="39">
        <v>37.94</v>
      </c>
      <c r="Z45" s="39">
        <v>38.17</v>
      </c>
      <c r="AA45" s="39">
        <v>38.31</v>
      </c>
      <c r="AB45" s="39">
        <v>38.5</v>
      </c>
      <c r="AC45" s="39">
        <v>38.729999999999997</v>
      </c>
      <c r="AD45" s="39">
        <v>38.85</v>
      </c>
      <c r="AE45" s="39">
        <v>39.08</v>
      </c>
      <c r="AF45" s="39">
        <v>39.26</v>
      </c>
      <c r="AG45" s="39">
        <v>39.44</v>
      </c>
      <c r="AH45" s="39">
        <v>39.61</v>
      </c>
      <c r="AI45" s="39">
        <v>39.799999999999997</v>
      </c>
      <c r="AJ45" s="39">
        <v>40.07</v>
      </c>
      <c r="AK45" s="39">
        <v>40.31</v>
      </c>
      <c r="AL45" s="39">
        <v>40.58</v>
      </c>
      <c r="AM45" s="39">
        <v>40.840000000000003</v>
      </c>
      <c r="AN45" s="39">
        <v>41.03</v>
      </c>
      <c r="AO45" s="39">
        <v>41.2</v>
      </c>
      <c r="AP45" s="39">
        <v>41.32</v>
      </c>
      <c r="AQ45" s="39">
        <v>41.38</v>
      </c>
      <c r="AR45" s="39">
        <v>41.45</v>
      </c>
      <c r="AS45" s="39">
        <v>41.5</v>
      </c>
      <c r="AT45" s="39">
        <v>41.49</v>
      </c>
      <c r="AU45" s="39">
        <v>41.55</v>
      </c>
      <c r="AV45" s="39">
        <v>41.62</v>
      </c>
      <c r="AW45" s="39">
        <v>41.84</v>
      </c>
      <c r="AX45" s="39">
        <v>41.9</v>
      </c>
      <c r="AY45" s="39">
        <v>42.06</v>
      </c>
      <c r="AZ45" s="39">
        <v>42.18</v>
      </c>
      <c r="BA45" s="39">
        <v>42.31</v>
      </c>
      <c r="BB45" s="39">
        <v>42.43</v>
      </c>
      <c r="BC45" s="39">
        <v>42.55</v>
      </c>
      <c r="BD45" s="39">
        <v>42.66</v>
      </c>
      <c r="BE45" s="39">
        <v>42.78</v>
      </c>
      <c r="BF45" s="39">
        <v>42.92</v>
      </c>
      <c r="BG45" s="39">
        <v>43.07</v>
      </c>
      <c r="BH45" s="39">
        <v>43.24</v>
      </c>
      <c r="BI45" s="39">
        <v>43.36</v>
      </c>
      <c r="BJ45" s="39">
        <v>43.51</v>
      </c>
      <c r="BK45" s="39">
        <v>43.66</v>
      </c>
      <c r="BL45" s="39">
        <v>43.82</v>
      </c>
      <c r="BM45" s="39">
        <v>43.98</v>
      </c>
      <c r="BN45" s="39">
        <v>44.13</v>
      </c>
      <c r="BO45" s="39">
        <v>44.27</v>
      </c>
      <c r="BP45" s="39">
        <v>44.42</v>
      </c>
      <c r="BQ45" s="39">
        <v>44.55</v>
      </c>
      <c r="BR45" s="39">
        <v>44.68</v>
      </c>
      <c r="BS45" s="39">
        <v>44.84</v>
      </c>
      <c r="BT45" s="39">
        <v>44.97</v>
      </c>
      <c r="BU45" s="39">
        <v>45.1</v>
      </c>
      <c r="BV45" s="39">
        <v>45.23</v>
      </c>
      <c r="BW45" s="39">
        <v>45.38</v>
      </c>
      <c r="BX45" s="39">
        <v>45.5</v>
      </c>
      <c r="BY45" s="39">
        <v>45.63</v>
      </c>
      <c r="BZ45" s="39">
        <v>45.77</v>
      </c>
      <c r="CA45" s="39">
        <v>45.9</v>
      </c>
      <c r="CB45" s="39">
        <v>46.03</v>
      </c>
      <c r="CC45" s="39">
        <v>46.16</v>
      </c>
      <c r="CD45" s="39">
        <v>46.28</v>
      </c>
      <c r="CE45" s="39">
        <v>46.41</v>
      </c>
      <c r="CF45" s="39">
        <v>46.54</v>
      </c>
      <c r="CG45" s="39">
        <v>46.66</v>
      </c>
      <c r="CH45" s="39">
        <v>46.79</v>
      </c>
      <c r="CI45" s="39">
        <v>46.91</v>
      </c>
      <c r="CJ45" s="39">
        <v>47.03</v>
      </c>
      <c r="CK45" s="39">
        <v>47.16</v>
      </c>
      <c r="CL45" s="39">
        <v>47.28</v>
      </c>
      <c r="CM45" s="39">
        <v>47.4</v>
      </c>
      <c r="CN45" s="39">
        <v>47.52</v>
      </c>
      <c r="CO45" s="39">
        <v>47.64</v>
      </c>
      <c r="CP45" s="39">
        <v>47.75</v>
      </c>
      <c r="CQ45" s="39">
        <v>47.87</v>
      </c>
      <c r="CR45" s="39">
        <v>47.98</v>
      </c>
      <c r="CS45" s="39">
        <v>48.1</v>
      </c>
      <c r="CT45" s="39">
        <v>48.21</v>
      </c>
      <c r="CU45" s="39">
        <v>48.33</v>
      </c>
      <c r="CV45" s="39">
        <v>48.44</v>
      </c>
      <c r="CW45" s="39">
        <v>48.55</v>
      </c>
      <c r="CX45" s="39">
        <v>48.66</v>
      </c>
      <c r="CY45" s="39">
        <v>48.77</v>
      </c>
      <c r="CZ45" s="39">
        <v>48.88</v>
      </c>
      <c r="DA45" s="39">
        <v>48.98</v>
      </c>
      <c r="DB45" s="39">
        <v>49.09</v>
      </c>
      <c r="DC45" s="39">
        <v>49.2</v>
      </c>
      <c r="DD45" s="39">
        <v>49.3</v>
      </c>
      <c r="DE45" s="39">
        <v>49.41</v>
      </c>
      <c r="DF45" s="39">
        <v>49.51</v>
      </c>
      <c r="DG45" s="39">
        <v>49.61</v>
      </c>
      <c r="DH45" s="39">
        <v>49.71</v>
      </c>
      <c r="DI45" s="39">
        <v>49.81</v>
      </c>
      <c r="DJ45" s="39">
        <v>49.91</v>
      </c>
      <c r="DK45" s="39">
        <v>50.01</v>
      </c>
      <c r="DL45" s="39">
        <v>50.11</v>
      </c>
      <c r="DM45" s="39">
        <v>50.21</v>
      </c>
      <c r="DN45" s="39">
        <v>50.31</v>
      </c>
      <c r="DO45" s="39">
        <v>50.4</v>
      </c>
      <c r="DP45" s="39">
        <v>50.5</v>
      </c>
      <c r="DQ45" s="39">
        <v>50.59</v>
      </c>
      <c r="DR45" s="39">
        <v>50.68</v>
      </c>
    </row>
    <row r="46" spans="1:122">
      <c r="A46" s="44">
        <v>44</v>
      </c>
      <c r="B46" s="45"/>
      <c r="C46" s="45"/>
      <c r="D46" s="45"/>
      <c r="E46" s="45"/>
      <c r="F46" s="45"/>
      <c r="G46" s="45"/>
      <c r="H46" s="45"/>
      <c r="I46" s="45"/>
      <c r="J46" s="45"/>
      <c r="K46" s="45"/>
      <c r="L46" s="45"/>
      <c r="M46" s="45"/>
      <c r="N46" s="45"/>
      <c r="O46" s="45"/>
      <c r="P46" s="45"/>
      <c r="Q46" s="45"/>
      <c r="R46" s="45"/>
      <c r="S46" s="45"/>
      <c r="T46" s="45"/>
      <c r="U46" s="45"/>
      <c r="V46" s="39"/>
      <c r="W46" s="39">
        <v>36.64</v>
      </c>
      <c r="X46" s="39">
        <v>36.840000000000003</v>
      </c>
      <c r="Y46" s="39">
        <v>37.03</v>
      </c>
      <c r="Z46" s="39">
        <v>37.26</v>
      </c>
      <c r="AA46" s="39">
        <v>37.4</v>
      </c>
      <c r="AB46" s="39">
        <v>37.6</v>
      </c>
      <c r="AC46" s="39">
        <v>37.83</v>
      </c>
      <c r="AD46" s="39">
        <v>37.93</v>
      </c>
      <c r="AE46" s="39">
        <v>38.17</v>
      </c>
      <c r="AF46" s="39">
        <v>38.35</v>
      </c>
      <c r="AG46" s="39">
        <v>38.53</v>
      </c>
      <c r="AH46" s="39">
        <v>38.700000000000003</v>
      </c>
      <c r="AI46" s="39">
        <v>38.89</v>
      </c>
      <c r="AJ46" s="39">
        <v>39.15</v>
      </c>
      <c r="AK46" s="39">
        <v>39.4</v>
      </c>
      <c r="AL46" s="39">
        <v>39.659999999999997</v>
      </c>
      <c r="AM46" s="39">
        <v>39.909999999999997</v>
      </c>
      <c r="AN46" s="39">
        <v>40.11</v>
      </c>
      <c r="AO46" s="39">
        <v>40.270000000000003</v>
      </c>
      <c r="AP46" s="39">
        <v>40.39</v>
      </c>
      <c r="AQ46" s="39">
        <v>40.450000000000003</v>
      </c>
      <c r="AR46" s="39">
        <v>40.51</v>
      </c>
      <c r="AS46" s="39">
        <v>40.57</v>
      </c>
      <c r="AT46" s="39">
        <v>40.56</v>
      </c>
      <c r="AU46" s="39">
        <v>40.619999999999997</v>
      </c>
      <c r="AV46" s="39">
        <v>40.68</v>
      </c>
      <c r="AW46" s="39">
        <v>40.909999999999997</v>
      </c>
      <c r="AX46" s="39">
        <v>40.97</v>
      </c>
      <c r="AY46" s="39">
        <v>41.13</v>
      </c>
      <c r="AZ46" s="39">
        <v>41.25</v>
      </c>
      <c r="BA46" s="39">
        <v>41.37</v>
      </c>
      <c r="BB46" s="39">
        <v>41.49</v>
      </c>
      <c r="BC46" s="39">
        <v>41.62</v>
      </c>
      <c r="BD46" s="39">
        <v>41.73</v>
      </c>
      <c r="BE46" s="39">
        <v>41.85</v>
      </c>
      <c r="BF46" s="39">
        <v>41.98</v>
      </c>
      <c r="BG46" s="39">
        <v>42.13</v>
      </c>
      <c r="BH46" s="39">
        <v>42.29</v>
      </c>
      <c r="BI46" s="39">
        <v>42.42</v>
      </c>
      <c r="BJ46" s="39">
        <v>42.57</v>
      </c>
      <c r="BK46" s="39">
        <v>42.71</v>
      </c>
      <c r="BL46" s="39">
        <v>42.87</v>
      </c>
      <c r="BM46" s="39">
        <v>43.03</v>
      </c>
      <c r="BN46" s="39">
        <v>43.18</v>
      </c>
      <c r="BO46" s="39">
        <v>43.31</v>
      </c>
      <c r="BP46" s="39">
        <v>43.46</v>
      </c>
      <c r="BQ46" s="39">
        <v>43.59</v>
      </c>
      <c r="BR46" s="39">
        <v>43.73</v>
      </c>
      <c r="BS46" s="39">
        <v>43.88</v>
      </c>
      <c r="BT46" s="39">
        <v>44.01</v>
      </c>
      <c r="BU46" s="39">
        <v>44.14</v>
      </c>
      <c r="BV46" s="39">
        <v>44.27</v>
      </c>
      <c r="BW46" s="39">
        <v>44.41</v>
      </c>
      <c r="BX46" s="39">
        <v>44.54</v>
      </c>
      <c r="BY46" s="39">
        <v>44.67</v>
      </c>
      <c r="BZ46" s="39">
        <v>44.81</v>
      </c>
      <c r="CA46" s="39">
        <v>44.94</v>
      </c>
      <c r="CB46" s="39">
        <v>45.06</v>
      </c>
      <c r="CC46" s="39">
        <v>45.19</v>
      </c>
      <c r="CD46" s="39">
        <v>45.32</v>
      </c>
      <c r="CE46" s="39">
        <v>45.45</v>
      </c>
      <c r="CF46" s="39">
        <v>45.57</v>
      </c>
      <c r="CG46" s="39">
        <v>45.7</v>
      </c>
      <c r="CH46" s="39">
        <v>45.82</v>
      </c>
      <c r="CI46" s="39">
        <v>45.94</v>
      </c>
      <c r="CJ46" s="39">
        <v>46.07</v>
      </c>
      <c r="CK46" s="39">
        <v>46.19</v>
      </c>
      <c r="CL46" s="39">
        <v>46.31</v>
      </c>
      <c r="CM46" s="39">
        <v>46.43</v>
      </c>
      <c r="CN46" s="39">
        <v>46.55</v>
      </c>
      <c r="CO46" s="39">
        <v>46.66</v>
      </c>
      <c r="CP46" s="39">
        <v>46.78</v>
      </c>
      <c r="CQ46" s="39">
        <v>46.9</v>
      </c>
      <c r="CR46" s="39">
        <v>47.01</v>
      </c>
      <c r="CS46" s="39">
        <v>47.13</v>
      </c>
      <c r="CT46" s="39">
        <v>47.24</v>
      </c>
      <c r="CU46" s="39">
        <v>47.35</v>
      </c>
      <c r="CV46" s="39">
        <v>47.46</v>
      </c>
      <c r="CW46" s="39">
        <v>47.57</v>
      </c>
      <c r="CX46" s="39">
        <v>47.68</v>
      </c>
      <c r="CY46" s="39">
        <v>47.79</v>
      </c>
      <c r="CZ46" s="39">
        <v>47.9</v>
      </c>
      <c r="DA46" s="39">
        <v>48.01</v>
      </c>
      <c r="DB46" s="39">
        <v>48.11</v>
      </c>
      <c r="DC46" s="39">
        <v>48.22</v>
      </c>
      <c r="DD46" s="39">
        <v>48.32</v>
      </c>
      <c r="DE46" s="39">
        <v>48.43</v>
      </c>
      <c r="DF46" s="39">
        <v>48.53</v>
      </c>
      <c r="DG46" s="39">
        <v>48.63</v>
      </c>
      <c r="DH46" s="39">
        <v>48.73</v>
      </c>
      <c r="DI46" s="39">
        <v>48.83</v>
      </c>
      <c r="DJ46" s="39">
        <v>48.93</v>
      </c>
      <c r="DK46" s="39">
        <v>49.03</v>
      </c>
      <c r="DL46" s="39">
        <v>49.13</v>
      </c>
      <c r="DM46" s="39">
        <v>49.23</v>
      </c>
      <c r="DN46" s="39">
        <v>49.32</v>
      </c>
      <c r="DO46" s="39">
        <v>49.42</v>
      </c>
      <c r="DP46" s="39">
        <v>49.51</v>
      </c>
      <c r="DQ46" s="39">
        <v>49.61</v>
      </c>
      <c r="DR46" s="39">
        <v>49.7</v>
      </c>
    </row>
    <row r="47" spans="1:122">
      <c r="A47" s="44">
        <v>45</v>
      </c>
      <c r="B47" s="45"/>
      <c r="C47" s="45"/>
      <c r="D47" s="45"/>
      <c r="E47" s="45"/>
      <c r="F47" s="45"/>
      <c r="G47" s="45"/>
      <c r="H47" s="45"/>
      <c r="I47" s="45"/>
      <c r="J47" s="45"/>
      <c r="K47" s="45"/>
      <c r="L47" s="45"/>
      <c r="M47" s="45"/>
      <c r="N47" s="45"/>
      <c r="O47" s="45"/>
      <c r="P47" s="45"/>
      <c r="Q47" s="45"/>
      <c r="R47" s="45"/>
      <c r="S47" s="45"/>
      <c r="T47" s="45"/>
      <c r="U47" s="45"/>
      <c r="V47" s="39"/>
      <c r="W47" s="39">
        <v>35.74</v>
      </c>
      <c r="X47" s="39">
        <v>35.94</v>
      </c>
      <c r="Y47" s="39">
        <v>36.130000000000003</v>
      </c>
      <c r="Z47" s="39">
        <v>36.36</v>
      </c>
      <c r="AA47" s="39">
        <v>36.5</v>
      </c>
      <c r="AB47" s="39">
        <v>36.69</v>
      </c>
      <c r="AC47" s="39">
        <v>36.92</v>
      </c>
      <c r="AD47" s="39">
        <v>37.03</v>
      </c>
      <c r="AE47" s="39">
        <v>37.270000000000003</v>
      </c>
      <c r="AF47" s="39">
        <v>37.44</v>
      </c>
      <c r="AG47" s="39">
        <v>37.619999999999997</v>
      </c>
      <c r="AH47" s="39">
        <v>37.79</v>
      </c>
      <c r="AI47" s="39">
        <v>37.979999999999997</v>
      </c>
      <c r="AJ47" s="39">
        <v>38.24</v>
      </c>
      <c r="AK47" s="39">
        <v>38.479999999999997</v>
      </c>
      <c r="AL47" s="39">
        <v>38.74</v>
      </c>
      <c r="AM47" s="39">
        <v>38.99</v>
      </c>
      <c r="AN47" s="39">
        <v>39.19</v>
      </c>
      <c r="AO47" s="39">
        <v>39.35</v>
      </c>
      <c r="AP47" s="39">
        <v>39.47</v>
      </c>
      <c r="AQ47" s="39">
        <v>39.53</v>
      </c>
      <c r="AR47" s="39">
        <v>39.590000000000003</v>
      </c>
      <c r="AS47" s="39">
        <v>39.65</v>
      </c>
      <c r="AT47" s="39">
        <v>39.630000000000003</v>
      </c>
      <c r="AU47" s="39">
        <v>39.69</v>
      </c>
      <c r="AV47" s="39">
        <v>39.76</v>
      </c>
      <c r="AW47" s="39">
        <v>39.979999999999997</v>
      </c>
      <c r="AX47" s="39">
        <v>40.04</v>
      </c>
      <c r="AY47" s="39">
        <v>40.200000000000003</v>
      </c>
      <c r="AZ47" s="39">
        <v>40.33</v>
      </c>
      <c r="BA47" s="39">
        <v>40.450000000000003</v>
      </c>
      <c r="BB47" s="39">
        <v>40.56</v>
      </c>
      <c r="BC47" s="39">
        <v>40.69</v>
      </c>
      <c r="BD47" s="39">
        <v>40.79</v>
      </c>
      <c r="BE47" s="39">
        <v>40.909999999999997</v>
      </c>
      <c r="BF47" s="39">
        <v>41.04</v>
      </c>
      <c r="BG47" s="39">
        <v>41.19</v>
      </c>
      <c r="BH47" s="39">
        <v>41.36</v>
      </c>
      <c r="BI47" s="39">
        <v>41.48</v>
      </c>
      <c r="BJ47" s="39">
        <v>41.62</v>
      </c>
      <c r="BK47" s="39">
        <v>41.76</v>
      </c>
      <c r="BL47" s="39">
        <v>41.92</v>
      </c>
      <c r="BM47" s="39">
        <v>42.08</v>
      </c>
      <c r="BN47" s="39">
        <v>42.23</v>
      </c>
      <c r="BO47" s="39">
        <v>42.36</v>
      </c>
      <c r="BP47" s="39">
        <v>42.51</v>
      </c>
      <c r="BQ47" s="39">
        <v>42.64</v>
      </c>
      <c r="BR47" s="39">
        <v>42.77</v>
      </c>
      <c r="BS47" s="39">
        <v>42.93</v>
      </c>
      <c r="BT47" s="39">
        <v>43.06</v>
      </c>
      <c r="BU47" s="39">
        <v>43.19</v>
      </c>
      <c r="BV47" s="39">
        <v>43.32</v>
      </c>
      <c r="BW47" s="39">
        <v>43.46</v>
      </c>
      <c r="BX47" s="39">
        <v>43.58</v>
      </c>
      <c r="BY47" s="39">
        <v>43.72</v>
      </c>
      <c r="BZ47" s="39">
        <v>43.85</v>
      </c>
      <c r="CA47" s="39">
        <v>43.98</v>
      </c>
      <c r="CB47" s="39">
        <v>44.1</v>
      </c>
      <c r="CC47" s="39">
        <v>44.23</v>
      </c>
      <c r="CD47" s="39">
        <v>44.36</v>
      </c>
      <c r="CE47" s="39">
        <v>44.48</v>
      </c>
      <c r="CF47" s="39">
        <v>44.61</v>
      </c>
      <c r="CG47" s="39">
        <v>44.73</v>
      </c>
      <c r="CH47" s="39">
        <v>44.86</v>
      </c>
      <c r="CI47" s="39">
        <v>44.98</v>
      </c>
      <c r="CJ47" s="39">
        <v>45.1</v>
      </c>
      <c r="CK47" s="39">
        <v>45.22</v>
      </c>
      <c r="CL47" s="39">
        <v>45.34</v>
      </c>
      <c r="CM47" s="39">
        <v>45.46</v>
      </c>
      <c r="CN47" s="39">
        <v>45.58</v>
      </c>
      <c r="CO47" s="39">
        <v>45.7</v>
      </c>
      <c r="CP47" s="39">
        <v>45.81</v>
      </c>
      <c r="CQ47" s="39">
        <v>45.93</v>
      </c>
      <c r="CR47" s="39">
        <v>46.04</v>
      </c>
      <c r="CS47" s="39">
        <v>46.16</v>
      </c>
      <c r="CT47" s="39">
        <v>46.27</v>
      </c>
      <c r="CU47" s="39">
        <v>46.38</v>
      </c>
      <c r="CV47" s="39">
        <v>46.49</v>
      </c>
      <c r="CW47" s="39">
        <v>46.6</v>
      </c>
      <c r="CX47" s="39">
        <v>46.71</v>
      </c>
      <c r="CY47" s="39">
        <v>46.82</v>
      </c>
      <c r="CZ47" s="39">
        <v>46.93</v>
      </c>
      <c r="DA47" s="39">
        <v>47.03</v>
      </c>
      <c r="DB47" s="39">
        <v>47.14</v>
      </c>
      <c r="DC47" s="39">
        <v>47.24</v>
      </c>
      <c r="DD47" s="39">
        <v>47.35</v>
      </c>
      <c r="DE47" s="39">
        <v>47.45</v>
      </c>
      <c r="DF47" s="39">
        <v>47.55</v>
      </c>
      <c r="DG47" s="39">
        <v>47.65</v>
      </c>
      <c r="DH47" s="39">
        <v>47.76</v>
      </c>
      <c r="DI47" s="39">
        <v>47.86</v>
      </c>
      <c r="DJ47" s="39">
        <v>47.95</v>
      </c>
      <c r="DK47" s="39">
        <v>48.05</v>
      </c>
      <c r="DL47" s="39">
        <v>48.15</v>
      </c>
      <c r="DM47" s="39">
        <v>48.25</v>
      </c>
      <c r="DN47" s="39">
        <v>48.34</v>
      </c>
      <c r="DO47" s="39">
        <v>48.44</v>
      </c>
      <c r="DP47" s="39">
        <v>48.53</v>
      </c>
      <c r="DQ47" s="39">
        <v>48.63</v>
      </c>
      <c r="DR47" s="39">
        <v>48.72</v>
      </c>
    </row>
    <row r="48" spans="1:122">
      <c r="A48" s="44">
        <v>46</v>
      </c>
      <c r="B48" s="45"/>
      <c r="C48" s="45"/>
      <c r="D48" s="45"/>
      <c r="E48" s="45"/>
      <c r="F48" s="45"/>
      <c r="G48" s="45"/>
      <c r="H48" s="45"/>
      <c r="I48" s="45"/>
      <c r="J48" s="45"/>
      <c r="K48" s="45"/>
      <c r="L48" s="45"/>
      <c r="M48" s="45"/>
      <c r="N48" s="45"/>
      <c r="O48" s="45"/>
      <c r="P48" s="45"/>
      <c r="Q48" s="45"/>
      <c r="R48" s="45"/>
      <c r="S48" s="45"/>
      <c r="T48" s="45"/>
      <c r="U48" s="45"/>
      <c r="V48" s="39"/>
      <c r="W48" s="39">
        <v>34.840000000000003</v>
      </c>
      <c r="X48" s="39">
        <v>35.04</v>
      </c>
      <c r="Y48" s="39">
        <v>35.229999999999997</v>
      </c>
      <c r="Z48" s="39">
        <v>35.46</v>
      </c>
      <c r="AA48" s="39">
        <v>35.6</v>
      </c>
      <c r="AB48" s="39">
        <v>35.79</v>
      </c>
      <c r="AC48" s="39">
        <v>36.020000000000003</v>
      </c>
      <c r="AD48" s="39">
        <v>36.130000000000003</v>
      </c>
      <c r="AE48" s="39">
        <v>36.36</v>
      </c>
      <c r="AF48" s="39">
        <v>36.53</v>
      </c>
      <c r="AG48" s="39">
        <v>36.71</v>
      </c>
      <c r="AH48" s="39">
        <v>36.89</v>
      </c>
      <c r="AI48" s="39">
        <v>37.08</v>
      </c>
      <c r="AJ48" s="39">
        <v>37.33</v>
      </c>
      <c r="AK48" s="39">
        <v>37.57</v>
      </c>
      <c r="AL48" s="39">
        <v>37.83</v>
      </c>
      <c r="AM48" s="39">
        <v>38.08</v>
      </c>
      <c r="AN48" s="39">
        <v>38.270000000000003</v>
      </c>
      <c r="AO48" s="39">
        <v>38.43</v>
      </c>
      <c r="AP48" s="39">
        <v>38.54</v>
      </c>
      <c r="AQ48" s="39">
        <v>38.61</v>
      </c>
      <c r="AR48" s="39">
        <v>38.67</v>
      </c>
      <c r="AS48" s="39">
        <v>38.72</v>
      </c>
      <c r="AT48" s="39">
        <v>38.71</v>
      </c>
      <c r="AU48" s="39">
        <v>38.78</v>
      </c>
      <c r="AV48" s="39">
        <v>38.840000000000003</v>
      </c>
      <c r="AW48" s="39">
        <v>39.06</v>
      </c>
      <c r="AX48" s="39">
        <v>39.119999999999997</v>
      </c>
      <c r="AY48" s="39">
        <v>39.28</v>
      </c>
      <c r="AZ48" s="39">
        <v>39.4</v>
      </c>
      <c r="BA48" s="39">
        <v>39.520000000000003</v>
      </c>
      <c r="BB48" s="39">
        <v>39.630000000000003</v>
      </c>
      <c r="BC48" s="39">
        <v>39.76</v>
      </c>
      <c r="BD48" s="39">
        <v>39.86</v>
      </c>
      <c r="BE48" s="39">
        <v>39.979999999999997</v>
      </c>
      <c r="BF48" s="39">
        <v>40.11</v>
      </c>
      <c r="BG48" s="39">
        <v>40.26</v>
      </c>
      <c r="BH48" s="39">
        <v>40.42</v>
      </c>
      <c r="BI48" s="39">
        <v>40.54</v>
      </c>
      <c r="BJ48" s="39">
        <v>40.68</v>
      </c>
      <c r="BK48" s="39">
        <v>40.82</v>
      </c>
      <c r="BL48" s="39">
        <v>40.98</v>
      </c>
      <c r="BM48" s="39">
        <v>41.13</v>
      </c>
      <c r="BN48" s="39">
        <v>41.28</v>
      </c>
      <c r="BO48" s="39">
        <v>41.41</v>
      </c>
      <c r="BP48" s="39">
        <v>41.56</v>
      </c>
      <c r="BQ48" s="39">
        <v>41.69</v>
      </c>
      <c r="BR48" s="39">
        <v>41.82</v>
      </c>
      <c r="BS48" s="39">
        <v>41.97</v>
      </c>
      <c r="BT48" s="39">
        <v>42.1</v>
      </c>
      <c r="BU48" s="39">
        <v>42.23</v>
      </c>
      <c r="BV48" s="39">
        <v>42.37</v>
      </c>
      <c r="BW48" s="39">
        <v>42.5</v>
      </c>
      <c r="BX48" s="39">
        <v>42.63</v>
      </c>
      <c r="BY48" s="39">
        <v>42.76</v>
      </c>
      <c r="BZ48" s="39">
        <v>42.89</v>
      </c>
      <c r="CA48" s="39">
        <v>43.02</v>
      </c>
      <c r="CB48" s="39">
        <v>43.15</v>
      </c>
      <c r="CC48" s="39">
        <v>43.27</v>
      </c>
      <c r="CD48" s="39">
        <v>43.4</v>
      </c>
      <c r="CE48" s="39">
        <v>43.53</v>
      </c>
      <c r="CF48" s="39">
        <v>43.65</v>
      </c>
      <c r="CG48" s="39">
        <v>43.77</v>
      </c>
      <c r="CH48" s="39">
        <v>43.9</v>
      </c>
      <c r="CI48" s="39">
        <v>44.02</v>
      </c>
      <c r="CJ48" s="39">
        <v>44.14</v>
      </c>
      <c r="CK48" s="39">
        <v>44.26</v>
      </c>
      <c r="CL48" s="39">
        <v>44.38</v>
      </c>
      <c r="CM48" s="39">
        <v>44.5</v>
      </c>
      <c r="CN48" s="39">
        <v>44.61</v>
      </c>
      <c r="CO48" s="39">
        <v>44.73</v>
      </c>
      <c r="CP48" s="39">
        <v>44.85</v>
      </c>
      <c r="CQ48" s="39">
        <v>44.96</v>
      </c>
      <c r="CR48" s="39">
        <v>45.07</v>
      </c>
      <c r="CS48" s="39">
        <v>45.19</v>
      </c>
      <c r="CT48" s="39">
        <v>45.3</v>
      </c>
      <c r="CU48" s="39">
        <v>45.41</v>
      </c>
      <c r="CV48" s="39">
        <v>45.52</v>
      </c>
      <c r="CW48" s="39">
        <v>45.63</v>
      </c>
      <c r="CX48" s="39">
        <v>45.74</v>
      </c>
      <c r="CY48" s="39">
        <v>45.85</v>
      </c>
      <c r="CZ48" s="39">
        <v>45.95</v>
      </c>
      <c r="DA48" s="39">
        <v>46.06</v>
      </c>
      <c r="DB48" s="39">
        <v>46.17</v>
      </c>
      <c r="DC48" s="39">
        <v>46.27</v>
      </c>
      <c r="DD48" s="39">
        <v>46.37</v>
      </c>
      <c r="DE48" s="39">
        <v>46.48</v>
      </c>
      <c r="DF48" s="39">
        <v>46.58</v>
      </c>
      <c r="DG48" s="39">
        <v>46.68</v>
      </c>
      <c r="DH48" s="39">
        <v>46.78</v>
      </c>
      <c r="DI48" s="39">
        <v>46.88</v>
      </c>
      <c r="DJ48" s="39">
        <v>46.98</v>
      </c>
      <c r="DK48" s="39">
        <v>47.08</v>
      </c>
      <c r="DL48" s="39">
        <v>47.17</v>
      </c>
      <c r="DM48" s="39">
        <v>47.27</v>
      </c>
      <c r="DN48" s="39">
        <v>47.36</v>
      </c>
      <c r="DO48" s="39">
        <v>47.46</v>
      </c>
      <c r="DP48" s="39">
        <v>47.55</v>
      </c>
      <c r="DQ48" s="39">
        <v>47.65</v>
      </c>
      <c r="DR48" s="39">
        <v>47.74</v>
      </c>
    </row>
    <row r="49" spans="1:122">
      <c r="A49" s="44">
        <v>47</v>
      </c>
      <c r="B49" s="45"/>
      <c r="C49" s="45"/>
      <c r="D49" s="45"/>
      <c r="E49" s="45"/>
      <c r="F49" s="45"/>
      <c r="G49" s="45"/>
      <c r="H49" s="45"/>
      <c r="I49" s="45"/>
      <c r="J49" s="45"/>
      <c r="K49" s="45"/>
      <c r="L49" s="45"/>
      <c r="M49" s="45"/>
      <c r="N49" s="45"/>
      <c r="O49" s="45"/>
      <c r="P49" s="45"/>
      <c r="Q49" s="45"/>
      <c r="R49" s="45"/>
      <c r="S49" s="45"/>
      <c r="T49" s="45"/>
      <c r="U49" s="45"/>
      <c r="V49" s="39"/>
      <c r="W49" s="39">
        <v>33.950000000000003</v>
      </c>
      <c r="X49" s="39">
        <v>34.15</v>
      </c>
      <c r="Y49" s="39">
        <v>34.35</v>
      </c>
      <c r="Z49" s="39">
        <v>34.57</v>
      </c>
      <c r="AA49" s="39">
        <v>34.71</v>
      </c>
      <c r="AB49" s="39">
        <v>34.9</v>
      </c>
      <c r="AC49" s="39">
        <v>35.119999999999997</v>
      </c>
      <c r="AD49" s="39">
        <v>35.24</v>
      </c>
      <c r="AE49" s="39">
        <v>35.47</v>
      </c>
      <c r="AF49" s="39">
        <v>35.630000000000003</v>
      </c>
      <c r="AG49" s="39">
        <v>35.81</v>
      </c>
      <c r="AH49" s="39">
        <v>35.99</v>
      </c>
      <c r="AI49" s="39">
        <v>36.17</v>
      </c>
      <c r="AJ49" s="39">
        <v>36.43</v>
      </c>
      <c r="AK49" s="39">
        <v>36.659999999999997</v>
      </c>
      <c r="AL49" s="39">
        <v>36.92</v>
      </c>
      <c r="AM49" s="39">
        <v>37.159999999999997</v>
      </c>
      <c r="AN49" s="39">
        <v>37.36</v>
      </c>
      <c r="AO49" s="39">
        <v>37.51</v>
      </c>
      <c r="AP49" s="39">
        <v>37.630000000000003</v>
      </c>
      <c r="AQ49" s="39">
        <v>37.69</v>
      </c>
      <c r="AR49" s="39">
        <v>37.75</v>
      </c>
      <c r="AS49" s="39">
        <v>37.799999999999997</v>
      </c>
      <c r="AT49" s="39">
        <v>37.799999999999997</v>
      </c>
      <c r="AU49" s="39">
        <v>37.86</v>
      </c>
      <c r="AV49" s="39">
        <v>37.92</v>
      </c>
      <c r="AW49" s="39">
        <v>38.14</v>
      </c>
      <c r="AX49" s="39">
        <v>38.200000000000003</v>
      </c>
      <c r="AY49" s="39">
        <v>38.36</v>
      </c>
      <c r="AZ49" s="39">
        <v>38.479999999999997</v>
      </c>
      <c r="BA49" s="39">
        <v>38.6</v>
      </c>
      <c r="BB49" s="39">
        <v>38.71</v>
      </c>
      <c r="BC49" s="39">
        <v>38.83</v>
      </c>
      <c r="BD49" s="39">
        <v>38.94</v>
      </c>
      <c r="BE49" s="39">
        <v>39.049999999999997</v>
      </c>
      <c r="BF49" s="39">
        <v>39.18</v>
      </c>
      <c r="BG49" s="39">
        <v>39.33</v>
      </c>
      <c r="BH49" s="39">
        <v>39.49</v>
      </c>
      <c r="BI49" s="39">
        <v>39.61</v>
      </c>
      <c r="BJ49" s="39">
        <v>39.75</v>
      </c>
      <c r="BK49" s="39">
        <v>39.880000000000003</v>
      </c>
      <c r="BL49" s="39">
        <v>40.04</v>
      </c>
      <c r="BM49" s="39">
        <v>40.19</v>
      </c>
      <c r="BN49" s="39">
        <v>40.340000000000003</v>
      </c>
      <c r="BO49" s="39">
        <v>40.47</v>
      </c>
      <c r="BP49" s="39">
        <v>40.61</v>
      </c>
      <c r="BQ49" s="39">
        <v>40.74</v>
      </c>
      <c r="BR49" s="39">
        <v>40.880000000000003</v>
      </c>
      <c r="BS49" s="39">
        <v>41.02</v>
      </c>
      <c r="BT49" s="39">
        <v>41.16</v>
      </c>
      <c r="BU49" s="39">
        <v>41.28</v>
      </c>
      <c r="BV49" s="39">
        <v>41.42</v>
      </c>
      <c r="BW49" s="39">
        <v>41.55</v>
      </c>
      <c r="BX49" s="39">
        <v>41.68</v>
      </c>
      <c r="BY49" s="39">
        <v>41.81</v>
      </c>
      <c r="BZ49" s="39">
        <v>41.94</v>
      </c>
      <c r="CA49" s="39">
        <v>42.07</v>
      </c>
      <c r="CB49" s="39">
        <v>42.19</v>
      </c>
      <c r="CC49" s="39">
        <v>42.32</v>
      </c>
      <c r="CD49" s="39">
        <v>42.44</v>
      </c>
      <c r="CE49" s="39">
        <v>42.57</v>
      </c>
      <c r="CF49" s="39">
        <v>42.69</v>
      </c>
      <c r="CG49" s="39">
        <v>42.82</v>
      </c>
      <c r="CH49" s="39">
        <v>42.94</v>
      </c>
      <c r="CI49" s="39">
        <v>43.06</v>
      </c>
      <c r="CJ49" s="39">
        <v>43.18</v>
      </c>
      <c r="CK49" s="39">
        <v>43.3</v>
      </c>
      <c r="CL49" s="39">
        <v>43.42</v>
      </c>
      <c r="CM49" s="39">
        <v>43.53</v>
      </c>
      <c r="CN49" s="39">
        <v>43.65</v>
      </c>
      <c r="CO49" s="39">
        <v>43.77</v>
      </c>
      <c r="CP49" s="39">
        <v>43.88</v>
      </c>
      <c r="CQ49" s="39">
        <v>44</v>
      </c>
      <c r="CR49" s="39">
        <v>44.11</v>
      </c>
      <c r="CS49" s="39">
        <v>44.22</v>
      </c>
      <c r="CT49" s="39">
        <v>44.33</v>
      </c>
      <c r="CU49" s="39">
        <v>44.44</v>
      </c>
      <c r="CV49" s="39">
        <v>44.55</v>
      </c>
      <c r="CW49" s="39">
        <v>44.66</v>
      </c>
      <c r="CX49" s="39">
        <v>44.77</v>
      </c>
      <c r="CY49" s="39">
        <v>44.88</v>
      </c>
      <c r="CZ49" s="39">
        <v>44.98</v>
      </c>
      <c r="DA49" s="39">
        <v>45.09</v>
      </c>
      <c r="DB49" s="39">
        <v>45.19</v>
      </c>
      <c r="DC49" s="39">
        <v>45.3</v>
      </c>
      <c r="DD49" s="39">
        <v>45.4</v>
      </c>
      <c r="DE49" s="39">
        <v>45.5</v>
      </c>
      <c r="DF49" s="39">
        <v>45.6</v>
      </c>
      <c r="DG49" s="39">
        <v>45.71</v>
      </c>
      <c r="DH49" s="39">
        <v>45.81</v>
      </c>
      <c r="DI49" s="39">
        <v>45.9</v>
      </c>
      <c r="DJ49" s="39">
        <v>46</v>
      </c>
      <c r="DK49" s="39">
        <v>46.1</v>
      </c>
      <c r="DL49" s="39">
        <v>46.2</v>
      </c>
      <c r="DM49" s="39">
        <v>46.29</v>
      </c>
      <c r="DN49" s="39">
        <v>46.39</v>
      </c>
      <c r="DO49" s="39">
        <v>46.48</v>
      </c>
      <c r="DP49" s="39">
        <v>46.58</v>
      </c>
      <c r="DQ49" s="39">
        <v>46.67</v>
      </c>
      <c r="DR49" s="39">
        <v>46.76</v>
      </c>
    </row>
    <row r="50" spans="1:122">
      <c r="A50" s="44">
        <v>48</v>
      </c>
      <c r="B50" s="45"/>
      <c r="C50" s="45"/>
      <c r="D50" s="45"/>
      <c r="E50" s="45"/>
      <c r="F50" s="45"/>
      <c r="G50" s="45"/>
      <c r="H50" s="45"/>
      <c r="I50" s="45"/>
      <c r="J50" s="45"/>
      <c r="K50" s="45"/>
      <c r="L50" s="45"/>
      <c r="M50" s="45"/>
      <c r="N50" s="45"/>
      <c r="O50" s="45"/>
      <c r="P50" s="45"/>
      <c r="Q50" s="45"/>
      <c r="R50" s="45"/>
      <c r="S50" s="45"/>
      <c r="T50" s="45"/>
      <c r="U50" s="45"/>
      <c r="V50" s="39"/>
      <c r="W50" s="39">
        <v>33.07</v>
      </c>
      <c r="X50" s="39">
        <v>33.270000000000003</v>
      </c>
      <c r="Y50" s="39">
        <v>33.46</v>
      </c>
      <c r="Z50" s="39">
        <v>33.68</v>
      </c>
      <c r="AA50" s="39">
        <v>33.82</v>
      </c>
      <c r="AB50" s="39">
        <v>34.01</v>
      </c>
      <c r="AC50" s="39">
        <v>34.229999999999997</v>
      </c>
      <c r="AD50" s="39">
        <v>34.35</v>
      </c>
      <c r="AE50" s="39">
        <v>34.58</v>
      </c>
      <c r="AF50" s="39">
        <v>34.74</v>
      </c>
      <c r="AG50" s="39">
        <v>34.92</v>
      </c>
      <c r="AH50" s="39">
        <v>35.090000000000003</v>
      </c>
      <c r="AI50" s="39">
        <v>35.28</v>
      </c>
      <c r="AJ50" s="39">
        <v>35.53</v>
      </c>
      <c r="AK50" s="39">
        <v>35.76</v>
      </c>
      <c r="AL50" s="39">
        <v>36.01</v>
      </c>
      <c r="AM50" s="39">
        <v>36.25</v>
      </c>
      <c r="AN50" s="39">
        <v>36.450000000000003</v>
      </c>
      <c r="AO50" s="39">
        <v>36.6</v>
      </c>
      <c r="AP50" s="39">
        <v>36.71</v>
      </c>
      <c r="AQ50" s="39">
        <v>36.78</v>
      </c>
      <c r="AR50" s="39">
        <v>36.840000000000003</v>
      </c>
      <c r="AS50" s="39">
        <v>36.89</v>
      </c>
      <c r="AT50" s="39">
        <v>36.89</v>
      </c>
      <c r="AU50" s="39">
        <v>36.950000000000003</v>
      </c>
      <c r="AV50" s="39">
        <v>37.01</v>
      </c>
      <c r="AW50" s="39">
        <v>37.22</v>
      </c>
      <c r="AX50" s="39">
        <v>37.28</v>
      </c>
      <c r="AY50" s="39">
        <v>37.44</v>
      </c>
      <c r="AZ50" s="39">
        <v>37.56</v>
      </c>
      <c r="BA50" s="39">
        <v>37.67</v>
      </c>
      <c r="BB50" s="39">
        <v>37.79</v>
      </c>
      <c r="BC50" s="39">
        <v>37.909999999999997</v>
      </c>
      <c r="BD50" s="39">
        <v>38.01</v>
      </c>
      <c r="BE50" s="39">
        <v>38.130000000000003</v>
      </c>
      <c r="BF50" s="39">
        <v>38.26</v>
      </c>
      <c r="BG50" s="39">
        <v>38.4</v>
      </c>
      <c r="BH50" s="39">
        <v>38.56</v>
      </c>
      <c r="BI50" s="39">
        <v>38.68</v>
      </c>
      <c r="BJ50" s="39">
        <v>38.82</v>
      </c>
      <c r="BK50" s="39">
        <v>38.950000000000003</v>
      </c>
      <c r="BL50" s="39">
        <v>39.11</v>
      </c>
      <c r="BM50" s="39">
        <v>39.26</v>
      </c>
      <c r="BN50" s="39">
        <v>39.4</v>
      </c>
      <c r="BO50" s="39">
        <v>39.53</v>
      </c>
      <c r="BP50" s="39">
        <v>39.67</v>
      </c>
      <c r="BQ50" s="39">
        <v>39.799999999999997</v>
      </c>
      <c r="BR50" s="39">
        <v>39.93</v>
      </c>
      <c r="BS50" s="39">
        <v>40.08</v>
      </c>
      <c r="BT50" s="39">
        <v>40.21</v>
      </c>
      <c r="BU50" s="39">
        <v>40.340000000000003</v>
      </c>
      <c r="BV50" s="39">
        <v>40.47</v>
      </c>
      <c r="BW50" s="39">
        <v>40.6</v>
      </c>
      <c r="BX50" s="39">
        <v>40.729999999999997</v>
      </c>
      <c r="BY50" s="39">
        <v>40.86</v>
      </c>
      <c r="BZ50" s="39">
        <v>40.99</v>
      </c>
      <c r="CA50" s="39">
        <v>41.12</v>
      </c>
      <c r="CB50" s="39">
        <v>41.24</v>
      </c>
      <c r="CC50" s="39">
        <v>41.37</v>
      </c>
      <c r="CD50" s="39">
        <v>41.49</v>
      </c>
      <c r="CE50" s="39">
        <v>41.61</v>
      </c>
      <c r="CF50" s="39">
        <v>41.74</v>
      </c>
      <c r="CG50" s="39">
        <v>41.86</v>
      </c>
      <c r="CH50" s="39">
        <v>41.98</v>
      </c>
      <c r="CI50" s="39">
        <v>42.1</v>
      </c>
      <c r="CJ50" s="39">
        <v>42.22</v>
      </c>
      <c r="CK50" s="39">
        <v>42.34</v>
      </c>
      <c r="CL50" s="39">
        <v>42.46</v>
      </c>
      <c r="CM50" s="39">
        <v>42.57</v>
      </c>
      <c r="CN50" s="39">
        <v>42.69</v>
      </c>
      <c r="CO50" s="39">
        <v>42.8</v>
      </c>
      <c r="CP50" s="39">
        <v>42.92</v>
      </c>
      <c r="CQ50" s="39">
        <v>43.03</v>
      </c>
      <c r="CR50" s="39">
        <v>43.15</v>
      </c>
      <c r="CS50" s="39">
        <v>43.26</v>
      </c>
      <c r="CT50" s="39">
        <v>43.37</v>
      </c>
      <c r="CU50" s="39">
        <v>43.48</v>
      </c>
      <c r="CV50" s="39">
        <v>43.59</v>
      </c>
      <c r="CW50" s="39">
        <v>43.7</v>
      </c>
      <c r="CX50" s="39">
        <v>43.8</v>
      </c>
      <c r="CY50" s="39">
        <v>43.91</v>
      </c>
      <c r="CZ50" s="39">
        <v>44.02</v>
      </c>
      <c r="DA50" s="39">
        <v>44.12</v>
      </c>
      <c r="DB50" s="39">
        <v>44.22</v>
      </c>
      <c r="DC50" s="39">
        <v>44.33</v>
      </c>
      <c r="DD50" s="39">
        <v>44.43</v>
      </c>
      <c r="DE50" s="39">
        <v>44.53</v>
      </c>
      <c r="DF50" s="39">
        <v>44.63</v>
      </c>
      <c r="DG50" s="39">
        <v>44.73</v>
      </c>
      <c r="DH50" s="39">
        <v>44.83</v>
      </c>
      <c r="DI50" s="39">
        <v>44.93</v>
      </c>
      <c r="DJ50" s="39">
        <v>45.03</v>
      </c>
      <c r="DK50" s="39">
        <v>45.13</v>
      </c>
      <c r="DL50" s="39">
        <v>45.22</v>
      </c>
      <c r="DM50" s="39">
        <v>45.32</v>
      </c>
      <c r="DN50" s="39">
        <v>45.41</v>
      </c>
      <c r="DO50" s="39">
        <v>45.51</v>
      </c>
      <c r="DP50" s="39">
        <v>45.6</v>
      </c>
      <c r="DQ50" s="39">
        <v>45.69</v>
      </c>
      <c r="DR50" s="39">
        <v>45.78</v>
      </c>
    </row>
    <row r="51" spans="1:122">
      <c r="A51" s="44">
        <v>49</v>
      </c>
      <c r="B51" s="45"/>
      <c r="C51" s="45"/>
      <c r="D51" s="45"/>
      <c r="E51" s="45"/>
      <c r="F51" s="45"/>
      <c r="G51" s="45"/>
      <c r="H51" s="45"/>
      <c r="I51" s="45"/>
      <c r="J51" s="45"/>
      <c r="K51" s="45"/>
      <c r="L51" s="45"/>
      <c r="M51" s="45"/>
      <c r="N51" s="45"/>
      <c r="O51" s="45"/>
      <c r="P51" s="45"/>
      <c r="Q51" s="45"/>
      <c r="R51" s="45"/>
      <c r="S51" s="45"/>
      <c r="T51" s="45"/>
      <c r="U51" s="45"/>
      <c r="V51" s="39"/>
      <c r="W51" s="39">
        <v>32.200000000000003</v>
      </c>
      <c r="X51" s="39">
        <v>32.4</v>
      </c>
      <c r="Y51" s="39">
        <v>32.590000000000003</v>
      </c>
      <c r="Z51" s="39">
        <v>32.799999999999997</v>
      </c>
      <c r="AA51" s="39">
        <v>32.94</v>
      </c>
      <c r="AB51" s="39">
        <v>33.130000000000003</v>
      </c>
      <c r="AC51" s="39">
        <v>33.35</v>
      </c>
      <c r="AD51" s="39">
        <v>33.46</v>
      </c>
      <c r="AE51" s="39">
        <v>33.69</v>
      </c>
      <c r="AF51" s="39">
        <v>33.86</v>
      </c>
      <c r="AG51" s="39">
        <v>34.03</v>
      </c>
      <c r="AH51" s="39">
        <v>34.21</v>
      </c>
      <c r="AI51" s="39">
        <v>34.380000000000003</v>
      </c>
      <c r="AJ51" s="39">
        <v>34.630000000000003</v>
      </c>
      <c r="AK51" s="39">
        <v>34.86</v>
      </c>
      <c r="AL51" s="39">
        <v>35.11</v>
      </c>
      <c r="AM51" s="39">
        <v>35.340000000000003</v>
      </c>
      <c r="AN51" s="39">
        <v>35.54</v>
      </c>
      <c r="AO51" s="39">
        <v>35.69</v>
      </c>
      <c r="AP51" s="39">
        <v>35.81</v>
      </c>
      <c r="AQ51" s="39">
        <v>35.869999999999997</v>
      </c>
      <c r="AR51" s="39">
        <v>35.93</v>
      </c>
      <c r="AS51" s="39">
        <v>35.979999999999997</v>
      </c>
      <c r="AT51" s="39">
        <v>35.979999999999997</v>
      </c>
      <c r="AU51" s="39">
        <v>36.049999999999997</v>
      </c>
      <c r="AV51" s="39">
        <v>36.1</v>
      </c>
      <c r="AW51" s="39">
        <v>36.32</v>
      </c>
      <c r="AX51" s="39">
        <v>36.369999999999997</v>
      </c>
      <c r="AY51" s="39">
        <v>36.520000000000003</v>
      </c>
      <c r="AZ51" s="39">
        <v>36.64</v>
      </c>
      <c r="BA51" s="39">
        <v>36.76</v>
      </c>
      <c r="BB51" s="39">
        <v>36.869999999999997</v>
      </c>
      <c r="BC51" s="39">
        <v>36.99</v>
      </c>
      <c r="BD51" s="39">
        <v>37.090000000000003</v>
      </c>
      <c r="BE51" s="39">
        <v>37.21</v>
      </c>
      <c r="BF51" s="39">
        <v>37.33</v>
      </c>
      <c r="BG51" s="39">
        <v>37.479999999999997</v>
      </c>
      <c r="BH51" s="39">
        <v>37.630000000000003</v>
      </c>
      <c r="BI51" s="39">
        <v>37.75</v>
      </c>
      <c r="BJ51" s="39">
        <v>37.89</v>
      </c>
      <c r="BK51" s="39">
        <v>38.020000000000003</v>
      </c>
      <c r="BL51" s="39">
        <v>38.17</v>
      </c>
      <c r="BM51" s="39">
        <v>38.32</v>
      </c>
      <c r="BN51" s="39">
        <v>38.47</v>
      </c>
      <c r="BO51" s="39">
        <v>38.6</v>
      </c>
      <c r="BP51" s="39">
        <v>38.729999999999997</v>
      </c>
      <c r="BQ51" s="39">
        <v>38.869999999999997</v>
      </c>
      <c r="BR51" s="39">
        <v>39</v>
      </c>
      <c r="BS51" s="39">
        <v>39.14</v>
      </c>
      <c r="BT51" s="39">
        <v>39.270000000000003</v>
      </c>
      <c r="BU51" s="39">
        <v>39.4</v>
      </c>
      <c r="BV51" s="39">
        <v>39.53</v>
      </c>
      <c r="BW51" s="39">
        <v>39.659999999999997</v>
      </c>
      <c r="BX51" s="39">
        <v>39.79</v>
      </c>
      <c r="BY51" s="39">
        <v>39.909999999999997</v>
      </c>
      <c r="BZ51" s="39">
        <v>40.04</v>
      </c>
      <c r="CA51" s="39">
        <v>40.17</v>
      </c>
      <c r="CB51" s="39">
        <v>40.29</v>
      </c>
      <c r="CC51" s="39">
        <v>40.42</v>
      </c>
      <c r="CD51" s="39">
        <v>40.54</v>
      </c>
      <c r="CE51" s="39">
        <v>40.659999999999997</v>
      </c>
      <c r="CF51" s="39">
        <v>40.79</v>
      </c>
      <c r="CG51" s="39">
        <v>40.909999999999997</v>
      </c>
      <c r="CH51" s="39">
        <v>41.03</v>
      </c>
      <c r="CI51" s="39">
        <v>41.15</v>
      </c>
      <c r="CJ51" s="39">
        <v>41.27</v>
      </c>
      <c r="CK51" s="39">
        <v>41.38</v>
      </c>
      <c r="CL51" s="39">
        <v>41.5</v>
      </c>
      <c r="CM51" s="39">
        <v>41.62</v>
      </c>
      <c r="CN51" s="39">
        <v>41.73</v>
      </c>
      <c r="CO51" s="39">
        <v>41.85</v>
      </c>
      <c r="CP51" s="39">
        <v>41.96</v>
      </c>
      <c r="CQ51" s="39">
        <v>42.07</v>
      </c>
      <c r="CR51" s="39">
        <v>42.18</v>
      </c>
      <c r="CS51" s="39">
        <v>42.3</v>
      </c>
      <c r="CT51" s="39">
        <v>42.41</v>
      </c>
      <c r="CU51" s="39">
        <v>42.52</v>
      </c>
      <c r="CV51" s="39">
        <v>42.62</v>
      </c>
      <c r="CW51" s="39">
        <v>42.73</v>
      </c>
      <c r="CX51" s="39">
        <v>42.84</v>
      </c>
      <c r="CY51" s="39">
        <v>42.94</v>
      </c>
      <c r="CZ51" s="39">
        <v>43.05</v>
      </c>
      <c r="DA51" s="39">
        <v>43.15</v>
      </c>
      <c r="DB51" s="39">
        <v>43.26</v>
      </c>
      <c r="DC51" s="39">
        <v>43.36</v>
      </c>
      <c r="DD51" s="39">
        <v>43.46</v>
      </c>
      <c r="DE51" s="39">
        <v>43.56</v>
      </c>
      <c r="DF51" s="39">
        <v>43.66</v>
      </c>
      <c r="DG51" s="39">
        <v>43.76</v>
      </c>
      <c r="DH51" s="39">
        <v>43.86</v>
      </c>
      <c r="DI51" s="39">
        <v>43.96</v>
      </c>
      <c r="DJ51" s="39">
        <v>44.06</v>
      </c>
      <c r="DK51" s="39">
        <v>44.15</v>
      </c>
      <c r="DL51" s="39">
        <v>44.25</v>
      </c>
      <c r="DM51" s="39">
        <v>44.35</v>
      </c>
      <c r="DN51" s="39">
        <v>44.44</v>
      </c>
      <c r="DO51" s="39">
        <v>44.53</v>
      </c>
      <c r="DP51" s="39">
        <v>44.63</v>
      </c>
      <c r="DQ51" s="39">
        <v>44.72</v>
      </c>
      <c r="DR51" s="39">
        <v>44.81</v>
      </c>
    </row>
    <row r="52" spans="1:122">
      <c r="A52" s="44">
        <v>50</v>
      </c>
      <c r="B52" s="45"/>
      <c r="C52" s="45"/>
      <c r="D52" s="45"/>
      <c r="E52" s="45"/>
      <c r="F52" s="45"/>
      <c r="G52" s="45"/>
      <c r="H52" s="45"/>
      <c r="I52" s="45"/>
      <c r="J52" s="45"/>
      <c r="K52" s="45"/>
      <c r="L52" s="45"/>
      <c r="M52" s="45"/>
      <c r="N52" s="45"/>
      <c r="O52" s="45"/>
      <c r="P52" s="45"/>
      <c r="Q52" s="45"/>
      <c r="R52" s="45"/>
      <c r="S52" s="45"/>
      <c r="T52" s="45"/>
      <c r="U52" s="45"/>
      <c r="V52" s="39"/>
      <c r="W52" s="39">
        <v>31.33</v>
      </c>
      <c r="X52" s="39">
        <v>31.53</v>
      </c>
      <c r="Y52" s="39">
        <v>31.72</v>
      </c>
      <c r="Z52" s="39">
        <v>31.93</v>
      </c>
      <c r="AA52" s="39">
        <v>32.07</v>
      </c>
      <c r="AB52" s="39">
        <v>32.26</v>
      </c>
      <c r="AC52" s="39">
        <v>32.47</v>
      </c>
      <c r="AD52" s="39">
        <v>32.58</v>
      </c>
      <c r="AE52" s="39">
        <v>32.81</v>
      </c>
      <c r="AF52" s="39">
        <v>32.97</v>
      </c>
      <c r="AG52" s="39">
        <v>33.14</v>
      </c>
      <c r="AH52" s="39">
        <v>33.32</v>
      </c>
      <c r="AI52" s="39">
        <v>33.49</v>
      </c>
      <c r="AJ52" s="39">
        <v>33.74</v>
      </c>
      <c r="AK52" s="39">
        <v>33.96</v>
      </c>
      <c r="AL52" s="39">
        <v>34.21</v>
      </c>
      <c r="AM52" s="39">
        <v>34.44</v>
      </c>
      <c r="AN52" s="39">
        <v>34.64</v>
      </c>
      <c r="AO52" s="39">
        <v>34.79</v>
      </c>
      <c r="AP52" s="39">
        <v>34.9</v>
      </c>
      <c r="AQ52" s="39">
        <v>34.97</v>
      </c>
      <c r="AR52" s="39">
        <v>35.03</v>
      </c>
      <c r="AS52" s="39">
        <v>35.08</v>
      </c>
      <c r="AT52" s="39">
        <v>35.08</v>
      </c>
      <c r="AU52" s="39">
        <v>35.14</v>
      </c>
      <c r="AV52" s="39">
        <v>35.200000000000003</v>
      </c>
      <c r="AW52" s="39">
        <v>35.409999999999997</v>
      </c>
      <c r="AX52" s="39">
        <v>35.46</v>
      </c>
      <c r="AY52" s="39">
        <v>35.61</v>
      </c>
      <c r="AZ52" s="39">
        <v>35.729999999999997</v>
      </c>
      <c r="BA52" s="39">
        <v>35.840000000000003</v>
      </c>
      <c r="BB52" s="39">
        <v>35.96</v>
      </c>
      <c r="BC52" s="39">
        <v>36.08</v>
      </c>
      <c r="BD52" s="39">
        <v>36.18</v>
      </c>
      <c r="BE52" s="39">
        <v>36.29</v>
      </c>
      <c r="BF52" s="39">
        <v>36.42</v>
      </c>
      <c r="BG52" s="39">
        <v>36.56</v>
      </c>
      <c r="BH52" s="39">
        <v>36.700000000000003</v>
      </c>
      <c r="BI52" s="39">
        <v>36.83</v>
      </c>
      <c r="BJ52" s="39">
        <v>36.96</v>
      </c>
      <c r="BK52" s="39">
        <v>37.1</v>
      </c>
      <c r="BL52" s="39">
        <v>37.25</v>
      </c>
      <c r="BM52" s="39">
        <v>37.39</v>
      </c>
      <c r="BN52" s="39">
        <v>37.54</v>
      </c>
      <c r="BO52" s="39">
        <v>37.67</v>
      </c>
      <c r="BP52" s="39">
        <v>37.799999999999997</v>
      </c>
      <c r="BQ52" s="39">
        <v>37.93</v>
      </c>
      <c r="BR52" s="39">
        <v>38.07</v>
      </c>
      <c r="BS52" s="39">
        <v>38.200000000000003</v>
      </c>
      <c r="BT52" s="39">
        <v>38.33</v>
      </c>
      <c r="BU52" s="39">
        <v>38.46</v>
      </c>
      <c r="BV52" s="39">
        <v>38.590000000000003</v>
      </c>
      <c r="BW52" s="39">
        <v>38.72</v>
      </c>
      <c r="BX52" s="39">
        <v>38.85</v>
      </c>
      <c r="BY52" s="39">
        <v>38.97</v>
      </c>
      <c r="BZ52" s="39">
        <v>39.1</v>
      </c>
      <c r="CA52" s="39">
        <v>39.22</v>
      </c>
      <c r="CB52" s="39">
        <v>39.35</v>
      </c>
      <c r="CC52" s="39">
        <v>39.47</v>
      </c>
      <c r="CD52" s="39">
        <v>39.6</v>
      </c>
      <c r="CE52" s="39">
        <v>39.72</v>
      </c>
      <c r="CF52" s="39">
        <v>39.840000000000003</v>
      </c>
      <c r="CG52" s="39">
        <v>39.96</v>
      </c>
      <c r="CH52" s="39">
        <v>40.08</v>
      </c>
      <c r="CI52" s="39">
        <v>40.200000000000003</v>
      </c>
      <c r="CJ52" s="39">
        <v>40.31</v>
      </c>
      <c r="CK52" s="39">
        <v>40.43</v>
      </c>
      <c r="CL52" s="39">
        <v>40.549999999999997</v>
      </c>
      <c r="CM52" s="39">
        <v>40.659999999999997</v>
      </c>
      <c r="CN52" s="39">
        <v>40.78</v>
      </c>
      <c r="CO52" s="39">
        <v>40.89</v>
      </c>
      <c r="CP52" s="39">
        <v>41</v>
      </c>
      <c r="CQ52" s="39">
        <v>41.12</v>
      </c>
      <c r="CR52" s="39">
        <v>41.23</v>
      </c>
      <c r="CS52" s="39">
        <v>41.34</v>
      </c>
      <c r="CT52" s="39">
        <v>41.45</v>
      </c>
      <c r="CU52" s="39">
        <v>41.56</v>
      </c>
      <c r="CV52" s="39">
        <v>41.66</v>
      </c>
      <c r="CW52" s="39">
        <v>41.77</v>
      </c>
      <c r="CX52" s="39">
        <v>41.88</v>
      </c>
      <c r="CY52" s="39">
        <v>41.98</v>
      </c>
      <c r="CZ52" s="39">
        <v>42.09</v>
      </c>
      <c r="DA52" s="39">
        <v>42.19</v>
      </c>
      <c r="DB52" s="39">
        <v>42.29</v>
      </c>
      <c r="DC52" s="39">
        <v>42.4</v>
      </c>
      <c r="DD52" s="39">
        <v>42.5</v>
      </c>
      <c r="DE52" s="39">
        <v>42.6</v>
      </c>
      <c r="DF52" s="39">
        <v>42.7</v>
      </c>
      <c r="DG52" s="39">
        <v>42.8</v>
      </c>
      <c r="DH52" s="39">
        <v>42.9</v>
      </c>
      <c r="DI52" s="39">
        <v>42.99</v>
      </c>
      <c r="DJ52" s="39">
        <v>43.09</v>
      </c>
      <c r="DK52" s="39">
        <v>43.19</v>
      </c>
      <c r="DL52" s="39">
        <v>43.28</v>
      </c>
      <c r="DM52" s="39">
        <v>43.37</v>
      </c>
      <c r="DN52" s="39">
        <v>43.47</v>
      </c>
      <c r="DO52" s="39">
        <v>43.56</v>
      </c>
      <c r="DP52" s="39">
        <v>43.65</v>
      </c>
      <c r="DQ52" s="39">
        <v>43.74</v>
      </c>
      <c r="DR52" s="39">
        <v>43.83</v>
      </c>
    </row>
    <row r="53" spans="1:122">
      <c r="A53" s="44">
        <v>51</v>
      </c>
      <c r="B53" s="45"/>
      <c r="C53" s="45"/>
      <c r="D53" s="45"/>
      <c r="E53" s="45"/>
      <c r="F53" s="45"/>
      <c r="G53" s="45"/>
      <c r="H53" s="45"/>
      <c r="I53" s="45"/>
      <c r="J53" s="45"/>
      <c r="K53" s="45"/>
      <c r="L53" s="45"/>
      <c r="M53" s="45"/>
      <c r="N53" s="45"/>
      <c r="O53" s="45"/>
      <c r="P53" s="45"/>
      <c r="Q53" s="45"/>
      <c r="R53" s="45"/>
      <c r="S53" s="45"/>
      <c r="T53" s="45"/>
      <c r="U53" s="45"/>
      <c r="V53" s="39"/>
      <c r="W53" s="39">
        <v>30.47</v>
      </c>
      <c r="X53" s="39">
        <v>30.66</v>
      </c>
      <c r="Y53" s="39">
        <v>30.85</v>
      </c>
      <c r="Z53" s="39">
        <v>31.05</v>
      </c>
      <c r="AA53" s="39">
        <v>31.2</v>
      </c>
      <c r="AB53" s="39">
        <v>31.39</v>
      </c>
      <c r="AC53" s="39">
        <v>31.6</v>
      </c>
      <c r="AD53" s="39">
        <v>31.71</v>
      </c>
      <c r="AE53" s="39">
        <v>31.93</v>
      </c>
      <c r="AF53" s="39">
        <v>32.090000000000003</v>
      </c>
      <c r="AG53" s="39">
        <v>32.26</v>
      </c>
      <c r="AH53" s="39">
        <v>32.44</v>
      </c>
      <c r="AI53" s="39">
        <v>32.61</v>
      </c>
      <c r="AJ53" s="39">
        <v>32.85</v>
      </c>
      <c r="AK53" s="39">
        <v>33.07</v>
      </c>
      <c r="AL53" s="39">
        <v>33.32</v>
      </c>
      <c r="AM53" s="39">
        <v>33.549999999999997</v>
      </c>
      <c r="AN53" s="39">
        <v>33.75</v>
      </c>
      <c r="AO53" s="39">
        <v>33.89</v>
      </c>
      <c r="AP53" s="39">
        <v>34.01</v>
      </c>
      <c r="AQ53" s="39">
        <v>34.07</v>
      </c>
      <c r="AR53" s="39">
        <v>34.130000000000003</v>
      </c>
      <c r="AS53" s="39">
        <v>34.19</v>
      </c>
      <c r="AT53" s="39">
        <v>34.18</v>
      </c>
      <c r="AU53" s="39">
        <v>34.24</v>
      </c>
      <c r="AV53" s="39">
        <v>34.299999999999997</v>
      </c>
      <c r="AW53" s="39">
        <v>34.5</v>
      </c>
      <c r="AX53" s="39">
        <v>34.549999999999997</v>
      </c>
      <c r="AY53" s="39">
        <v>34.700000000000003</v>
      </c>
      <c r="AZ53" s="39">
        <v>34.82</v>
      </c>
      <c r="BA53" s="39">
        <v>34.94</v>
      </c>
      <c r="BB53" s="39">
        <v>35.049999999999997</v>
      </c>
      <c r="BC53" s="39">
        <v>35.17</v>
      </c>
      <c r="BD53" s="39">
        <v>35.26</v>
      </c>
      <c r="BE53" s="39">
        <v>35.380000000000003</v>
      </c>
      <c r="BF53" s="39">
        <v>35.51</v>
      </c>
      <c r="BG53" s="39">
        <v>35.64</v>
      </c>
      <c r="BH53" s="39">
        <v>35.79</v>
      </c>
      <c r="BI53" s="39">
        <v>35.909999999999997</v>
      </c>
      <c r="BJ53" s="39">
        <v>36.04</v>
      </c>
      <c r="BK53" s="39">
        <v>36.18</v>
      </c>
      <c r="BL53" s="39">
        <v>36.33</v>
      </c>
      <c r="BM53" s="39">
        <v>36.47</v>
      </c>
      <c r="BN53" s="39">
        <v>36.61</v>
      </c>
      <c r="BO53" s="39">
        <v>36.74</v>
      </c>
      <c r="BP53" s="39">
        <v>36.869999999999997</v>
      </c>
      <c r="BQ53" s="39">
        <v>37</v>
      </c>
      <c r="BR53" s="39">
        <v>37.14</v>
      </c>
      <c r="BS53" s="39">
        <v>37.270000000000003</v>
      </c>
      <c r="BT53" s="39">
        <v>37.4</v>
      </c>
      <c r="BU53" s="39">
        <v>37.53</v>
      </c>
      <c r="BV53" s="39">
        <v>37.65</v>
      </c>
      <c r="BW53" s="39">
        <v>37.78</v>
      </c>
      <c r="BX53" s="39">
        <v>37.909999999999997</v>
      </c>
      <c r="BY53" s="39">
        <v>38.03</v>
      </c>
      <c r="BZ53" s="39">
        <v>38.159999999999997</v>
      </c>
      <c r="CA53" s="39">
        <v>38.28</v>
      </c>
      <c r="CB53" s="39">
        <v>38.409999999999997</v>
      </c>
      <c r="CC53" s="39">
        <v>38.53</v>
      </c>
      <c r="CD53" s="39">
        <v>38.65</v>
      </c>
      <c r="CE53" s="39">
        <v>38.770000000000003</v>
      </c>
      <c r="CF53" s="39">
        <v>38.89</v>
      </c>
      <c r="CG53" s="39">
        <v>39.01</v>
      </c>
      <c r="CH53" s="39">
        <v>39.130000000000003</v>
      </c>
      <c r="CI53" s="39">
        <v>39.25</v>
      </c>
      <c r="CJ53" s="39">
        <v>39.369999999999997</v>
      </c>
      <c r="CK53" s="39">
        <v>39.479999999999997</v>
      </c>
      <c r="CL53" s="39">
        <v>39.6</v>
      </c>
      <c r="CM53" s="39">
        <v>39.71</v>
      </c>
      <c r="CN53" s="39">
        <v>39.83</v>
      </c>
      <c r="CO53" s="39">
        <v>39.94</v>
      </c>
      <c r="CP53" s="39">
        <v>40.049999999999997</v>
      </c>
      <c r="CQ53" s="39">
        <v>40.159999999999997</v>
      </c>
      <c r="CR53" s="39">
        <v>40.270000000000003</v>
      </c>
      <c r="CS53" s="39">
        <v>40.380000000000003</v>
      </c>
      <c r="CT53" s="39">
        <v>40.49</v>
      </c>
      <c r="CU53" s="39">
        <v>40.6</v>
      </c>
      <c r="CV53" s="39">
        <v>40.71</v>
      </c>
      <c r="CW53" s="39">
        <v>40.81</v>
      </c>
      <c r="CX53" s="39">
        <v>40.92</v>
      </c>
      <c r="CY53" s="39">
        <v>41.02</v>
      </c>
      <c r="CZ53" s="39">
        <v>41.13</v>
      </c>
      <c r="DA53" s="39">
        <v>41.23</v>
      </c>
      <c r="DB53" s="39">
        <v>41.33</v>
      </c>
      <c r="DC53" s="39">
        <v>41.43</v>
      </c>
      <c r="DD53" s="39">
        <v>41.53</v>
      </c>
      <c r="DE53" s="39">
        <v>41.63</v>
      </c>
      <c r="DF53" s="39">
        <v>41.73</v>
      </c>
      <c r="DG53" s="39">
        <v>41.83</v>
      </c>
      <c r="DH53" s="39">
        <v>41.93</v>
      </c>
      <c r="DI53" s="39">
        <v>42.03</v>
      </c>
      <c r="DJ53" s="39">
        <v>42.12</v>
      </c>
      <c r="DK53" s="39">
        <v>42.22</v>
      </c>
      <c r="DL53" s="39">
        <v>42.31</v>
      </c>
      <c r="DM53" s="39">
        <v>42.41</v>
      </c>
      <c r="DN53" s="39">
        <v>42.5</v>
      </c>
      <c r="DO53" s="39">
        <v>42.59</v>
      </c>
      <c r="DP53" s="39">
        <v>42.68</v>
      </c>
      <c r="DQ53" s="39">
        <v>42.77</v>
      </c>
      <c r="DR53" s="39">
        <v>42.86</v>
      </c>
    </row>
    <row r="54" spans="1:122">
      <c r="A54" s="44">
        <v>52</v>
      </c>
      <c r="B54" s="45"/>
      <c r="C54" s="45"/>
      <c r="D54" s="45"/>
      <c r="E54" s="45"/>
      <c r="F54" s="45"/>
      <c r="G54" s="45"/>
      <c r="H54" s="45"/>
      <c r="I54" s="45"/>
      <c r="J54" s="45"/>
      <c r="K54" s="45"/>
      <c r="L54" s="45"/>
      <c r="M54" s="45"/>
      <c r="N54" s="45"/>
      <c r="O54" s="45"/>
      <c r="P54" s="45"/>
      <c r="Q54" s="45"/>
      <c r="R54" s="45"/>
      <c r="S54" s="45"/>
      <c r="T54" s="45"/>
      <c r="U54" s="45"/>
      <c r="V54" s="39"/>
      <c r="W54" s="39">
        <v>29.62</v>
      </c>
      <c r="X54" s="39">
        <v>29.8</v>
      </c>
      <c r="Y54" s="39">
        <v>29.99</v>
      </c>
      <c r="Z54" s="39">
        <v>30.19</v>
      </c>
      <c r="AA54" s="39">
        <v>30.34</v>
      </c>
      <c r="AB54" s="39">
        <v>30.51</v>
      </c>
      <c r="AC54" s="39">
        <v>30.73</v>
      </c>
      <c r="AD54" s="39">
        <v>30.84</v>
      </c>
      <c r="AE54" s="39">
        <v>31.06</v>
      </c>
      <c r="AF54" s="39">
        <v>31.22</v>
      </c>
      <c r="AG54" s="39">
        <v>31.38</v>
      </c>
      <c r="AH54" s="39">
        <v>31.55</v>
      </c>
      <c r="AI54" s="39">
        <v>31.73</v>
      </c>
      <c r="AJ54" s="39">
        <v>31.96</v>
      </c>
      <c r="AK54" s="39">
        <v>32.18</v>
      </c>
      <c r="AL54" s="39">
        <v>32.43</v>
      </c>
      <c r="AM54" s="39">
        <v>32.659999999999997</v>
      </c>
      <c r="AN54" s="39">
        <v>32.85</v>
      </c>
      <c r="AO54" s="39">
        <v>33</v>
      </c>
      <c r="AP54" s="39">
        <v>33.119999999999997</v>
      </c>
      <c r="AQ54" s="39">
        <v>33.17</v>
      </c>
      <c r="AR54" s="39">
        <v>33.24</v>
      </c>
      <c r="AS54" s="39">
        <v>33.299999999999997</v>
      </c>
      <c r="AT54" s="39">
        <v>33.29</v>
      </c>
      <c r="AU54" s="39">
        <v>33.340000000000003</v>
      </c>
      <c r="AV54" s="39">
        <v>33.4</v>
      </c>
      <c r="AW54" s="39">
        <v>33.6</v>
      </c>
      <c r="AX54" s="39">
        <v>33.65</v>
      </c>
      <c r="AY54" s="39">
        <v>33.799999999999997</v>
      </c>
      <c r="AZ54" s="39">
        <v>33.92</v>
      </c>
      <c r="BA54" s="39">
        <v>34.03</v>
      </c>
      <c r="BB54" s="39">
        <v>34.14</v>
      </c>
      <c r="BC54" s="39">
        <v>34.26</v>
      </c>
      <c r="BD54" s="39">
        <v>34.35</v>
      </c>
      <c r="BE54" s="39">
        <v>34.47</v>
      </c>
      <c r="BF54" s="39">
        <v>34.6</v>
      </c>
      <c r="BG54" s="39">
        <v>34.729999999999997</v>
      </c>
      <c r="BH54" s="39">
        <v>34.869999999999997</v>
      </c>
      <c r="BI54" s="39">
        <v>35</v>
      </c>
      <c r="BJ54" s="39">
        <v>35.130000000000003</v>
      </c>
      <c r="BK54" s="39">
        <v>35.26</v>
      </c>
      <c r="BL54" s="39">
        <v>35.409999999999997</v>
      </c>
      <c r="BM54" s="39">
        <v>35.549999999999997</v>
      </c>
      <c r="BN54" s="39">
        <v>35.69</v>
      </c>
      <c r="BO54" s="39">
        <v>35.82</v>
      </c>
      <c r="BP54" s="39">
        <v>35.950000000000003</v>
      </c>
      <c r="BQ54" s="39">
        <v>36.08</v>
      </c>
      <c r="BR54" s="39">
        <v>36.21</v>
      </c>
      <c r="BS54" s="39">
        <v>36.340000000000003</v>
      </c>
      <c r="BT54" s="39">
        <v>36.47</v>
      </c>
      <c r="BU54" s="39">
        <v>36.6</v>
      </c>
      <c r="BV54" s="39">
        <v>36.72</v>
      </c>
      <c r="BW54" s="39">
        <v>36.85</v>
      </c>
      <c r="BX54" s="39">
        <v>36.979999999999997</v>
      </c>
      <c r="BY54" s="39">
        <v>37.1</v>
      </c>
      <c r="BZ54" s="39">
        <v>37.22</v>
      </c>
      <c r="CA54" s="39">
        <v>37.35</v>
      </c>
      <c r="CB54" s="39">
        <v>37.47</v>
      </c>
      <c r="CC54" s="39">
        <v>37.590000000000003</v>
      </c>
      <c r="CD54" s="39">
        <v>37.71</v>
      </c>
      <c r="CE54" s="39">
        <v>37.83</v>
      </c>
      <c r="CF54" s="39">
        <v>37.950000000000003</v>
      </c>
      <c r="CG54" s="39">
        <v>38.07</v>
      </c>
      <c r="CH54" s="39">
        <v>38.19</v>
      </c>
      <c r="CI54" s="39">
        <v>38.31</v>
      </c>
      <c r="CJ54" s="39">
        <v>38.42</v>
      </c>
      <c r="CK54" s="39">
        <v>38.54</v>
      </c>
      <c r="CL54" s="39">
        <v>38.65</v>
      </c>
      <c r="CM54" s="39">
        <v>38.76</v>
      </c>
      <c r="CN54" s="39">
        <v>38.880000000000003</v>
      </c>
      <c r="CO54" s="39">
        <v>38.99</v>
      </c>
      <c r="CP54" s="39">
        <v>39.1</v>
      </c>
      <c r="CQ54" s="39">
        <v>39.21</v>
      </c>
      <c r="CR54" s="39">
        <v>39.32</v>
      </c>
      <c r="CS54" s="39">
        <v>39.43</v>
      </c>
      <c r="CT54" s="39">
        <v>39.54</v>
      </c>
      <c r="CU54" s="39">
        <v>39.64</v>
      </c>
      <c r="CV54" s="39">
        <v>39.75</v>
      </c>
      <c r="CW54" s="39">
        <v>39.86</v>
      </c>
      <c r="CX54" s="39">
        <v>39.96</v>
      </c>
      <c r="CY54" s="39">
        <v>40.07</v>
      </c>
      <c r="CZ54" s="39">
        <v>40.17</v>
      </c>
      <c r="DA54" s="39">
        <v>40.270000000000003</v>
      </c>
      <c r="DB54" s="39">
        <v>40.369999999999997</v>
      </c>
      <c r="DC54" s="39">
        <v>40.47</v>
      </c>
      <c r="DD54" s="39">
        <v>40.57</v>
      </c>
      <c r="DE54" s="39">
        <v>40.67</v>
      </c>
      <c r="DF54" s="39">
        <v>40.770000000000003</v>
      </c>
      <c r="DG54" s="39">
        <v>40.869999999999997</v>
      </c>
      <c r="DH54" s="39">
        <v>40.97</v>
      </c>
      <c r="DI54" s="39">
        <v>41.06</v>
      </c>
      <c r="DJ54" s="39">
        <v>41.16</v>
      </c>
      <c r="DK54" s="39">
        <v>41.25</v>
      </c>
      <c r="DL54" s="39">
        <v>41.35</v>
      </c>
      <c r="DM54" s="39">
        <v>41.44</v>
      </c>
      <c r="DN54" s="39">
        <v>41.53</v>
      </c>
      <c r="DO54" s="39">
        <v>41.62</v>
      </c>
      <c r="DP54" s="39">
        <v>41.72</v>
      </c>
      <c r="DQ54" s="39">
        <v>41.81</v>
      </c>
      <c r="DR54" s="39">
        <v>41.89</v>
      </c>
    </row>
    <row r="55" spans="1:122">
      <c r="A55" s="44">
        <v>53</v>
      </c>
      <c r="B55" s="45"/>
      <c r="C55" s="45"/>
      <c r="D55" s="45"/>
      <c r="E55" s="45"/>
      <c r="F55" s="45"/>
      <c r="G55" s="45"/>
      <c r="H55" s="45"/>
      <c r="I55" s="45"/>
      <c r="J55" s="45"/>
      <c r="K55" s="45"/>
      <c r="L55" s="45"/>
      <c r="M55" s="45"/>
      <c r="N55" s="45"/>
      <c r="O55" s="45"/>
      <c r="P55" s="45"/>
      <c r="Q55" s="45"/>
      <c r="R55" s="45"/>
      <c r="S55" s="45"/>
      <c r="T55" s="45"/>
      <c r="U55" s="45"/>
      <c r="V55" s="39"/>
      <c r="W55" s="39">
        <v>28.76</v>
      </c>
      <c r="X55" s="39">
        <v>28.95</v>
      </c>
      <c r="Y55" s="39">
        <v>29.13</v>
      </c>
      <c r="Z55" s="39">
        <v>29.33</v>
      </c>
      <c r="AA55" s="39">
        <v>29.47</v>
      </c>
      <c r="AB55" s="39">
        <v>29.65</v>
      </c>
      <c r="AC55" s="39">
        <v>29.86</v>
      </c>
      <c r="AD55" s="39">
        <v>29.97</v>
      </c>
      <c r="AE55" s="39">
        <v>30.19</v>
      </c>
      <c r="AF55" s="39">
        <v>30.35</v>
      </c>
      <c r="AG55" s="39">
        <v>30.51</v>
      </c>
      <c r="AH55" s="39">
        <v>30.68</v>
      </c>
      <c r="AI55" s="39">
        <v>30.85</v>
      </c>
      <c r="AJ55" s="39">
        <v>31.08</v>
      </c>
      <c r="AK55" s="39">
        <v>31.3</v>
      </c>
      <c r="AL55" s="39">
        <v>31.55</v>
      </c>
      <c r="AM55" s="39">
        <v>31.77</v>
      </c>
      <c r="AN55" s="39">
        <v>31.97</v>
      </c>
      <c r="AO55" s="39">
        <v>32.11</v>
      </c>
      <c r="AP55" s="39">
        <v>32.229999999999997</v>
      </c>
      <c r="AQ55" s="39">
        <v>32.29</v>
      </c>
      <c r="AR55" s="39">
        <v>32.35</v>
      </c>
      <c r="AS55" s="39">
        <v>32.409999999999997</v>
      </c>
      <c r="AT55" s="39">
        <v>32.4</v>
      </c>
      <c r="AU55" s="39">
        <v>32.450000000000003</v>
      </c>
      <c r="AV55" s="39">
        <v>32.51</v>
      </c>
      <c r="AW55" s="39">
        <v>32.700000000000003</v>
      </c>
      <c r="AX55" s="39">
        <v>32.76</v>
      </c>
      <c r="AY55" s="39">
        <v>32.9</v>
      </c>
      <c r="AZ55" s="39">
        <v>33.020000000000003</v>
      </c>
      <c r="BA55" s="39">
        <v>33.130000000000003</v>
      </c>
      <c r="BB55" s="39">
        <v>33.24</v>
      </c>
      <c r="BC55" s="39">
        <v>33.36</v>
      </c>
      <c r="BD55" s="39">
        <v>33.450000000000003</v>
      </c>
      <c r="BE55" s="39">
        <v>33.57</v>
      </c>
      <c r="BF55" s="39">
        <v>33.69</v>
      </c>
      <c r="BG55" s="39">
        <v>33.82</v>
      </c>
      <c r="BH55" s="39">
        <v>33.97</v>
      </c>
      <c r="BI55" s="39">
        <v>34.090000000000003</v>
      </c>
      <c r="BJ55" s="39">
        <v>34.22</v>
      </c>
      <c r="BK55" s="39">
        <v>34.35</v>
      </c>
      <c r="BL55" s="39">
        <v>34.5</v>
      </c>
      <c r="BM55" s="39">
        <v>34.630000000000003</v>
      </c>
      <c r="BN55" s="39">
        <v>34.770000000000003</v>
      </c>
      <c r="BO55" s="39">
        <v>34.9</v>
      </c>
      <c r="BP55" s="39">
        <v>35.03</v>
      </c>
      <c r="BQ55" s="39">
        <v>35.159999999999997</v>
      </c>
      <c r="BR55" s="39">
        <v>35.29</v>
      </c>
      <c r="BS55" s="39">
        <v>35.42</v>
      </c>
      <c r="BT55" s="39">
        <v>35.54</v>
      </c>
      <c r="BU55" s="39">
        <v>35.67</v>
      </c>
      <c r="BV55" s="39">
        <v>35.799999999999997</v>
      </c>
      <c r="BW55" s="39">
        <v>35.92</v>
      </c>
      <c r="BX55" s="39">
        <v>36.049999999999997</v>
      </c>
      <c r="BY55" s="39">
        <v>36.17</v>
      </c>
      <c r="BZ55" s="39">
        <v>36.29</v>
      </c>
      <c r="CA55" s="39">
        <v>36.42</v>
      </c>
      <c r="CB55" s="39">
        <v>36.54</v>
      </c>
      <c r="CC55" s="39">
        <v>36.659999999999997</v>
      </c>
      <c r="CD55" s="39">
        <v>36.78</v>
      </c>
      <c r="CE55" s="39">
        <v>36.9</v>
      </c>
      <c r="CF55" s="39">
        <v>37.01</v>
      </c>
      <c r="CG55" s="39">
        <v>37.130000000000003</v>
      </c>
      <c r="CH55" s="39">
        <v>37.25</v>
      </c>
      <c r="CI55" s="39">
        <v>37.36</v>
      </c>
      <c r="CJ55" s="39">
        <v>37.479999999999997</v>
      </c>
      <c r="CK55" s="39">
        <v>37.590000000000003</v>
      </c>
      <c r="CL55" s="39">
        <v>37.71</v>
      </c>
      <c r="CM55" s="39">
        <v>37.82</v>
      </c>
      <c r="CN55" s="39">
        <v>37.93</v>
      </c>
      <c r="CO55" s="39">
        <v>38.04</v>
      </c>
      <c r="CP55" s="39">
        <v>38.15</v>
      </c>
      <c r="CQ55" s="39">
        <v>38.26</v>
      </c>
      <c r="CR55" s="39">
        <v>38.369999999999997</v>
      </c>
      <c r="CS55" s="39">
        <v>38.479999999999997</v>
      </c>
      <c r="CT55" s="39">
        <v>38.590000000000003</v>
      </c>
      <c r="CU55" s="39">
        <v>38.69</v>
      </c>
      <c r="CV55" s="39">
        <v>38.799999999999997</v>
      </c>
      <c r="CW55" s="39">
        <v>38.9</v>
      </c>
      <c r="CX55" s="39">
        <v>39.01</v>
      </c>
      <c r="CY55" s="39">
        <v>39.11</v>
      </c>
      <c r="CZ55" s="39">
        <v>39.21</v>
      </c>
      <c r="DA55" s="39">
        <v>39.32</v>
      </c>
      <c r="DB55" s="39">
        <v>39.42</v>
      </c>
      <c r="DC55" s="39">
        <v>39.520000000000003</v>
      </c>
      <c r="DD55" s="39">
        <v>39.619999999999997</v>
      </c>
      <c r="DE55" s="39">
        <v>39.71</v>
      </c>
      <c r="DF55" s="39">
        <v>39.81</v>
      </c>
      <c r="DG55" s="39">
        <v>39.909999999999997</v>
      </c>
      <c r="DH55" s="39">
        <v>40.01</v>
      </c>
      <c r="DI55" s="39">
        <v>40.1</v>
      </c>
      <c r="DJ55" s="39">
        <v>40.200000000000003</v>
      </c>
      <c r="DK55" s="39">
        <v>40.29</v>
      </c>
      <c r="DL55" s="39">
        <v>40.380000000000003</v>
      </c>
      <c r="DM55" s="39">
        <v>40.479999999999997</v>
      </c>
      <c r="DN55" s="39">
        <v>40.57</v>
      </c>
      <c r="DO55" s="39">
        <v>40.659999999999997</v>
      </c>
      <c r="DP55" s="39">
        <v>40.75</v>
      </c>
      <c r="DQ55" s="39">
        <v>40.840000000000003</v>
      </c>
      <c r="DR55" s="39">
        <v>40.93</v>
      </c>
    </row>
    <row r="56" spans="1:122">
      <c r="A56" s="44">
        <v>54</v>
      </c>
      <c r="B56" s="45"/>
      <c r="C56" s="45"/>
      <c r="D56" s="45"/>
      <c r="E56" s="45"/>
      <c r="F56" s="45"/>
      <c r="G56" s="45"/>
      <c r="H56" s="45"/>
      <c r="I56" s="45"/>
      <c r="J56" s="45"/>
      <c r="K56" s="45"/>
      <c r="L56" s="45"/>
      <c r="M56" s="45"/>
      <c r="N56" s="45"/>
      <c r="O56" s="45"/>
      <c r="P56" s="45"/>
      <c r="Q56" s="45"/>
      <c r="R56" s="45"/>
      <c r="S56" s="45"/>
      <c r="T56" s="45"/>
      <c r="U56" s="45"/>
      <c r="V56" s="39"/>
      <c r="W56" s="39">
        <v>27.91</v>
      </c>
      <c r="X56" s="39">
        <v>28.1</v>
      </c>
      <c r="Y56" s="39">
        <v>28.28</v>
      </c>
      <c r="Z56" s="39">
        <v>28.48</v>
      </c>
      <c r="AA56" s="39">
        <v>28.62</v>
      </c>
      <c r="AB56" s="39">
        <v>28.79</v>
      </c>
      <c r="AC56" s="39">
        <v>29</v>
      </c>
      <c r="AD56" s="39">
        <v>29.11</v>
      </c>
      <c r="AE56" s="39">
        <v>29.33</v>
      </c>
      <c r="AF56" s="39">
        <v>29.48</v>
      </c>
      <c r="AG56" s="39">
        <v>29.64</v>
      </c>
      <c r="AH56" s="39">
        <v>29.81</v>
      </c>
      <c r="AI56" s="39">
        <v>29.97</v>
      </c>
      <c r="AJ56" s="39">
        <v>30.21</v>
      </c>
      <c r="AK56" s="39">
        <v>30.42</v>
      </c>
      <c r="AL56" s="39">
        <v>30.67</v>
      </c>
      <c r="AM56" s="39">
        <v>30.89</v>
      </c>
      <c r="AN56" s="39">
        <v>31.09</v>
      </c>
      <c r="AO56" s="39">
        <v>31.23</v>
      </c>
      <c r="AP56" s="39">
        <v>31.33</v>
      </c>
      <c r="AQ56" s="39">
        <v>31.4</v>
      </c>
      <c r="AR56" s="39">
        <v>31.46</v>
      </c>
      <c r="AS56" s="39">
        <v>31.52</v>
      </c>
      <c r="AT56" s="39">
        <v>31.51</v>
      </c>
      <c r="AU56" s="39">
        <v>31.56</v>
      </c>
      <c r="AV56" s="39">
        <v>31.62</v>
      </c>
      <c r="AW56" s="39">
        <v>31.81</v>
      </c>
      <c r="AX56" s="39">
        <v>31.87</v>
      </c>
      <c r="AY56" s="39">
        <v>32</v>
      </c>
      <c r="AZ56" s="39">
        <v>32.119999999999997</v>
      </c>
      <c r="BA56" s="39">
        <v>32.24</v>
      </c>
      <c r="BB56" s="39">
        <v>32.340000000000003</v>
      </c>
      <c r="BC56" s="39">
        <v>32.46</v>
      </c>
      <c r="BD56" s="39">
        <v>32.549999999999997</v>
      </c>
      <c r="BE56" s="39">
        <v>32.67</v>
      </c>
      <c r="BF56" s="39">
        <v>32.79</v>
      </c>
      <c r="BG56" s="39">
        <v>32.92</v>
      </c>
      <c r="BH56" s="39">
        <v>33.07</v>
      </c>
      <c r="BI56" s="39">
        <v>33.19</v>
      </c>
      <c r="BJ56" s="39">
        <v>33.32</v>
      </c>
      <c r="BK56" s="39">
        <v>33.450000000000003</v>
      </c>
      <c r="BL56" s="39">
        <v>33.590000000000003</v>
      </c>
      <c r="BM56" s="39">
        <v>33.72</v>
      </c>
      <c r="BN56" s="39">
        <v>33.86</v>
      </c>
      <c r="BO56" s="39">
        <v>33.979999999999997</v>
      </c>
      <c r="BP56" s="39">
        <v>34.11</v>
      </c>
      <c r="BQ56" s="39">
        <v>34.24</v>
      </c>
      <c r="BR56" s="39">
        <v>34.369999999999997</v>
      </c>
      <c r="BS56" s="39">
        <v>34.5</v>
      </c>
      <c r="BT56" s="39">
        <v>34.619999999999997</v>
      </c>
      <c r="BU56" s="39">
        <v>34.75</v>
      </c>
      <c r="BV56" s="39">
        <v>34.869999999999997</v>
      </c>
      <c r="BW56" s="39">
        <v>35</v>
      </c>
      <c r="BX56" s="39">
        <v>35.119999999999997</v>
      </c>
      <c r="BY56" s="39">
        <v>35.24</v>
      </c>
      <c r="BZ56" s="39">
        <v>35.369999999999997</v>
      </c>
      <c r="CA56" s="39">
        <v>35.49</v>
      </c>
      <c r="CB56" s="39">
        <v>35.61</v>
      </c>
      <c r="CC56" s="39">
        <v>35.729999999999997</v>
      </c>
      <c r="CD56" s="39">
        <v>35.85</v>
      </c>
      <c r="CE56" s="39">
        <v>35.96</v>
      </c>
      <c r="CF56" s="39">
        <v>36.08</v>
      </c>
      <c r="CG56" s="39">
        <v>36.200000000000003</v>
      </c>
      <c r="CH56" s="39">
        <v>36.31</v>
      </c>
      <c r="CI56" s="39">
        <v>36.43</v>
      </c>
      <c r="CJ56" s="39">
        <v>36.54</v>
      </c>
      <c r="CK56" s="39">
        <v>36.659999999999997</v>
      </c>
      <c r="CL56" s="39">
        <v>36.770000000000003</v>
      </c>
      <c r="CM56" s="39">
        <v>36.880000000000003</v>
      </c>
      <c r="CN56" s="39">
        <v>36.99</v>
      </c>
      <c r="CO56" s="39">
        <v>37.1</v>
      </c>
      <c r="CP56" s="39">
        <v>37.21</v>
      </c>
      <c r="CQ56" s="39">
        <v>37.32</v>
      </c>
      <c r="CR56" s="39">
        <v>37.43</v>
      </c>
      <c r="CS56" s="39">
        <v>37.53</v>
      </c>
      <c r="CT56" s="39">
        <v>37.64</v>
      </c>
      <c r="CU56" s="39">
        <v>37.75</v>
      </c>
      <c r="CV56" s="39">
        <v>37.85</v>
      </c>
      <c r="CW56" s="39">
        <v>37.950000000000003</v>
      </c>
      <c r="CX56" s="39">
        <v>38.06</v>
      </c>
      <c r="CY56" s="39">
        <v>38.159999999999997</v>
      </c>
      <c r="CZ56" s="39">
        <v>38.26</v>
      </c>
      <c r="DA56" s="39">
        <v>38.36</v>
      </c>
      <c r="DB56" s="39">
        <v>38.46</v>
      </c>
      <c r="DC56" s="39">
        <v>38.56</v>
      </c>
      <c r="DD56" s="39">
        <v>38.659999999999997</v>
      </c>
      <c r="DE56" s="39">
        <v>38.76</v>
      </c>
      <c r="DF56" s="39">
        <v>38.86</v>
      </c>
      <c r="DG56" s="39">
        <v>38.950000000000003</v>
      </c>
      <c r="DH56" s="39">
        <v>39.049999999999997</v>
      </c>
      <c r="DI56" s="39">
        <v>39.14</v>
      </c>
      <c r="DJ56" s="39">
        <v>39.24</v>
      </c>
      <c r="DK56" s="39">
        <v>39.33</v>
      </c>
      <c r="DL56" s="39">
        <v>39.42</v>
      </c>
      <c r="DM56" s="39">
        <v>39.51</v>
      </c>
      <c r="DN56" s="39">
        <v>39.61</v>
      </c>
      <c r="DO56" s="39">
        <v>39.700000000000003</v>
      </c>
      <c r="DP56" s="39">
        <v>39.79</v>
      </c>
      <c r="DQ56" s="39">
        <v>39.880000000000003</v>
      </c>
      <c r="DR56" s="39">
        <v>39.96</v>
      </c>
    </row>
    <row r="57" spans="1:122">
      <c r="A57" s="44">
        <v>55</v>
      </c>
      <c r="B57" s="45"/>
      <c r="C57" s="45"/>
      <c r="D57" s="45"/>
      <c r="E57" s="45"/>
      <c r="F57" s="45"/>
      <c r="G57" s="45"/>
      <c r="H57" s="45"/>
      <c r="I57" s="45"/>
      <c r="J57" s="45"/>
      <c r="K57" s="45"/>
      <c r="L57" s="45"/>
      <c r="M57" s="45"/>
      <c r="N57" s="45"/>
      <c r="O57" s="45"/>
      <c r="P57" s="45"/>
      <c r="Q57" s="45"/>
      <c r="R57" s="45"/>
      <c r="S57" s="45"/>
      <c r="T57" s="45"/>
      <c r="U57" s="45"/>
      <c r="V57" s="39"/>
      <c r="W57" s="39">
        <v>27.07</v>
      </c>
      <c r="X57" s="39">
        <v>27.25</v>
      </c>
      <c r="Y57" s="39">
        <v>27.43</v>
      </c>
      <c r="Z57" s="39">
        <v>27.62</v>
      </c>
      <c r="AA57" s="39">
        <v>27.76</v>
      </c>
      <c r="AB57" s="39">
        <v>27.94</v>
      </c>
      <c r="AC57" s="39">
        <v>28.14</v>
      </c>
      <c r="AD57" s="39">
        <v>28.25</v>
      </c>
      <c r="AE57" s="39">
        <v>28.46</v>
      </c>
      <c r="AF57" s="39">
        <v>28.61</v>
      </c>
      <c r="AG57" s="39">
        <v>28.78</v>
      </c>
      <c r="AH57" s="39">
        <v>28.94</v>
      </c>
      <c r="AI57" s="39">
        <v>29.1</v>
      </c>
      <c r="AJ57" s="39">
        <v>29.34</v>
      </c>
      <c r="AK57" s="39">
        <v>29.55</v>
      </c>
      <c r="AL57" s="39">
        <v>29.8</v>
      </c>
      <c r="AM57" s="39">
        <v>30.02</v>
      </c>
      <c r="AN57" s="39">
        <v>30.21</v>
      </c>
      <c r="AO57" s="39">
        <v>30.35</v>
      </c>
      <c r="AP57" s="39">
        <v>30.45</v>
      </c>
      <c r="AQ57" s="39">
        <v>30.52</v>
      </c>
      <c r="AR57" s="39">
        <v>30.58</v>
      </c>
      <c r="AS57" s="39">
        <v>30.63</v>
      </c>
      <c r="AT57" s="39">
        <v>30.63</v>
      </c>
      <c r="AU57" s="39">
        <v>30.68</v>
      </c>
      <c r="AV57" s="39">
        <v>30.73</v>
      </c>
      <c r="AW57" s="39">
        <v>30.93</v>
      </c>
      <c r="AX57" s="39">
        <v>30.98</v>
      </c>
      <c r="AY57" s="39">
        <v>31.11</v>
      </c>
      <c r="AZ57" s="39">
        <v>31.23</v>
      </c>
      <c r="BA57" s="39">
        <v>31.34</v>
      </c>
      <c r="BB57" s="39">
        <v>31.44</v>
      </c>
      <c r="BC57" s="39">
        <v>31.55</v>
      </c>
      <c r="BD57" s="39">
        <v>31.65</v>
      </c>
      <c r="BE57" s="39">
        <v>31.77</v>
      </c>
      <c r="BF57" s="39">
        <v>31.9</v>
      </c>
      <c r="BG57" s="39">
        <v>32.020000000000003</v>
      </c>
      <c r="BH57" s="39">
        <v>32.17</v>
      </c>
      <c r="BI57" s="39">
        <v>32.29</v>
      </c>
      <c r="BJ57" s="39">
        <v>32.42</v>
      </c>
      <c r="BK57" s="39">
        <v>32.549999999999997</v>
      </c>
      <c r="BL57" s="39">
        <v>32.68</v>
      </c>
      <c r="BM57" s="39">
        <v>32.82</v>
      </c>
      <c r="BN57" s="39">
        <v>32.950000000000003</v>
      </c>
      <c r="BO57" s="39">
        <v>33.08</v>
      </c>
      <c r="BP57" s="39">
        <v>33.200000000000003</v>
      </c>
      <c r="BQ57" s="39">
        <v>33.33</v>
      </c>
      <c r="BR57" s="39">
        <v>33.46</v>
      </c>
      <c r="BS57" s="39">
        <v>33.58</v>
      </c>
      <c r="BT57" s="39">
        <v>33.71</v>
      </c>
      <c r="BU57" s="39">
        <v>33.83</v>
      </c>
      <c r="BV57" s="39">
        <v>33.96</v>
      </c>
      <c r="BW57" s="39">
        <v>34.08</v>
      </c>
      <c r="BX57" s="39">
        <v>34.200000000000003</v>
      </c>
      <c r="BY57" s="39">
        <v>34.32</v>
      </c>
      <c r="BZ57" s="39">
        <v>34.44</v>
      </c>
      <c r="CA57" s="39">
        <v>34.56</v>
      </c>
      <c r="CB57" s="39">
        <v>34.68</v>
      </c>
      <c r="CC57" s="39">
        <v>34.799999999999997</v>
      </c>
      <c r="CD57" s="39">
        <v>34.92</v>
      </c>
      <c r="CE57" s="39">
        <v>35.04</v>
      </c>
      <c r="CF57" s="39">
        <v>35.15</v>
      </c>
      <c r="CG57" s="39">
        <v>35.270000000000003</v>
      </c>
      <c r="CH57" s="39">
        <v>35.380000000000003</v>
      </c>
      <c r="CI57" s="39">
        <v>35.5</v>
      </c>
      <c r="CJ57" s="39">
        <v>35.61</v>
      </c>
      <c r="CK57" s="39">
        <v>35.72</v>
      </c>
      <c r="CL57" s="39">
        <v>35.83</v>
      </c>
      <c r="CM57" s="39">
        <v>35.94</v>
      </c>
      <c r="CN57" s="39">
        <v>36.049999999999997</v>
      </c>
      <c r="CO57" s="39">
        <v>36.159999999999997</v>
      </c>
      <c r="CP57" s="39">
        <v>36.270000000000003</v>
      </c>
      <c r="CQ57" s="39">
        <v>36.380000000000003</v>
      </c>
      <c r="CR57" s="39">
        <v>36.479999999999997</v>
      </c>
      <c r="CS57" s="39">
        <v>36.590000000000003</v>
      </c>
      <c r="CT57" s="39">
        <v>36.700000000000003</v>
      </c>
      <c r="CU57" s="39">
        <v>36.799999999999997</v>
      </c>
      <c r="CV57" s="39">
        <v>36.9</v>
      </c>
      <c r="CW57" s="39">
        <v>37.01</v>
      </c>
      <c r="CX57" s="39">
        <v>37.11</v>
      </c>
      <c r="CY57" s="39">
        <v>37.21</v>
      </c>
      <c r="CZ57" s="39">
        <v>37.31</v>
      </c>
      <c r="DA57" s="39">
        <v>37.409999999999997</v>
      </c>
      <c r="DB57" s="39">
        <v>37.51</v>
      </c>
      <c r="DC57" s="39">
        <v>37.61</v>
      </c>
      <c r="DD57" s="39">
        <v>37.71</v>
      </c>
      <c r="DE57" s="39">
        <v>37.81</v>
      </c>
      <c r="DF57" s="39">
        <v>37.9</v>
      </c>
      <c r="DG57" s="39">
        <v>38</v>
      </c>
      <c r="DH57" s="39">
        <v>38.090000000000003</v>
      </c>
      <c r="DI57" s="39">
        <v>38.19</v>
      </c>
      <c r="DJ57" s="39">
        <v>38.28</v>
      </c>
      <c r="DK57" s="39">
        <v>38.369999999999997</v>
      </c>
      <c r="DL57" s="39">
        <v>38.46</v>
      </c>
      <c r="DM57" s="39">
        <v>38.56</v>
      </c>
      <c r="DN57" s="39">
        <v>38.65</v>
      </c>
      <c r="DO57" s="39">
        <v>38.74</v>
      </c>
      <c r="DP57" s="39">
        <v>38.83</v>
      </c>
      <c r="DQ57" s="39">
        <v>38.909999999999997</v>
      </c>
      <c r="DR57" s="39">
        <v>39</v>
      </c>
    </row>
    <row r="58" spans="1:122">
      <c r="A58" s="44">
        <v>56</v>
      </c>
      <c r="B58" s="45"/>
      <c r="C58" s="45"/>
      <c r="D58" s="45"/>
      <c r="E58" s="45"/>
      <c r="F58" s="45"/>
      <c r="G58" s="45"/>
      <c r="H58" s="45"/>
      <c r="I58" s="45"/>
      <c r="J58" s="45"/>
      <c r="K58" s="45"/>
      <c r="L58" s="45"/>
      <c r="M58" s="45"/>
      <c r="N58" s="45"/>
      <c r="O58" s="45"/>
      <c r="P58" s="45"/>
      <c r="Q58" s="45"/>
      <c r="R58" s="45"/>
      <c r="S58" s="45"/>
      <c r="T58" s="45"/>
      <c r="U58" s="45"/>
      <c r="V58" s="39"/>
      <c r="W58" s="39">
        <v>26.23</v>
      </c>
      <c r="X58" s="39">
        <v>26.4</v>
      </c>
      <c r="Y58" s="39">
        <v>26.58</v>
      </c>
      <c r="Z58" s="39">
        <v>26.78</v>
      </c>
      <c r="AA58" s="39">
        <v>26.91</v>
      </c>
      <c r="AB58" s="39">
        <v>27.09</v>
      </c>
      <c r="AC58" s="39">
        <v>27.29</v>
      </c>
      <c r="AD58" s="39">
        <v>27.4</v>
      </c>
      <c r="AE58" s="39">
        <v>27.6</v>
      </c>
      <c r="AF58" s="39">
        <v>27.76</v>
      </c>
      <c r="AG58" s="39">
        <v>27.91</v>
      </c>
      <c r="AH58" s="39">
        <v>28.08</v>
      </c>
      <c r="AI58" s="39">
        <v>28.24</v>
      </c>
      <c r="AJ58" s="39">
        <v>28.48</v>
      </c>
      <c r="AK58" s="39">
        <v>28.69</v>
      </c>
      <c r="AL58" s="39">
        <v>28.93</v>
      </c>
      <c r="AM58" s="39">
        <v>29.15</v>
      </c>
      <c r="AN58" s="39">
        <v>29.33</v>
      </c>
      <c r="AO58" s="39">
        <v>29.47</v>
      </c>
      <c r="AP58" s="39">
        <v>29.57</v>
      </c>
      <c r="AQ58" s="39">
        <v>29.64</v>
      </c>
      <c r="AR58" s="39">
        <v>29.69</v>
      </c>
      <c r="AS58" s="39">
        <v>29.75</v>
      </c>
      <c r="AT58" s="39">
        <v>29.75</v>
      </c>
      <c r="AU58" s="39">
        <v>29.79</v>
      </c>
      <c r="AV58" s="39">
        <v>29.85</v>
      </c>
      <c r="AW58" s="39">
        <v>30.04</v>
      </c>
      <c r="AX58" s="39">
        <v>30.09</v>
      </c>
      <c r="AY58" s="39">
        <v>30.23</v>
      </c>
      <c r="AZ58" s="39">
        <v>30.34</v>
      </c>
      <c r="BA58" s="39">
        <v>30.45</v>
      </c>
      <c r="BB58" s="39">
        <v>30.56</v>
      </c>
      <c r="BC58" s="39">
        <v>30.66</v>
      </c>
      <c r="BD58" s="39">
        <v>30.76</v>
      </c>
      <c r="BE58" s="39">
        <v>30.88</v>
      </c>
      <c r="BF58" s="39">
        <v>31.01</v>
      </c>
      <c r="BG58" s="39">
        <v>31.13</v>
      </c>
      <c r="BH58" s="39">
        <v>31.27</v>
      </c>
      <c r="BI58" s="39">
        <v>31.39</v>
      </c>
      <c r="BJ58" s="39">
        <v>31.53</v>
      </c>
      <c r="BK58" s="39">
        <v>31.65</v>
      </c>
      <c r="BL58" s="39">
        <v>31.79</v>
      </c>
      <c r="BM58" s="39">
        <v>31.92</v>
      </c>
      <c r="BN58" s="39">
        <v>32.049999999999997</v>
      </c>
      <c r="BO58" s="39">
        <v>32.17</v>
      </c>
      <c r="BP58" s="39">
        <v>32.299999999999997</v>
      </c>
      <c r="BQ58" s="39">
        <v>32.42</v>
      </c>
      <c r="BR58" s="39">
        <v>32.549999999999997</v>
      </c>
      <c r="BS58" s="39">
        <v>32.67</v>
      </c>
      <c r="BT58" s="39">
        <v>32.799999999999997</v>
      </c>
      <c r="BU58" s="39">
        <v>32.92</v>
      </c>
      <c r="BV58" s="39">
        <v>33.04</v>
      </c>
      <c r="BW58" s="39">
        <v>33.159999999999997</v>
      </c>
      <c r="BX58" s="39">
        <v>33.29</v>
      </c>
      <c r="BY58" s="39">
        <v>33.409999999999997</v>
      </c>
      <c r="BZ58" s="39">
        <v>33.53</v>
      </c>
      <c r="CA58" s="39">
        <v>33.64</v>
      </c>
      <c r="CB58" s="39">
        <v>33.76</v>
      </c>
      <c r="CC58" s="39">
        <v>33.880000000000003</v>
      </c>
      <c r="CD58" s="39">
        <v>34</v>
      </c>
      <c r="CE58" s="39">
        <v>34.11</v>
      </c>
      <c r="CF58" s="39">
        <v>34.229999999999997</v>
      </c>
      <c r="CG58" s="39">
        <v>34.340000000000003</v>
      </c>
      <c r="CH58" s="39">
        <v>34.450000000000003</v>
      </c>
      <c r="CI58" s="39">
        <v>34.57</v>
      </c>
      <c r="CJ58" s="39">
        <v>34.68</v>
      </c>
      <c r="CK58" s="39">
        <v>34.79</v>
      </c>
      <c r="CL58" s="39">
        <v>34.9</v>
      </c>
      <c r="CM58" s="39">
        <v>35.01</v>
      </c>
      <c r="CN58" s="39">
        <v>35.119999999999997</v>
      </c>
      <c r="CO58" s="39">
        <v>35.229999999999997</v>
      </c>
      <c r="CP58" s="39">
        <v>35.33</v>
      </c>
      <c r="CQ58" s="39">
        <v>35.44</v>
      </c>
      <c r="CR58" s="39">
        <v>35.549999999999997</v>
      </c>
      <c r="CS58" s="39">
        <v>35.65</v>
      </c>
      <c r="CT58" s="39">
        <v>35.76</v>
      </c>
      <c r="CU58" s="39">
        <v>35.86</v>
      </c>
      <c r="CV58" s="39">
        <v>35.96</v>
      </c>
      <c r="CW58" s="39">
        <v>36.06</v>
      </c>
      <c r="CX58" s="39">
        <v>36.17</v>
      </c>
      <c r="CY58" s="39">
        <v>36.270000000000003</v>
      </c>
      <c r="CZ58" s="39">
        <v>36.369999999999997</v>
      </c>
      <c r="DA58" s="39">
        <v>36.47</v>
      </c>
      <c r="DB58" s="39">
        <v>36.56</v>
      </c>
      <c r="DC58" s="39">
        <v>36.659999999999997</v>
      </c>
      <c r="DD58" s="39">
        <v>36.76</v>
      </c>
      <c r="DE58" s="39">
        <v>36.86</v>
      </c>
      <c r="DF58" s="39">
        <v>36.950000000000003</v>
      </c>
      <c r="DG58" s="39">
        <v>37.049999999999997</v>
      </c>
      <c r="DH58" s="39">
        <v>37.14</v>
      </c>
      <c r="DI58" s="39">
        <v>37.229999999999997</v>
      </c>
      <c r="DJ58" s="39">
        <v>37.33</v>
      </c>
      <c r="DK58" s="39">
        <v>37.42</v>
      </c>
      <c r="DL58" s="39">
        <v>37.51</v>
      </c>
      <c r="DM58" s="39">
        <v>37.6</v>
      </c>
      <c r="DN58" s="39">
        <v>37.69</v>
      </c>
      <c r="DO58" s="39">
        <v>37.78</v>
      </c>
      <c r="DP58" s="39">
        <v>37.869999999999997</v>
      </c>
      <c r="DQ58" s="39">
        <v>37.950000000000003</v>
      </c>
      <c r="DR58" s="39">
        <v>38.04</v>
      </c>
    </row>
    <row r="59" spans="1:122">
      <c r="A59" s="44">
        <v>57</v>
      </c>
      <c r="B59" s="45"/>
      <c r="C59" s="45"/>
      <c r="D59" s="45"/>
      <c r="E59" s="45"/>
      <c r="F59" s="45"/>
      <c r="G59" s="45"/>
      <c r="H59" s="45"/>
      <c r="I59" s="45"/>
      <c r="J59" s="45"/>
      <c r="K59" s="45"/>
      <c r="L59" s="45"/>
      <c r="M59" s="45"/>
      <c r="N59" s="45"/>
      <c r="O59" s="45"/>
      <c r="P59" s="45"/>
      <c r="Q59" s="45"/>
      <c r="R59" s="45"/>
      <c r="S59" s="45"/>
      <c r="T59" s="45"/>
      <c r="U59" s="45"/>
      <c r="V59" s="39"/>
      <c r="W59" s="39">
        <v>25.39</v>
      </c>
      <c r="X59" s="39">
        <v>25.57</v>
      </c>
      <c r="Y59" s="39">
        <v>25.75</v>
      </c>
      <c r="Z59" s="39">
        <v>25.94</v>
      </c>
      <c r="AA59" s="39">
        <v>26.08</v>
      </c>
      <c r="AB59" s="39">
        <v>26.25</v>
      </c>
      <c r="AC59" s="39">
        <v>26.45</v>
      </c>
      <c r="AD59" s="39">
        <v>26.55</v>
      </c>
      <c r="AE59" s="39">
        <v>26.75</v>
      </c>
      <c r="AF59" s="39">
        <v>26.91</v>
      </c>
      <c r="AG59" s="39">
        <v>27.06</v>
      </c>
      <c r="AH59" s="39">
        <v>27.23</v>
      </c>
      <c r="AI59" s="39">
        <v>27.39</v>
      </c>
      <c r="AJ59" s="39">
        <v>27.62</v>
      </c>
      <c r="AK59" s="39">
        <v>27.82</v>
      </c>
      <c r="AL59" s="39">
        <v>28.06</v>
      </c>
      <c r="AM59" s="39">
        <v>28.28</v>
      </c>
      <c r="AN59" s="39">
        <v>28.46</v>
      </c>
      <c r="AO59" s="39">
        <v>28.6</v>
      </c>
      <c r="AP59" s="39">
        <v>28.7</v>
      </c>
      <c r="AQ59" s="39">
        <v>28.77</v>
      </c>
      <c r="AR59" s="39">
        <v>28.81</v>
      </c>
      <c r="AS59" s="39">
        <v>28.87</v>
      </c>
      <c r="AT59" s="39">
        <v>28.87</v>
      </c>
      <c r="AU59" s="39">
        <v>28.91</v>
      </c>
      <c r="AV59" s="39">
        <v>28.97</v>
      </c>
      <c r="AW59" s="39">
        <v>29.16</v>
      </c>
      <c r="AX59" s="39">
        <v>29.21</v>
      </c>
      <c r="AY59" s="39">
        <v>29.34</v>
      </c>
      <c r="AZ59" s="39">
        <v>29.46</v>
      </c>
      <c r="BA59" s="39">
        <v>29.57</v>
      </c>
      <c r="BB59" s="39">
        <v>29.67</v>
      </c>
      <c r="BC59" s="39">
        <v>29.77</v>
      </c>
      <c r="BD59" s="39">
        <v>29.88</v>
      </c>
      <c r="BE59" s="39">
        <v>30</v>
      </c>
      <c r="BF59" s="39">
        <v>30.13</v>
      </c>
      <c r="BG59" s="39">
        <v>30.25</v>
      </c>
      <c r="BH59" s="39">
        <v>30.38</v>
      </c>
      <c r="BI59" s="39">
        <v>30.51</v>
      </c>
      <c r="BJ59" s="39">
        <v>30.64</v>
      </c>
      <c r="BK59" s="39">
        <v>30.77</v>
      </c>
      <c r="BL59" s="39">
        <v>30.9</v>
      </c>
      <c r="BM59" s="39">
        <v>31.02</v>
      </c>
      <c r="BN59" s="39">
        <v>31.15</v>
      </c>
      <c r="BO59" s="39">
        <v>31.28</v>
      </c>
      <c r="BP59" s="39">
        <v>31.4</v>
      </c>
      <c r="BQ59" s="39">
        <v>31.52</v>
      </c>
      <c r="BR59" s="39">
        <v>31.65</v>
      </c>
      <c r="BS59" s="39">
        <v>31.77</v>
      </c>
      <c r="BT59" s="39">
        <v>31.89</v>
      </c>
      <c r="BU59" s="39">
        <v>32.020000000000003</v>
      </c>
      <c r="BV59" s="39">
        <v>32.14</v>
      </c>
      <c r="BW59" s="39">
        <v>32.26</v>
      </c>
      <c r="BX59" s="39">
        <v>32.380000000000003</v>
      </c>
      <c r="BY59" s="39">
        <v>32.49</v>
      </c>
      <c r="BZ59" s="39">
        <v>32.61</v>
      </c>
      <c r="CA59" s="39">
        <v>32.729999999999997</v>
      </c>
      <c r="CB59" s="39">
        <v>32.85</v>
      </c>
      <c r="CC59" s="39">
        <v>32.96</v>
      </c>
      <c r="CD59" s="39">
        <v>33.08</v>
      </c>
      <c r="CE59" s="39">
        <v>33.19</v>
      </c>
      <c r="CF59" s="39">
        <v>33.31</v>
      </c>
      <c r="CG59" s="39">
        <v>33.42</v>
      </c>
      <c r="CH59" s="39">
        <v>33.53</v>
      </c>
      <c r="CI59" s="39">
        <v>33.64</v>
      </c>
      <c r="CJ59" s="39">
        <v>33.75</v>
      </c>
      <c r="CK59" s="39">
        <v>33.86</v>
      </c>
      <c r="CL59" s="39">
        <v>33.97</v>
      </c>
      <c r="CM59" s="39">
        <v>34.08</v>
      </c>
      <c r="CN59" s="39">
        <v>34.19</v>
      </c>
      <c r="CO59" s="39">
        <v>34.299999999999997</v>
      </c>
      <c r="CP59" s="39">
        <v>34.4</v>
      </c>
      <c r="CQ59" s="39">
        <v>34.51</v>
      </c>
      <c r="CR59" s="39">
        <v>34.61</v>
      </c>
      <c r="CS59" s="39">
        <v>34.72</v>
      </c>
      <c r="CT59" s="39">
        <v>34.82</v>
      </c>
      <c r="CU59" s="39">
        <v>34.92</v>
      </c>
      <c r="CV59" s="39">
        <v>35.020000000000003</v>
      </c>
      <c r="CW59" s="39">
        <v>35.130000000000003</v>
      </c>
      <c r="CX59" s="39">
        <v>35.229999999999997</v>
      </c>
      <c r="CY59" s="39">
        <v>35.33</v>
      </c>
      <c r="CZ59" s="39">
        <v>35.42</v>
      </c>
      <c r="DA59" s="39">
        <v>35.520000000000003</v>
      </c>
      <c r="DB59" s="39">
        <v>35.619999999999997</v>
      </c>
      <c r="DC59" s="39">
        <v>35.72</v>
      </c>
      <c r="DD59" s="39">
        <v>35.81</v>
      </c>
      <c r="DE59" s="39">
        <v>35.909999999999997</v>
      </c>
      <c r="DF59" s="39">
        <v>36</v>
      </c>
      <c r="DG59" s="39">
        <v>36.1</v>
      </c>
      <c r="DH59" s="39">
        <v>36.19</v>
      </c>
      <c r="DI59" s="39">
        <v>36.28</v>
      </c>
      <c r="DJ59" s="39">
        <v>36.380000000000003</v>
      </c>
      <c r="DK59" s="39">
        <v>36.47</v>
      </c>
      <c r="DL59" s="39">
        <v>36.56</v>
      </c>
      <c r="DM59" s="39">
        <v>36.65</v>
      </c>
      <c r="DN59" s="39">
        <v>36.74</v>
      </c>
      <c r="DO59" s="39">
        <v>36.82</v>
      </c>
      <c r="DP59" s="39">
        <v>36.909999999999997</v>
      </c>
      <c r="DQ59" s="39">
        <v>37</v>
      </c>
      <c r="DR59" s="39">
        <v>37.08</v>
      </c>
    </row>
    <row r="60" spans="1:122">
      <c r="A60" s="44">
        <v>58</v>
      </c>
      <c r="B60" s="45"/>
      <c r="C60" s="45"/>
      <c r="D60" s="45"/>
      <c r="E60" s="45"/>
      <c r="F60" s="45"/>
      <c r="G60" s="45"/>
      <c r="H60" s="45"/>
      <c r="I60" s="45"/>
      <c r="J60" s="45"/>
      <c r="K60" s="45"/>
      <c r="L60" s="45"/>
      <c r="M60" s="45"/>
      <c r="N60" s="45"/>
      <c r="O60" s="45"/>
      <c r="P60" s="45"/>
      <c r="Q60" s="45"/>
      <c r="R60" s="45"/>
      <c r="S60" s="45"/>
      <c r="T60" s="45"/>
      <c r="U60" s="45"/>
      <c r="V60" s="39"/>
      <c r="W60" s="39">
        <v>24.56</v>
      </c>
      <c r="X60" s="39">
        <v>24.74</v>
      </c>
      <c r="Y60" s="39">
        <v>24.91</v>
      </c>
      <c r="Z60" s="39">
        <v>25.11</v>
      </c>
      <c r="AA60" s="39">
        <v>25.24</v>
      </c>
      <c r="AB60" s="39">
        <v>25.4</v>
      </c>
      <c r="AC60" s="39">
        <v>25.61</v>
      </c>
      <c r="AD60" s="39">
        <v>25.71</v>
      </c>
      <c r="AE60" s="39">
        <v>25.91</v>
      </c>
      <c r="AF60" s="39">
        <v>26.06</v>
      </c>
      <c r="AG60" s="39">
        <v>26.21</v>
      </c>
      <c r="AH60" s="39">
        <v>26.38</v>
      </c>
      <c r="AI60" s="39">
        <v>26.54</v>
      </c>
      <c r="AJ60" s="39">
        <v>26.76</v>
      </c>
      <c r="AK60" s="39">
        <v>26.97</v>
      </c>
      <c r="AL60" s="39">
        <v>27.21</v>
      </c>
      <c r="AM60" s="39">
        <v>27.42</v>
      </c>
      <c r="AN60" s="39">
        <v>27.59</v>
      </c>
      <c r="AO60" s="39">
        <v>27.73</v>
      </c>
      <c r="AP60" s="39">
        <v>27.83</v>
      </c>
      <c r="AQ60" s="39">
        <v>27.9</v>
      </c>
      <c r="AR60" s="39">
        <v>27.94</v>
      </c>
      <c r="AS60" s="39">
        <v>28</v>
      </c>
      <c r="AT60" s="39">
        <v>28</v>
      </c>
      <c r="AU60" s="39">
        <v>28.04</v>
      </c>
      <c r="AV60" s="39">
        <v>28.1</v>
      </c>
      <c r="AW60" s="39">
        <v>28.28</v>
      </c>
      <c r="AX60" s="39">
        <v>28.33</v>
      </c>
      <c r="AY60" s="39">
        <v>28.46</v>
      </c>
      <c r="AZ60" s="39">
        <v>28.58</v>
      </c>
      <c r="BA60" s="39">
        <v>28.69</v>
      </c>
      <c r="BB60" s="39">
        <v>28.79</v>
      </c>
      <c r="BC60" s="39">
        <v>28.89</v>
      </c>
      <c r="BD60" s="39">
        <v>29</v>
      </c>
      <c r="BE60" s="39">
        <v>29.12</v>
      </c>
      <c r="BF60" s="39">
        <v>29.25</v>
      </c>
      <c r="BG60" s="39">
        <v>29.37</v>
      </c>
      <c r="BH60" s="39">
        <v>29.5</v>
      </c>
      <c r="BI60" s="39">
        <v>29.63</v>
      </c>
      <c r="BJ60" s="39">
        <v>29.76</v>
      </c>
      <c r="BK60" s="39">
        <v>29.88</v>
      </c>
      <c r="BL60" s="39">
        <v>30.01</v>
      </c>
      <c r="BM60" s="39">
        <v>30.14</v>
      </c>
      <c r="BN60" s="39">
        <v>30.26</v>
      </c>
      <c r="BO60" s="39">
        <v>30.38</v>
      </c>
      <c r="BP60" s="39">
        <v>30.51</v>
      </c>
      <c r="BQ60" s="39">
        <v>30.63</v>
      </c>
      <c r="BR60" s="39">
        <v>30.75</v>
      </c>
      <c r="BS60" s="39">
        <v>30.87</v>
      </c>
      <c r="BT60" s="39">
        <v>30.99</v>
      </c>
      <c r="BU60" s="39">
        <v>31.12</v>
      </c>
      <c r="BV60" s="39">
        <v>31.23</v>
      </c>
      <c r="BW60" s="39">
        <v>31.35</v>
      </c>
      <c r="BX60" s="39">
        <v>31.47</v>
      </c>
      <c r="BY60" s="39">
        <v>31.59</v>
      </c>
      <c r="BZ60" s="39">
        <v>31.71</v>
      </c>
      <c r="CA60" s="39">
        <v>31.82</v>
      </c>
      <c r="CB60" s="39">
        <v>31.94</v>
      </c>
      <c r="CC60" s="39">
        <v>32.049999999999997</v>
      </c>
      <c r="CD60" s="39">
        <v>32.159999999999997</v>
      </c>
      <c r="CE60" s="39">
        <v>32.28</v>
      </c>
      <c r="CF60" s="39">
        <v>32.39</v>
      </c>
      <c r="CG60" s="39">
        <v>32.5</v>
      </c>
      <c r="CH60" s="39">
        <v>32.61</v>
      </c>
      <c r="CI60" s="39">
        <v>32.72</v>
      </c>
      <c r="CJ60" s="39">
        <v>32.83</v>
      </c>
      <c r="CK60" s="39">
        <v>32.94</v>
      </c>
      <c r="CL60" s="39">
        <v>33.049999999999997</v>
      </c>
      <c r="CM60" s="39">
        <v>33.159999999999997</v>
      </c>
      <c r="CN60" s="39">
        <v>33.26</v>
      </c>
      <c r="CO60" s="39">
        <v>33.369999999999997</v>
      </c>
      <c r="CP60" s="39">
        <v>33.47</v>
      </c>
      <c r="CQ60" s="39">
        <v>33.58</v>
      </c>
      <c r="CR60" s="39">
        <v>33.68</v>
      </c>
      <c r="CS60" s="39">
        <v>33.79</v>
      </c>
      <c r="CT60" s="39">
        <v>33.89</v>
      </c>
      <c r="CU60" s="39">
        <v>33.99</v>
      </c>
      <c r="CV60" s="39">
        <v>34.090000000000003</v>
      </c>
      <c r="CW60" s="39">
        <v>34.19</v>
      </c>
      <c r="CX60" s="39">
        <v>34.29</v>
      </c>
      <c r="CY60" s="39">
        <v>34.39</v>
      </c>
      <c r="CZ60" s="39">
        <v>34.49</v>
      </c>
      <c r="DA60" s="39">
        <v>34.58</v>
      </c>
      <c r="DB60" s="39">
        <v>34.68</v>
      </c>
      <c r="DC60" s="39">
        <v>34.78</v>
      </c>
      <c r="DD60" s="39">
        <v>34.869999999999997</v>
      </c>
      <c r="DE60" s="39">
        <v>34.97</v>
      </c>
      <c r="DF60" s="39">
        <v>35.06</v>
      </c>
      <c r="DG60" s="39">
        <v>35.15</v>
      </c>
      <c r="DH60" s="39">
        <v>35.24</v>
      </c>
      <c r="DI60" s="39">
        <v>35.340000000000003</v>
      </c>
      <c r="DJ60" s="39">
        <v>35.43</v>
      </c>
      <c r="DK60" s="39">
        <v>35.520000000000003</v>
      </c>
      <c r="DL60" s="39">
        <v>35.61</v>
      </c>
      <c r="DM60" s="39">
        <v>35.700000000000003</v>
      </c>
      <c r="DN60" s="39">
        <v>35.78</v>
      </c>
      <c r="DO60" s="39">
        <v>35.869999999999997</v>
      </c>
      <c r="DP60" s="39">
        <v>35.96</v>
      </c>
      <c r="DQ60" s="39">
        <v>36.04</v>
      </c>
      <c r="DR60" s="39">
        <v>36.130000000000003</v>
      </c>
    </row>
    <row r="61" spans="1:122">
      <c r="A61" s="44">
        <v>59</v>
      </c>
      <c r="B61" s="45"/>
      <c r="C61" s="45"/>
      <c r="D61" s="45"/>
      <c r="E61" s="45"/>
      <c r="F61" s="45"/>
      <c r="G61" s="45"/>
      <c r="H61" s="45"/>
      <c r="I61" s="45"/>
      <c r="J61" s="45"/>
      <c r="K61" s="45"/>
      <c r="L61" s="45"/>
      <c r="M61" s="45"/>
      <c r="N61" s="45"/>
      <c r="O61" s="45"/>
      <c r="P61" s="45"/>
      <c r="Q61" s="45"/>
      <c r="R61" s="45"/>
      <c r="S61" s="45"/>
      <c r="T61" s="45"/>
      <c r="U61" s="45"/>
      <c r="V61" s="39"/>
      <c r="W61" s="39">
        <v>23.74</v>
      </c>
      <c r="X61" s="39">
        <v>23.91</v>
      </c>
      <c r="Y61" s="39">
        <v>24.09</v>
      </c>
      <c r="Z61" s="39">
        <v>24.28</v>
      </c>
      <c r="AA61" s="39">
        <v>24.41</v>
      </c>
      <c r="AB61" s="39">
        <v>24.58</v>
      </c>
      <c r="AC61" s="39">
        <v>24.77</v>
      </c>
      <c r="AD61" s="39">
        <v>24.87</v>
      </c>
      <c r="AE61" s="39">
        <v>25.07</v>
      </c>
      <c r="AF61" s="39">
        <v>25.22</v>
      </c>
      <c r="AG61" s="39">
        <v>25.37</v>
      </c>
      <c r="AH61" s="39">
        <v>25.54</v>
      </c>
      <c r="AI61" s="39">
        <v>25.7</v>
      </c>
      <c r="AJ61" s="39">
        <v>25.92</v>
      </c>
      <c r="AK61" s="39">
        <v>26.12</v>
      </c>
      <c r="AL61" s="39">
        <v>26.35</v>
      </c>
      <c r="AM61" s="39">
        <v>26.56</v>
      </c>
      <c r="AN61" s="39">
        <v>26.72</v>
      </c>
      <c r="AO61" s="39">
        <v>26.86</v>
      </c>
      <c r="AP61" s="39">
        <v>26.96</v>
      </c>
      <c r="AQ61" s="39">
        <v>27.03</v>
      </c>
      <c r="AR61" s="39">
        <v>27.07</v>
      </c>
      <c r="AS61" s="39">
        <v>27.13</v>
      </c>
      <c r="AT61" s="39">
        <v>27.14</v>
      </c>
      <c r="AU61" s="39">
        <v>27.18</v>
      </c>
      <c r="AV61" s="39">
        <v>27.24</v>
      </c>
      <c r="AW61" s="39">
        <v>27.41</v>
      </c>
      <c r="AX61" s="39">
        <v>27.46</v>
      </c>
      <c r="AY61" s="39">
        <v>27.59</v>
      </c>
      <c r="AZ61" s="39">
        <v>27.71</v>
      </c>
      <c r="BA61" s="39">
        <v>27.81</v>
      </c>
      <c r="BB61" s="39">
        <v>27.92</v>
      </c>
      <c r="BC61" s="39">
        <v>28.02</v>
      </c>
      <c r="BD61" s="39">
        <v>28.12</v>
      </c>
      <c r="BE61" s="39">
        <v>28.24</v>
      </c>
      <c r="BF61" s="39">
        <v>28.37</v>
      </c>
      <c r="BG61" s="39">
        <v>28.5</v>
      </c>
      <c r="BH61" s="39">
        <v>28.63</v>
      </c>
      <c r="BI61" s="39">
        <v>28.76</v>
      </c>
      <c r="BJ61" s="39">
        <v>28.88</v>
      </c>
      <c r="BK61" s="39">
        <v>29.01</v>
      </c>
      <c r="BL61" s="39">
        <v>29.13</v>
      </c>
      <c r="BM61" s="39">
        <v>29.25</v>
      </c>
      <c r="BN61" s="39">
        <v>29.38</v>
      </c>
      <c r="BO61" s="39">
        <v>29.5</v>
      </c>
      <c r="BP61" s="39">
        <v>29.62</v>
      </c>
      <c r="BQ61" s="39">
        <v>29.74</v>
      </c>
      <c r="BR61" s="39">
        <v>29.86</v>
      </c>
      <c r="BS61" s="39">
        <v>29.98</v>
      </c>
      <c r="BT61" s="39">
        <v>30.1</v>
      </c>
      <c r="BU61" s="39">
        <v>30.22</v>
      </c>
      <c r="BV61" s="39">
        <v>30.34</v>
      </c>
      <c r="BW61" s="39">
        <v>30.46</v>
      </c>
      <c r="BX61" s="39">
        <v>30.57</v>
      </c>
      <c r="BY61" s="39">
        <v>30.69</v>
      </c>
      <c r="BZ61" s="39">
        <v>30.8</v>
      </c>
      <c r="CA61" s="39">
        <v>30.92</v>
      </c>
      <c r="CB61" s="39">
        <v>31.03</v>
      </c>
      <c r="CC61" s="39">
        <v>31.14</v>
      </c>
      <c r="CD61" s="39">
        <v>31.26</v>
      </c>
      <c r="CE61" s="39">
        <v>31.37</v>
      </c>
      <c r="CF61" s="39">
        <v>31.48</v>
      </c>
      <c r="CG61" s="39">
        <v>31.59</v>
      </c>
      <c r="CH61" s="39">
        <v>31.7</v>
      </c>
      <c r="CI61" s="39">
        <v>31.81</v>
      </c>
      <c r="CJ61" s="39">
        <v>31.92</v>
      </c>
      <c r="CK61" s="39">
        <v>32.020000000000003</v>
      </c>
      <c r="CL61" s="39">
        <v>32.130000000000003</v>
      </c>
      <c r="CM61" s="39">
        <v>32.24</v>
      </c>
      <c r="CN61" s="39">
        <v>32.340000000000003</v>
      </c>
      <c r="CO61" s="39">
        <v>32.450000000000003</v>
      </c>
      <c r="CP61" s="39">
        <v>32.549999999999997</v>
      </c>
      <c r="CQ61" s="39">
        <v>32.65</v>
      </c>
      <c r="CR61" s="39">
        <v>32.76</v>
      </c>
      <c r="CS61" s="39">
        <v>32.86</v>
      </c>
      <c r="CT61" s="39">
        <v>32.96</v>
      </c>
      <c r="CU61" s="39">
        <v>33.06</v>
      </c>
      <c r="CV61" s="39">
        <v>33.159999999999997</v>
      </c>
      <c r="CW61" s="39">
        <v>33.26</v>
      </c>
      <c r="CX61" s="39">
        <v>33.36</v>
      </c>
      <c r="CY61" s="39">
        <v>33.450000000000003</v>
      </c>
      <c r="CZ61" s="39">
        <v>33.549999999999997</v>
      </c>
      <c r="DA61" s="39">
        <v>33.65</v>
      </c>
      <c r="DB61" s="39">
        <v>33.74</v>
      </c>
      <c r="DC61" s="39">
        <v>33.840000000000003</v>
      </c>
      <c r="DD61" s="39">
        <v>33.93</v>
      </c>
      <c r="DE61" s="39">
        <v>34.03</v>
      </c>
      <c r="DF61" s="39">
        <v>34.119999999999997</v>
      </c>
      <c r="DG61" s="39">
        <v>34.21</v>
      </c>
      <c r="DH61" s="39">
        <v>34.299999999999997</v>
      </c>
      <c r="DI61" s="39">
        <v>34.39</v>
      </c>
      <c r="DJ61" s="39">
        <v>34.479999999999997</v>
      </c>
      <c r="DK61" s="39">
        <v>34.57</v>
      </c>
      <c r="DL61" s="39">
        <v>34.659999999999997</v>
      </c>
      <c r="DM61" s="39">
        <v>34.75</v>
      </c>
      <c r="DN61" s="39">
        <v>34.840000000000003</v>
      </c>
      <c r="DO61" s="39">
        <v>34.92</v>
      </c>
      <c r="DP61" s="39">
        <v>35.01</v>
      </c>
      <c r="DQ61" s="39">
        <v>35.090000000000003</v>
      </c>
      <c r="DR61" s="39">
        <v>35.18</v>
      </c>
    </row>
    <row r="62" spans="1:122">
      <c r="A62" s="44">
        <v>60</v>
      </c>
      <c r="B62" s="45"/>
      <c r="C62" s="45"/>
      <c r="D62" s="45"/>
      <c r="E62" s="45"/>
      <c r="F62" s="45"/>
      <c r="G62" s="45"/>
      <c r="H62" s="45"/>
      <c r="I62" s="45"/>
      <c r="J62" s="45"/>
      <c r="K62" s="45"/>
      <c r="L62" s="45"/>
      <c r="M62" s="45"/>
      <c r="N62" s="45"/>
      <c r="O62" s="45"/>
      <c r="P62" s="45"/>
      <c r="Q62" s="45"/>
      <c r="R62" s="45"/>
      <c r="S62" s="45"/>
      <c r="T62" s="45"/>
      <c r="U62" s="45"/>
      <c r="V62" s="39"/>
      <c r="W62" s="39">
        <v>22.93</v>
      </c>
      <c r="X62" s="39">
        <v>23.1</v>
      </c>
      <c r="Y62" s="39">
        <v>23.27</v>
      </c>
      <c r="Z62" s="39">
        <v>23.45</v>
      </c>
      <c r="AA62" s="39">
        <v>23.58</v>
      </c>
      <c r="AB62" s="39">
        <v>23.75</v>
      </c>
      <c r="AC62" s="39">
        <v>23.94</v>
      </c>
      <c r="AD62" s="39">
        <v>24.04</v>
      </c>
      <c r="AE62" s="39">
        <v>24.24</v>
      </c>
      <c r="AF62" s="39">
        <v>24.39</v>
      </c>
      <c r="AG62" s="39">
        <v>24.53</v>
      </c>
      <c r="AH62" s="39">
        <v>24.7</v>
      </c>
      <c r="AI62" s="39">
        <v>24.86</v>
      </c>
      <c r="AJ62" s="39">
        <v>25.07</v>
      </c>
      <c r="AK62" s="39">
        <v>25.28</v>
      </c>
      <c r="AL62" s="39">
        <v>25.5</v>
      </c>
      <c r="AM62" s="39">
        <v>25.71</v>
      </c>
      <c r="AN62" s="39">
        <v>25.86</v>
      </c>
      <c r="AO62" s="39">
        <v>26</v>
      </c>
      <c r="AP62" s="39">
        <v>26.09</v>
      </c>
      <c r="AQ62" s="39">
        <v>26.16</v>
      </c>
      <c r="AR62" s="39">
        <v>26.21</v>
      </c>
      <c r="AS62" s="39">
        <v>26.26</v>
      </c>
      <c r="AT62" s="39">
        <v>26.27</v>
      </c>
      <c r="AU62" s="39">
        <v>26.32</v>
      </c>
      <c r="AV62" s="39">
        <v>26.38</v>
      </c>
      <c r="AW62" s="39">
        <v>26.54</v>
      </c>
      <c r="AX62" s="39">
        <v>26.59</v>
      </c>
      <c r="AY62" s="39">
        <v>26.72</v>
      </c>
      <c r="AZ62" s="39">
        <v>26.83</v>
      </c>
      <c r="BA62" s="39">
        <v>26.94</v>
      </c>
      <c r="BB62" s="39">
        <v>27.05</v>
      </c>
      <c r="BC62" s="39">
        <v>27.15</v>
      </c>
      <c r="BD62" s="39">
        <v>27.26</v>
      </c>
      <c r="BE62" s="39">
        <v>27.38</v>
      </c>
      <c r="BF62" s="39">
        <v>27.5</v>
      </c>
      <c r="BG62" s="39">
        <v>27.63</v>
      </c>
      <c r="BH62" s="39">
        <v>27.76</v>
      </c>
      <c r="BI62" s="39">
        <v>27.89</v>
      </c>
      <c r="BJ62" s="39">
        <v>28.01</v>
      </c>
      <c r="BK62" s="39">
        <v>28.13</v>
      </c>
      <c r="BL62" s="39">
        <v>28.26</v>
      </c>
      <c r="BM62" s="39">
        <v>28.38</v>
      </c>
      <c r="BN62" s="39">
        <v>28.5</v>
      </c>
      <c r="BO62" s="39">
        <v>28.62</v>
      </c>
      <c r="BP62" s="39">
        <v>28.74</v>
      </c>
      <c r="BQ62" s="39">
        <v>28.86</v>
      </c>
      <c r="BR62" s="39">
        <v>28.98</v>
      </c>
      <c r="BS62" s="39">
        <v>29.1</v>
      </c>
      <c r="BT62" s="39">
        <v>29.21</v>
      </c>
      <c r="BU62" s="39">
        <v>29.33</v>
      </c>
      <c r="BV62" s="39">
        <v>29.45</v>
      </c>
      <c r="BW62" s="39">
        <v>29.56</v>
      </c>
      <c r="BX62" s="39">
        <v>29.68</v>
      </c>
      <c r="BY62" s="39">
        <v>29.79</v>
      </c>
      <c r="BZ62" s="39">
        <v>29.91</v>
      </c>
      <c r="CA62" s="39">
        <v>30.02</v>
      </c>
      <c r="CB62" s="39">
        <v>30.13</v>
      </c>
      <c r="CC62" s="39">
        <v>30.24</v>
      </c>
      <c r="CD62" s="39">
        <v>30.35</v>
      </c>
      <c r="CE62" s="39">
        <v>30.46</v>
      </c>
      <c r="CF62" s="39">
        <v>30.57</v>
      </c>
      <c r="CG62" s="39">
        <v>30.68</v>
      </c>
      <c r="CH62" s="39">
        <v>30.79</v>
      </c>
      <c r="CI62" s="39">
        <v>30.9</v>
      </c>
      <c r="CJ62" s="39">
        <v>31</v>
      </c>
      <c r="CK62" s="39">
        <v>31.11</v>
      </c>
      <c r="CL62" s="39">
        <v>31.22</v>
      </c>
      <c r="CM62" s="39">
        <v>31.32</v>
      </c>
      <c r="CN62" s="39">
        <v>31.42</v>
      </c>
      <c r="CO62" s="39">
        <v>31.53</v>
      </c>
      <c r="CP62" s="39">
        <v>31.63</v>
      </c>
      <c r="CQ62" s="39">
        <v>31.73</v>
      </c>
      <c r="CR62" s="39">
        <v>31.83</v>
      </c>
      <c r="CS62" s="39">
        <v>31.93</v>
      </c>
      <c r="CT62" s="39">
        <v>32.03</v>
      </c>
      <c r="CU62" s="39">
        <v>32.130000000000003</v>
      </c>
      <c r="CV62" s="39">
        <v>32.229999999999997</v>
      </c>
      <c r="CW62" s="39">
        <v>32.33</v>
      </c>
      <c r="CX62" s="39">
        <v>32.43</v>
      </c>
      <c r="CY62" s="39">
        <v>32.520000000000003</v>
      </c>
      <c r="CZ62" s="39">
        <v>32.619999999999997</v>
      </c>
      <c r="DA62" s="39">
        <v>32.71</v>
      </c>
      <c r="DB62" s="39">
        <v>32.81</v>
      </c>
      <c r="DC62" s="39">
        <v>32.9</v>
      </c>
      <c r="DD62" s="39">
        <v>33</v>
      </c>
      <c r="DE62" s="39">
        <v>33.090000000000003</v>
      </c>
      <c r="DF62" s="39">
        <v>33.18</v>
      </c>
      <c r="DG62" s="39">
        <v>33.270000000000003</v>
      </c>
      <c r="DH62" s="39">
        <v>33.36</v>
      </c>
      <c r="DI62" s="39">
        <v>33.450000000000003</v>
      </c>
      <c r="DJ62" s="39">
        <v>33.54</v>
      </c>
      <c r="DK62" s="39">
        <v>33.630000000000003</v>
      </c>
      <c r="DL62" s="39">
        <v>33.72</v>
      </c>
      <c r="DM62" s="39">
        <v>33.799999999999997</v>
      </c>
      <c r="DN62" s="39">
        <v>33.89</v>
      </c>
      <c r="DO62" s="39">
        <v>33.979999999999997</v>
      </c>
      <c r="DP62" s="39">
        <v>34.06</v>
      </c>
      <c r="DQ62" s="39">
        <v>34.15</v>
      </c>
      <c r="DR62" s="39">
        <v>34.229999999999997</v>
      </c>
    </row>
    <row r="63" spans="1:122">
      <c r="A63" s="44">
        <v>61</v>
      </c>
      <c r="B63" s="45"/>
      <c r="C63" s="45"/>
      <c r="D63" s="45"/>
      <c r="E63" s="45"/>
      <c r="F63" s="45"/>
      <c r="G63" s="45"/>
      <c r="H63" s="45"/>
      <c r="I63" s="45"/>
      <c r="J63" s="45"/>
      <c r="K63" s="45"/>
      <c r="L63" s="45"/>
      <c r="M63" s="45"/>
      <c r="N63" s="45"/>
      <c r="O63" s="45"/>
      <c r="P63" s="45"/>
      <c r="Q63" s="45"/>
      <c r="R63" s="45"/>
      <c r="S63" s="45"/>
      <c r="T63" s="45"/>
      <c r="U63" s="45"/>
      <c r="V63" s="39"/>
      <c r="W63" s="39">
        <v>22.12</v>
      </c>
      <c r="X63" s="39">
        <v>22.29</v>
      </c>
      <c r="Y63" s="39">
        <v>22.46</v>
      </c>
      <c r="Z63" s="39">
        <v>22.64</v>
      </c>
      <c r="AA63" s="39">
        <v>22.77</v>
      </c>
      <c r="AB63" s="39">
        <v>22.93</v>
      </c>
      <c r="AC63" s="39">
        <v>23.11</v>
      </c>
      <c r="AD63" s="39">
        <v>23.22</v>
      </c>
      <c r="AE63" s="39">
        <v>23.41</v>
      </c>
      <c r="AF63" s="39">
        <v>23.57</v>
      </c>
      <c r="AG63" s="39">
        <v>23.71</v>
      </c>
      <c r="AH63" s="39">
        <v>23.88</v>
      </c>
      <c r="AI63" s="39">
        <v>24.03</v>
      </c>
      <c r="AJ63" s="39">
        <v>24.24</v>
      </c>
      <c r="AK63" s="39">
        <v>24.44</v>
      </c>
      <c r="AL63" s="39">
        <v>24.65</v>
      </c>
      <c r="AM63" s="39">
        <v>24.86</v>
      </c>
      <c r="AN63" s="39">
        <v>25.01</v>
      </c>
      <c r="AO63" s="39">
        <v>25.15</v>
      </c>
      <c r="AP63" s="39">
        <v>25.23</v>
      </c>
      <c r="AQ63" s="39">
        <v>25.3</v>
      </c>
      <c r="AR63" s="39">
        <v>25.35</v>
      </c>
      <c r="AS63" s="39">
        <v>25.4</v>
      </c>
      <c r="AT63" s="39">
        <v>25.42</v>
      </c>
      <c r="AU63" s="39">
        <v>25.46</v>
      </c>
      <c r="AV63" s="39">
        <v>25.52</v>
      </c>
      <c r="AW63" s="39">
        <v>25.68</v>
      </c>
      <c r="AX63" s="39">
        <v>25.74</v>
      </c>
      <c r="AY63" s="39">
        <v>25.86</v>
      </c>
      <c r="AZ63" s="39">
        <v>25.97</v>
      </c>
      <c r="BA63" s="39">
        <v>26.09</v>
      </c>
      <c r="BB63" s="39">
        <v>26.19</v>
      </c>
      <c r="BC63" s="39">
        <v>26.29</v>
      </c>
      <c r="BD63" s="39">
        <v>26.41</v>
      </c>
      <c r="BE63" s="39">
        <v>26.53</v>
      </c>
      <c r="BF63" s="39">
        <v>26.65</v>
      </c>
      <c r="BG63" s="39">
        <v>26.77</v>
      </c>
      <c r="BH63" s="39">
        <v>26.9</v>
      </c>
      <c r="BI63" s="39">
        <v>27.02</v>
      </c>
      <c r="BJ63" s="39">
        <v>27.14</v>
      </c>
      <c r="BK63" s="39">
        <v>27.27</v>
      </c>
      <c r="BL63" s="39">
        <v>27.39</v>
      </c>
      <c r="BM63" s="39">
        <v>27.51</v>
      </c>
      <c r="BN63" s="39">
        <v>27.63</v>
      </c>
      <c r="BO63" s="39">
        <v>27.75</v>
      </c>
      <c r="BP63" s="39">
        <v>27.86</v>
      </c>
      <c r="BQ63" s="39">
        <v>27.98</v>
      </c>
      <c r="BR63" s="39">
        <v>28.1</v>
      </c>
      <c r="BS63" s="39">
        <v>28.21</v>
      </c>
      <c r="BT63" s="39">
        <v>28.33</v>
      </c>
      <c r="BU63" s="39">
        <v>28.45</v>
      </c>
      <c r="BV63" s="39">
        <v>28.56</v>
      </c>
      <c r="BW63" s="39">
        <v>28.67</v>
      </c>
      <c r="BX63" s="39">
        <v>28.79</v>
      </c>
      <c r="BY63" s="39">
        <v>28.9</v>
      </c>
      <c r="BZ63" s="39">
        <v>29.01</v>
      </c>
      <c r="CA63" s="39">
        <v>29.12</v>
      </c>
      <c r="CB63" s="39">
        <v>29.23</v>
      </c>
      <c r="CC63" s="39">
        <v>29.34</v>
      </c>
      <c r="CD63" s="39">
        <v>29.45</v>
      </c>
      <c r="CE63" s="39">
        <v>29.56</v>
      </c>
      <c r="CF63" s="39">
        <v>29.67</v>
      </c>
      <c r="CG63" s="39">
        <v>29.78</v>
      </c>
      <c r="CH63" s="39">
        <v>29.88</v>
      </c>
      <c r="CI63" s="39">
        <v>29.99</v>
      </c>
      <c r="CJ63" s="39">
        <v>30.09</v>
      </c>
      <c r="CK63" s="39">
        <v>30.2</v>
      </c>
      <c r="CL63" s="39">
        <v>30.3</v>
      </c>
      <c r="CM63" s="39">
        <v>30.41</v>
      </c>
      <c r="CN63" s="39">
        <v>30.51</v>
      </c>
      <c r="CO63" s="39">
        <v>30.61</v>
      </c>
      <c r="CP63" s="39">
        <v>30.71</v>
      </c>
      <c r="CQ63" s="39">
        <v>30.81</v>
      </c>
      <c r="CR63" s="39">
        <v>30.91</v>
      </c>
      <c r="CS63" s="39">
        <v>31.01</v>
      </c>
      <c r="CT63" s="39">
        <v>31.11</v>
      </c>
      <c r="CU63" s="39">
        <v>31.21</v>
      </c>
      <c r="CV63" s="39">
        <v>31.31</v>
      </c>
      <c r="CW63" s="39">
        <v>31.4</v>
      </c>
      <c r="CX63" s="39">
        <v>31.5</v>
      </c>
      <c r="CY63" s="39">
        <v>31.59</v>
      </c>
      <c r="CZ63" s="39">
        <v>31.69</v>
      </c>
      <c r="DA63" s="39">
        <v>31.78</v>
      </c>
      <c r="DB63" s="39">
        <v>31.88</v>
      </c>
      <c r="DC63" s="39">
        <v>31.97</v>
      </c>
      <c r="DD63" s="39">
        <v>32.06</v>
      </c>
      <c r="DE63" s="39">
        <v>32.15</v>
      </c>
      <c r="DF63" s="39">
        <v>32.24</v>
      </c>
      <c r="DG63" s="39">
        <v>32.33</v>
      </c>
      <c r="DH63" s="39">
        <v>32.42</v>
      </c>
      <c r="DI63" s="39">
        <v>32.51</v>
      </c>
      <c r="DJ63" s="39">
        <v>32.6</v>
      </c>
      <c r="DK63" s="39">
        <v>32.69</v>
      </c>
      <c r="DL63" s="39">
        <v>32.770000000000003</v>
      </c>
      <c r="DM63" s="39">
        <v>32.86</v>
      </c>
      <c r="DN63" s="39">
        <v>32.950000000000003</v>
      </c>
      <c r="DO63" s="39">
        <v>33.03</v>
      </c>
      <c r="DP63" s="39">
        <v>33.119999999999997</v>
      </c>
      <c r="DQ63" s="39">
        <v>33.200000000000003</v>
      </c>
      <c r="DR63" s="39">
        <v>33.28</v>
      </c>
    </row>
    <row r="64" spans="1:122">
      <c r="A64" s="44">
        <v>62</v>
      </c>
      <c r="B64" s="45"/>
      <c r="C64" s="45"/>
      <c r="D64" s="45"/>
      <c r="E64" s="45"/>
      <c r="F64" s="45"/>
      <c r="G64" s="45"/>
      <c r="H64" s="45"/>
      <c r="I64" s="45"/>
      <c r="J64" s="45"/>
      <c r="K64" s="45"/>
      <c r="L64" s="45"/>
      <c r="M64" s="45"/>
      <c r="N64" s="45"/>
      <c r="O64" s="45"/>
      <c r="P64" s="45"/>
      <c r="Q64" s="45"/>
      <c r="R64" s="45"/>
      <c r="S64" s="45"/>
      <c r="T64" s="45"/>
      <c r="U64" s="45"/>
      <c r="V64" s="39"/>
      <c r="W64" s="39">
        <v>21.32</v>
      </c>
      <c r="X64" s="39">
        <v>21.48</v>
      </c>
      <c r="Y64" s="39">
        <v>21.66</v>
      </c>
      <c r="Z64" s="39">
        <v>21.84</v>
      </c>
      <c r="AA64" s="39">
        <v>21.96</v>
      </c>
      <c r="AB64" s="39">
        <v>22.12</v>
      </c>
      <c r="AC64" s="39">
        <v>22.3</v>
      </c>
      <c r="AD64" s="39">
        <v>22.42</v>
      </c>
      <c r="AE64" s="39">
        <v>22.6</v>
      </c>
      <c r="AF64" s="39">
        <v>22.76</v>
      </c>
      <c r="AG64" s="39">
        <v>22.89</v>
      </c>
      <c r="AH64" s="39">
        <v>23.06</v>
      </c>
      <c r="AI64" s="39">
        <v>23.21</v>
      </c>
      <c r="AJ64" s="39">
        <v>23.41</v>
      </c>
      <c r="AK64" s="39">
        <v>23.61</v>
      </c>
      <c r="AL64" s="39">
        <v>23.81</v>
      </c>
      <c r="AM64" s="39">
        <v>24.01</v>
      </c>
      <c r="AN64" s="39">
        <v>24.16</v>
      </c>
      <c r="AO64" s="39">
        <v>24.3</v>
      </c>
      <c r="AP64" s="39">
        <v>24.38</v>
      </c>
      <c r="AQ64" s="39">
        <v>24.44</v>
      </c>
      <c r="AR64" s="39">
        <v>24.49</v>
      </c>
      <c r="AS64" s="39">
        <v>24.54</v>
      </c>
      <c r="AT64" s="39">
        <v>24.57</v>
      </c>
      <c r="AU64" s="39">
        <v>24.61</v>
      </c>
      <c r="AV64" s="39">
        <v>24.67</v>
      </c>
      <c r="AW64" s="39">
        <v>24.82</v>
      </c>
      <c r="AX64" s="39">
        <v>24.88</v>
      </c>
      <c r="AY64" s="39">
        <v>25.01</v>
      </c>
      <c r="AZ64" s="39">
        <v>25.12</v>
      </c>
      <c r="BA64" s="39">
        <v>25.23</v>
      </c>
      <c r="BB64" s="39">
        <v>25.33</v>
      </c>
      <c r="BC64" s="39">
        <v>25.44</v>
      </c>
      <c r="BD64" s="39">
        <v>25.56</v>
      </c>
      <c r="BE64" s="39">
        <v>25.67</v>
      </c>
      <c r="BF64" s="39">
        <v>25.8</v>
      </c>
      <c r="BG64" s="39">
        <v>25.92</v>
      </c>
      <c r="BH64" s="39">
        <v>26.04</v>
      </c>
      <c r="BI64" s="39">
        <v>26.17</v>
      </c>
      <c r="BJ64" s="39">
        <v>26.29</v>
      </c>
      <c r="BK64" s="39">
        <v>26.4</v>
      </c>
      <c r="BL64" s="39">
        <v>26.52</v>
      </c>
      <c r="BM64" s="39">
        <v>26.64</v>
      </c>
      <c r="BN64" s="39">
        <v>26.76</v>
      </c>
      <c r="BO64" s="39">
        <v>26.88</v>
      </c>
      <c r="BP64" s="39">
        <v>26.99</v>
      </c>
      <c r="BQ64" s="39">
        <v>27.11</v>
      </c>
      <c r="BR64" s="39">
        <v>27.22</v>
      </c>
      <c r="BS64" s="39">
        <v>27.34</v>
      </c>
      <c r="BT64" s="39">
        <v>27.45</v>
      </c>
      <c r="BU64" s="39">
        <v>27.57</v>
      </c>
      <c r="BV64" s="39">
        <v>27.68</v>
      </c>
      <c r="BW64" s="39">
        <v>27.79</v>
      </c>
      <c r="BX64" s="39">
        <v>27.9</v>
      </c>
      <c r="BY64" s="39">
        <v>28.01</v>
      </c>
      <c r="BZ64" s="39">
        <v>28.12</v>
      </c>
      <c r="CA64" s="39">
        <v>28.23</v>
      </c>
      <c r="CB64" s="39">
        <v>28.34</v>
      </c>
      <c r="CC64" s="39">
        <v>28.45</v>
      </c>
      <c r="CD64" s="39">
        <v>28.56</v>
      </c>
      <c r="CE64" s="39">
        <v>28.66</v>
      </c>
      <c r="CF64" s="39">
        <v>28.77</v>
      </c>
      <c r="CG64" s="39">
        <v>28.88</v>
      </c>
      <c r="CH64" s="39">
        <v>28.98</v>
      </c>
      <c r="CI64" s="39">
        <v>29.09</v>
      </c>
      <c r="CJ64" s="39">
        <v>29.19</v>
      </c>
      <c r="CK64" s="39">
        <v>29.29</v>
      </c>
      <c r="CL64" s="39">
        <v>29.4</v>
      </c>
      <c r="CM64" s="39">
        <v>29.5</v>
      </c>
      <c r="CN64" s="39">
        <v>29.6</v>
      </c>
      <c r="CO64" s="39">
        <v>29.7</v>
      </c>
      <c r="CP64" s="39">
        <v>29.8</v>
      </c>
      <c r="CQ64" s="39">
        <v>29.9</v>
      </c>
      <c r="CR64" s="39">
        <v>30</v>
      </c>
      <c r="CS64" s="39">
        <v>30.1</v>
      </c>
      <c r="CT64" s="39">
        <v>30.19</v>
      </c>
      <c r="CU64" s="39">
        <v>30.29</v>
      </c>
      <c r="CV64" s="39">
        <v>30.39</v>
      </c>
      <c r="CW64" s="39">
        <v>30.48</v>
      </c>
      <c r="CX64" s="39">
        <v>30.58</v>
      </c>
      <c r="CY64" s="39">
        <v>30.67</v>
      </c>
      <c r="CZ64" s="39">
        <v>30.76</v>
      </c>
      <c r="DA64" s="39">
        <v>30.86</v>
      </c>
      <c r="DB64" s="39">
        <v>30.95</v>
      </c>
      <c r="DC64" s="39">
        <v>31.04</v>
      </c>
      <c r="DD64" s="39">
        <v>31.13</v>
      </c>
      <c r="DE64" s="39">
        <v>31.22</v>
      </c>
      <c r="DF64" s="39">
        <v>31.31</v>
      </c>
      <c r="DG64" s="39">
        <v>31.4</v>
      </c>
      <c r="DH64" s="39">
        <v>31.49</v>
      </c>
      <c r="DI64" s="39">
        <v>31.58</v>
      </c>
      <c r="DJ64" s="39">
        <v>31.66</v>
      </c>
      <c r="DK64" s="39">
        <v>31.75</v>
      </c>
      <c r="DL64" s="39">
        <v>31.83</v>
      </c>
      <c r="DM64" s="39">
        <v>31.92</v>
      </c>
      <c r="DN64" s="39">
        <v>32</v>
      </c>
      <c r="DO64" s="39">
        <v>32.090000000000003</v>
      </c>
      <c r="DP64" s="39">
        <v>32.17</v>
      </c>
      <c r="DQ64" s="39">
        <v>32.25</v>
      </c>
      <c r="DR64" s="39">
        <v>32.340000000000003</v>
      </c>
    </row>
    <row r="65" spans="1:122">
      <c r="A65" s="44">
        <v>63</v>
      </c>
      <c r="B65" s="45"/>
      <c r="C65" s="45"/>
      <c r="D65" s="45"/>
      <c r="E65" s="45"/>
      <c r="F65" s="45"/>
      <c r="G65" s="45"/>
      <c r="H65" s="45"/>
      <c r="I65" s="45"/>
      <c r="J65" s="45"/>
      <c r="K65" s="45"/>
      <c r="L65" s="45"/>
      <c r="M65" s="45"/>
      <c r="N65" s="45"/>
      <c r="O65" s="45"/>
      <c r="P65" s="45"/>
      <c r="Q65" s="45"/>
      <c r="R65" s="45"/>
      <c r="S65" s="45"/>
      <c r="T65" s="45"/>
      <c r="U65" s="45"/>
      <c r="V65" s="39"/>
      <c r="W65" s="39">
        <v>20.54</v>
      </c>
      <c r="X65" s="39">
        <v>20.69</v>
      </c>
      <c r="Y65" s="39">
        <v>20.86</v>
      </c>
      <c r="Z65" s="39">
        <v>21.04</v>
      </c>
      <c r="AA65" s="39">
        <v>21.17</v>
      </c>
      <c r="AB65" s="39">
        <v>21.32</v>
      </c>
      <c r="AC65" s="39">
        <v>21.5</v>
      </c>
      <c r="AD65" s="39">
        <v>21.61</v>
      </c>
      <c r="AE65" s="39">
        <v>21.8</v>
      </c>
      <c r="AF65" s="39">
        <v>21.95</v>
      </c>
      <c r="AG65" s="39">
        <v>22.07</v>
      </c>
      <c r="AH65" s="39">
        <v>22.24</v>
      </c>
      <c r="AI65" s="39">
        <v>22.39</v>
      </c>
      <c r="AJ65" s="39">
        <v>22.59</v>
      </c>
      <c r="AK65" s="39">
        <v>22.77</v>
      </c>
      <c r="AL65" s="39">
        <v>22.98</v>
      </c>
      <c r="AM65" s="39">
        <v>23.17</v>
      </c>
      <c r="AN65" s="39">
        <v>23.32</v>
      </c>
      <c r="AO65" s="39">
        <v>23.45</v>
      </c>
      <c r="AP65" s="39">
        <v>23.53</v>
      </c>
      <c r="AQ65" s="39">
        <v>23.59</v>
      </c>
      <c r="AR65" s="39">
        <v>23.64</v>
      </c>
      <c r="AS65" s="39">
        <v>23.69</v>
      </c>
      <c r="AT65" s="39">
        <v>23.72</v>
      </c>
      <c r="AU65" s="39">
        <v>23.77</v>
      </c>
      <c r="AV65" s="39">
        <v>23.83</v>
      </c>
      <c r="AW65" s="39">
        <v>23.97</v>
      </c>
      <c r="AX65" s="39">
        <v>24.04</v>
      </c>
      <c r="AY65" s="39">
        <v>24.16</v>
      </c>
      <c r="AZ65" s="39">
        <v>24.28</v>
      </c>
      <c r="BA65" s="39">
        <v>24.38</v>
      </c>
      <c r="BB65" s="39">
        <v>24.48</v>
      </c>
      <c r="BC65" s="39">
        <v>24.59</v>
      </c>
      <c r="BD65" s="39">
        <v>24.71</v>
      </c>
      <c r="BE65" s="39">
        <v>24.83</v>
      </c>
      <c r="BF65" s="39">
        <v>24.96</v>
      </c>
      <c r="BG65" s="39">
        <v>25.08</v>
      </c>
      <c r="BH65" s="39">
        <v>25.19</v>
      </c>
      <c r="BI65" s="39">
        <v>25.31</v>
      </c>
      <c r="BJ65" s="39">
        <v>25.43</v>
      </c>
      <c r="BK65" s="39">
        <v>25.55</v>
      </c>
      <c r="BL65" s="39">
        <v>25.66</v>
      </c>
      <c r="BM65" s="39">
        <v>25.78</v>
      </c>
      <c r="BN65" s="39">
        <v>25.9</v>
      </c>
      <c r="BO65" s="39">
        <v>26.01</v>
      </c>
      <c r="BP65" s="39">
        <v>26.13</v>
      </c>
      <c r="BQ65" s="39">
        <v>26.24</v>
      </c>
      <c r="BR65" s="39">
        <v>26.35</v>
      </c>
      <c r="BS65" s="39">
        <v>26.47</v>
      </c>
      <c r="BT65" s="39">
        <v>26.58</v>
      </c>
      <c r="BU65" s="39">
        <v>26.69</v>
      </c>
      <c r="BV65" s="39">
        <v>26.8</v>
      </c>
      <c r="BW65" s="39">
        <v>26.91</v>
      </c>
      <c r="BX65" s="39">
        <v>27.02</v>
      </c>
      <c r="BY65" s="39">
        <v>27.13</v>
      </c>
      <c r="BZ65" s="39">
        <v>27.24</v>
      </c>
      <c r="CA65" s="39">
        <v>27.35</v>
      </c>
      <c r="CB65" s="39">
        <v>27.45</v>
      </c>
      <c r="CC65" s="39">
        <v>27.56</v>
      </c>
      <c r="CD65" s="39">
        <v>27.66</v>
      </c>
      <c r="CE65" s="39">
        <v>27.77</v>
      </c>
      <c r="CF65" s="39">
        <v>27.88</v>
      </c>
      <c r="CG65" s="39">
        <v>27.98</v>
      </c>
      <c r="CH65" s="39">
        <v>28.08</v>
      </c>
      <c r="CI65" s="39">
        <v>28.19</v>
      </c>
      <c r="CJ65" s="39">
        <v>28.29</v>
      </c>
      <c r="CK65" s="39">
        <v>28.39</v>
      </c>
      <c r="CL65" s="39">
        <v>28.49</v>
      </c>
      <c r="CM65" s="39">
        <v>28.59</v>
      </c>
      <c r="CN65" s="39">
        <v>28.69</v>
      </c>
      <c r="CO65" s="39">
        <v>28.79</v>
      </c>
      <c r="CP65" s="39">
        <v>28.89</v>
      </c>
      <c r="CQ65" s="39">
        <v>28.99</v>
      </c>
      <c r="CR65" s="39">
        <v>29.08</v>
      </c>
      <c r="CS65" s="39">
        <v>29.18</v>
      </c>
      <c r="CT65" s="39">
        <v>29.28</v>
      </c>
      <c r="CU65" s="39">
        <v>29.37</v>
      </c>
      <c r="CV65" s="39">
        <v>29.47</v>
      </c>
      <c r="CW65" s="39">
        <v>29.56</v>
      </c>
      <c r="CX65" s="39">
        <v>29.65</v>
      </c>
      <c r="CY65" s="39">
        <v>29.75</v>
      </c>
      <c r="CZ65" s="39">
        <v>29.84</v>
      </c>
      <c r="DA65" s="39">
        <v>29.93</v>
      </c>
      <c r="DB65" s="39">
        <v>30.02</v>
      </c>
      <c r="DC65" s="39">
        <v>30.11</v>
      </c>
      <c r="DD65" s="39">
        <v>30.2</v>
      </c>
      <c r="DE65" s="39">
        <v>30.29</v>
      </c>
      <c r="DF65" s="39">
        <v>30.38</v>
      </c>
      <c r="DG65" s="39">
        <v>30.47</v>
      </c>
      <c r="DH65" s="39">
        <v>30.55</v>
      </c>
      <c r="DI65" s="39">
        <v>30.64</v>
      </c>
      <c r="DJ65" s="39">
        <v>30.73</v>
      </c>
      <c r="DK65" s="39">
        <v>30.81</v>
      </c>
      <c r="DL65" s="39">
        <v>30.9</v>
      </c>
      <c r="DM65" s="39">
        <v>30.98</v>
      </c>
      <c r="DN65" s="39">
        <v>31.06</v>
      </c>
      <c r="DO65" s="39">
        <v>31.15</v>
      </c>
      <c r="DP65" s="39">
        <v>31.23</v>
      </c>
      <c r="DQ65" s="39">
        <v>31.31</v>
      </c>
      <c r="DR65" s="39">
        <v>31.39</v>
      </c>
    </row>
    <row r="66" spans="1:122">
      <c r="A66" s="44">
        <v>64</v>
      </c>
      <c r="B66" s="45"/>
      <c r="C66" s="45"/>
      <c r="D66" s="45"/>
      <c r="E66" s="45"/>
      <c r="F66" s="45"/>
      <c r="G66" s="45"/>
      <c r="H66" s="45"/>
      <c r="I66" s="45"/>
      <c r="J66" s="45"/>
      <c r="K66" s="45"/>
      <c r="L66" s="45"/>
      <c r="M66" s="45"/>
      <c r="N66" s="45"/>
      <c r="O66" s="45"/>
      <c r="P66" s="45"/>
      <c r="Q66" s="45"/>
      <c r="R66" s="45"/>
      <c r="S66" s="45"/>
      <c r="T66" s="45"/>
      <c r="U66" s="45"/>
      <c r="V66" s="39"/>
      <c r="W66" s="39">
        <v>19.760000000000002</v>
      </c>
      <c r="X66" s="39">
        <v>19.91</v>
      </c>
      <c r="Y66" s="39">
        <v>20.079999999999998</v>
      </c>
      <c r="Z66" s="39">
        <v>20.25</v>
      </c>
      <c r="AA66" s="39">
        <v>20.37</v>
      </c>
      <c r="AB66" s="39">
        <v>20.53</v>
      </c>
      <c r="AC66" s="39">
        <v>20.7</v>
      </c>
      <c r="AD66" s="39">
        <v>20.82</v>
      </c>
      <c r="AE66" s="39">
        <v>21</v>
      </c>
      <c r="AF66" s="39">
        <v>21.15</v>
      </c>
      <c r="AG66" s="39">
        <v>21.27</v>
      </c>
      <c r="AH66" s="39">
        <v>21.44</v>
      </c>
      <c r="AI66" s="39">
        <v>21.58</v>
      </c>
      <c r="AJ66" s="39">
        <v>21.77</v>
      </c>
      <c r="AK66" s="39">
        <v>21.95</v>
      </c>
      <c r="AL66" s="39">
        <v>22.14</v>
      </c>
      <c r="AM66" s="39">
        <v>22.33</v>
      </c>
      <c r="AN66" s="39">
        <v>22.48</v>
      </c>
      <c r="AO66" s="39">
        <v>22.61</v>
      </c>
      <c r="AP66" s="39">
        <v>22.69</v>
      </c>
      <c r="AQ66" s="39">
        <v>22.75</v>
      </c>
      <c r="AR66" s="39">
        <v>22.79</v>
      </c>
      <c r="AS66" s="39">
        <v>22.85</v>
      </c>
      <c r="AT66" s="39">
        <v>22.87</v>
      </c>
      <c r="AU66" s="39">
        <v>22.93</v>
      </c>
      <c r="AV66" s="39">
        <v>22.99</v>
      </c>
      <c r="AW66" s="39">
        <v>23.14</v>
      </c>
      <c r="AX66" s="39">
        <v>23.2</v>
      </c>
      <c r="AY66" s="39">
        <v>23.32</v>
      </c>
      <c r="AZ66" s="39">
        <v>23.43</v>
      </c>
      <c r="BA66" s="39">
        <v>23.54</v>
      </c>
      <c r="BB66" s="39">
        <v>23.64</v>
      </c>
      <c r="BC66" s="39">
        <v>23.75</v>
      </c>
      <c r="BD66" s="39">
        <v>23.87</v>
      </c>
      <c r="BE66" s="39">
        <v>24</v>
      </c>
      <c r="BF66" s="39">
        <v>24.11</v>
      </c>
      <c r="BG66" s="39">
        <v>24.23</v>
      </c>
      <c r="BH66" s="39">
        <v>24.35</v>
      </c>
      <c r="BI66" s="39">
        <v>24.47</v>
      </c>
      <c r="BJ66" s="39">
        <v>24.58</v>
      </c>
      <c r="BK66" s="39">
        <v>24.7</v>
      </c>
      <c r="BL66" s="39">
        <v>24.81</v>
      </c>
      <c r="BM66" s="39">
        <v>24.93</v>
      </c>
      <c r="BN66" s="39">
        <v>25.04</v>
      </c>
      <c r="BO66" s="39">
        <v>25.15</v>
      </c>
      <c r="BP66" s="39">
        <v>25.26</v>
      </c>
      <c r="BQ66" s="39">
        <v>25.38</v>
      </c>
      <c r="BR66" s="39">
        <v>25.49</v>
      </c>
      <c r="BS66" s="39">
        <v>25.6</v>
      </c>
      <c r="BT66" s="39">
        <v>25.71</v>
      </c>
      <c r="BU66" s="39">
        <v>25.82</v>
      </c>
      <c r="BV66" s="39">
        <v>25.93</v>
      </c>
      <c r="BW66" s="39">
        <v>26.03</v>
      </c>
      <c r="BX66" s="39">
        <v>26.14</v>
      </c>
      <c r="BY66" s="39">
        <v>26.25</v>
      </c>
      <c r="BZ66" s="39">
        <v>26.36</v>
      </c>
      <c r="CA66" s="39">
        <v>26.46</v>
      </c>
      <c r="CB66" s="39">
        <v>26.57</v>
      </c>
      <c r="CC66" s="39">
        <v>26.67</v>
      </c>
      <c r="CD66" s="39">
        <v>26.78</v>
      </c>
      <c r="CE66" s="39">
        <v>26.88</v>
      </c>
      <c r="CF66" s="39">
        <v>26.98</v>
      </c>
      <c r="CG66" s="39">
        <v>27.09</v>
      </c>
      <c r="CH66" s="39">
        <v>27.19</v>
      </c>
      <c r="CI66" s="39">
        <v>27.29</v>
      </c>
      <c r="CJ66" s="39">
        <v>27.39</v>
      </c>
      <c r="CK66" s="39">
        <v>27.49</v>
      </c>
      <c r="CL66" s="39">
        <v>27.59</v>
      </c>
      <c r="CM66" s="39">
        <v>27.69</v>
      </c>
      <c r="CN66" s="39">
        <v>27.79</v>
      </c>
      <c r="CO66" s="39">
        <v>27.88</v>
      </c>
      <c r="CP66" s="39">
        <v>27.98</v>
      </c>
      <c r="CQ66" s="39">
        <v>28.08</v>
      </c>
      <c r="CR66" s="39">
        <v>28.17</v>
      </c>
      <c r="CS66" s="39">
        <v>28.27</v>
      </c>
      <c r="CT66" s="39">
        <v>28.36</v>
      </c>
      <c r="CU66" s="39">
        <v>28.46</v>
      </c>
      <c r="CV66" s="39">
        <v>28.55</v>
      </c>
      <c r="CW66" s="39">
        <v>28.64</v>
      </c>
      <c r="CX66" s="39">
        <v>28.73</v>
      </c>
      <c r="CY66" s="39">
        <v>28.83</v>
      </c>
      <c r="CZ66" s="39">
        <v>28.92</v>
      </c>
      <c r="DA66" s="39">
        <v>29.01</v>
      </c>
      <c r="DB66" s="39">
        <v>29.1</v>
      </c>
      <c r="DC66" s="39">
        <v>29.19</v>
      </c>
      <c r="DD66" s="39">
        <v>29.27</v>
      </c>
      <c r="DE66" s="39">
        <v>29.36</v>
      </c>
      <c r="DF66" s="39">
        <v>29.45</v>
      </c>
      <c r="DG66" s="39">
        <v>29.54</v>
      </c>
      <c r="DH66" s="39">
        <v>29.62</v>
      </c>
      <c r="DI66" s="39">
        <v>29.71</v>
      </c>
      <c r="DJ66" s="39">
        <v>29.79</v>
      </c>
      <c r="DK66" s="39">
        <v>29.88</v>
      </c>
      <c r="DL66" s="39">
        <v>29.96</v>
      </c>
      <c r="DM66" s="39">
        <v>30.04</v>
      </c>
      <c r="DN66" s="39">
        <v>30.13</v>
      </c>
      <c r="DO66" s="39">
        <v>30.21</v>
      </c>
      <c r="DP66" s="39">
        <v>30.29</v>
      </c>
      <c r="DQ66" s="39">
        <v>30.37</v>
      </c>
      <c r="DR66" s="39">
        <v>30.45</v>
      </c>
    </row>
    <row r="67" spans="1:122">
      <c r="A67" s="44">
        <v>65</v>
      </c>
      <c r="B67" s="45"/>
      <c r="C67" s="45"/>
      <c r="D67" s="45"/>
      <c r="E67" s="45"/>
      <c r="F67" s="45"/>
      <c r="G67" s="45"/>
      <c r="H67" s="45"/>
      <c r="I67" s="45"/>
      <c r="J67" s="45"/>
      <c r="K67" s="45"/>
      <c r="L67" s="45"/>
      <c r="M67" s="45"/>
      <c r="N67" s="45"/>
      <c r="O67" s="45"/>
      <c r="P67" s="45"/>
      <c r="Q67" s="45"/>
      <c r="R67" s="45"/>
      <c r="S67" s="45"/>
      <c r="T67" s="45"/>
      <c r="U67" s="45"/>
      <c r="V67" s="39"/>
      <c r="W67" s="39">
        <v>18.98</v>
      </c>
      <c r="X67" s="39">
        <v>19.13</v>
      </c>
      <c r="Y67" s="39">
        <v>19.3</v>
      </c>
      <c r="Z67" s="39">
        <v>19.46</v>
      </c>
      <c r="AA67" s="39">
        <v>19.59</v>
      </c>
      <c r="AB67" s="39">
        <v>19.75</v>
      </c>
      <c r="AC67" s="39">
        <v>19.920000000000002</v>
      </c>
      <c r="AD67" s="39">
        <v>20.03</v>
      </c>
      <c r="AE67" s="39">
        <v>20.2</v>
      </c>
      <c r="AF67" s="39">
        <v>20.36</v>
      </c>
      <c r="AG67" s="39">
        <v>20.47</v>
      </c>
      <c r="AH67" s="39">
        <v>20.63</v>
      </c>
      <c r="AI67" s="39">
        <v>20.77</v>
      </c>
      <c r="AJ67" s="39">
        <v>20.95</v>
      </c>
      <c r="AK67" s="39">
        <v>21.13</v>
      </c>
      <c r="AL67" s="39">
        <v>21.32</v>
      </c>
      <c r="AM67" s="39">
        <v>21.5</v>
      </c>
      <c r="AN67" s="39">
        <v>21.65</v>
      </c>
      <c r="AO67" s="39">
        <v>21.77</v>
      </c>
      <c r="AP67" s="39">
        <v>21.84</v>
      </c>
      <c r="AQ67" s="39">
        <v>21.9</v>
      </c>
      <c r="AR67" s="39">
        <v>21.95</v>
      </c>
      <c r="AS67" s="39">
        <v>22</v>
      </c>
      <c r="AT67" s="39">
        <v>22.04</v>
      </c>
      <c r="AU67" s="39">
        <v>22.1</v>
      </c>
      <c r="AV67" s="39">
        <v>22.16</v>
      </c>
      <c r="AW67" s="39">
        <v>22.3</v>
      </c>
      <c r="AX67" s="39">
        <v>22.38</v>
      </c>
      <c r="AY67" s="39">
        <v>22.49</v>
      </c>
      <c r="AZ67" s="39">
        <v>22.6</v>
      </c>
      <c r="BA67" s="39">
        <v>22.71</v>
      </c>
      <c r="BB67" s="39">
        <v>22.81</v>
      </c>
      <c r="BC67" s="39">
        <v>22.93</v>
      </c>
      <c r="BD67" s="39">
        <v>23.05</v>
      </c>
      <c r="BE67" s="39">
        <v>23.16</v>
      </c>
      <c r="BF67" s="39">
        <v>23.28</v>
      </c>
      <c r="BG67" s="39">
        <v>23.4</v>
      </c>
      <c r="BH67" s="39">
        <v>23.51</v>
      </c>
      <c r="BI67" s="39">
        <v>23.62</v>
      </c>
      <c r="BJ67" s="39">
        <v>23.74</v>
      </c>
      <c r="BK67" s="39">
        <v>23.85</v>
      </c>
      <c r="BL67" s="39">
        <v>23.96</v>
      </c>
      <c r="BM67" s="39">
        <v>24.07</v>
      </c>
      <c r="BN67" s="39">
        <v>24.19</v>
      </c>
      <c r="BO67" s="39">
        <v>24.3</v>
      </c>
      <c r="BP67" s="39">
        <v>24.41</v>
      </c>
      <c r="BQ67" s="39">
        <v>24.52</v>
      </c>
      <c r="BR67" s="39">
        <v>24.62</v>
      </c>
      <c r="BS67" s="39">
        <v>24.73</v>
      </c>
      <c r="BT67" s="39">
        <v>24.84</v>
      </c>
      <c r="BU67" s="39">
        <v>24.95</v>
      </c>
      <c r="BV67" s="39">
        <v>25.06</v>
      </c>
      <c r="BW67" s="39">
        <v>25.16</v>
      </c>
      <c r="BX67" s="39">
        <v>25.27</v>
      </c>
      <c r="BY67" s="39">
        <v>25.37</v>
      </c>
      <c r="BZ67" s="39">
        <v>25.48</v>
      </c>
      <c r="CA67" s="39">
        <v>25.58</v>
      </c>
      <c r="CB67" s="39">
        <v>25.69</v>
      </c>
      <c r="CC67" s="39">
        <v>25.79</v>
      </c>
      <c r="CD67" s="39">
        <v>25.89</v>
      </c>
      <c r="CE67" s="39">
        <v>25.99</v>
      </c>
      <c r="CF67" s="39">
        <v>26.09</v>
      </c>
      <c r="CG67" s="39">
        <v>26.19</v>
      </c>
      <c r="CH67" s="39">
        <v>26.29</v>
      </c>
      <c r="CI67" s="39">
        <v>26.39</v>
      </c>
      <c r="CJ67" s="39">
        <v>26.49</v>
      </c>
      <c r="CK67" s="39">
        <v>26.59</v>
      </c>
      <c r="CL67" s="39">
        <v>26.69</v>
      </c>
      <c r="CM67" s="39">
        <v>26.79</v>
      </c>
      <c r="CN67" s="39">
        <v>26.88</v>
      </c>
      <c r="CO67" s="39">
        <v>26.98</v>
      </c>
      <c r="CP67" s="39">
        <v>27.08</v>
      </c>
      <c r="CQ67" s="39">
        <v>27.17</v>
      </c>
      <c r="CR67" s="39">
        <v>27.26</v>
      </c>
      <c r="CS67" s="39">
        <v>27.36</v>
      </c>
      <c r="CT67" s="39">
        <v>27.45</v>
      </c>
      <c r="CU67" s="39">
        <v>27.54</v>
      </c>
      <c r="CV67" s="39">
        <v>27.64</v>
      </c>
      <c r="CW67" s="39">
        <v>27.73</v>
      </c>
      <c r="CX67" s="39">
        <v>27.82</v>
      </c>
      <c r="CY67" s="39">
        <v>27.91</v>
      </c>
      <c r="CZ67" s="39">
        <v>28</v>
      </c>
      <c r="DA67" s="39">
        <v>28.09</v>
      </c>
      <c r="DB67" s="39">
        <v>28.18</v>
      </c>
      <c r="DC67" s="39">
        <v>28.26</v>
      </c>
      <c r="DD67" s="39">
        <v>28.35</v>
      </c>
      <c r="DE67" s="39">
        <v>28.44</v>
      </c>
      <c r="DF67" s="39">
        <v>28.52</v>
      </c>
      <c r="DG67" s="39">
        <v>28.61</v>
      </c>
      <c r="DH67" s="39">
        <v>28.69</v>
      </c>
      <c r="DI67" s="39">
        <v>28.78</v>
      </c>
      <c r="DJ67" s="39">
        <v>28.86</v>
      </c>
      <c r="DK67" s="39">
        <v>28.94</v>
      </c>
      <c r="DL67" s="39">
        <v>29.03</v>
      </c>
      <c r="DM67" s="39">
        <v>29.11</v>
      </c>
      <c r="DN67" s="39">
        <v>29.19</v>
      </c>
      <c r="DO67" s="39">
        <v>29.27</v>
      </c>
      <c r="DP67" s="39">
        <v>29.35</v>
      </c>
      <c r="DQ67" s="39">
        <v>29.43</v>
      </c>
      <c r="DR67" s="39">
        <v>29.51</v>
      </c>
    </row>
    <row r="68" spans="1:122">
      <c r="A68" s="44">
        <v>66</v>
      </c>
      <c r="B68" s="45"/>
      <c r="C68" s="45"/>
      <c r="D68" s="45"/>
      <c r="E68" s="45"/>
      <c r="F68" s="45"/>
      <c r="G68" s="45"/>
      <c r="H68" s="45"/>
      <c r="I68" s="45"/>
      <c r="J68" s="45"/>
      <c r="K68" s="45"/>
      <c r="L68" s="45"/>
      <c r="M68" s="45"/>
      <c r="N68" s="45"/>
      <c r="O68" s="45"/>
      <c r="P68" s="45"/>
      <c r="Q68" s="45"/>
      <c r="R68" s="45"/>
      <c r="S68" s="45"/>
      <c r="T68" s="45"/>
      <c r="U68" s="45"/>
      <c r="V68" s="39"/>
      <c r="W68" s="39">
        <v>18.23</v>
      </c>
      <c r="X68" s="39">
        <v>18.37</v>
      </c>
      <c r="Y68" s="39">
        <v>18.53</v>
      </c>
      <c r="Z68" s="39">
        <v>18.7</v>
      </c>
      <c r="AA68" s="39">
        <v>18.82</v>
      </c>
      <c r="AB68" s="39">
        <v>18.98</v>
      </c>
      <c r="AC68" s="39">
        <v>19.14</v>
      </c>
      <c r="AD68" s="39">
        <v>19.25</v>
      </c>
      <c r="AE68" s="39">
        <v>19.420000000000002</v>
      </c>
      <c r="AF68" s="39">
        <v>19.579999999999998</v>
      </c>
      <c r="AG68" s="39">
        <v>19.68</v>
      </c>
      <c r="AH68" s="39">
        <v>19.829999999999998</v>
      </c>
      <c r="AI68" s="39">
        <v>19.97</v>
      </c>
      <c r="AJ68" s="39">
        <v>20.14</v>
      </c>
      <c r="AK68" s="39">
        <v>20.309999999999999</v>
      </c>
      <c r="AL68" s="39">
        <v>20.5</v>
      </c>
      <c r="AM68" s="39">
        <v>20.68</v>
      </c>
      <c r="AN68" s="39">
        <v>20.82</v>
      </c>
      <c r="AO68" s="39">
        <v>20.93</v>
      </c>
      <c r="AP68" s="39">
        <v>21</v>
      </c>
      <c r="AQ68" s="39">
        <v>21.07</v>
      </c>
      <c r="AR68" s="39">
        <v>21.11</v>
      </c>
      <c r="AS68" s="39">
        <v>21.18</v>
      </c>
      <c r="AT68" s="39">
        <v>21.21</v>
      </c>
      <c r="AU68" s="39">
        <v>21.27</v>
      </c>
      <c r="AV68" s="39">
        <v>21.34</v>
      </c>
      <c r="AW68" s="39">
        <v>21.48</v>
      </c>
      <c r="AX68" s="39">
        <v>21.55</v>
      </c>
      <c r="AY68" s="39">
        <v>21.66</v>
      </c>
      <c r="AZ68" s="39">
        <v>21.78</v>
      </c>
      <c r="BA68" s="39">
        <v>21.88</v>
      </c>
      <c r="BB68" s="39">
        <v>21.99</v>
      </c>
      <c r="BC68" s="39">
        <v>22.11</v>
      </c>
      <c r="BD68" s="39">
        <v>22.22</v>
      </c>
      <c r="BE68" s="39">
        <v>22.34</v>
      </c>
      <c r="BF68" s="39">
        <v>22.45</v>
      </c>
      <c r="BG68" s="39">
        <v>22.56</v>
      </c>
      <c r="BH68" s="39">
        <v>22.68</v>
      </c>
      <c r="BI68" s="39">
        <v>22.79</v>
      </c>
      <c r="BJ68" s="39">
        <v>22.9</v>
      </c>
      <c r="BK68" s="39">
        <v>23.01</v>
      </c>
      <c r="BL68" s="39">
        <v>23.12</v>
      </c>
      <c r="BM68" s="39">
        <v>23.23</v>
      </c>
      <c r="BN68" s="39">
        <v>23.34</v>
      </c>
      <c r="BO68" s="39">
        <v>23.45</v>
      </c>
      <c r="BP68" s="39">
        <v>23.55</v>
      </c>
      <c r="BQ68" s="39">
        <v>23.66</v>
      </c>
      <c r="BR68" s="39">
        <v>23.77</v>
      </c>
      <c r="BS68" s="39">
        <v>23.87</v>
      </c>
      <c r="BT68" s="39">
        <v>23.98</v>
      </c>
      <c r="BU68" s="39">
        <v>24.09</v>
      </c>
      <c r="BV68" s="39">
        <v>24.19</v>
      </c>
      <c r="BW68" s="39">
        <v>24.29</v>
      </c>
      <c r="BX68" s="39">
        <v>24.4</v>
      </c>
      <c r="BY68" s="39">
        <v>24.5</v>
      </c>
      <c r="BZ68" s="39">
        <v>24.6</v>
      </c>
      <c r="CA68" s="39">
        <v>24.71</v>
      </c>
      <c r="CB68" s="39">
        <v>24.81</v>
      </c>
      <c r="CC68" s="39">
        <v>24.91</v>
      </c>
      <c r="CD68" s="39">
        <v>25.01</v>
      </c>
      <c r="CE68" s="39">
        <v>25.11</v>
      </c>
      <c r="CF68" s="39">
        <v>25.21</v>
      </c>
      <c r="CG68" s="39">
        <v>25.31</v>
      </c>
      <c r="CH68" s="39">
        <v>25.41</v>
      </c>
      <c r="CI68" s="39">
        <v>25.5</v>
      </c>
      <c r="CJ68" s="39">
        <v>25.6</v>
      </c>
      <c r="CK68" s="39">
        <v>25.7</v>
      </c>
      <c r="CL68" s="39">
        <v>25.79</v>
      </c>
      <c r="CM68" s="39">
        <v>25.89</v>
      </c>
      <c r="CN68" s="39">
        <v>25.99</v>
      </c>
      <c r="CO68" s="39">
        <v>26.08</v>
      </c>
      <c r="CP68" s="39">
        <v>26.17</v>
      </c>
      <c r="CQ68" s="39">
        <v>26.27</v>
      </c>
      <c r="CR68" s="39">
        <v>26.36</v>
      </c>
      <c r="CS68" s="39">
        <v>26.45</v>
      </c>
      <c r="CT68" s="39">
        <v>26.54</v>
      </c>
      <c r="CU68" s="39">
        <v>26.63</v>
      </c>
      <c r="CV68" s="39">
        <v>26.73</v>
      </c>
      <c r="CW68" s="39">
        <v>26.82</v>
      </c>
      <c r="CX68" s="39">
        <v>26.9</v>
      </c>
      <c r="CY68" s="39">
        <v>26.99</v>
      </c>
      <c r="CZ68" s="39">
        <v>27.08</v>
      </c>
      <c r="DA68" s="39">
        <v>27.17</v>
      </c>
      <c r="DB68" s="39">
        <v>27.26</v>
      </c>
      <c r="DC68" s="39">
        <v>27.34</v>
      </c>
      <c r="DD68" s="39">
        <v>27.43</v>
      </c>
      <c r="DE68" s="39">
        <v>27.51</v>
      </c>
      <c r="DF68" s="39">
        <v>27.6</v>
      </c>
      <c r="DG68" s="39">
        <v>27.68</v>
      </c>
      <c r="DH68" s="39">
        <v>27.77</v>
      </c>
      <c r="DI68" s="39">
        <v>27.85</v>
      </c>
      <c r="DJ68" s="39">
        <v>27.93</v>
      </c>
      <c r="DK68" s="39">
        <v>28.01</v>
      </c>
      <c r="DL68" s="39">
        <v>28.1</v>
      </c>
      <c r="DM68" s="39">
        <v>28.18</v>
      </c>
      <c r="DN68" s="39">
        <v>28.26</v>
      </c>
      <c r="DO68" s="39">
        <v>28.34</v>
      </c>
      <c r="DP68" s="39">
        <v>28.42</v>
      </c>
      <c r="DQ68" s="39">
        <v>28.49</v>
      </c>
      <c r="DR68" s="39">
        <v>28.57</v>
      </c>
    </row>
    <row r="69" spans="1:122">
      <c r="A69" s="44">
        <v>67</v>
      </c>
      <c r="B69" s="45"/>
      <c r="C69" s="45"/>
      <c r="D69" s="45"/>
      <c r="E69" s="45"/>
      <c r="F69" s="45"/>
      <c r="G69" s="45"/>
      <c r="H69" s="45"/>
      <c r="I69" s="45"/>
      <c r="J69" s="45"/>
      <c r="K69" s="45"/>
      <c r="L69" s="45"/>
      <c r="M69" s="45"/>
      <c r="N69" s="45"/>
      <c r="O69" s="45"/>
      <c r="P69" s="45"/>
      <c r="Q69" s="45"/>
      <c r="R69" s="45"/>
      <c r="S69" s="45"/>
      <c r="T69" s="45"/>
      <c r="U69" s="45"/>
      <c r="V69" s="39"/>
      <c r="W69" s="39">
        <v>17.47</v>
      </c>
      <c r="X69" s="39">
        <v>17.61</v>
      </c>
      <c r="Y69" s="39">
        <v>17.77</v>
      </c>
      <c r="Z69" s="39">
        <v>17.940000000000001</v>
      </c>
      <c r="AA69" s="39">
        <v>18.059999999999999</v>
      </c>
      <c r="AB69" s="39">
        <v>18.21</v>
      </c>
      <c r="AC69" s="39">
        <v>18.36</v>
      </c>
      <c r="AD69" s="39">
        <v>18.48</v>
      </c>
      <c r="AE69" s="39">
        <v>18.649999999999999</v>
      </c>
      <c r="AF69" s="39">
        <v>18.79</v>
      </c>
      <c r="AG69" s="39">
        <v>18.899999999999999</v>
      </c>
      <c r="AH69" s="39">
        <v>19.05</v>
      </c>
      <c r="AI69" s="39">
        <v>19.170000000000002</v>
      </c>
      <c r="AJ69" s="39">
        <v>19.34</v>
      </c>
      <c r="AK69" s="39">
        <v>19.510000000000002</v>
      </c>
      <c r="AL69" s="39">
        <v>19.690000000000001</v>
      </c>
      <c r="AM69" s="39">
        <v>19.86</v>
      </c>
      <c r="AN69" s="39">
        <v>19.989999999999998</v>
      </c>
      <c r="AO69" s="39">
        <v>20.100000000000001</v>
      </c>
      <c r="AP69" s="39">
        <v>20.170000000000002</v>
      </c>
      <c r="AQ69" s="39">
        <v>20.239999999999998</v>
      </c>
      <c r="AR69" s="39">
        <v>20.28</v>
      </c>
      <c r="AS69" s="39">
        <v>20.350000000000001</v>
      </c>
      <c r="AT69" s="39">
        <v>20.39</v>
      </c>
      <c r="AU69" s="39">
        <v>20.45</v>
      </c>
      <c r="AV69" s="39">
        <v>20.53</v>
      </c>
      <c r="AW69" s="39">
        <v>20.66</v>
      </c>
      <c r="AX69" s="39">
        <v>20.74</v>
      </c>
      <c r="AY69" s="39">
        <v>20.85</v>
      </c>
      <c r="AZ69" s="39">
        <v>20.97</v>
      </c>
      <c r="BA69" s="39">
        <v>21.07</v>
      </c>
      <c r="BB69" s="39">
        <v>21.18</v>
      </c>
      <c r="BC69" s="39">
        <v>21.29</v>
      </c>
      <c r="BD69" s="39">
        <v>21.41</v>
      </c>
      <c r="BE69" s="39">
        <v>21.52</v>
      </c>
      <c r="BF69" s="39">
        <v>21.63</v>
      </c>
      <c r="BG69" s="39">
        <v>21.74</v>
      </c>
      <c r="BH69" s="39">
        <v>21.85</v>
      </c>
      <c r="BI69" s="39">
        <v>21.96</v>
      </c>
      <c r="BJ69" s="39">
        <v>22.07</v>
      </c>
      <c r="BK69" s="39">
        <v>22.17</v>
      </c>
      <c r="BL69" s="39">
        <v>22.28</v>
      </c>
      <c r="BM69" s="39">
        <v>22.39</v>
      </c>
      <c r="BN69" s="39">
        <v>22.49</v>
      </c>
      <c r="BO69" s="39">
        <v>22.6</v>
      </c>
      <c r="BP69" s="39">
        <v>22.71</v>
      </c>
      <c r="BQ69" s="39">
        <v>22.81</v>
      </c>
      <c r="BR69" s="39">
        <v>22.92</v>
      </c>
      <c r="BS69" s="39">
        <v>23.02</v>
      </c>
      <c r="BT69" s="39">
        <v>23.12</v>
      </c>
      <c r="BU69" s="39">
        <v>23.23</v>
      </c>
      <c r="BV69" s="39">
        <v>23.33</v>
      </c>
      <c r="BW69" s="39">
        <v>23.43</v>
      </c>
      <c r="BX69" s="39">
        <v>23.53</v>
      </c>
      <c r="BY69" s="39">
        <v>23.63</v>
      </c>
      <c r="BZ69" s="39">
        <v>23.74</v>
      </c>
      <c r="CA69" s="39">
        <v>23.84</v>
      </c>
      <c r="CB69" s="39">
        <v>23.94</v>
      </c>
      <c r="CC69" s="39">
        <v>24.03</v>
      </c>
      <c r="CD69" s="39">
        <v>24.13</v>
      </c>
      <c r="CE69" s="39">
        <v>24.23</v>
      </c>
      <c r="CF69" s="39">
        <v>24.33</v>
      </c>
      <c r="CG69" s="39">
        <v>24.43</v>
      </c>
      <c r="CH69" s="39">
        <v>24.52</v>
      </c>
      <c r="CI69" s="39">
        <v>24.62</v>
      </c>
      <c r="CJ69" s="39">
        <v>24.71</v>
      </c>
      <c r="CK69" s="39">
        <v>24.81</v>
      </c>
      <c r="CL69" s="39">
        <v>24.9</v>
      </c>
      <c r="CM69" s="39">
        <v>25</v>
      </c>
      <c r="CN69" s="39">
        <v>25.09</v>
      </c>
      <c r="CO69" s="39">
        <v>25.18</v>
      </c>
      <c r="CP69" s="39">
        <v>25.28</v>
      </c>
      <c r="CQ69" s="39">
        <v>25.37</v>
      </c>
      <c r="CR69" s="39">
        <v>25.46</v>
      </c>
      <c r="CS69" s="39">
        <v>25.55</v>
      </c>
      <c r="CT69" s="39">
        <v>25.64</v>
      </c>
      <c r="CU69" s="39">
        <v>25.73</v>
      </c>
      <c r="CV69" s="39">
        <v>25.82</v>
      </c>
      <c r="CW69" s="39">
        <v>25.91</v>
      </c>
      <c r="CX69" s="39">
        <v>25.99</v>
      </c>
      <c r="CY69" s="39">
        <v>26.08</v>
      </c>
      <c r="CZ69" s="39">
        <v>26.17</v>
      </c>
      <c r="DA69" s="39">
        <v>26.25</v>
      </c>
      <c r="DB69" s="39">
        <v>26.34</v>
      </c>
      <c r="DC69" s="39">
        <v>26.43</v>
      </c>
      <c r="DD69" s="39">
        <v>26.51</v>
      </c>
      <c r="DE69" s="39">
        <v>26.59</v>
      </c>
      <c r="DF69" s="39">
        <v>26.68</v>
      </c>
      <c r="DG69" s="39">
        <v>26.76</v>
      </c>
      <c r="DH69" s="39">
        <v>26.84</v>
      </c>
      <c r="DI69" s="39">
        <v>26.92</v>
      </c>
      <c r="DJ69" s="39">
        <v>27.01</v>
      </c>
      <c r="DK69" s="39">
        <v>27.09</v>
      </c>
      <c r="DL69" s="39">
        <v>27.17</v>
      </c>
      <c r="DM69" s="39">
        <v>27.25</v>
      </c>
      <c r="DN69" s="39">
        <v>27.33</v>
      </c>
      <c r="DO69" s="39">
        <v>27.4</v>
      </c>
      <c r="DP69" s="39">
        <v>27.48</v>
      </c>
      <c r="DQ69" s="39">
        <v>27.56</v>
      </c>
      <c r="DR69" s="39">
        <v>27.64</v>
      </c>
    </row>
    <row r="70" spans="1:122">
      <c r="A70" s="44">
        <v>68</v>
      </c>
      <c r="B70" s="45"/>
      <c r="C70" s="45"/>
      <c r="D70" s="45"/>
      <c r="E70" s="45"/>
      <c r="F70" s="45"/>
      <c r="G70" s="45"/>
      <c r="H70" s="45"/>
      <c r="I70" s="45"/>
      <c r="J70" s="45"/>
      <c r="K70" s="45"/>
      <c r="L70" s="45"/>
      <c r="M70" s="45"/>
      <c r="N70" s="45"/>
      <c r="O70" s="45"/>
      <c r="P70" s="45"/>
      <c r="Q70" s="45"/>
      <c r="R70" s="45"/>
      <c r="S70" s="45"/>
      <c r="T70" s="45"/>
      <c r="U70" s="45"/>
      <c r="V70" s="39"/>
      <c r="W70" s="39">
        <v>16.73</v>
      </c>
      <c r="X70" s="39">
        <v>16.87</v>
      </c>
      <c r="Y70" s="39">
        <v>17.03</v>
      </c>
      <c r="Z70" s="39">
        <v>17.190000000000001</v>
      </c>
      <c r="AA70" s="39">
        <v>17.309999999999999</v>
      </c>
      <c r="AB70" s="39">
        <v>17.45</v>
      </c>
      <c r="AC70" s="39">
        <v>17.600000000000001</v>
      </c>
      <c r="AD70" s="39">
        <v>17.72</v>
      </c>
      <c r="AE70" s="39">
        <v>17.87</v>
      </c>
      <c r="AF70" s="39">
        <v>18.02</v>
      </c>
      <c r="AG70" s="39">
        <v>18.12</v>
      </c>
      <c r="AH70" s="39">
        <v>18.260000000000002</v>
      </c>
      <c r="AI70" s="39">
        <v>18.38</v>
      </c>
      <c r="AJ70" s="39">
        <v>18.54</v>
      </c>
      <c r="AK70" s="39">
        <v>18.71</v>
      </c>
      <c r="AL70" s="39">
        <v>18.88</v>
      </c>
      <c r="AM70" s="39">
        <v>19.05</v>
      </c>
      <c r="AN70" s="39">
        <v>19.170000000000002</v>
      </c>
      <c r="AO70" s="39">
        <v>19.27</v>
      </c>
      <c r="AP70" s="39">
        <v>19.350000000000001</v>
      </c>
      <c r="AQ70" s="39">
        <v>19.420000000000002</v>
      </c>
      <c r="AR70" s="39">
        <v>19.46</v>
      </c>
      <c r="AS70" s="39">
        <v>19.53</v>
      </c>
      <c r="AT70" s="39">
        <v>19.579999999999998</v>
      </c>
      <c r="AU70" s="39">
        <v>19.64</v>
      </c>
      <c r="AV70" s="39">
        <v>19.72</v>
      </c>
      <c r="AW70" s="39">
        <v>19.86</v>
      </c>
      <c r="AX70" s="39">
        <v>19.940000000000001</v>
      </c>
      <c r="AY70" s="39">
        <v>20.04</v>
      </c>
      <c r="AZ70" s="39">
        <v>20.16</v>
      </c>
      <c r="BA70" s="39">
        <v>20.27</v>
      </c>
      <c r="BB70" s="39">
        <v>20.38</v>
      </c>
      <c r="BC70" s="39">
        <v>20.49</v>
      </c>
      <c r="BD70" s="39">
        <v>20.6</v>
      </c>
      <c r="BE70" s="39">
        <v>20.7</v>
      </c>
      <c r="BF70" s="39">
        <v>20.81</v>
      </c>
      <c r="BG70" s="39">
        <v>20.92</v>
      </c>
      <c r="BH70" s="39">
        <v>21.03</v>
      </c>
      <c r="BI70" s="39">
        <v>21.13</v>
      </c>
      <c r="BJ70" s="39">
        <v>21.24</v>
      </c>
      <c r="BK70" s="39">
        <v>21.34</v>
      </c>
      <c r="BL70" s="39">
        <v>21.45</v>
      </c>
      <c r="BM70" s="39">
        <v>21.55</v>
      </c>
      <c r="BN70" s="39">
        <v>21.66</v>
      </c>
      <c r="BO70" s="39">
        <v>21.76</v>
      </c>
      <c r="BP70" s="39">
        <v>21.86</v>
      </c>
      <c r="BQ70" s="39">
        <v>21.97</v>
      </c>
      <c r="BR70" s="39">
        <v>22.07</v>
      </c>
      <c r="BS70" s="39">
        <v>22.17</v>
      </c>
      <c r="BT70" s="39">
        <v>22.27</v>
      </c>
      <c r="BU70" s="39">
        <v>22.37</v>
      </c>
      <c r="BV70" s="39">
        <v>22.47</v>
      </c>
      <c r="BW70" s="39">
        <v>22.57</v>
      </c>
      <c r="BX70" s="39">
        <v>22.67</v>
      </c>
      <c r="BY70" s="39">
        <v>22.77</v>
      </c>
      <c r="BZ70" s="39">
        <v>22.87</v>
      </c>
      <c r="CA70" s="39">
        <v>22.97</v>
      </c>
      <c r="CB70" s="39">
        <v>23.07</v>
      </c>
      <c r="CC70" s="39">
        <v>23.16</v>
      </c>
      <c r="CD70" s="39">
        <v>23.26</v>
      </c>
      <c r="CE70" s="39">
        <v>23.36</v>
      </c>
      <c r="CF70" s="39">
        <v>23.45</v>
      </c>
      <c r="CG70" s="39">
        <v>23.55</v>
      </c>
      <c r="CH70" s="39">
        <v>23.64</v>
      </c>
      <c r="CI70" s="39">
        <v>23.74</v>
      </c>
      <c r="CJ70" s="39">
        <v>23.83</v>
      </c>
      <c r="CK70" s="39">
        <v>23.92</v>
      </c>
      <c r="CL70" s="39">
        <v>24.02</v>
      </c>
      <c r="CM70" s="39">
        <v>24.11</v>
      </c>
      <c r="CN70" s="39">
        <v>24.2</v>
      </c>
      <c r="CO70" s="39">
        <v>24.29</v>
      </c>
      <c r="CP70" s="39">
        <v>24.38</v>
      </c>
      <c r="CQ70" s="39">
        <v>24.47</v>
      </c>
      <c r="CR70" s="39">
        <v>24.56</v>
      </c>
      <c r="CS70" s="39">
        <v>24.65</v>
      </c>
      <c r="CT70" s="39">
        <v>24.74</v>
      </c>
      <c r="CU70" s="39">
        <v>24.83</v>
      </c>
      <c r="CV70" s="39">
        <v>24.91</v>
      </c>
      <c r="CW70" s="39">
        <v>25</v>
      </c>
      <c r="CX70" s="39">
        <v>25.09</v>
      </c>
      <c r="CY70" s="39">
        <v>25.17</v>
      </c>
      <c r="CZ70" s="39">
        <v>25.26</v>
      </c>
      <c r="DA70" s="39">
        <v>25.34</v>
      </c>
      <c r="DB70" s="39">
        <v>25.43</v>
      </c>
      <c r="DC70" s="39">
        <v>25.51</v>
      </c>
      <c r="DD70" s="39">
        <v>25.59</v>
      </c>
      <c r="DE70" s="39">
        <v>25.68</v>
      </c>
      <c r="DF70" s="39">
        <v>25.76</v>
      </c>
      <c r="DG70" s="39">
        <v>25.84</v>
      </c>
      <c r="DH70" s="39">
        <v>25.92</v>
      </c>
      <c r="DI70" s="39">
        <v>26</v>
      </c>
      <c r="DJ70" s="39">
        <v>26.08</v>
      </c>
      <c r="DK70" s="39">
        <v>26.16</v>
      </c>
      <c r="DL70" s="39">
        <v>26.24</v>
      </c>
      <c r="DM70" s="39">
        <v>26.32</v>
      </c>
      <c r="DN70" s="39">
        <v>26.4</v>
      </c>
      <c r="DO70" s="39">
        <v>26.47</v>
      </c>
      <c r="DP70" s="39">
        <v>26.55</v>
      </c>
      <c r="DQ70" s="39">
        <v>26.63</v>
      </c>
      <c r="DR70" s="39">
        <v>26.7</v>
      </c>
    </row>
    <row r="71" spans="1:122">
      <c r="A71" s="44">
        <v>69</v>
      </c>
      <c r="B71" s="45"/>
      <c r="C71" s="45"/>
      <c r="D71" s="45"/>
      <c r="E71" s="45"/>
      <c r="F71" s="45"/>
      <c r="G71" s="45"/>
      <c r="H71" s="45"/>
      <c r="I71" s="45"/>
      <c r="J71" s="45"/>
      <c r="K71" s="45"/>
      <c r="L71" s="45"/>
      <c r="M71" s="45"/>
      <c r="N71" s="45"/>
      <c r="O71" s="45"/>
      <c r="P71" s="45"/>
      <c r="Q71" s="45"/>
      <c r="R71" s="45"/>
      <c r="S71" s="45"/>
      <c r="T71" s="45"/>
      <c r="U71" s="45"/>
      <c r="V71" s="39"/>
      <c r="W71" s="39">
        <v>16.010000000000002</v>
      </c>
      <c r="X71" s="39">
        <v>16.14</v>
      </c>
      <c r="Y71" s="39">
        <v>16.3</v>
      </c>
      <c r="Z71" s="39">
        <v>16.45</v>
      </c>
      <c r="AA71" s="39">
        <v>16.559999999999999</v>
      </c>
      <c r="AB71" s="39">
        <v>16.7</v>
      </c>
      <c r="AC71" s="39">
        <v>16.86</v>
      </c>
      <c r="AD71" s="39">
        <v>16.96</v>
      </c>
      <c r="AE71" s="39">
        <v>17.11</v>
      </c>
      <c r="AF71" s="39">
        <v>17.25</v>
      </c>
      <c r="AG71" s="39">
        <v>17.350000000000001</v>
      </c>
      <c r="AH71" s="39">
        <v>17.48</v>
      </c>
      <c r="AI71" s="39">
        <v>17.600000000000001</v>
      </c>
      <c r="AJ71" s="39">
        <v>17.760000000000002</v>
      </c>
      <c r="AK71" s="39">
        <v>17.91</v>
      </c>
      <c r="AL71" s="39">
        <v>18.07</v>
      </c>
      <c r="AM71" s="39">
        <v>18.239999999999998</v>
      </c>
      <c r="AN71" s="39">
        <v>18.36</v>
      </c>
      <c r="AO71" s="39">
        <v>18.46</v>
      </c>
      <c r="AP71" s="39">
        <v>18.54</v>
      </c>
      <c r="AQ71" s="39">
        <v>18.600000000000001</v>
      </c>
      <c r="AR71" s="39">
        <v>18.649999999999999</v>
      </c>
      <c r="AS71" s="39">
        <v>18.72</v>
      </c>
      <c r="AT71" s="39">
        <v>18.78</v>
      </c>
      <c r="AU71" s="39">
        <v>18.84</v>
      </c>
      <c r="AV71" s="39">
        <v>18.93</v>
      </c>
      <c r="AW71" s="39">
        <v>19.059999999999999</v>
      </c>
      <c r="AX71" s="39">
        <v>19.149999999999999</v>
      </c>
      <c r="AY71" s="39">
        <v>19.260000000000002</v>
      </c>
      <c r="AZ71" s="39">
        <v>19.36</v>
      </c>
      <c r="BA71" s="39">
        <v>19.47</v>
      </c>
      <c r="BB71" s="39">
        <v>19.579999999999998</v>
      </c>
      <c r="BC71" s="39">
        <v>19.68</v>
      </c>
      <c r="BD71" s="39">
        <v>19.79</v>
      </c>
      <c r="BE71" s="39">
        <v>19.899999999999999</v>
      </c>
      <c r="BF71" s="39">
        <v>20</v>
      </c>
      <c r="BG71" s="39">
        <v>20.11</v>
      </c>
      <c r="BH71" s="39">
        <v>20.21</v>
      </c>
      <c r="BI71" s="39">
        <v>20.309999999999999</v>
      </c>
      <c r="BJ71" s="39">
        <v>20.420000000000002</v>
      </c>
      <c r="BK71" s="39">
        <v>20.52</v>
      </c>
      <c r="BL71" s="39">
        <v>20.62</v>
      </c>
      <c r="BM71" s="39">
        <v>20.72</v>
      </c>
      <c r="BN71" s="39">
        <v>20.83</v>
      </c>
      <c r="BO71" s="39">
        <v>20.93</v>
      </c>
      <c r="BP71" s="39">
        <v>21.03</v>
      </c>
      <c r="BQ71" s="39">
        <v>21.13</v>
      </c>
      <c r="BR71" s="39">
        <v>21.23</v>
      </c>
      <c r="BS71" s="39">
        <v>21.33</v>
      </c>
      <c r="BT71" s="39">
        <v>21.43</v>
      </c>
      <c r="BU71" s="39">
        <v>21.53</v>
      </c>
      <c r="BV71" s="39">
        <v>21.62</v>
      </c>
      <c r="BW71" s="39">
        <v>21.72</v>
      </c>
      <c r="BX71" s="39">
        <v>21.82</v>
      </c>
      <c r="BY71" s="39">
        <v>21.92</v>
      </c>
      <c r="BZ71" s="39">
        <v>22.01</v>
      </c>
      <c r="CA71" s="39">
        <v>22.11</v>
      </c>
      <c r="CB71" s="39">
        <v>22.2</v>
      </c>
      <c r="CC71" s="39">
        <v>22.3</v>
      </c>
      <c r="CD71" s="39">
        <v>22.39</v>
      </c>
      <c r="CE71" s="39">
        <v>22.49</v>
      </c>
      <c r="CF71" s="39">
        <v>22.58</v>
      </c>
      <c r="CG71" s="39">
        <v>22.67</v>
      </c>
      <c r="CH71" s="39">
        <v>22.77</v>
      </c>
      <c r="CI71" s="39">
        <v>22.86</v>
      </c>
      <c r="CJ71" s="39">
        <v>22.95</v>
      </c>
      <c r="CK71" s="39">
        <v>23.04</v>
      </c>
      <c r="CL71" s="39">
        <v>23.13</v>
      </c>
      <c r="CM71" s="39">
        <v>23.22</v>
      </c>
      <c r="CN71" s="39">
        <v>23.31</v>
      </c>
      <c r="CO71" s="39">
        <v>23.4</v>
      </c>
      <c r="CP71" s="39">
        <v>23.49</v>
      </c>
      <c r="CQ71" s="39">
        <v>23.58</v>
      </c>
      <c r="CR71" s="39">
        <v>23.67</v>
      </c>
      <c r="CS71" s="39">
        <v>23.75</v>
      </c>
      <c r="CT71" s="39">
        <v>23.84</v>
      </c>
      <c r="CU71" s="39">
        <v>23.93</v>
      </c>
      <c r="CV71" s="39">
        <v>24.01</v>
      </c>
      <c r="CW71" s="39">
        <v>24.1</v>
      </c>
      <c r="CX71" s="39">
        <v>24.18</v>
      </c>
      <c r="CY71" s="39">
        <v>24.27</v>
      </c>
      <c r="CZ71" s="39">
        <v>24.35</v>
      </c>
      <c r="DA71" s="39">
        <v>24.43</v>
      </c>
      <c r="DB71" s="39">
        <v>24.52</v>
      </c>
      <c r="DC71" s="39">
        <v>24.6</v>
      </c>
      <c r="DD71" s="39">
        <v>24.68</v>
      </c>
      <c r="DE71" s="39">
        <v>24.76</v>
      </c>
      <c r="DF71" s="39">
        <v>24.84</v>
      </c>
      <c r="DG71" s="39">
        <v>24.92</v>
      </c>
      <c r="DH71" s="39">
        <v>25</v>
      </c>
      <c r="DI71" s="39">
        <v>25.08</v>
      </c>
      <c r="DJ71" s="39">
        <v>25.16</v>
      </c>
      <c r="DK71" s="39">
        <v>25.24</v>
      </c>
      <c r="DL71" s="39">
        <v>25.32</v>
      </c>
      <c r="DM71" s="39">
        <v>25.39</v>
      </c>
      <c r="DN71" s="39">
        <v>25.47</v>
      </c>
      <c r="DO71" s="39">
        <v>25.55</v>
      </c>
      <c r="DP71" s="39">
        <v>25.62</v>
      </c>
      <c r="DQ71" s="39">
        <v>25.7</v>
      </c>
      <c r="DR71" s="39">
        <v>25.77</v>
      </c>
    </row>
    <row r="72" spans="1:122">
      <c r="A72" s="44">
        <v>70</v>
      </c>
      <c r="B72" s="45"/>
      <c r="C72" s="45"/>
      <c r="D72" s="45"/>
      <c r="E72" s="45"/>
      <c r="F72" s="45"/>
      <c r="G72" s="45"/>
      <c r="H72" s="45"/>
      <c r="I72" s="45"/>
      <c r="J72" s="45"/>
      <c r="K72" s="45"/>
      <c r="L72" s="45"/>
      <c r="M72" s="45"/>
      <c r="N72" s="45"/>
      <c r="O72" s="45"/>
      <c r="P72" s="45"/>
      <c r="Q72" s="45"/>
      <c r="R72" s="45"/>
      <c r="S72" s="45"/>
      <c r="T72" s="45"/>
      <c r="U72" s="45"/>
      <c r="V72" s="39"/>
      <c r="W72" s="39">
        <v>15.3</v>
      </c>
      <c r="X72" s="39">
        <v>15.42</v>
      </c>
      <c r="Y72" s="39">
        <v>15.57</v>
      </c>
      <c r="Z72" s="39">
        <v>15.72</v>
      </c>
      <c r="AA72" s="39">
        <v>15.83</v>
      </c>
      <c r="AB72" s="39">
        <v>15.97</v>
      </c>
      <c r="AC72" s="39">
        <v>16.12</v>
      </c>
      <c r="AD72" s="39">
        <v>16.21</v>
      </c>
      <c r="AE72" s="39">
        <v>16.36</v>
      </c>
      <c r="AF72" s="39">
        <v>16.489999999999998</v>
      </c>
      <c r="AG72" s="39">
        <v>16.579999999999998</v>
      </c>
      <c r="AH72" s="39">
        <v>16.71</v>
      </c>
      <c r="AI72" s="39">
        <v>16.829999999999998</v>
      </c>
      <c r="AJ72" s="39">
        <v>16.98</v>
      </c>
      <c r="AK72" s="39">
        <v>17.13</v>
      </c>
      <c r="AL72" s="39">
        <v>17.28</v>
      </c>
      <c r="AM72" s="39">
        <v>17.440000000000001</v>
      </c>
      <c r="AN72" s="39">
        <v>17.559999999999999</v>
      </c>
      <c r="AO72" s="39">
        <v>17.66</v>
      </c>
      <c r="AP72" s="39">
        <v>17.73</v>
      </c>
      <c r="AQ72" s="39">
        <v>17.79</v>
      </c>
      <c r="AR72" s="39">
        <v>17.850000000000001</v>
      </c>
      <c r="AS72" s="39">
        <v>17.920000000000002</v>
      </c>
      <c r="AT72" s="39">
        <v>17.98</v>
      </c>
      <c r="AU72" s="39">
        <v>18.04</v>
      </c>
      <c r="AV72" s="39">
        <v>18.14</v>
      </c>
      <c r="AW72" s="39">
        <v>18.27</v>
      </c>
      <c r="AX72" s="39">
        <v>18.37</v>
      </c>
      <c r="AY72" s="39">
        <v>18.47</v>
      </c>
      <c r="AZ72" s="39">
        <v>18.579999999999998</v>
      </c>
      <c r="BA72" s="39">
        <v>18.68</v>
      </c>
      <c r="BB72" s="39">
        <v>18.79</v>
      </c>
      <c r="BC72" s="39">
        <v>18.89</v>
      </c>
      <c r="BD72" s="39">
        <v>18.989999999999998</v>
      </c>
      <c r="BE72" s="39">
        <v>19.100000000000001</v>
      </c>
      <c r="BF72" s="39">
        <v>19.2</v>
      </c>
      <c r="BG72" s="39">
        <v>19.3</v>
      </c>
      <c r="BH72" s="39">
        <v>19.399999999999999</v>
      </c>
      <c r="BI72" s="39">
        <v>19.5</v>
      </c>
      <c r="BJ72" s="39">
        <v>19.600000000000001</v>
      </c>
      <c r="BK72" s="39">
        <v>19.7</v>
      </c>
      <c r="BL72" s="39">
        <v>19.8</v>
      </c>
      <c r="BM72" s="39">
        <v>19.899999999999999</v>
      </c>
      <c r="BN72" s="39">
        <v>20</v>
      </c>
      <c r="BO72" s="39">
        <v>20.100000000000001</v>
      </c>
      <c r="BP72" s="39">
        <v>20.2</v>
      </c>
      <c r="BQ72" s="39">
        <v>20.29</v>
      </c>
      <c r="BR72" s="39">
        <v>20.39</v>
      </c>
      <c r="BS72" s="39">
        <v>20.49</v>
      </c>
      <c r="BT72" s="39">
        <v>20.59</v>
      </c>
      <c r="BU72" s="39">
        <v>20.68</v>
      </c>
      <c r="BV72" s="39">
        <v>20.78</v>
      </c>
      <c r="BW72" s="39">
        <v>20.87</v>
      </c>
      <c r="BX72" s="39">
        <v>20.97</v>
      </c>
      <c r="BY72" s="39">
        <v>21.06</v>
      </c>
      <c r="BZ72" s="39">
        <v>21.16</v>
      </c>
      <c r="CA72" s="39">
        <v>21.25</v>
      </c>
      <c r="CB72" s="39">
        <v>21.34</v>
      </c>
      <c r="CC72" s="39">
        <v>21.44</v>
      </c>
      <c r="CD72" s="39">
        <v>21.53</v>
      </c>
      <c r="CE72" s="39">
        <v>21.62</v>
      </c>
      <c r="CF72" s="39">
        <v>21.71</v>
      </c>
      <c r="CG72" s="39">
        <v>21.8</v>
      </c>
      <c r="CH72" s="39">
        <v>21.89</v>
      </c>
      <c r="CI72" s="39">
        <v>21.98</v>
      </c>
      <c r="CJ72" s="39">
        <v>22.07</v>
      </c>
      <c r="CK72" s="39">
        <v>22.16</v>
      </c>
      <c r="CL72" s="39">
        <v>22.25</v>
      </c>
      <c r="CM72" s="39">
        <v>22.34</v>
      </c>
      <c r="CN72" s="39">
        <v>22.43</v>
      </c>
      <c r="CO72" s="39">
        <v>22.52</v>
      </c>
      <c r="CP72" s="39">
        <v>22.6</v>
      </c>
      <c r="CQ72" s="39">
        <v>22.69</v>
      </c>
      <c r="CR72" s="39">
        <v>22.77</v>
      </c>
      <c r="CS72" s="39">
        <v>22.86</v>
      </c>
      <c r="CT72" s="39">
        <v>22.95</v>
      </c>
      <c r="CU72" s="39">
        <v>23.03</v>
      </c>
      <c r="CV72" s="39">
        <v>23.11</v>
      </c>
      <c r="CW72" s="39">
        <v>23.2</v>
      </c>
      <c r="CX72" s="39">
        <v>23.28</v>
      </c>
      <c r="CY72" s="39">
        <v>23.36</v>
      </c>
      <c r="CZ72" s="39">
        <v>23.45</v>
      </c>
      <c r="DA72" s="39">
        <v>23.53</v>
      </c>
      <c r="DB72" s="39">
        <v>23.61</v>
      </c>
      <c r="DC72" s="39">
        <v>23.69</v>
      </c>
      <c r="DD72" s="39">
        <v>23.77</v>
      </c>
      <c r="DE72" s="39">
        <v>23.85</v>
      </c>
      <c r="DF72" s="39">
        <v>23.93</v>
      </c>
      <c r="DG72" s="39">
        <v>24.01</v>
      </c>
      <c r="DH72" s="39">
        <v>24.09</v>
      </c>
      <c r="DI72" s="39">
        <v>24.16</v>
      </c>
      <c r="DJ72" s="39">
        <v>24.24</v>
      </c>
      <c r="DK72" s="39">
        <v>24.32</v>
      </c>
      <c r="DL72" s="39">
        <v>24.39</v>
      </c>
      <c r="DM72" s="39">
        <v>24.47</v>
      </c>
      <c r="DN72" s="39">
        <v>24.55</v>
      </c>
      <c r="DO72" s="39">
        <v>24.62</v>
      </c>
      <c r="DP72" s="39">
        <v>24.7</v>
      </c>
      <c r="DQ72" s="39">
        <v>24.77</v>
      </c>
      <c r="DR72" s="39">
        <v>24.84</v>
      </c>
    </row>
    <row r="73" spans="1:122">
      <c r="A73" s="44">
        <v>71</v>
      </c>
      <c r="B73" s="45"/>
      <c r="C73" s="45"/>
      <c r="D73" s="45"/>
      <c r="E73" s="45"/>
      <c r="F73" s="45"/>
      <c r="G73" s="45"/>
      <c r="H73" s="45"/>
      <c r="I73" s="45"/>
      <c r="J73" s="45"/>
      <c r="K73" s="45"/>
      <c r="L73" s="45"/>
      <c r="M73" s="45"/>
      <c r="N73" s="45"/>
      <c r="O73" s="45"/>
      <c r="P73" s="45"/>
      <c r="Q73" s="45"/>
      <c r="R73" s="45"/>
      <c r="S73" s="45"/>
      <c r="T73" s="45"/>
      <c r="U73" s="45"/>
      <c r="V73" s="39"/>
      <c r="W73" s="39">
        <v>14.59</v>
      </c>
      <c r="X73" s="39">
        <v>14.71</v>
      </c>
      <c r="Y73" s="39">
        <v>14.86</v>
      </c>
      <c r="Z73" s="39">
        <v>15.01</v>
      </c>
      <c r="AA73" s="39">
        <v>15.11</v>
      </c>
      <c r="AB73" s="39">
        <v>15.24</v>
      </c>
      <c r="AC73" s="39">
        <v>15.38</v>
      </c>
      <c r="AD73" s="39">
        <v>15.47</v>
      </c>
      <c r="AE73" s="39">
        <v>15.61</v>
      </c>
      <c r="AF73" s="39">
        <v>15.74</v>
      </c>
      <c r="AG73" s="39">
        <v>15.82</v>
      </c>
      <c r="AH73" s="39">
        <v>15.95</v>
      </c>
      <c r="AI73" s="39">
        <v>16.059999999999999</v>
      </c>
      <c r="AJ73" s="39">
        <v>16.21</v>
      </c>
      <c r="AK73" s="39">
        <v>16.34</v>
      </c>
      <c r="AL73" s="39">
        <v>16.489999999999998</v>
      </c>
      <c r="AM73" s="39">
        <v>16.64</v>
      </c>
      <c r="AN73" s="39">
        <v>16.760000000000002</v>
      </c>
      <c r="AO73" s="39">
        <v>16.86</v>
      </c>
      <c r="AP73" s="39">
        <v>16.93</v>
      </c>
      <c r="AQ73" s="39">
        <v>17</v>
      </c>
      <c r="AR73" s="39">
        <v>17.059999999999999</v>
      </c>
      <c r="AS73" s="39">
        <v>17.12</v>
      </c>
      <c r="AT73" s="39">
        <v>17.2</v>
      </c>
      <c r="AU73" s="39">
        <v>17.27</v>
      </c>
      <c r="AV73" s="39">
        <v>17.38</v>
      </c>
      <c r="AW73" s="39">
        <v>17.5</v>
      </c>
      <c r="AX73" s="39">
        <v>17.59</v>
      </c>
      <c r="AY73" s="39">
        <v>17.7</v>
      </c>
      <c r="AZ73" s="39">
        <v>17.8</v>
      </c>
      <c r="BA73" s="39">
        <v>17.899999999999999</v>
      </c>
      <c r="BB73" s="39">
        <v>18</v>
      </c>
      <c r="BC73" s="39">
        <v>18.100000000000001</v>
      </c>
      <c r="BD73" s="39">
        <v>18.2</v>
      </c>
      <c r="BE73" s="39">
        <v>18.3</v>
      </c>
      <c r="BF73" s="39">
        <v>18.399999999999999</v>
      </c>
      <c r="BG73" s="39">
        <v>18.5</v>
      </c>
      <c r="BH73" s="39">
        <v>18.600000000000001</v>
      </c>
      <c r="BI73" s="39">
        <v>18.690000000000001</v>
      </c>
      <c r="BJ73" s="39">
        <v>18.79</v>
      </c>
      <c r="BK73" s="39">
        <v>18.89</v>
      </c>
      <c r="BL73" s="39">
        <v>18.989999999999998</v>
      </c>
      <c r="BM73" s="39">
        <v>19.079999999999998</v>
      </c>
      <c r="BN73" s="39">
        <v>19.18</v>
      </c>
      <c r="BO73" s="39">
        <v>19.28</v>
      </c>
      <c r="BP73" s="39">
        <v>19.37</v>
      </c>
      <c r="BQ73" s="39">
        <v>19.47</v>
      </c>
      <c r="BR73" s="39">
        <v>19.559999999999999</v>
      </c>
      <c r="BS73" s="39">
        <v>19.66</v>
      </c>
      <c r="BT73" s="39">
        <v>19.75</v>
      </c>
      <c r="BU73" s="39">
        <v>19.84</v>
      </c>
      <c r="BV73" s="39">
        <v>19.940000000000001</v>
      </c>
      <c r="BW73" s="39">
        <v>20.03</v>
      </c>
      <c r="BX73" s="39">
        <v>20.12</v>
      </c>
      <c r="BY73" s="39">
        <v>20.21</v>
      </c>
      <c r="BZ73" s="39">
        <v>20.309999999999999</v>
      </c>
      <c r="CA73" s="39">
        <v>20.399999999999999</v>
      </c>
      <c r="CB73" s="39">
        <v>20.49</v>
      </c>
      <c r="CC73" s="39">
        <v>20.58</v>
      </c>
      <c r="CD73" s="39">
        <v>20.67</v>
      </c>
      <c r="CE73" s="39">
        <v>20.76</v>
      </c>
      <c r="CF73" s="39">
        <v>20.85</v>
      </c>
      <c r="CG73" s="39">
        <v>20.94</v>
      </c>
      <c r="CH73" s="39">
        <v>21.03</v>
      </c>
      <c r="CI73" s="39">
        <v>21.11</v>
      </c>
      <c r="CJ73" s="39">
        <v>21.2</v>
      </c>
      <c r="CK73" s="39">
        <v>21.29</v>
      </c>
      <c r="CL73" s="39">
        <v>21.38</v>
      </c>
      <c r="CM73" s="39">
        <v>21.46</v>
      </c>
      <c r="CN73" s="39">
        <v>21.55</v>
      </c>
      <c r="CO73" s="39">
        <v>21.63</v>
      </c>
      <c r="CP73" s="39">
        <v>21.72</v>
      </c>
      <c r="CQ73" s="39">
        <v>21.8</v>
      </c>
      <c r="CR73" s="39">
        <v>21.89</v>
      </c>
      <c r="CS73" s="39">
        <v>21.97</v>
      </c>
      <c r="CT73" s="39">
        <v>22.05</v>
      </c>
      <c r="CU73" s="39">
        <v>22.14</v>
      </c>
      <c r="CV73" s="39">
        <v>22.22</v>
      </c>
      <c r="CW73" s="39">
        <v>22.3</v>
      </c>
      <c r="CX73" s="39">
        <v>22.38</v>
      </c>
      <c r="CY73" s="39">
        <v>22.46</v>
      </c>
      <c r="CZ73" s="39">
        <v>22.54</v>
      </c>
      <c r="DA73" s="39">
        <v>22.63</v>
      </c>
      <c r="DB73" s="39">
        <v>22.7</v>
      </c>
      <c r="DC73" s="39">
        <v>22.78</v>
      </c>
      <c r="DD73" s="39">
        <v>22.86</v>
      </c>
      <c r="DE73" s="39">
        <v>22.94</v>
      </c>
      <c r="DF73" s="39">
        <v>23.02</v>
      </c>
      <c r="DG73" s="39">
        <v>23.1</v>
      </c>
      <c r="DH73" s="39">
        <v>23.17</v>
      </c>
      <c r="DI73" s="39">
        <v>23.25</v>
      </c>
      <c r="DJ73" s="39">
        <v>23.33</v>
      </c>
      <c r="DK73" s="39">
        <v>23.4</v>
      </c>
      <c r="DL73" s="39">
        <v>23.48</v>
      </c>
      <c r="DM73" s="39">
        <v>23.55</v>
      </c>
      <c r="DN73" s="39">
        <v>23.62</v>
      </c>
      <c r="DO73" s="39">
        <v>23.7</v>
      </c>
      <c r="DP73" s="39">
        <v>23.77</v>
      </c>
      <c r="DQ73" s="39">
        <v>23.84</v>
      </c>
      <c r="DR73" s="39">
        <v>23.92</v>
      </c>
    </row>
    <row r="74" spans="1:122">
      <c r="A74" s="44">
        <v>72</v>
      </c>
      <c r="B74" s="45"/>
      <c r="C74" s="45"/>
      <c r="D74" s="45"/>
      <c r="E74" s="45"/>
      <c r="F74" s="45"/>
      <c r="G74" s="45"/>
      <c r="H74" s="45"/>
      <c r="I74" s="45"/>
      <c r="J74" s="45"/>
      <c r="K74" s="45"/>
      <c r="L74" s="45"/>
      <c r="M74" s="45"/>
      <c r="N74" s="45"/>
      <c r="O74" s="45"/>
      <c r="P74" s="45"/>
      <c r="Q74" s="45"/>
      <c r="R74" s="45"/>
      <c r="S74" s="45"/>
      <c r="T74" s="45"/>
      <c r="U74" s="45"/>
      <c r="V74" s="39"/>
      <c r="W74" s="39">
        <v>13.9</v>
      </c>
      <c r="X74" s="39">
        <v>14.01</v>
      </c>
      <c r="Y74" s="39">
        <v>14.15</v>
      </c>
      <c r="Z74" s="39">
        <v>14.3</v>
      </c>
      <c r="AA74" s="39">
        <v>14.39</v>
      </c>
      <c r="AB74" s="39">
        <v>14.52</v>
      </c>
      <c r="AC74" s="39">
        <v>14.66</v>
      </c>
      <c r="AD74" s="39">
        <v>14.74</v>
      </c>
      <c r="AE74" s="39">
        <v>14.86</v>
      </c>
      <c r="AF74" s="39">
        <v>15</v>
      </c>
      <c r="AG74" s="39">
        <v>15.08</v>
      </c>
      <c r="AH74" s="39">
        <v>15.2</v>
      </c>
      <c r="AI74" s="39">
        <v>15.3</v>
      </c>
      <c r="AJ74" s="39">
        <v>15.44</v>
      </c>
      <c r="AK74" s="39">
        <v>15.57</v>
      </c>
      <c r="AL74" s="39">
        <v>15.71</v>
      </c>
      <c r="AM74" s="39">
        <v>15.86</v>
      </c>
      <c r="AN74" s="39">
        <v>15.97</v>
      </c>
      <c r="AO74" s="39">
        <v>16.07</v>
      </c>
      <c r="AP74" s="39">
        <v>16.149999999999999</v>
      </c>
      <c r="AQ74" s="39">
        <v>16.21</v>
      </c>
      <c r="AR74" s="39">
        <v>16.27</v>
      </c>
      <c r="AS74" s="39">
        <v>16.350000000000001</v>
      </c>
      <c r="AT74" s="39">
        <v>16.420000000000002</v>
      </c>
      <c r="AU74" s="39">
        <v>16.510000000000002</v>
      </c>
      <c r="AV74" s="39">
        <v>16.62</v>
      </c>
      <c r="AW74" s="39">
        <v>16.72</v>
      </c>
      <c r="AX74" s="39">
        <v>16.82</v>
      </c>
      <c r="AY74" s="39">
        <v>16.920000000000002</v>
      </c>
      <c r="AZ74" s="39">
        <v>17.02</v>
      </c>
      <c r="BA74" s="39">
        <v>17.12</v>
      </c>
      <c r="BB74" s="39">
        <v>17.22</v>
      </c>
      <c r="BC74" s="39">
        <v>17.32</v>
      </c>
      <c r="BD74" s="39">
        <v>17.41</v>
      </c>
      <c r="BE74" s="39">
        <v>17.510000000000002</v>
      </c>
      <c r="BF74" s="39">
        <v>17.61</v>
      </c>
      <c r="BG74" s="39">
        <v>17.7</v>
      </c>
      <c r="BH74" s="39">
        <v>17.8</v>
      </c>
      <c r="BI74" s="39">
        <v>17.89</v>
      </c>
      <c r="BJ74" s="39">
        <v>17.989999999999998</v>
      </c>
      <c r="BK74" s="39">
        <v>18.079999999999998</v>
      </c>
      <c r="BL74" s="39">
        <v>18.18</v>
      </c>
      <c r="BM74" s="39">
        <v>18.27</v>
      </c>
      <c r="BN74" s="39">
        <v>18.36</v>
      </c>
      <c r="BO74" s="39">
        <v>18.46</v>
      </c>
      <c r="BP74" s="39">
        <v>18.55</v>
      </c>
      <c r="BQ74" s="39">
        <v>18.64</v>
      </c>
      <c r="BR74" s="39">
        <v>18.73</v>
      </c>
      <c r="BS74" s="39">
        <v>18.829999999999998</v>
      </c>
      <c r="BT74" s="39">
        <v>18.920000000000002</v>
      </c>
      <c r="BU74" s="39">
        <v>19.010000000000002</v>
      </c>
      <c r="BV74" s="39">
        <v>19.100000000000001</v>
      </c>
      <c r="BW74" s="39">
        <v>19.190000000000001</v>
      </c>
      <c r="BX74" s="39">
        <v>19.28</v>
      </c>
      <c r="BY74" s="39">
        <v>19.37</v>
      </c>
      <c r="BZ74" s="39">
        <v>19.46</v>
      </c>
      <c r="CA74" s="39">
        <v>19.55</v>
      </c>
      <c r="CB74" s="39">
        <v>19.64</v>
      </c>
      <c r="CC74" s="39">
        <v>19.73</v>
      </c>
      <c r="CD74" s="39">
        <v>19.809999999999999</v>
      </c>
      <c r="CE74" s="39">
        <v>19.899999999999999</v>
      </c>
      <c r="CF74" s="39">
        <v>19.989999999999998</v>
      </c>
      <c r="CG74" s="39">
        <v>20.079999999999998</v>
      </c>
      <c r="CH74" s="39">
        <v>20.16</v>
      </c>
      <c r="CI74" s="39">
        <v>20.25</v>
      </c>
      <c r="CJ74" s="39">
        <v>20.329999999999998</v>
      </c>
      <c r="CK74" s="39">
        <v>20.420000000000002</v>
      </c>
      <c r="CL74" s="39">
        <v>20.5</v>
      </c>
      <c r="CM74" s="39">
        <v>20.59</v>
      </c>
      <c r="CN74" s="39">
        <v>20.67</v>
      </c>
      <c r="CO74" s="39">
        <v>20.76</v>
      </c>
      <c r="CP74" s="39">
        <v>20.84</v>
      </c>
      <c r="CQ74" s="39">
        <v>20.92</v>
      </c>
      <c r="CR74" s="39">
        <v>21</v>
      </c>
      <c r="CS74" s="39">
        <v>21.09</v>
      </c>
      <c r="CT74" s="39">
        <v>21.17</v>
      </c>
      <c r="CU74" s="39">
        <v>21.25</v>
      </c>
      <c r="CV74" s="39">
        <v>21.33</v>
      </c>
      <c r="CW74" s="39">
        <v>21.41</v>
      </c>
      <c r="CX74" s="39">
        <v>21.49</v>
      </c>
      <c r="CY74" s="39">
        <v>21.57</v>
      </c>
      <c r="CZ74" s="39">
        <v>21.65</v>
      </c>
      <c r="DA74" s="39">
        <v>21.73</v>
      </c>
      <c r="DB74" s="39">
        <v>21.8</v>
      </c>
      <c r="DC74" s="39">
        <v>21.88</v>
      </c>
      <c r="DD74" s="39">
        <v>21.96</v>
      </c>
      <c r="DE74" s="39">
        <v>22.04</v>
      </c>
      <c r="DF74" s="39">
        <v>22.11</v>
      </c>
      <c r="DG74" s="39">
        <v>22.19</v>
      </c>
      <c r="DH74" s="39">
        <v>22.26</v>
      </c>
      <c r="DI74" s="39">
        <v>22.34</v>
      </c>
      <c r="DJ74" s="39">
        <v>22.41</v>
      </c>
      <c r="DK74" s="39">
        <v>22.49</v>
      </c>
      <c r="DL74" s="39">
        <v>22.56</v>
      </c>
      <c r="DM74" s="39">
        <v>22.63</v>
      </c>
      <c r="DN74" s="39">
        <v>22.71</v>
      </c>
      <c r="DO74" s="39">
        <v>22.78</v>
      </c>
      <c r="DP74" s="39">
        <v>22.85</v>
      </c>
      <c r="DQ74" s="39">
        <v>22.92</v>
      </c>
      <c r="DR74" s="39">
        <v>22.99</v>
      </c>
    </row>
    <row r="75" spans="1:122">
      <c r="A75" s="44">
        <v>73</v>
      </c>
      <c r="B75" s="45"/>
      <c r="C75" s="45"/>
      <c r="D75" s="45"/>
      <c r="E75" s="45"/>
      <c r="F75" s="45"/>
      <c r="G75" s="45"/>
      <c r="H75" s="45"/>
      <c r="I75" s="45"/>
      <c r="J75" s="45"/>
      <c r="K75" s="45"/>
      <c r="L75" s="45"/>
      <c r="M75" s="45"/>
      <c r="N75" s="45"/>
      <c r="O75" s="45"/>
      <c r="P75" s="45"/>
      <c r="Q75" s="45"/>
      <c r="R75" s="45"/>
      <c r="S75" s="45"/>
      <c r="T75" s="45"/>
      <c r="U75" s="45"/>
      <c r="V75" s="39"/>
      <c r="W75" s="39">
        <v>13.23</v>
      </c>
      <c r="X75" s="39">
        <v>13.32</v>
      </c>
      <c r="Y75" s="39">
        <v>13.47</v>
      </c>
      <c r="Z75" s="39">
        <v>13.6</v>
      </c>
      <c r="AA75" s="39">
        <v>13.7</v>
      </c>
      <c r="AB75" s="39">
        <v>13.82</v>
      </c>
      <c r="AC75" s="39">
        <v>13.94</v>
      </c>
      <c r="AD75" s="39">
        <v>14.02</v>
      </c>
      <c r="AE75" s="39">
        <v>14.14</v>
      </c>
      <c r="AF75" s="39">
        <v>14.27</v>
      </c>
      <c r="AG75" s="39">
        <v>14.34</v>
      </c>
      <c r="AH75" s="39">
        <v>14.46</v>
      </c>
      <c r="AI75" s="39">
        <v>14.56</v>
      </c>
      <c r="AJ75" s="39">
        <v>14.68</v>
      </c>
      <c r="AK75" s="39">
        <v>14.81</v>
      </c>
      <c r="AL75" s="39">
        <v>14.94</v>
      </c>
      <c r="AM75" s="39">
        <v>15.09</v>
      </c>
      <c r="AN75" s="39">
        <v>15.2</v>
      </c>
      <c r="AO75" s="39">
        <v>15.29</v>
      </c>
      <c r="AP75" s="39">
        <v>15.37</v>
      </c>
      <c r="AQ75" s="39">
        <v>15.43</v>
      </c>
      <c r="AR75" s="39">
        <v>15.51</v>
      </c>
      <c r="AS75" s="39">
        <v>15.58</v>
      </c>
      <c r="AT75" s="39">
        <v>15.66</v>
      </c>
      <c r="AU75" s="39">
        <v>15.75</v>
      </c>
      <c r="AV75" s="39">
        <v>15.87</v>
      </c>
      <c r="AW75" s="39">
        <v>15.96</v>
      </c>
      <c r="AX75" s="39">
        <v>16.059999999999999</v>
      </c>
      <c r="AY75" s="39">
        <v>16.16</v>
      </c>
      <c r="AZ75" s="39">
        <v>16.25</v>
      </c>
      <c r="BA75" s="39">
        <v>16.350000000000001</v>
      </c>
      <c r="BB75" s="39">
        <v>16.440000000000001</v>
      </c>
      <c r="BC75" s="39">
        <v>16.54</v>
      </c>
      <c r="BD75" s="39">
        <v>16.63</v>
      </c>
      <c r="BE75" s="39">
        <v>16.72</v>
      </c>
      <c r="BF75" s="39">
        <v>16.82</v>
      </c>
      <c r="BG75" s="39">
        <v>16.91</v>
      </c>
      <c r="BH75" s="39">
        <v>17</v>
      </c>
      <c r="BI75" s="39">
        <v>17.09</v>
      </c>
      <c r="BJ75" s="39">
        <v>17.190000000000001</v>
      </c>
      <c r="BK75" s="39">
        <v>17.28</v>
      </c>
      <c r="BL75" s="39">
        <v>17.37</v>
      </c>
      <c r="BM75" s="39">
        <v>17.46</v>
      </c>
      <c r="BN75" s="39">
        <v>17.55</v>
      </c>
      <c r="BO75" s="39">
        <v>17.64</v>
      </c>
      <c r="BP75" s="39">
        <v>17.73</v>
      </c>
      <c r="BQ75" s="39">
        <v>17.82</v>
      </c>
      <c r="BR75" s="39">
        <v>17.91</v>
      </c>
      <c r="BS75" s="39">
        <v>18</v>
      </c>
      <c r="BT75" s="39">
        <v>18.09</v>
      </c>
      <c r="BU75" s="39">
        <v>18.18</v>
      </c>
      <c r="BV75" s="39">
        <v>18.27</v>
      </c>
      <c r="BW75" s="39">
        <v>18.36</v>
      </c>
      <c r="BX75" s="39">
        <v>18.440000000000001</v>
      </c>
      <c r="BY75" s="39">
        <v>18.53</v>
      </c>
      <c r="BZ75" s="39">
        <v>18.62</v>
      </c>
      <c r="CA75" s="39">
        <v>18.7</v>
      </c>
      <c r="CB75" s="39">
        <v>18.79</v>
      </c>
      <c r="CC75" s="39">
        <v>18.88</v>
      </c>
      <c r="CD75" s="39">
        <v>18.96</v>
      </c>
      <c r="CE75" s="39">
        <v>19.05</v>
      </c>
      <c r="CF75" s="39">
        <v>19.13</v>
      </c>
      <c r="CG75" s="39">
        <v>19.22</v>
      </c>
      <c r="CH75" s="39">
        <v>19.3</v>
      </c>
      <c r="CI75" s="39">
        <v>19.39</v>
      </c>
      <c r="CJ75" s="39">
        <v>19.47</v>
      </c>
      <c r="CK75" s="39">
        <v>19.55</v>
      </c>
      <c r="CL75" s="39">
        <v>19.64</v>
      </c>
      <c r="CM75" s="39">
        <v>19.72</v>
      </c>
      <c r="CN75" s="39">
        <v>19.8</v>
      </c>
      <c r="CO75" s="39">
        <v>19.88</v>
      </c>
      <c r="CP75" s="39">
        <v>19.96</v>
      </c>
      <c r="CQ75" s="39">
        <v>20.04</v>
      </c>
      <c r="CR75" s="39">
        <v>20.12</v>
      </c>
      <c r="CS75" s="39">
        <v>20.2</v>
      </c>
      <c r="CT75" s="39">
        <v>20.28</v>
      </c>
      <c r="CU75" s="39">
        <v>20.36</v>
      </c>
      <c r="CV75" s="39">
        <v>20.440000000000001</v>
      </c>
      <c r="CW75" s="39">
        <v>20.52</v>
      </c>
      <c r="CX75" s="39">
        <v>20.6</v>
      </c>
      <c r="CY75" s="39">
        <v>20.68</v>
      </c>
      <c r="CZ75" s="39">
        <v>20.75</v>
      </c>
      <c r="DA75" s="39">
        <v>20.83</v>
      </c>
      <c r="DB75" s="39">
        <v>20.91</v>
      </c>
      <c r="DC75" s="39">
        <v>20.98</v>
      </c>
      <c r="DD75" s="39">
        <v>21.06</v>
      </c>
      <c r="DE75" s="39">
        <v>21.13</v>
      </c>
      <c r="DF75" s="39">
        <v>21.21</v>
      </c>
      <c r="DG75" s="39">
        <v>21.28</v>
      </c>
      <c r="DH75" s="39">
        <v>21.36</v>
      </c>
      <c r="DI75" s="39">
        <v>21.43</v>
      </c>
      <c r="DJ75" s="39">
        <v>21.5</v>
      </c>
      <c r="DK75" s="39">
        <v>21.58</v>
      </c>
      <c r="DL75" s="39">
        <v>21.65</v>
      </c>
      <c r="DM75" s="39">
        <v>21.72</v>
      </c>
      <c r="DN75" s="39">
        <v>21.79</v>
      </c>
      <c r="DO75" s="39">
        <v>21.86</v>
      </c>
      <c r="DP75" s="39">
        <v>21.93</v>
      </c>
      <c r="DQ75" s="39">
        <v>22</v>
      </c>
      <c r="DR75" s="39">
        <v>22.07</v>
      </c>
    </row>
    <row r="76" spans="1:122">
      <c r="A76" s="44">
        <v>74</v>
      </c>
      <c r="B76" s="45"/>
      <c r="C76" s="45"/>
      <c r="D76" s="45"/>
      <c r="E76" s="45"/>
      <c r="F76" s="45"/>
      <c r="G76" s="45"/>
      <c r="H76" s="45"/>
      <c r="I76" s="45"/>
      <c r="J76" s="45"/>
      <c r="K76" s="45"/>
      <c r="L76" s="45"/>
      <c r="M76" s="45"/>
      <c r="N76" s="45"/>
      <c r="O76" s="45"/>
      <c r="P76" s="45"/>
      <c r="Q76" s="45"/>
      <c r="R76" s="45"/>
      <c r="S76" s="45"/>
      <c r="T76" s="45"/>
      <c r="U76" s="45"/>
      <c r="V76" s="39"/>
      <c r="W76" s="39">
        <v>12.56</v>
      </c>
      <c r="X76" s="39">
        <v>12.66</v>
      </c>
      <c r="Y76" s="39">
        <v>12.79</v>
      </c>
      <c r="Z76" s="39">
        <v>12.91</v>
      </c>
      <c r="AA76" s="39">
        <v>13.01</v>
      </c>
      <c r="AB76" s="39">
        <v>13.12</v>
      </c>
      <c r="AC76" s="39">
        <v>13.24</v>
      </c>
      <c r="AD76" s="39">
        <v>13.3</v>
      </c>
      <c r="AE76" s="39">
        <v>13.43</v>
      </c>
      <c r="AF76" s="39">
        <v>13.55</v>
      </c>
      <c r="AG76" s="39">
        <v>13.62</v>
      </c>
      <c r="AH76" s="39">
        <v>13.72</v>
      </c>
      <c r="AI76" s="39">
        <v>13.81</v>
      </c>
      <c r="AJ76" s="39">
        <v>13.94</v>
      </c>
      <c r="AK76" s="39">
        <v>14.07</v>
      </c>
      <c r="AL76" s="39">
        <v>14.18</v>
      </c>
      <c r="AM76" s="39">
        <v>14.32</v>
      </c>
      <c r="AN76" s="39">
        <v>14.43</v>
      </c>
      <c r="AO76" s="39">
        <v>14.53</v>
      </c>
      <c r="AP76" s="39">
        <v>14.6</v>
      </c>
      <c r="AQ76" s="39">
        <v>14.67</v>
      </c>
      <c r="AR76" s="39">
        <v>14.75</v>
      </c>
      <c r="AS76" s="39">
        <v>14.82</v>
      </c>
      <c r="AT76" s="39">
        <v>14.92</v>
      </c>
      <c r="AU76" s="39">
        <v>15.02</v>
      </c>
      <c r="AV76" s="39">
        <v>15.11</v>
      </c>
      <c r="AW76" s="39">
        <v>15.21</v>
      </c>
      <c r="AX76" s="39">
        <v>15.3</v>
      </c>
      <c r="AY76" s="39">
        <v>15.39</v>
      </c>
      <c r="AZ76" s="39">
        <v>15.49</v>
      </c>
      <c r="BA76" s="39">
        <v>15.58</v>
      </c>
      <c r="BB76" s="39">
        <v>15.67</v>
      </c>
      <c r="BC76" s="39">
        <v>15.76</v>
      </c>
      <c r="BD76" s="39">
        <v>15.85</v>
      </c>
      <c r="BE76" s="39">
        <v>15.94</v>
      </c>
      <c r="BF76" s="39">
        <v>16.03</v>
      </c>
      <c r="BG76" s="39">
        <v>16.12</v>
      </c>
      <c r="BH76" s="39">
        <v>16.21</v>
      </c>
      <c r="BI76" s="39">
        <v>16.3</v>
      </c>
      <c r="BJ76" s="39">
        <v>16.39</v>
      </c>
      <c r="BK76" s="39">
        <v>16.48</v>
      </c>
      <c r="BL76" s="39">
        <v>16.57</v>
      </c>
      <c r="BM76" s="39">
        <v>16.66</v>
      </c>
      <c r="BN76" s="39">
        <v>16.739999999999998</v>
      </c>
      <c r="BO76" s="39">
        <v>16.829999999999998</v>
      </c>
      <c r="BP76" s="39">
        <v>16.920000000000002</v>
      </c>
      <c r="BQ76" s="39">
        <v>17.010000000000002</v>
      </c>
      <c r="BR76" s="39">
        <v>17.09</v>
      </c>
      <c r="BS76" s="39">
        <v>17.18</v>
      </c>
      <c r="BT76" s="39">
        <v>17.27</v>
      </c>
      <c r="BU76" s="39">
        <v>17.350000000000001</v>
      </c>
      <c r="BV76" s="39">
        <v>17.440000000000001</v>
      </c>
      <c r="BW76" s="39">
        <v>17.53</v>
      </c>
      <c r="BX76" s="39">
        <v>17.61</v>
      </c>
      <c r="BY76" s="39">
        <v>17.7</v>
      </c>
      <c r="BZ76" s="39">
        <v>17.78</v>
      </c>
      <c r="CA76" s="39">
        <v>17.87</v>
      </c>
      <c r="CB76" s="39">
        <v>17.95</v>
      </c>
      <c r="CC76" s="39">
        <v>18.03</v>
      </c>
      <c r="CD76" s="39">
        <v>18.12</v>
      </c>
      <c r="CE76" s="39">
        <v>18.2</v>
      </c>
      <c r="CF76" s="39">
        <v>18.28</v>
      </c>
      <c r="CG76" s="39">
        <v>18.37</v>
      </c>
      <c r="CH76" s="39">
        <v>18.45</v>
      </c>
      <c r="CI76" s="39">
        <v>18.53</v>
      </c>
      <c r="CJ76" s="39">
        <v>18.61</v>
      </c>
      <c r="CK76" s="39">
        <v>18.690000000000001</v>
      </c>
      <c r="CL76" s="39">
        <v>18.77</v>
      </c>
      <c r="CM76" s="39">
        <v>18.850000000000001</v>
      </c>
      <c r="CN76" s="39">
        <v>18.93</v>
      </c>
      <c r="CO76" s="39">
        <v>19.010000000000002</v>
      </c>
      <c r="CP76" s="39">
        <v>19.09</v>
      </c>
      <c r="CQ76" s="39">
        <v>19.170000000000002</v>
      </c>
      <c r="CR76" s="39">
        <v>19.25</v>
      </c>
      <c r="CS76" s="39">
        <v>19.329999999999998</v>
      </c>
      <c r="CT76" s="39">
        <v>19.41</v>
      </c>
      <c r="CU76" s="39">
        <v>19.48</v>
      </c>
      <c r="CV76" s="39">
        <v>19.559999999999999</v>
      </c>
      <c r="CW76" s="39">
        <v>19.64</v>
      </c>
      <c r="CX76" s="39">
        <v>19.71</v>
      </c>
      <c r="CY76" s="39">
        <v>19.79</v>
      </c>
      <c r="CZ76" s="39">
        <v>19.86</v>
      </c>
      <c r="DA76" s="39">
        <v>19.940000000000001</v>
      </c>
      <c r="DB76" s="39">
        <v>20.010000000000002</v>
      </c>
      <c r="DC76" s="39">
        <v>20.09</v>
      </c>
      <c r="DD76" s="39">
        <v>20.16</v>
      </c>
      <c r="DE76" s="39">
        <v>20.239999999999998</v>
      </c>
      <c r="DF76" s="39">
        <v>20.309999999999999</v>
      </c>
      <c r="DG76" s="39">
        <v>20.38</v>
      </c>
      <c r="DH76" s="39">
        <v>20.45</v>
      </c>
      <c r="DI76" s="39">
        <v>20.53</v>
      </c>
      <c r="DJ76" s="39">
        <v>20.6</v>
      </c>
      <c r="DK76" s="39">
        <v>20.67</v>
      </c>
      <c r="DL76" s="39">
        <v>20.74</v>
      </c>
      <c r="DM76" s="39">
        <v>20.81</v>
      </c>
      <c r="DN76" s="39">
        <v>20.88</v>
      </c>
      <c r="DO76" s="39">
        <v>20.95</v>
      </c>
      <c r="DP76" s="39">
        <v>21.02</v>
      </c>
      <c r="DQ76" s="39">
        <v>21.09</v>
      </c>
      <c r="DR76" s="39">
        <v>21.16</v>
      </c>
    </row>
    <row r="77" spans="1:122">
      <c r="A77" s="44">
        <v>75</v>
      </c>
      <c r="B77" s="45"/>
      <c r="C77" s="45"/>
      <c r="D77" s="45"/>
      <c r="E77" s="45"/>
      <c r="F77" s="45"/>
      <c r="G77" s="45"/>
      <c r="H77" s="45"/>
      <c r="I77" s="45"/>
      <c r="J77" s="45"/>
      <c r="K77" s="45"/>
      <c r="L77" s="45"/>
      <c r="M77" s="45"/>
      <c r="N77" s="45"/>
      <c r="O77" s="45"/>
      <c r="P77" s="45"/>
      <c r="Q77" s="45"/>
      <c r="R77" s="45"/>
      <c r="S77" s="45"/>
      <c r="T77" s="45"/>
      <c r="U77" s="45"/>
      <c r="V77" s="39"/>
      <c r="W77" s="39">
        <v>11.92</v>
      </c>
      <c r="X77" s="39">
        <v>12.01</v>
      </c>
      <c r="Y77" s="39">
        <v>12.12</v>
      </c>
      <c r="Z77" s="39">
        <v>12.24</v>
      </c>
      <c r="AA77" s="39">
        <v>12.32</v>
      </c>
      <c r="AB77" s="39">
        <v>12.42</v>
      </c>
      <c r="AC77" s="39">
        <v>12.54</v>
      </c>
      <c r="AD77" s="39">
        <v>12.61</v>
      </c>
      <c r="AE77" s="39">
        <v>12.72</v>
      </c>
      <c r="AF77" s="39">
        <v>12.84</v>
      </c>
      <c r="AG77" s="39">
        <v>12.9</v>
      </c>
      <c r="AH77" s="39">
        <v>12.99</v>
      </c>
      <c r="AI77" s="39">
        <v>13.08</v>
      </c>
      <c r="AJ77" s="39">
        <v>13.2</v>
      </c>
      <c r="AK77" s="39">
        <v>13.33</v>
      </c>
      <c r="AL77" s="39">
        <v>13.44</v>
      </c>
      <c r="AM77" s="39">
        <v>13.58</v>
      </c>
      <c r="AN77" s="39">
        <v>13.68</v>
      </c>
      <c r="AO77" s="39">
        <v>13.77</v>
      </c>
      <c r="AP77" s="39">
        <v>13.85</v>
      </c>
      <c r="AQ77" s="39">
        <v>13.92</v>
      </c>
      <c r="AR77" s="39">
        <v>14</v>
      </c>
      <c r="AS77" s="39">
        <v>14.08</v>
      </c>
      <c r="AT77" s="39">
        <v>14.18</v>
      </c>
      <c r="AU77" s="39">
        <v>14.27</v>
      </c>
      <c r="AV77" s="39">
        <v>14.37</v>
      </c>
      <c r="AW77" s="39">
        <v>14.46</v>
      </c>
      <c r="AX77" s="39">
        <v>14.55</v>
      </c>
      <c r="AY77" s="39">
        <v>14.64</v>
      </c>
      <c r="AZ77" s="39">
        <v>14.72</v>
      </c>
      <c r="BA77" s="39">
        <v>14.81</v>
      </c>
      <c r="BB77" s="39">
        <v>14.9</v>
      </c>
      <c r="BC77" s="39">
        <v>14.99</v>
      </c>
      <c r="BD77" s="39">
        <v>15.08</v>
      </c>
      <c r="BE77" s="39">
        <v>15.17</v>
      </c>
      <c r="BF77" s="39">
        <v>15.25</v>
      </c>
      <c r="BG77" s="39">
        <v>15.34</v>
      </c>
      <c r="BH77" s="39">
        <v>15.43</v>
      </c>
      <c r="BI77" s="39">
        <v>15.51</v>
      </c>
      <c r="BJ77" s="39">
        <v>15.6</v>
      </c>
      <c r="BK77" s="39">
        <v>15.69</v>
      </c>
      <c r="BL77" s="39">
        <v>15.77</v>
      </c>
      <c r="BM77" s="39">
        <v>15.86</v>
      </c>
      <c r="BN77" s="39">
        <v>15.94</v>
      </c>
      <c r="BO77" s="39">
        <v>16.03</v>
      </c>
      <c r="BP77" s="39">
        <v>16.11</v>
      </c>
      <c r="BQ77" s="39">
        <v>16.2</v>
      </c>
      <c r="BR77" s="39">
        <v>16.28</v>
      </c>
      <c r="BS77" s="39">
        <v>16.37</v>
      </c>
      <c r="BT77" s="39">
        <v>16.45</v>
      </c>
      <c r="BU77" s="39">
        <v>16.53</v>
      </c>
      <c r="BV77" s="39">
        <v>16.62</v>
      </c>
      <c r="BW77" s="39">
        <v>16.7</v>
      </c>
      <c r="BX77" s="39">
        <v>16.78</v>
      </c>
      <c r="BY77" s="39">
        <v>16.87</v>
      </c>
      <c r="BZ77" s="39">
        <v>16.95</v>
      </c>
      <c r="CA77" s="39">
        <v>17.03</v>
      </c>
      <c r="CB77" s="39">
        <v>17.11</v>
      </c>
      <c r="CC77" s="39">
        <v>17.190000000000001</v>
      </c>
      <c r="CD77" s="39">
        <v>17.28</v>
      </c>
      <c r="CE77" s="39">
        <v>17.36</v>
      </c>
      <c r="CF77" s="39">
        <v>17.440000000000001</v>
      </c>
      <c r="CG77" s="39">
        <v>17.52</v>
      </c>
      <c r="CH77" s="39">
        <v>17.600000000000001</v>
      </c>
      <c r="CI77" s="39">
        <v>17.68</v>
      </c>
      <c r="CJ77" s="39">
        <v>17.760000000000002</v>
      </c>
      <c r="CK77" s="39">
        <v>17.84</v>
      </c>
      <c r="CL77" s="39">
        <v>17.91</v>
      </c>
      <c r="CM77" s="39">
        <v>17.989999999999998</v>
      </c>
      <c r="CN77" s="39">
        <v>18.07</v>
      </c>
      <c r="CO77" s="39">
        <v>18.149999999999999</v>
      </c>
      <c r="CP77" s="39">
        <v>18.23</v>
      </c>
      <c r="CQ77" s="39">
        <v>18.3</v>
      </c>
      <c r="CR77" s="39">
        <v>18.38</v>
      </c>
      <c r="CS77" s="39">
        <v>18.46</v>
      </c>
      <c r="CT77" s="39">
        <v>18.53</v>
      </c>
      <c r="CU77" s="39">
        <v>18.61</v>
      </c>
      <c r="CV77" s="39">
        <v>18.68</v>
      </c>
      <c r="CW77" s="39">
        <v>18.760000000000002</v>
      </c>
      <c r="CX77" s="39">
        <v>18.829999999999998</v>
      </c>
      <c r="CY77" s="39">
        <v>18.91</v>
      </c>
      <c r="CZ77" s="39">
        <v>18.98</v>
      </c>
      <c r="DA77" s="39">
        <v>19.05</v>
      </c>
      <c r="DB77" s="39">
        <v>19.13</v>
      </c>
      <c r="DC77" s="39">
        <v>19.2</v>
      </c>
      <c r="DD77" s="39">
        <v>19.27</v>
      </c>
      <c r="DE77" s="39">
        <v>19.34</v>
      </c>
      <c r="DF77" s="39">
        <v>19.420000000000002</v>
      </c>
      <c r="DG77" s="39">
        <v>19.489999999999998</v>
      </c>
      <c r="DH77" s="39">
        <v>19.559999999999999</v>
      </c>
      <c r="DI77" s="39">
        <v>19.63</v>
      </c>
      <c r="DJ77" s="39">
        <v>19.7</v>
      </c>
      <c r="DK77" s="39">
        <v>19.77</v>
      </c>
      <c r="DL77" s="39">
        <v>19.84</v>
      </c>
      <c r="DM77" s="39">
        <v>19.91</v>
      </c>
      <c r="DN77" s="39">
        <v>19.97</v>
      </c>
      <c r="DO77" s="39">
        <v>20.04</v>
      </c>
      <c r="DP77" s="39">
        <v>20.11</v>
      </c>
      <c r="DQ77" s="39">
        <v>20.18</v>
      </c>
      <c r="DR77" s="39">
        <v>20.239999999999998</v>
      </c>
    </row>
    <row r="78" spans="1:122">
      <c r="A78" s="44">
        <v>76</v>
      </c>
      <c r="B78" s="45"/>
      <c r="C78" s="45"/>
      <c r="D78" s="45"/>
      <c r="E78" s="45"/>
      <c r="F78" s="45"/>
      <c r="G78" s="45"/>
      <c r="H78" s="45"/>
      <c r="I78" s="45"/>
      <c r="J78" s="45"/>
      <c r="K78" s="45"/>
      <c r="L78" s="45"/>
      <c r="M78" s="45"/>
      <c r="N78" s="45"/>
      <c r="O78" s="45"/>
      <c r="P78" s="45"/>
      <c r="Q78" s="45"/>
      <c r="R78" s="45"/>
      <c r="S78" s="45"/>
      <c r="T78" s="45"/>
      <c r="U78" s="45"/>
      <c r="V78" s="39"/>
      <c r="W78" s="39">
        <v>11.28</v>
      </c>
      <c r="X78" s="39">
        <v>11.35</v>
      </c>
      <c r="Y78" s="39">
        <v>11.47</v>
      </c>
      <c r="Z78" s="39">
        <v>11.57</v>
      </c>
      <c r="AA78" s="39">
        <v>11.65</v>
      </c>
      <c r="AB78" s="39">
        <v>11.74</v>
      </c>
      <c r="AC78" s="39">
        <v>11.87</v>
      </c>
      <c r="AD78" s="39">
        <v>11.93</v>
      </c>
      <c r="AE78" s="39">
        <v>12.02</v>
      </c>
      <c r="AF78" s="39">
        <v>12.13</v>
      </c>
      <c r="AG78" s="39">
        <v>12.19</v>
      </c>
      <c r="AH78" s="39">
        <v>12.28</v>
      </c>
      <c r="AI78" s="39">
        <v>12.37</v>
      </c>
      <c r="AJ78" s="39">
        <v>12.48</v>
      </c>
      <c r="AK78" s="39">
        <v>12.6</v>
      </c>
      <c r="AL78" s="39">
        <v>12.72</v>
      </c>
      <c r="AM78" s="39">
        <v>12.85</v>
      </c>
      <c r="AN78" s="39">
        <v>12.94</v>
      </c>
      <c r="AO78" s="39">
        <v>13.03</v>
      </c>
      <c r="AP78" s="39">
        <v>13.1</v>
      </c>
      <c r="AQ78" s="39">
        <v>13.18</v>
      </c>
      <c r="AR78" s="39">
        <v>13.27</v>
      </c>
      <c r="AS78" s="39">
        <v>13.36</v>
      </c>
      <c r="AT78" s="39">
        <v>13.45</v>
      </c>
      <c r="AU78" s="39">
        <v>13.54</v>
      </c>
      <c r="AV78" s="39">
        <v>13.62</v>
      </c>
      <c r="AW78" s="39">
        <v>13.71</v>
      </c>
      <c r="AX78" s="39">
        <v>13.8</v>
      </c>
      <c r="AY78" s="39">
        <v>13.88</v>
      </c>
      <c r="AZ78" s="39">
        <v>13.97</v>
      </c>
      <c r="BA78" s="39">
        <v>14.06</v>
      </c>
      <c r="BB78" s="39">
        <v>14.14</v>
      </c>
      <c r="BC78" s="39">
        <v>14.23</v>
      </c>
      <c r="BD78" s="39">
        <v>14.31</v>
      </c>
      <c r="BE78" s="39">
        <v>14.4</v>
      </c>
      <c r="BF78" s="39">
        <v>14.48</v>
      </c>
      <c r="BG78" s="39">
        <v>14.56</v>
      </c>
      <c r="BH78" s="39">
        <v>14.65</v>
      </c>
      <c r="BI78" s="39">
        <v>14.73</v>
      </c>
      <c r="BJ78" s="39">
        <v>14.81</v>
      </c>
      <c r="BK78" s="39">
        <v>14.9</v>
      </c>
      <c r="BL78" s="39">
        <v>14.98</v>
      </c>
      <c r="BM78" s="39">
        <v>15.06</v>
      </c>
      <c r="BN78" s="39">
        <v>15.15</v>
      </c>
      <c r="BO78" s="39">
        <v>15.23</v>
      </c>
      <c r="BP78" s="39">
        <v>15.31</v>
      </c>
      <c r="BQ78" s="39">
        <v>15.39</v>
      </c>
      <c r="BR78" s="39">
        <v>15.48</v>
      </c>
      <c r="BS78" s="39">
        <v>15.56</v>
      </c>
      <c r="BT78" s="39">
        <v>15.64</v>
      </c>
      <c r="BU78" s="39">
        <v>15.72</v>
      </c>
      <c r="BV78" s="39">
        <v>15.8</v>
      </c>
      <c r="BW78" s="39">
        <v>15.88</v>
      </c>
      <c r="BX78" s="39">
        <v>15.96</v>
      </c>
      <c r="BY78" s="39">
        <v>16.04</v>
      </c>
      <c r="BZ78" s="39">
        <v>16.12</v>
      </c>
      <c r="CA78" s="39">
        <v>16.2</v>
      </c>
      <c r="CB78" s="39">
        <v>16.28</v>
      </c>
      <c r="CC78" s="39">
        <v>16.36</v>
      </c>
      <c r="CD78" s="39">
        <v>16.440000000000001</v>
      </c>
      <c r="CE78" s="39">
        <v>16.52</v>
      </c>
      <c r="CF78" s="39">
        <v>16.600000000000001</v>
      </c>
      <c r="CG78" s="39">
        <v>16.68</v>
      </c>
      <c r="CH78" s="39">
        <v>16.75</v>
      </c>
      <c r="CI78" s="39">
        <v>16.829999999999998</v>
      </c>
      <c r="CJ78" s="39">
        <v>16.91</v>
      </c>
      <c r="CK78" s="39">
        <v>16.989999999999998</v>
      </c>
      <c r="CL78" s="39">
        <v>17.059999999999999</v>
      </c>
      <c r="CM78" s="39">
        <v>17.14</v>
      </c>
      <c r="CN78" s="39">
        <v>17.21</v>
      </c>
      <c r="CO78" s="39">
        <v>17.29</v>
      </c>
      <c r="CP78" s="39">
        <v>17.37</v>
      </c>
      <c r="CQ78" s="39">
        <v>17.440000000000001</v>
      </c>
      <c r="CR78" s="39">
        <v>17.52</v>
      </c>
      <c r="CS78" s="39">
        <v>17.59</v>
      </c>
      <c r="CT78" s="39">
        <v>17.66</v>
      </c>
      <c r="CU78" s="39">
        <v>17.739999999999998</v>
      </c>
      <c r="CV78" s="39">
        <v>17.809999999999999</v>
      </c>
      <c r="CW78" s="39">
        <v>17.88</v>
      </c>
      <c r="CX78" s="39">
        <v>17.96</v>
      </c>
      <c r="CY78" s="39">
        <v>18.03</v>
      </c>
      <c r="CZ78" s="39">
        <v>18.100000000000001</v>
      </c>
      <c r="DA78" s="39">
        <v>18.170000000000002</v>
      </c>
      <c r="DB78" s="39">
        <v>18.25</v>
      </c>
      <c r="DC78" s="39">
        <v>18.32</v>
      </c>
      <c r="DD78" s="39">
        <v>18.39</v>
      </c>
      <c r="DE78" s="39">
        <v>18.46</v>
      </c>
      <c r="DF78" s="39">
        <v>18.53</v>
      </c>
      <c r="DG78" s="39">
        <v>18.600000000000001</v>
      </c>
      <c r="DH78" s="39">
        <v>18.670000000000002</v>
      </c>
      <c r="DI78" s="39">
        <v>18.73</v>
      </c>
      <c r="DJ78" s="39">
        <v>18.8</v>
      </c>
      <c r="DK78" s="39">
        <v>18.87</v>
      </c>
      <c r="DL78" s="39">
        <v>18.940000000000001</v>
      </c>
      <c r="DM78" s="39">
        <v>19.010000000000002</v>
      </c>
      <c r="DN78" s="39">
        <v>19.07</v>
      </c>
      <c r="DO78" s="39">
        <v>19.14</v>
      </c>
      <c r="DP78" s="39">
        <v>19.21</v>
      </c>
      <c r="DQ78" s="39">
        <v>19.27</v>
      </c>
      <c r="DR78" s="39">
        <v>19.34</v>
      </c>
    </row>
    <row r="79" spans="1:122">
      <c r="A79" s="44">
        <v>77</v>
      </c>
      <c r="B79" s="45"/>
      <c r="C79" s="45"/>
      <c r="D79" s="45"/>
      <c r="E79" s="45"/>
      <c r="F79" s="45"/>
      <c r="G79" s="45"/>
      <c r="H79" s="45"/>
      <c r="I79" s="45"/>
      <c r="J79" s="45"/>
      <c r="K79" s="45"/>
      <c r="L79" s="45"/>
      <c r="M79" s="45"/>
      <c r="N79" s="45"/>
      <c r="O79" s="45"/>
      <c r="P79" s="45"/>
      <c r="Q79" s="45"/>
      <c r="R79" s="45"/>
      <c r="S79" s="45"/>
      <c r="T79" s="45"/>
      <c r="U79" s="45"/>
      <c r="V79" s="39"/>
      <c r="W79" s="39">
        <v>10.65</v>
      </c>
      <c r="X79" s="39">
        <v>10.73</v>
      </c>
      <c r="Y79" s="39">
        <v>10.83</v>
      </c>
      <c r="Z79" s="39">
        <v>10.92</v>
      </c>
      <c r="AA79" s="39">
        <v>10.99</v>
      </c>
      <c r="AB79" s="39">
        <v>11.09</v>
      </c>
      <c r="AC79" s="39">
        <v>11.21</v>
      </c>
      <c r="AD79" s="39">
        <v>11.26</v>
      </c>
      <c r="AE79" s="39">
        <v>11.34</v>
      </c>
      <c r="AF79" s="39">
        <v>11.44</v>
      </c>
      <c r="AG79" s="39">
        <v>11.5</v>
      </c>
      <c r="AH79" s="39">
        <v>11.59</v>
      </c>
      <c r="AI79" s="39">
        <v>11.68</v>
      </c>
      <c r="AJ79" s="39">
        <v>11.78</v>
      </c>
      <c r="AK79" s="39">
        <v>11.9</v>
      </c>
      <c r="AL79" s="39">
        <v>12.01</v>
      </c>
      <c r="AM79" s="39">
        <v>12.12</v>
      </c>
      <c r="AN79" s="39">
        <v>12.22</v>
      </c>
      <c r="AO79" s="39">
        <v>12.3</v>
      </c>
      <c r="AP79" s="39">
        <v>12.38</v>
      </c>
      <c r="AQ79" s="39">
        <v>12.47</v>
      </c>
      <c r="AR79" s="39">
        <v>12.55</v>
      </c>
      <c r="AS79" s="39">
        <v>12.63</v>
      </c>
      <c r="AT79" s="39">
        <v>12.72</v>
      </c>
      <c r="AU79" s="39">
        <v>12.8</v>
      </c>
      <c r="AV79" s="39">
        <v>12.89</v>
      </c>
      <c r="AW79" s="39">
        <v>12.97</v>
      </c>
      <c r="AX79" s="39">
        <v>13.06</v>
      </c>
      <c r="AY79" s="39">
        <v>13.14</v>
      </c>
      <c r="AZ79" s="39">
        <v>13.22</v>
      </c>
      <c r="BA79" s="39">
        <v>13.31</v>
      </c>
      <c r="BB79" s="39">
        <v>13.39</v>
      </c>
      <c r="BC79" s="39">
        <v>13.47</v>
      </c>
      <c r="BD79" s="39">
        <v>13.55</v>
      </c>
      <c r="BE79" s="39">
        <v>13.63</v>
      </c>
      <c r="BF79" s="39">
        <v>13.71</v>
      </c>
      <c r="BG79" s="39">
        <v>13.8</v>
      </c>
      <c r="BH79" s="39">
        <v>13.88</v>
      </c>
      <c r="BI79" s="39">
        <v>13.96</v>
      </c>
      <c r="BJ79" s="39">
        <v>14.04</v>
      </c>
      <c r="BK79" s="39">
        <v>14.12</v>
      </c>
      <c r="BL79" s="39">
        <v>14.2</v>
      </c>
      <c r="BM79" s="39">
        <v>14.28</v>
      </c>
      <c r="BN79" s="39">
        <v>14.36</v>
      </c>
      <c r="BO79" s="39">
        <v>14.44</v>
      </c>
      <c r="BP79" s="39">
        <v>14.52</v>
      </c>
      <c r="BQ79" s="39">
        <v>14.6</v>
      </c>
      <c r="BR79" s="39">
        <v>14.68</v>
      </c>
      <c r="BS79" s="39">
        <v>14.76</v>
      </c>
      <c r="BT79" s="39">
        <v>14.84</v>
      </c>
      <c r="BU79" s="39">
        <v>14.92</v>
      </c>
      <c r="BV79" s="39">
        <v>14.99</v>
      </c>
      <c r="BW79" s="39">
        <v>15.07</v>
      </c>
      <c r="BX79" s="39">
        <v>15.15</v>
      </c>
      <c r="BY79" s="39">
        <v>15.23</v>
      </c>
      <c r="BZ79" s="39">
        <v>15.31</v>
      </c>
      <c r="CA79" s="39">
        <v>15.38</v>
      </c>
      <c r="CB79" s="39">
        <v>15.46</v>
      </c>
      <c r="CC79" s="39">
        <v>15.54</v>
      </c>
      <c r="CD79" s="39">
        <v>15.61</v>
      </c>
      <c r="CE79" s="39">
        <v>15.69</v>
      </c>
      <c r="CF79" s="39">
        <v>15.77</v>
      </c>
      <c r="CG79" s="39">
        <v>15.84</v>
      </c>
      <c r="CH79" s="39">
        <v>15.92</v>
      </c>
      <c r="CI79" s="39">
        <v>15.99</v>
      </c>
      <c r="CJ79" s="39">
        <v>16.07</v>
      </c>
      <c r="CK79" s="39">
        <v>16.14</v>
      </c>
      <c r="CL79" s="39">
        <v>16.22</v>
      </c>
      <c r="CM79" s="39">
        <v>16.29</v>
      </c>
      <c r="CN79" s="39">
        <v>16.37</v>
      </c>
      <c r="CO79" s="39">
        <v>16.440000000000001</v>
      </c>
      <c r="CP79" s="39">
        <v>16.510000000000002</v>
      </c>
      <c r="CQ79" s="39">
        <v>16.59</v>
      </c>
      <c r="CR79" s="39">
        <v>16.66</v>
      </c>
      <c r="CS79" s="39">
        <v>16.73</v>
      </c>
      <c r="CT79" s="39">
        <v>16.8</v>
      </c>
      <c r="CU79" s="39">
        <v>16.88</v>
      </c>
      <c r="CV79" s="39">
        <v>16.95</v>
      </c>
      <c r="CW79" s="39">
        <v>17.02</v>
      </c>
      <c r="CX79" s="39">
        <v>17.09</v>
      </c>
      <c r="CY79" s="39">
        <v>17.16</v>
      </c>
      <c r="CZ79" s="39">
        <v>17.23</v>
      </c>
      <c r="DA79" s="39">
        <v>17.3</v>
      </c>
      <c r="DB79" s="39">
        <v>17.37</v>
      </c>
      <c r="DC79" s="39">
        <v>17.440000000000001</v>
      </c>
      <c r="DD79" s="39">
        <v>17.510000000000002</v>
      </c>
      <c r="DE79" s="39">
        <v>17.579999999999998</v>
      </c>
      <c r="DF79" s="39">
        <v>17.649999999999999</v>
      </c>
      <c r="DG79" s="39">
        <v>17.71</v>
      </c>
      <c r="DH79" s="39">
        <v>17.78</v>
      </c>
      <c r="DI79" s="39">
        <v>17.850000000000001</v>
      </c>
      <c r="DJ79" s="39">
        <v>17.91</v>
      </c>
      <c r="DK79" s="39">
        <v>17.98</v>
      </c>
      <c r="DL79" s="39">
        <v>18.05</v>
      </c>
      <c r="DM79" s="39">
        <v>18.11</v>
      </c>
      <c r="DN79" s="39">
        <v>18.18</v>
      </c>
      <c r="DO79" s="39">
        <v>18.239999999999998</v>
      </c>
      <c r="DP79" s="39">
        <v>18.309999999999999</v>
      </c>
      <c r="DQ79" s="39">
        <v>18.37</v>
      </c>
      <c r="DR79" s="39">
        <v>18.440000000000001</v>
      </c>
    </row>
    <row r="80" spans="1:122">
      <c r="A80" s="44">
        <v>78</v>
      </c>
      <c r="B80" s="45"/>
      <c r="C80" s="45"/>
      <c r="D80" s="45"/>
      <c r="E80" s="45"/>
      <c r="F80" s="45"/>
      <c r="G80" s="45"/>
      <c r="H80" s="45"/>
      <c r="I80" s="45"/>
      <c r="J80" s="45"/>
      <c r="K80" s="45"/>
      <c r="L80" s="45"/>
      <c r="M80" s="45"/>
      <c r="N80" s="45"/>
      <c r="O80" s="45"/>
      <c r="P80" s="45"/>
      <c r="Q80" s="45"/>
      <c r="R80" s="45"/>
      <c r="S80" s="45"/>
      <c r="T80" s="45"/>
      <c r="U80" s="45"/>
      <c r="V80" s="39"/>
      <c r="W80" s="39">
        <v>10.039999999999999</v>
      </c>
      <c r="X80" s="39">
        <v>10.1</v>
      </c>
      <c r="Y80" s="39">
        <v>10.19</v>
      </c>
      <c r="Z80" s="39">
        <v>10.28</v>
      </c>
      <c r="AA80" s="39">
        <v>10.35</v>
      </c>
      <c r="AB80" s="39">
        <v>10.44</v>
      </c>
      <c r="AC80" s="39">
        <v>10.54</v>
      </c>
      <c r="AD80" s="39">
        <v>10.6</v>
      </c>
      <c r="AE80" s="39">
        <v>10.67</v>
      </c>
      <c r="AF80" s="39">
        <v>10.77</v>
      </c>
      <c r="AG80" s="39">
        <v>10.83</v>
      </c>
      <c r="AH80" s="39">
        <v>10.91</v>
      </c>
      <c r="AI80" s="39">
        <v>10.99</v>
      </c>
      <c r="AJ80" s="39">
        <v>11.09</v>
      </c>
      <c r="AK80" s="39">
        <v>11.21</v>
      </c>
      <c r="AL80" s="39">
        <v>11.31</v>
      </c>
      <c r="AM80" s="39">
        <v>11.42</v>
      </c>
      <c r="AN80" s="39">
        <v>11.51</v>
      </c>
      <c r="AO80" s="39">
        <v>11.59</v>
      </c>
      <c r="AP80" s="39">
        <v>11.67</v>
      </c>
      <c r="AQ80" s="39">
        <v>11.75</v>
      </c>
      <c r="AR80" s="39">
        <v>11.84</v>
      </c>
      <c r="AS80" s="39">
        <v>11.92</v>
      </c>
      <c r="AT80" s="39">
        <v>12</v>
      </c>
      <c r="AU80" s="39">
        <v>12.08</v>
      </c>
      <c r="AV80" s="39">
        <v>12.17</v>
      </c>
      <c r="AW80" s="39">
        <v>12.25</v>
      </c>
      <c r="AX80" s="39">
        <v>12.33</v>
      </c>
      <c r="AY80" s="39">
        <v>12.41</v>
      </c>
      <c r="AZ80" s="39">
        <v>12.49</v>
      </c>
      <c r="BA80" s="39">
        <v>12.57</v>
      </c>
      <c r="BB80" s="39">
        <v>12.64</v>
      </c>
      <c r="BC80" s="39">
        <v>12.72</v>
      </c>
      <c r="BD80" s="39">
        <v>12.8</v>
      </c>
      <c r="BE80" s="39">
        <v>12.88</v>
      </c>
      <c r="BF80" s="39">
        <v>12.96</v>
      </c>
      <c r="BG80" s="39">
        <v>13.04</v>
      </c>
      <c r="BH80" s="39">
        <v>13.12</v>
      </c>
      <c r="BI80" s="39">
        <v>13.19</v>
      </c>
      <c r="BJ80" s="39">
        <v>13.27</v>
      </c>
      <c r="BK80" s="39">
        <v>13.35</v>
      </c>
      <c r="BL80" s="39">
        <v>13.43</v>
      </c>
      <c r="BM80" s="39">
        <v>13.51</v>
      </c>
      <c r="BN80" s="39">
        <v>13.58</v>
      </c>
      <c r="BO80" s="39">
        <v>13.66</v>
      </c>
      <c r="BP80" s="39">
        <v>13.74</v>
      </c>
      <c r="BQ80" s="39">
        <v>13.81</v>
      </c>
      <c r="BR80" s="39">
        <v>13.89</v>
      </c>
      <c r="BS80" s="39">
        <v>13.97</v>
      </c>
      <c r="BT80" s="39">
        <v>14.04</v>
      </c>
      <c r="BU80" s="39">
        <v>14.12</v>
      </c>
      <c r="BV80" s="39">
        <v>14.2</v>
      </c>
      <c r="BW80" s="39">
        <v>14.27</v>
      </c>
      <c r="BX80" s="39">
        <v>14.35</v>
      </c>
      <c r="BY80" s="39">
        <v>14.42</v>
      </c>
      <c r="BZ80" s="39">
        <v>14.5</v>
      </c>
      <c r="CA80" s="39">
        <v>14.57</v>
      </c>
      <c r="CB80" s="39">
        <v>14.65</v>
      </c>
      <c r="CC80" s="39">
        <v>14.72</v>
      </c>
      <c r="CD80" s="39">
        <v>14.8</v>
      </c>
      <c r="CE80" s="39">
        <v>14.87</v>
      </c>
      <c r="CF80" s="39">
        <v>14.95</v>
      </c>
      <c r="CG80" s="39">
        <v>15.02</v>
      </c>
      <c r="CH80" s="39">
        <v>15.09</v>
      </c>
      <c r="CI80" s="39">
        <v>15.17</v>
      </c>
      <c r="CJ80" s="39">
        <v>15.24</v>
      </c>
      <c r="CK80" s="39">
        <v>15.31</v>
      </c>
      <c r="CL80" s="39">
        <v>15.38</v>
      </c>
      <c r="CM80" s="39">
        <v>15.46</v>
      </c>
      <c r="CN80" s="39">
        <v>15.53</v>
      </c>
      <c r="CO80" s="39">
        <v>15.6</v>
      </c>
      <c r="CP80" s="39">
        <v>15.67</v>
      </c>
      <c r="CQ80" s="39">
        <v>15.74</v>
      </c>
      <c r="CR80" s="39">
        <v>15.81</v>
      </c>
      <c r="CS80" s="39">
        <v>15.88</v>
      </c>
      <c r="CT80" s="39">
        <v>15.95</v>
      </c>
      <c r="CU80" s="39">
        <v>16.02</v>
      </c>
      <c r="CV80" s="39">
        <v>16.09</v>
      </c>
      <c r="CW80" s="39">
        <v>16.16</v>
      </c>
      <c r="CX80" s="39">
        <v>16.23</v>
      </c>
      <c r="CY80" s="39">
        <v>16.3</v>
      </c>
      <c r="CZ80" s="39">
        <v>16.37</v>
      </c>
      <c r="DA80" s="39">
        <v>16.440000000000001</v>
      </c>
      <c r="DB80" s="39">
        <v>16.5</v>
      </c>
      <c r="DC80" s="39">
        <v>16.57</v>
      </c>
      <c r="DD80" s="39">
        <v>16.64</v>
      </c>
      <c r="DE80" s="39">
        <v>16.7</v>
      </c>
      <c r="DF80" s="39">
        <v>16.77</v>
      </c>
      <c r="DG80" s="39">
        <v>16.84</v>
      </c>
      <c r="DH80" s="39">
        <v>16.899999999999999</v>
      </c>
      <c r="DI80" s="39">
        <v>16.97</v>
      </c>
      <c r="DJ80" s="39">
        <v>17.03</v>
      </c>
      <c r="DK80" s="39">
        <v>17.100000000000001</v>
      </c>
      <c r="DL80" s="39">
        <v>17.16</v>
      </c>
      <c r="DM80" s="39">
        <v>17.23</v>
      </c>
      <c r="DN80" s="39">
        <v>17.29</v>
      </c>
      <c r="DO80" s="39">
        <v>17.36</v>
      </c>
      <c r="DP80" s="39">
        <v>17.420000000000002</v>
      </c>
      <c r="DQ80" s="39">
        <v>17.48</v>
      </c>
      <c r="DR80" s="39">
        <v>17.54</v>
      </c>
    </row>
    <row r="81" spans="1:122">
      <c r="A81" s="44">
        <v>79</v>
      </c>
      <c r="B81" s="45"/>
      <c r="C81" s="45"/>
      <c r="D81" s="45"/>
      <c r="E81" s="45"/>
      <c r="F81" s="45"/>
      <c r="G81" s="45"/>
      <c r="H81" s="45"/>
      <c r="I81" s="45"/>
      <c r="J81" s="45"/>
      <c r="K81" s="45"/>
      <c r="L81" s="45"/>
      <c r="M81" s="45"/>
      <c r="N81" s="45"/>
      <c r="O81" s="45"/>
      <c r="P81" s="45"/>
      <c r="Q81" s="45"/>
      <c r="R81" s="45"/>
      <c r="S81" s="45"/>
      <c r="T81" s="45"/>
      <c r="U81" s="45"/>
      <c r="V81" s="39"/>
      <c r="W81" s="39">
        <v>9.44</v>
      </c>
      <c r="X81" s="39">
        <v>9.48</v>
      </c>
      <c r="Y81" s="39">
        <v>9.58</v>
      </c>
      <c r="Z81" s="39">
        <v>9.67</v>
      </c>
      <c r="AA81" s="39">
        <v>9.7200000000000006</v>
      </c>
      <c r="AB81" s="39">
        <v>9.8000000000000007</v>
      </c>
      <c r="AC81" s="39">
        <v>9.9</v>
      </c>
      <c r="AD81" s="39">
        <v>9.94</v>
      </c>
      <c r="AE81" s="39">
        <v>10.02</v>
      </c>
      <c r="AF81" s="39">
        <v>10.119999999999999</v>
      </c>
      <c r="AG81" s="39">
        <v>10.17</v>
      </c>
      <c r="AH81" s="39">
        <v>10.25</v>
      </c>
      <c r="AI81" s="39">
        <v>10.33</v>
      </c>
      <c r="AJ81" s="39">
        <v>10.43</v>
      </c>
      <c r="AK81" s="39">
        <v>10.53</v>
      </c>
      <c r="AL81" s="39">
        <v>10.63</v>
      </c>
      <c r="AM81" s="39">
        <v>10.73</v>
      </c>
      <c r="AN81" s="39">
        <v>10.82</v>
      </c>
      <c r="AO81" s="39">
        <v>10.9</v>
      </c>
      <c r="AP81" s="39">
        <v>10.98</v>
      </c>
      <c r="AQ81" s="39">
        <v>11.06</v>
      </c>
      <c r="AR81" s="39">
        <v>11.14</v>
      </c>
      <c r="AS81" s="39">
        <v>11.22</v>
      </c>
      <c r="AT81" s="39">
        <v>11.3</v>
      </c>
      <c r="AU81" s="39">
        <v>11.38</v>
      </c>
      <c r="AV81" s="39">
        <v>11.45</v>
      </c>
      <c r="AW81" s="39">
        <v>11.53</v>
      </c>
      <c r="AX81" s="39">
        <v>11.61</v>
      </c>
      <c r="AY81" s="39">
        <v>11.69</v>
      </c>
      <c r="AZ81" s="39">
        <v>11.76</v>
      </c>
      <c r="BA81" s="39">
        <v>11.84</v>
      </c>
      <c r="BB81" s="39">
        <v>11.91</v>
      </c>
      <c r="BC81" s="39">
        <v>11.99</v>
      </c>
      <c r="BD81" s="39">
        <v>12.07</v>
      </c>
      <c r="BE81" s="39">
        <v>12.14</v>
      </c>
      <c r="BF81" s="39">
        <v>12.22</v>
      </c>
      <c r="BG81" s="39">
        <v>12.29</v>
      </c>
      <c r="BH81" s="39">
        <v>12.37</v>
      </c>
      <c r="BI81" s="39">
        <v>12.44</v>
      </c>
      <c r="BJ81" s="39">
        <v>12.52</v>
      </c>
      <c r="BK81" s="39">
        <v>12.59</v>
      </c>
      <c r="BL81" s="39">
        <v>12.67</v>
      </c>
      <c r="BM81" s="39">
        <v>12.74</v>
      </c>
      <c r="BN81" s="39">
        <v>12.82</v>
      </c>
      <c r="BO81" s="39">
        <v>12.89</v>
      </c>
      <c r="BP81" s="39">
        <v>12.97</v>
      </c>
      <c r="BQ81" s="39">
        <v>13.04</v>
      </c>
      <c r="BR81" s="39">
        <v>13.12</v>
      </c>
      <c r="BS81" s="39">
        <v>13.19</v>
      </c>
      <c r="BT81" s="39">
        <v>13.26</v>
      </c>
      <c r="BU81" s="39">
        <v>13.34</v>
      </c>
      <c r="BV81" s="39">
        <v>13.41</v>
      </c>
      <c r="BW81" s="39">
        <v>13.48</v>
      </c>
      <c r="BX81" s="39">
        <v>13.56</v>
      </c>
      <c r="BY81" s="39">
        <v>13.63</v>
      </c>
      <c r="BZ81" s="39">
        <v>13.7</v>
      </c>
      <c r="CA81" s="39">
        <v>13.78</v>
      </c>
      <c r="CB81" s="39">
        <v>13.85</v>
      </c>
      <c r="CC81" s="39">
        <v>13.92</v>
      </c>
      <c r="CD81" s="39">
        <v>13.99</v>
      </c>
      <c r="CE81" s="39">
        <v>14.06</v>
      </c>
      <c r="CF81" s="39">
        <v>14.14</v>
      </c>
      <c r="CG81" s="39">
        <v>14.21</v>
      </c>
      <c r="CH81" s="39">
        <v>14.28</v>
      </c>
      <c r="CI81" s="39">
        <v>14.35</v>
      </c>
      <c r="CJ81" s="39">
        <v>14.42</v>
      </c>
      <c r="CK81" s="39">
        <v>14.49</v>
      </c>
      <c r="CL81" s="39">
        <v>14.56</v>
      </c>
      <c r="CM81" s="39">
        <v>14.63</v>
      </c>
      <c r="CN81" s="39">
        <v>14.7</v>
      </c>
      <c r="CO81" s="39">
        <v>14.77</v>
      </c>
      <c r="CP81" s="39">
        <v>14.84</v>
      </c>
      <c r="CQ81" s="39">
        <v>14.91</v>
      </c>
      <c r="CR81" s="39">
        <v>14.98</v>
      </c>
      <c r="CS81" s="39">
        <v>15.04</v>
      </c>
      <c r="CT81" s="39">
        <v>15.11</v>
      </c>
      <c r="CU81" s="39">
        <v>15.18</v>
      </c>
      <c r="CV81" s="39">
        <v>15.25</v>
      </c>
      <c r="CW81" s="39">
        <v>15.31</v>
      </c>
      <c r="CX81" s="39">
        <v>15.38</v>
      </c>
      <c r="CY81" s="39">
        <v>15.45</v>
      </c>
      <c r="CZ81" s="39">
        <v>15.52</v>
      </c>
      <c r="DA81" s="39">
        <v>15.58</v>
      </c>
      <c r="DB81" s="39">
        <v>15.65</v>
      </c>
      <c r="DC81" s="39">
        <v>15.71</v>
      </c>
      <c r="DD81" s="39">
        <v>15.78</v>
      </c>
      <c r="DE81" s="39">
        <v>15.84</v>
      </c>
      <c r="DF81" s="39">
        <v>15.91</v>
      </c>
      <c r="DG81" s="39">
        <v>15.97</v>
      </c>
      <c r="DH81" s="39">
        <v>16.04</v>
      </c>
      <c r="DI81" s="39">
        <v>16.100000000000001</v>
      </c>
      <c r="DJ81" s="39">
        <v>16.16</v>
      </c>
      <c r="DK81" s="39">
        <v>16.23</v>
      </c>
      <c r="DL81" s="39">
        <v>16.29</v>
      </c>
      <c r="DM81" s="39">
        <v>16.350000000000001</v>
      </c>
      <c r="DN81" s="39">
        <v>16.41</v>
      </c>
      <c r="DO81" s="39">
        <v>16.48</v>
      </c>
      <c r="DP81" s="39">
        <v>16.54</v>
      </c>
      <c r="DQ81" s="39">
        <v>16.600000000000001</v>
      </c>
      <c r="DR81" s="39">
        <v>16.66</v>
      </c>
    </row>
    <row r="82" spans="1:122">
      <c r="A82" s="44">
        <v>80</v>
      </c>
      <c r="B82" s="45"/>
      <c r="C82" s="45"/>
      <c r="D82" s="45"/>
      <c r="E82" s="45"/>
      <c r="F82" s="45"/>
      <c r="G82" s="45"/>
      <c r="H82" s="45"/>
      <c r="I82" s="45"/>
      <c r="J82" s="45"/>
      <c r="K82" s="45"/>
      <c r="L82" s="45"/>
      <c r="M82" s="45"/>
      <c r="N82" s="45"/>
      <c r="O82" s="45"/>
      <c r="P82" s="45"/>
      <c r="Q82" s="45"/>
      <c r="R82" s="45"/>
      <c r="S82" s="45"/>
      <c r="T82" s="45"/>
      <c r="U82" s="45"/>
      <c r="V82" s="39"/>
      <c r="W82" s="39">
        <v>8.85</v>
      </c>
      <c r="X82" s="39">
        <v>8.89</v>
      </c>
      <c r="Y82" s="39">
        <v>8.99</v>
      </c>
      <c r="Z82" s="39">
        <v>9.07</v>
      </c>
      <c r="AA82" s="39">
        <v>9.11</v>
      </c>
      <c r="AB82" s="39">
        <v>9.18</v>
      </c>
      <c r="AC82" s="39">
        <v>9.27</v>
      </c>
      <c r="AD82" s="39">
        <v>9.32</v>
      </c>
      <c r="AE82" s="39">
        <v>9.4</v>
      </c>
      <c r="AF82" s="39">
        <v>9.48</v>
      </c>
      <c r="AG82" s="39">
        <v>9.5399999999999991</v>
      </c>
      <c r="AH82" s="39">
        <v>9.61</v>
      </c>
      <c r="AI82" s="39">
        <v>9.6999999999999993</v>
      </c>
      <c r="AJ82" s="39">
        <v>9.7799999999999994</v>
      </c>
      <c r="AK82" s="39">
        <v>9.8800000000000008</v>
      </c>
      <c r="AL82" s="39">
        <v>9.9700000000000006</v>
      </c>
      <c r="AM82" s="39">
        <v>10.07</v>
      </c>
      <c r="AN82" s="39">
        <v>10.16</v>
      </c>
      <c r="AO82" s="39">
        <v>10.23</v>
      </c>
      <c r="AP82" s="39">
        <v>10.31</v>
      </c>
      <c r="AQ82" s="39">
        <v>10.38</v>
      </c>
      <c r="AR82" s="39">
        <v>10.46</v>
      </c>
      <c r="AS82" s="39">
        <v>10.53</v>
      </c>
      <c r="AT82" s="39">
        <v>10.61</v>
      </c>
      <c r="AU82" s="39">
        <v>10.69</v>
      </c>
      <c r="AV82" s="39">
        <v>10.76</v>
      </c>
      <c r="AW82" s="39">
        <v>10.83</v>
      </c>
      <c r="AX82" s="39">
        <v>10.91</v>
      </c>
      <c r="AY82" s="39">
        <v>10.98</v>
      </c>
      <c r="AZ82" s="39">
        <v>11.05</v>
      </c>
      <c r="BA82" s="39">
        <v>11.13</v>
      </c>
      <c r="BB82" s="39">
        <v>11.2</v>
      </c>
      <c r="BC82" s="39">
        <v>11.27</v>
      </c>
      <c r="BD82" s="39">
        <v>11.35</v>
      </c>
      <c r="BE82" s="39">
        <v>11.42</v>
      </c>
      <c r="BF82" s="39">
        <v>11.49</v>
      </c>
      <c r="BG82" s="39">
        <v>11.56</v>
      </c>
      <c r="BH82" s="39">
        <v>11.64</v>
      </c>
      <c r="BI82" s="39">
        <v>11.71</v>
      </c>
      <c r="BJ82" s="39">
        <v>11.78</v>
      </c>
      <c r="BK82" s="39">
        <v>11.85</v>
      </c>
      <c r="BL82" s="39">
        <v>11.93</v>
      </c>
      <c r="BM82" s="39">
        <v>12</v>
      </c>
      <c r="BN82" s="39">
        <v>12.07</v>
      </c>
      <c r="BO82" s="39">
        <v>12.14</v>
      </c>
      <c r="BP82" s="39">
        <v>12.21</v>
      </c>
      <c r="BQ82" s="39">
        <v>12.28</v>
      </c>
      <c r="BR82" s="39">
        <v>12.36</v>
      </c>
      <c r="BS82" s="39">
        <v>12.43</v>
      </c>
      <c r="BT82" s="39">
        <v>12.5</v>
      </c>
      <c r="BU82" s="39">
        <v>12.57</v>
      </c>
      <c r="BV82" s="39">
        <v>12.64</v>
      </c>
      <c r="BW82" s="39">
        <v>12.71</v>
      </c>
      <c r="BX82" s="39">
        <v>12.78</v>
      </c>
      <c r="BY82" s="39">
        <v>12.85</v>
      </c>
      <c r="BZ82" s="39">
        <v>12.92</v>
      </c>
      <c r="CA82" s="39">
        <v>12.99</v>
      </c>
      <c r="CB82" s="39">
        <v>13.06</v>
      </c>
      <c r="CC82" s="39">
        <v>13.13</v>
      </c>
      <c r="CD82" s="39">
        <v>13.2</v>
      </c>
      <c r="CE82" s="39">
        <v>13.27</v>
      </c>
      <c r="CF82" s="39">
        <v>13.34</v>
      </c>
      <c r="CG82" s="39">
        <v>13.41</v>
      </c>
      <c r="CH82" s="39">
        <v>13.48</v>
      </c>
      <c r="CI82" s="39">
        <v>13.55</v>
      </c>
      <c r="CJ82" s="39">
        <v>13.61</v>
      </c>
      <c r="CK82" s="39">
        <v>13.68</v>
      </c>
      <c r="CL82" s="39">
        <v>13.75</v>
      </c>
      <c r="CM82" s="39">
        <v>13.82</v>
      </c>
      <c r="CN82" s="39">
        <v>13.88</v>
      </c>
      <c r="CO82" s="39">
        <v>13.95</v>
      </c>
      <c r="CP82" s="39">
        <v>14.02</v>
      </c>
      <c r="CQ82" s="39">
        <v>14.09</v>
      </c>
      <c r="CR82" s="39">
        <v>14.15</v>
      </c>
      <c r="CS82" s="39">
        <v>14.22</v>
      </c>
      <c r="CT82" s="39">
        <v>14.28</v>
      </c>
      <c r="CU82" s="39">
        <v>14.35</v>
      </c>
      <c r="CV82" s="39">
        <v>14.42</v>
      </c>
      <c r="CW82" s="39">
        <v>14.48</v>
      </c>
      <c r="CX82" s="39">
        <v>14.55</v>
      </c>
      <c r="CY82" s="39">
        <v>14.61</v>
      </c>
      <c r="CZ82" s="39">
        <v>14.67</v>
      </c>
      <c r="DA82" s="39">
        <v>14.74</v>
      </c>
      <c r="DB82" s="39">
        <v>14.8</v>
      </c>
      <c r="DC82" s="39">
        <v>14.87</v>
      </c>
      <c r="DD82" s="39">
        <v>14.93</v>
      </c>
      <c r="DE82" s="39">
        <v>14.99</v>
      </c>
      <c r="DF82" s="39">
        <v>15.06</v>
      </c>
      <c r="DG82" s="39">
        <v>15.12</v>
      </c>
      <c r="DH82" s="39">
        <v>15.18</v>
      </c>
      <c r="DI82" s="39">
        <v>15.24</v>
      </c>
      <c r="DJ82" s="39">
        <v>15.3</v>
      </c>
      <c r="DK82" s="39">
        <v>15.37</v>
      </c>
      <c r="DL82" s="39">
        <v>15.43</v>
      </c>
      <c r="DM82" s="39">
        <v>15.49</v>
      </c>
      <c r="DN82" s="39">
        <v>15.55</v>
      </c>
      <c r="DO82" s="39">
        <v>15.61</v>
      </c>
      <c r="DP82" s="39">
        <v>15.67</v>
      </c>
      <c r="DQ82" s="39">
        <v>15.73</v>
      </c>
      <c r="DR82" s="39">
        <v>15.79</v>
      </c>
    </row>
    <row r="83" spans="1:122">
      <c r="A83" s="44">
        <v>81</v>
      </c>
      <c r="B83" s="45"/>
      <c r="C83" s="45"/>
      <c r="D83" s="45"/>
      <c r="E83" s="45"/>
      <c r="F83" s="45"/>
      <c r="G83" s="45"/>
      <c r="H83" s="45"/>
      <c r="I83" s="45"/>
      <c r="J83" s="45"/>
      <c r="K83" s="45"/>
      <c r="L83" s="45"/>
      <c r="M83" s="45"/>
      <c r="N83" s="45"/>
      <c r="O83" s="45"/>
      <c r="P83" s="45"/>
      <c r="Q83" s="45"/>
      <c r="R83" s="45"/>
      <c r="S83" s="45"/>
      <c r="T83" s="45"/>
      <c r="U83" s="45"/>
      <c r="V83" s="39"/>
      <c r="W83" s="39">
        <v>8.2899999999999991</v>
      </c>
      <c r="X83" s="39">
        <v>8.34</v>
      </c>
      <c r="Y83" s="39">
        <v>8.41</v>
      </c>
      <c r="Z83" s="39">
        <v>8.48</v>
      </c>
      <c r="AA83" s="39">
        <v>8.52</v>
      </c>
      <c r="AB83" s="39">
        <v>8.59</v>
      </c>
      <c r="AC83" s="39">
        <v>8.67</v>
      </c>
      <c r="AD83" s="39">
        <v>8.7200000000000006</v>
      </c>
      <c r="AE83" s="39">
        <v>8.7799999999999994</v>
      </c>
      <c r="AF83" s="39">
        <v>8.8699999999999992</v>
      </c>
      <c r="AG83" s="39">
        <v>8.92</v>
      </c>
      <c r="AH83" s="39">
        <v>9</v>
      </c>
      <c r="AI83" s="39">
        <v>9.07</v>
      </c>
      <c r="AJ83" s="39">
        <v>9.16</v>
      </c>
      <c r="AK83" s="39">
        <v>9.25</v>
      </c>
      <c r="AL83" s="39">
        <v>9.34</v>
      </c>
      <c r="AM83" s="39">
        <v>9.43</v>
      </c>
      <c r="AN83" s="39">
        <v>9.5</v>
      </c>
      <c r="AO83" s="39">
        <v>9.58</v>
      </c>
      <c r="AP83" s="39">
        <v>9.65</v>
      </c>
      <c r="AQ83" s="39">
        <v>9.7200000000000006</v>
      </c>
      <c r="AR83" s="39">
        <v>9.8000000000000007</v>
      </c>
      <c r="AS83" s="39">
        <v>9.8699999999999992</v>
      </c>
      <c r="AT83" s="39">
        <v>9.94</v>
      </c>
      <c r="AU83" s="39">
        <v>10.01</v>
      </c>
      <c r="AV83" s="39">
        <v>10.08</v>
      </c>
      <c r="AW83" s="39">
        <v>10.15</v>
      </c>
      <c r="AX83" s="39">
        <v>10.220000000000001</v>
      </c>
      <c r="AY83" s="39">
        <v>10.29</v>
      </c>
      <c r="AZ83" s="39">
        <v>10.36</v>
      </c>
      <c r="BA83" s="39">
        <v>10.43</v>
      </c>
      <c r="BB83" s="39">
        <v>10.5</v>
      </c>
      <c r="BC83" s="39">
        <v>10.57</v>
      </c>
      <c r="BD83" s="39">
        <v>10.64</v>
      </c>
      <c r="BE83" s="39">
        <v>10.71</v>
      </c>
      <c r="BF83" s="39">
        <v>10.78</v>
      </c>
      <c r="BG83" s="39">
        <v>10.85</v>
      </c>
      <c r="BH83" s="39">
        <v>10.92</v>
      </c>
      <c r="BI83" s="39">
        <v>10.99</v>
      </c>
      <c r="BJ83" s="39">
        <v>11.06</v>
      </c>
      <c r="BK83" s="39">
        <v>11.13</v>
      </c>
      <c r="BL83" s="39">
        <v>11.2</v>
      </c>
      <c r="BM83" s="39">
        <v>11.27</v>
      </c>
      <c r="BN83" s="39">
        <v>11.34</v>
      </c>
      <c r="BO83" s="39">
        <v>11.41</v>
      </c>
      <c r="BP83" s="39">
        <v>11.48</v>
      </c>
      <c r="BQ83" s="39">
        <v>11.54</v>
      </c>
      <c r="BR83" s="39">
        <v>11.61</v>
      </c>
      <c r="BS83" s="39">
        <v>11.68</v>
      </c>
      <c r="BT83" s="39">
        <v>11.75</v>
      </c>
      <c r="BU83" s="39">
        <v>11.82</v>
      </c>
      <c r="BV83" s="39">
        <v>11.89</v>
      </c>
      <c r="BW83" s="39">
        <v>11.95</v>
      </c>
      <c r="BX83" s="39">
        <v>12.02</v>
      </c>
      <c r="BY83" s="39">
        <v>12.09</v>
      </c>
      <c r="BZ83" s="39">
        <v>12.16</v>
      </c>
      <c r="CA83" s="39">
        <v>12.22</v>
      </c>
      <c r="CB83" s="39">
        <v>12.29</v>
      </c>
      <c r="CC83" s="39">
        <v>12.36</v>
      </c>
      <c r="CD83" s="39">
        <v>12.43</v>
      </c>
      <c r="CE83" s="39">
        <v>12.49</v>
      </c>
      <c r="CF83" s="39">
        <v>12.56</v>
      </c>
      <c r="CG83" s="39">
        <v>12.63</v>
      </c>
      <c r="CH83" s="39">
        <v>12.69</v>
      </c>
      <c r="CI83" s="39">
        <v>12.76</v>
      </c>
      <c r="CJ83" s="39">
        <v>12.82</v>
      </c>
      <c r="CK83" s="39">
        <v>12.89</v>
      </c>
      <c r="CL83" s="39">
        <v>12.96</v>
      </c>
      <c r="CM83" s="39">
        <v>13.02</v>
      </c>
      <c r="CN83" s="39">
        <v>13.09</v>
      </c>
      <c r="CO83" s="39">
        <v>13.15</v>
      </c>
      <c r="CP83" s="39">
        <v>13.22</v>
      </c>
      <c r="CQ83" s="39">
        <v>13.28</v>
      </c>
      <c r="CR83" s="39">
        <v>13.34</v>
      </c>
      <c r="CS83" s="39">
        <v>13.41</v>
      </c>
      <c r="CT83" s="39">
        <v>13.47</v>
      </c>
      <c r="CU83" s="39">
        <v>13.54</v>
      </c>
      <c r="CV83" s="39">
        <v>13.6</v>
      </c>
      <c r="CW83" s="39">
        <v>13.66</v>
      </c>
      <c r="CX83" s="39">
        <v>13.72</v>
      </c>
      <c r="CY83" s="39">
        <v>13.79</v>
      </c>
      <c r="CZ83" s="39">
        <v>13.85</v>
      </c>
      <c r="DA83" s="39">
        <v>13.91</v>
      </c>
      <c r="DB83" s="39">
        <v>13.97</v>
      </c>
      <c r="DC83" s="39">
        <v>14.03</v>
      </c>
      <c r="DD83" s="39">
        <v>14.1</v>
      </c>
      <c r="DE83" s="39">
        <v>14.16</v>
      </c>
      <c r="DF83" s="39">
        <v>14.22</v>
      </c>
      <c r="DG83" s="39">
        <v>14.28</v>
      </c>
      <c r="DH83" s="39">
        <v>14.34</v>
      </c>
      <c r="DI83" s="39">
        <v>14.4</v>
      </c>
      <c r="DJ83" s="39">
        <v>14.46</v>
      </c>
      <c r="DK83" s="39">
        <v>14.52</v>
      </c>
      <c r="DL83" s="39">
        <v>14.58</v>
      </c>
      <c r="DM83" s="39">
        <v>14.64</v>
      </c>
      <c r="DN83" s="39">
        <v>14.69</v>
      </c>
      <c r="DO83" s="39">
        <v>14.75</v>
      </c>
      <c r="DP83" s="39">
        <v>14.81</v>
      </c>
      <c r="DQ83" s="39">
        <v>14.87</v>
      </c>
      <c r="DR83" s="39">
        <v>14.93</v>
      </c>
    </row>
    <row r="84" spans="1:122">
      <c r="A84" s="44">
        <v>82</v>
      </c>
      <c r="B84" s="45"/>
      <c r="C84" s="45"/>
      <c r="D84" s="45"/>
      <c r="E84" s="45"/>
      <c r="F84" s="45"/>
      <c r="G84" s="45"/>
      <c r="H84" s="45"/>
      <c r="I84" s="45"/>
      <c r="J84" s="45"/>
      <c r="K84" s="45"/>
      <c r="L84" s="45"/>
      <c r="M84" s="45"/>
      <c r="N84" s="45"/>
      <c r="O84" s="45"/>
      <c r="P84" s="45"/>
      <c r="Q84" s="45"/>
      <c r="R84" s="45"/>
      <c r="S84" s="45"/>
      <c r="T84" s="45"/>
      <c r="U84" s="45"/>
      <c r="V84" s="39"/>
      <c r="W84" s="39">
        <v>7.76</v>
      </c>
      <c r="X84" s="39">
        <v>7.79</v>
      </c>
      <c r="Y84" s="39">
        <v>7.85</v>
      </c>
      <c r="Z84" s="39">
        <v>7.91</v>
      </c>
      <c r="AA84" s="39">
        <v>7.95</v>
      </c>
      <c r="AB84" s="39">
        <v>8.02</v>
      </c>
      <c r="AC84" s="39">
        <v>8.09</v>
      </c>
      <c r="AD84" s="39">
        <v>8.1300000000000008</v>
      </c>
      <c r="AE84" s="39">
        <v>8.19</v>
      </c>
      <c r="AF84" s="39">
        <v>8.2799999999999994</v>
      </c>
      <c r="AG84" s="39">
        <v>8.34</v>
      </c>
      <c r="AH84" s="39">
        <v>8.39</v>
      </c>
      <c r="AI84" s="39">
        <v>8.48</v>
      </c>
      <c r="AJ84" s="39">
        <v>8.5500000000000007</v>
      </c>
      <c r="AK84" s="39">
        <v>8.65</v>
      </c>
      <c r="AL84" s="39">
        <v>8.73</v>
      </c>
      <c r="AM84" s="39">
        <v>8.8000000000000007</v>
      </c>
      <c r="AN84" s="39">
        <v>8.8800000000000008</v>
      </c>
      <c r="AO84" s="39">
        <v>8.9499999999999993</v>
      </c>
      <c r="AP84" s="39">
        <v>9.02</v>
      </c>
      <c r="AQ84" s="39">
        <v>9.09</v>
      </c>
      <c r="AR84" s="39">
        <v>9.16</v>
      </c>
      <c r="AS84" s="39">
        <v>9.2200000000000006</v>
      </c>
      <c r="AT84" s="39">
        <v>9.2899999999999991</v>
      </c>
      <c r="AU84" s="39">
        <v>9.36</v>
      </c>
      <c r="AV84" s="39">
        <v>9.43</v>
      </c>
      <c r="AW84" s="39">
        <v>9.5</v>
      </c>
      <c r="AX84" s="39">
        <v>9.56</v>
      </c>
      <c r="AY84" s="39">
        <v>9.6300000000000008</v>
      </c>
      <c r="AZ84" s="39">
        <v>9.6999999999999993</v>
      </c>
      <c r="BA84" s="39">
        <v>9.76</v>
      </c>
      <c r="BB84" s="39">
        <v>9.83</v>
      </c>
      <c r="BC84" s="39">
        <v>9.9</v>
      </c>
      <c r="BD84" s="39">
        <v>9.9600000000000009</v>
      </c>
      <c r="BE84" s="39">
        <v>10.029999999999999</v>
      </c>
      <c r="BF84" s="39">
        <v>10.1</v>
      </c>
      <c r="BG84" s="39">
        <v>10.16</v>
      </c>
      <c r="BH84" s="39">
        <v>10.23</v>
      </c>
      <c r="BI84" s="39">
        <v>10.29</v>
      </c>
      <c r="BJ84" s="39">
        <v>10.36</v>
      </c>
      <c r="BK84" s="39">
        <v>10.43</v>
      </c>
      <c r="BL84" s="39">
        <v>10.49</v>
      </c>
      <c r="BM84" s="39">
        <v>10.56</v>
      </c>
      <c r="BN84" s="39">
        <v>10.63</v>
      </c>
      <c r="BO84" s="39">
        <v>10.69</v>
      </c>
      <c r="BP84" s="39">
        <v>10.76</v>
      </c>
      <c r="BQ84" s="39">
        <v>10.82</v>
      </c>
      <c r="BR84" s="39">
        <v>10.89</v>
      </c>
      <c r="BS84" s="39">
        <v>10.96</v>
      </c>
      <c r="BT84" s="39">
        <v>11.02</v>
      </c>
      <c r="BU84" s="39">
        <v>11.09</v>
      </c>
      <c r="BV84" s="39">
        <v>11.15</v>
      </c>
      <c r="BW84" s="39">
        <v>11.22</v>
      </c>
      <c r="BX84" s="39">
        <v>11.28</v>
      </c>
      <c r="BY84" s="39">
        <v>11.35</v>
      </c>
      <c r="BZ84" s="39">
        <v>11.41</v>
      </c>
      <c r="CA84" s="39">
        <v>11.48</v>
      </c>
      <c r="CB84" s="39">
        <v>11.54</v>
      </c>
      <c r="CC84" s="39">
        <v>11.61</v>
      </c>
      <c r="CD84" s="39">
        <v>11.67</v>
      </c>
      <c r="CE84" s="39">
        <v>11.73</v>
      </c>
      <c r="CF84" s="39">
        <v>11.8</v>
      </c>
      <c r="CG84" s="39">
        <v>11.86</v>
      </c>
      <c r="CH84" s="39">
        <v>11.93</v>
      </c>
      <c r="CI84" s="39">
        <v>11.99</v>
      </c>
      <c r="CJ84" s="39">
        <v>12.05</v>
      </c>
      <c r="CK84" s="39">
        <v>12.12</v>
      </c>
      <c r="CL84" s="39">
        <v>12.18</v>
      </c>
      <c r="CM84" s="39">
        <v>12.24</v>
      </c>
      <c r="CN84" s="39">
        <v>12.3</v>
      </c>
      <c r="CO84" s="39">
        <v>12.37</v>
      </c>
      <c r="CP84" s="39">
        <v>12.43</v>
      </c>
      <c r="CQ84" s="39">
        <v>12.49</v>
      </c>
      <c r="CR84" s="39">
        <v>12.55</v>
      </c>
      <c r="CS84" s="39">
        <v>12.61</v>
      </c>
      <c r="CT84" s="39">
        <v>12.68</v>
      </c>
      <c r="CU84" s="39">
        <v>12.74</v>
      </c>
      <c r="CV84" s="39">
        <v>12.8</v>
      </c>
      <c r="CW84" s="39">
        <v>12.86</v>
      </c>
      <c r="CX84" s="39">
        <v>12.92</v>
      </c>
      <c r="CY84" s="39">
        <v>12.98</v>
      </c>
      <c r="CZ84" s="39">
        <v>13.04</v>
      </c>
      <c r="DA84" s="39">
        <v>13.1</v>
      </c>
      <c r="DB84" s="39">
        <v>13.16</v>
      </c>
      <c r="DC84" s="39">
        <v>13.22</v>
      </c>
      <c r="DD84" s="39">
        <v>13.28</v>
      </c>
      <c r="DE84" s="39">
        <v>13.34</v>
      </c>
      <c r="DF84" s="39">
        <v>13.4</v>
      </c>
      <c r="DG84" s="39">
        <v>13.45</v>
      </c>
      <c r="DH84" s="39">
        <v>13.51</v>
      </c>
      <c r="DI84" s="39">
        <v>13.57</v>
      </c>
      <c r="DJ84" s="39">
        <v>13.63</v>
      </c>
      <c r="DK84" s="39">
        <v>13.69</v>
      </c>
      <c r="DL84" s="39">
        <v>13.74</v>
      </c>
      <c r="DM84" s="39">
        <v>13.8</v>
      </c>
      <c r="DN84" s="39">
        <v>13.86</v>
      </c>
      <c r="DO84" s="39">
        <v>13.91</v>
      </c>
      <c r="DP84" s="39">
        <v>13.97</v>
      </c>
      <c r="DQ84" s="39">
        <v>14.02</v>
      </c>
      <c r="DR84" s="39">
        <v>14.08</v>
      </c>
    </row>
    <row r="85" spans="1:122">
      <c r="A85" s="44">
        <v>83</v>
      </c>
      <c r="B85" s="45"/>
      <c r="C85" s="45"/>
      <c r="D85" s="45"/>
      <c r="E85" s="45"/>
      <c r="F85" s="45"/>
      <c r="G85" s="45"/>
      <c r="H85" s="45"/>
      <c r="I85" s="45"/>
      <c r="J85" s="45"/>
      <c r="K85" s="45"/>
      <c r="L85" s="45"/>
      <c r="M85" s="45"/>
      <c r="N85" s="45"/>
      <c r="O85" s="45"/>
      <c r="P85" s="45"/>
      <c r="Q85" s="45"/>
      <c r="R85" s="45"/>
      <c r="S85" s="45"/>
      <c r="T85" s="45"/>
      <c r="U85" s="45"/>
      <c r="V85" s="39"/>
      <c r="W85" s="39">
        <v>7.24</v>
      </c>
      <c r="X85" s="39">
        <v>7.25</v>
      </c>
      <c r="Y85" s="39">
        <v>7.31</v>
      </c>
      <c r="Z85" s="39">
        <v>7.36</v>
      </c>
      <c r="AA85" s="39">
        <v>7.4</v>
      </c>
      <c r="AB85" s="39">
        <v>7.48</v>
      </c>
      <c r="AC85" s="39">
        <v>7.53</v>
      </c>
      <c r="AD85" s="39">
        <v>7.58</v>
      </c>
      <c r="AE85" s="39">
        <v>7.63</v>
      </c>
      <c r="AF85" s="39">
        <v>7.72</v>
      </c>
      <c r="AG85" s="39">
        <v>7.76</v>
      </c>
      <c r="AH85" s="39">
        <v>7.83</v>
      </c>
      <c r="AI85" s="39">
        <v>7.9</v>
      </c>
      <c r="AJ85" s="39">
        <v>7.99</v>
      </c>
      <c r="AK85" s="39">
        <v>8.07</v>
      </c>
      <c r="AL85" s="39">
        <v>8.14</v>
      </c>
      <c r="AM85" s="39">
        <v>8.2100000000000009</v>
      </c>
      <c r="AN85" s="39">
        <v>8.27</v>
      </c>
      <c r="AO85" s="39">
        <v>8.34</v>
      </c>
      <c r="AP85" s="39">
        <v>8.41</v>
      </c>
      <c r="AQ85" s="39">
        <v>8.4700000000000006</v>
      </c>
      <c r="AR85" s="39">
        <v>8.5399999999999991</v>
      </c>
      <c r="AS85" s="39">
        <v>8.6</v>
      </c>
      <c r="AT85" s="39">
        <v>8.67</v>
      </c>
      <c r="AU85" s="39">
        <v>8.73</v>
      </c>
      <c r="AV85" s="39">
        <v>8.8000000000000007</v>
      </c>
      <c r="AW85" s="39">
        <v>8.86</v>
      </c>
      <c r="AX85" s="39">
        <v>8.92</v>
      </c>
      <c r="AY85" s="39">
        <v>8.99</v>
      </c>
      <c r="AZ85" s="39">
        <v>9.0500000000000007</v>
      </c>
      <c r="BA85" s="39">
        <v>9.11</v>
      </c>
      <c r="BB85" s="39">
        <v>9.18</v>
      </c>
      <c r="BC85" s="39">
        <v>9.24</v>
      </c>
      <c r="BD85" s="39">
        <v>9.3000000000000007</v>
      </c>
      <c r="BE85" s="39">
        <v>9.3699999999999992</v>
      </c>
      <c r="BF85" s="39">
        <v>9.43</v>
      </c>
      <c r="BG85" s="39">
        <v>9.49</v>
      </c>
      <c r="BH85" s="39">
        <v>9.56</v>
      </c>
      <c r="BI85" s="39">
        <v>9.6199999999999992</v>
      </c>
      <c r="BJ85" s="39">
        <v>9.68</v>
      </c>
      <c r="BK85" s="39">
        <v>9.75</v>
      </c>
      <c r="BL85" s="39">
        <v>9.81</v>
      </c>
      <c r="BM85" s="39">
        <v>9.8699999999999992</v>
      </c>
      <c r="BN85" s="39">
        <v>9.94</v>
      </c>
      <c r="BO85" s="39">
        <v>10</v>
      </c>
      <c r="BP85" s="39">
        <v>10.06</v>
      </c>
      <c r="BQ85" s="39">
        <v>10.130000000000001</v>
      </c>
      <c r="BR85" s="39">
        <v>10.19</v>
      </c>
      <c r="BS85" s="39">
        <v>10.25</v>
      </c>
      <c r="BT85" s="39">
        <v>10.31</v>
      </c>
      <c r="BU85" s="39">
        <v>10.38</v>
      </c>
      <c r="BV85" s="39">
        <v>10.44</v>
      </c>
      <c r="BW85" s="39">
        <v>10.5</v>
      </c>
      <c r="BX85" s="39">
        <v>10.56</v>
      </c>
      <c r="BY85" s="39">
        <v>10.63</v>
      </c>
      <c r="BZ85" s="39">
        <v>10.69</v>
      </c>
      <c r="CA85" s="39">
        <v>10.75</v>
      </c>
      <c r="CB85" s="39">
        <v>10.81</v>
      </c>
      <c r="CC85" s="39">
        <v>10.87</v>
      </c>
      <c r="CD85" s="39">
        <v>10.94</v>
      </c>
      <c r="CE85" s="39">
        <v>11</v>
      </c>
      <c r="CF85" s="39">
        <v>11.06</v>
      </c>
      <c r="CG85" s="39">
        <v>11.12</v>
      </c>
      <c r="CH85" s="39">
        <v>11.18</v>
      </c>
      <c r="CI85" s="39">
        <v>11.24</v>
      </c>
      <c r="CJ85" s="39">
        <v>11.3</v>
      </c>
      <c r="CK85" s="39">
        <v>11.36</v>
      </c>
      <c r="CL85" s="39">
        <v>11.42</v>
      </c>
      <c r="CM85" s="39">
        <v>11.48</v>
      </c>
      <c r="CN85" s="39">
        <v>11.54</v>
      </c>
      <c r="CO85" s="39">
        <v>11.6</v>
      </c>
      <c r="CP85" s="39">
        <v>11.66</v>
      </c>
      <c r="CQ85" s="39">
        <v>11.72</v>
      </c>
      <c r="CR85" s="39">
        <v>11.78</v>
      </c>
      <c r="CS85" s="39">
        <v>11.84</v>
      </c>
      <c r="CT85" s="39">
        <v>11.9</v>
      </c>
      <c r="CU85" s="39">
        <v>11.96</v>
      </c>
      <c r="CV85" s="39">
        <v>12.02</v>
      </c>
      <c r="CW85" s="39">
        <v>12.08</v>
      </c>
      <c r="CX85" s="39">
        <v>12.13</v>
      </c>
      <c r="CY85" s="39">
        <v>12.19</v>
      </c>
      <c r="CZ85" s="39">
        <v>12.25</v>
      </c>
      <c r="DA85" s="39">
        <v>12.31</v>
      </c>
      <c r="DB85" s="39">
        <v>12.36</v>
      </c>
      <c r="DC85" s="39">
        <v>12.42</v>
      </c>
      <c r="DD85" s="39">
        <v>12.48</v>
      </c>
      <c r="DE85" s="39">
        <v>12.54</v>
      </c>
      <c r="DF85" s="39">
        <v>12.59</v>
      </c>
      <c r="DG85" s="39">
        <v>12.65</v>
      </c>
      <c r="DH85" s="39">
        <v>12.7</v>
      </c>
      <c r="DI85" s="39">
        <v>12.76</v>
      </c>
      <c r="DJ85" s="39">
        <v>12.81</v>
      </c>
      <c r="DK85" s="39">
        <v>12.87</v>
      </c>
      <c r="DL85" s="39">
        <v>12.93</v>
      </c>
      <c r="DM85" s="39">
        <v>12.98</v>
      </c>
      <c r="DN85" s="39">
        <v>13.03</v>
      </c>
      <c r="DO85" s="39">
        <v>13.09</v>
      </c>
      <c r="DP85" s="39">
        <v>13.14</v>
      </c>
      <c r="DQ85" s="39">
        <v>13.2</v>
      </c>
      <c r="DR85" s="39">
        <v>13.25</v>
      </c>
    </row>
    <row r="86" spans="1:122">
      <c r="A86" s="44">
        <v>84</v>
      </c>
      <c r="B86" s="45"/>
      <c r="C86" s="45"/>
      <c r="D86" s="45"/>
      <c r="E86" s="45"/>
      <c r="F86" s="45"/>
      <c r="G86" s="45"/>
      <c r="H86" s="45"/>
      <c r="I86" s="45"/>
      <c r="J86" s="45"/>
      <c r="K86" s="45"/>
      <c r="L86" s="45"/>
      <c r="M86" s="45"/>
      <c r="N86" s="45"/>
      <c r="O86" s="45"/>
      <c r="P86" s="45"/>
      <c r="Q86" s="45"/>
      <c r="R86" s="45"/>
      <c r="S86" s="45"/>
      <c r="T86" s="45"/>
      <c r="U86" s="45"/>
      <c r="V86" s="39"/>
      <c r="W86" s="39">
        <v>6.74</v>
      </c>
      <c r="X86" s="39">
        <v>6.74</v>
      </c>
      <c r="Y86" s="39">
        <v>6.79</v>
      </c>
      <c r="Z86" s="39">
        <v>6.84</v>
      </c>
      <c r="AA86" s="39">
        <v>6.89</v>
      </c>
      <c r="AB86" s="39">
        <v>6.95</v>
      </c>
      <c r="AC86" s="39">
        <v>7</v>
      </c>
      <c r="AD86" s="39">
        <v>7.04</v>
      </c>
      <c r="AE86" s="39">
        <v>7.11</v>
      </c>
      <c r="AF86" s="39">
        <v>7.17</v>
      </c>
      <c r="AG86" s="39">
        <v>7.22</v>
      </c>
      <c r="AH86" s="39">
        <v>7.28</v>
      </c>
      <c r="AI86" s="39">
        <v>7.36</v>
      </c>
      <c r="AJ86" s="39">
        <v>7.44</v>
      </c>
      <c r="AK86" s="39">
        <v>7.5</v>
      </c>
      <c r="AL86" s="39">
        <v>7.57</v>
      </c>
      <c r="AM86" s="39">
        <v>7.63</v>
      </c>
      <c r="AN86" s="39">
        <v>7.7</v>
      </c>
      <c r="AO86" s="39">
        <v>7.76</v>
      </c>
      <c r="AP86" s="39">
        <v>7.82</v>
      </c>
      <c r="AQ86" s="39">
        <v>7.88</v>
      </c>
      <c r="AR86" s="39">
        <v>7.95</v>
      </c>
      <c r="AS86" s="39">
        <v>8.01</v>
      </c>
      <c r="AT86" s="39">
        <v>8.07</v>
      </c>
      <c r="AU86" s="39">
        <v>8.1300000000000008</v>
      </c>
      <c r="AV86" s="39">
        <v>8.19</v>
      </c>
      <c r="AW86" s="39">
        <v>8.25</v>
      </c>
      <c r="AX86" s="39">
        <v>8.31</v>
      </c>
      <c r="AY86" s="39">
        <v>8.3699999999999992</v>
      </c>
      <c r="AZ86" s="39">
        <v>8.43</v>
      </c>
      <c r="BA86" s="39">
        <v>8.49</v>
      </c>
      <c r="BB86" s="39">
        <v>8.5500000000000007</v>
      </c>
      <c r="BC86" s="39">
        <v>8.61</v>
      </c>
      <c r="BD86" s="39">
        <v>8.67</v>
      </c>
      <c r="BE86" s="39">
        <v>8.73</v>
      </c>
      <c r="BF86" s="39">
        <v>8.7899999999999991</v>
      </c>
      <c r="BG86" s="39">
        <v>8.85</v>
      </c>
      <c r="BH86" s="39">
        <v>8.91</v>
      </c>
      <c r="BI86" s="39">
        <v>8.9700000000000006</v>
      </c>
      <c r="BJ86" s="39">
        <v>9.0299999999999994</v>
      </c>
      <c r="BK86" s="39">
        <v>9.09</v>
      </c>
      <c r="BL86" s="39">
        <v>9.15</v>
      </c>
      <c r="BM86" s="39">
        <v>9.2100000000000009</v>
      </c>
      <c r="BN86" s="39">
        <v>9.27</v>
      </c>
      <c r="BO86" s="39">
        <v>9.33</v>
      </c>
      <c r="BP86" s="39">
        <v>9.39</v>
      </c>
      <c r="BQ86" s="39">
        <v>9.4499999999999993</v>
      </c>
      <c r="BR86" s="39">
        <v>9.51</v>
      </c>
      <c r="BS86" s="39">
        <v>9.57</v>
      </c>
      <c r="BT86" s="39">
        <v>9.6300000000000008</v>
      </c>
      <c r="BU86" s="39">
        <v>9.69</v>
      </c>
      <c r="BV86" s="39">
        <v>9.75</v>
      </c>
      <c r="BW86" s="39">
        <v>9.81</v>
      </c>
      <c r="BX86" s="39">
        <v>9.8699999999999992</v>
      </c>
      <c r="BY86" s="39">
        <v>9.93</v>
      </c>
      <c r="BZ86" s="39">
        <v>9.99</v>
      </c>
      <c r="CA86" s="39">
        <v>10.050000000000001</v>
      </c>
      <c r="CB86" s="39">
        <v>10.11</v>
      </c>
      <c r="CC86" s="39">
        <v>10.17</v>
      </c>
      <c r="CD86" s="39">
        <v>10.220000000000001</v>
      </c>
      <c r="CE86" s="39">
        <v>10.28</v>
      </c>
      <c r="CF86" s="39">
        <v>10.34</v>
      </c>
      <c r="CG86" s="39">
        <v>10.4</v>
      </c>
      <c r="CH86" s="39">
        <v>10.46</v>
      </c>
      <c r="CI86" s="39">
        <v>10.52</v>
      </c>
      <c r="CJ86" s="39">
        <v>10.57</v>
      </c>
      <c r="CK86" s="39">
        <v>10.63</v>
      </c>
      <c r="CL86" s="39">
        <v>10.69</v>
      </c>
      <c r="CM86" s="39">
        <v>10.75</v>
      </c>
      <c r="CN86" s="39">
        <v>10.8</v>
      </c>
      <c r="CO86" s="39">
        <v>10.86</v>
      </c>
      <c r="CP86" s="39">
        <v>10.92</v>
      </c>
      <c r="CQ86" s="39">
        <v>10.98</v>
      </c>
      <c r="CR86" s="39">
        <v>11.03</v>
      </c>
      <c r="CS86" s="39">
        <v>11.09</v>
      </c>
      <c r="CT86" s="39">
        <v>11.15</v>
      </c>
      <c r="CU86" s="39">
        <v>11.2</v>
      </c>
      <c r="CV86" s="39">
        <v>11.26</v>
      </c>
      <c r="CW86" s="39">
        <v>11.31</v>
      </c>
      <c r="CX86" s="39">
        <v>11.37</v>
      </c>
      <c r="CY86" s="39">
        <v>11.42</v>
      </c>
      <c r="CZ86" s="39">
        <v>11.48</v>
      </c>
      <c r="DA86" s="39">
        <v>11.54</v>
      </c>
      <c r="DB86" s="39">
        <v>11.59</v>
      </c>
      <c r="DC86" s="39">
        <v>11.64</v>
      </c>
      <c r="DD86" s="39">
        <v>11.7</v>
      </c>
      <c r="DE86" s="39">
        <v>11.75</v>
      </c>
      <c r="DF86" s="39">
        <v>11.81</v>
      </c>
      <c r="DG86" s="39">
        <v>11.86</v>
      </c>
      <c r="DH86" s="39">
        <v>11.92</v>
      </c>
      <c r="DI86" s="39">
        <v>11.97</v>
      </c>
      <c r="DJ86" s="39">
        <v>12.02</v>
      </c>
      <c r="DK86" s="39">
        <v>12.07</v>
      </c>
      <c r="DL86" s="39">
        <v>12.13</v>
      </c>
      <c r="DM86" s="39">
        <v>12.18</v>
      </c>
      <c r="DN86" s="39">
        <v>12.23</v>
      </c>
      <c r="DO86" s="39">
        <v>12.28</v>
      </c>
      <c r="DP86" s="39">
        <v>12.34</v>
      </c>
      <c r="DQ86" s="39">
        <v>12.39</v>
      </c>
      <c r="DR86" s="39">
        <v>12.44</v>
      </c>
    </row>
    <row r="87" spans="1:122">
      <c r="A87" s="44">
        <v>85</v>
      </c>
      <c r="B87" s="45"/>
      <c r="C87" s="45"/>
      <c r="D87" s="45"/>
      <c r="E87" s="45"/>
      <c r="F87" s="45"/>
      <c r="G87" s="45"/>
      <c r="H87" s="45"/>
      <c r="I87" s="45"/>
      <c r="J87" s="45"/>
      <c r="K87" s="45"/>
      <c r="L87" s="45"/>
      <c r="M87" s="45"/>
      <c r="N87" s="45"/>
      <c r="O87" s="45"/>
      <c r="P87" s="45"/>
      <c r="Q87" s="45"/>
      <c r="R87" s="45"/>
      <c r="S87" s="45"/>
      <c r="T87" s="45"/>
      <c r="U87" s="45"/>
      <c r="V87" s="39"/>
      <c r="W87" s="39">
        <v>6.25</v>
      </c>
      <c r="X87" s="39">
        <v>6.24</v>
      </c>
      <c r="Y87" s="39">
        <v>6.29</v>
      </c>
      <c r="Z87" s="39">
        <v>6.35</v>
      </c>
      <c r="AA87" s="39">
        <v>6.39</v>
      </c>
      <c r="AB87" s="39">
        <v>6.44</v>
      </c>
      <c r="AC87" s="39">
        <v>6.5</v>
      </c>
      <c r="AD87" s="39">
        <v>6.55</v>
      </c>
      <c r="AE87" s="39">
        <v>6.59</v>
      </c>
      <c r="AF87" s="39">
        <v>6.67</v>
      </c>
      <c r="AG87" s="39">
        <v>6.7</v>
      </c>
      <c r="AH87" s="39">
        <v>6.76</v>
      </c>
      <c r="AI87" s="39">
        <v>6.85</v>
      </c>
      <c r="AJ87" s="39">
        <v>6.9</v>
      </c>
      <c r="AK87" s="39">
        <v>6.97</v>
      </c>
      <c r="AL87" s="39">
        <v>7.03</v>
      </c>
      <c r="AM87" s="39">
        <v>7.09</v>
      </c>
      <c r="AN87" s="39">
        <v>7.15</v>
      </c>
      <c r="AO87" s="39">
        <v>7.21</v>
      </c>
      <c r="AP87" s="39">
        <v>7.27</v>
      </c>
      <c r="AQ87" s="39">
        <v>7.33</v>
      </c>
      <c r="AR87" s="39">
        <v>7.38</v>
      </c>
      <c r="AS87" s="39">
        <v>7.44</v>
      </c>
      <c r="AT87" s="39">
        <v>7.5</v>
      </c>
      <c r="AU87" s="39">
        <v>7.56</v>
      </c>
      <c r="AV87" s="39">
        <v>7.61</v>
      </c>
      <c r="AW87" s="39">
        <v>7.67</v>
      </c>
      <c r="AX87" s="39">
        <v>7.73</v>
      </c>
      <c r="AY87" s="39">
        <v>7.78</v>
      </c>
      <c r="AZ87" s="39">
        <v>7.84</v>
      </c>
      <c r="BA87" s="39">
        <v>7.9</v>
      </c>
      <c r="BB87" s="39">
        <v>7.95</v>
      </c>
      <c r="BC87" s="39">
        <v>8.01</v>
      </c>
      <c r="BD87" s="39">
        <v>8.07</v>
      </c>
      <c r="BE87" s="39">
        <v>8.1300000000000008</v>
      </c>
      <c r="BF87" s="39">
        <v>8.18</v>
      </c>
      <c r="BG87" s="39">
        <v>8.24</v>
      </c>
      <c r="BH87" s="39">
        <v>8.3000000000000007</v>
      </c>
      <c r="BI87" s="39">
        <v>8.35</v>
      </c>
      <c r="BJ87" s="39">
        <v>8.41</v>
      </c>
      <c r="BK87" s="39">
        <v>8.4700000000000006</v>
      </c>
      <c r="BL87" s="39">
        <v>8.52</v>
      </c>
      <c r="BM87" s="39">
        <v>8.58</v>
      </c>
      <c r="BN87" s="39">
        <v>8.64</v>
      </c>
      <c r="BO87" s="39">
        <v>8.69</v>
      </c>
      <c r="BP87" s="39">
        <v>8.75</v>
      </c>
      <c r="BQ87" s="39">
        <v>8.81</v>
      </c>
      <c r="BR87" s="39">
        <v>8.86</v>
      </c>
      <c r="BS87" s="39">
        <v>8.92</v>
      </c>
      <c r="BT87" s="39">
        <v>8.98</v>
      </c>
      <c r="BU87" s="39">
        <v>9.0299999999999994</v>
      </c>
      <c r="BV87" s="39">
        <v>9.09</v>
      </c>
      <c r="BW87" s="39">
        <v>9.15</v>
      </c>
      <c r="BX87" s="39">
        <v>9.1999999999999993</v>
      </c>
      <c r="BY87" s="39">
        <v>9.26</v>
      </c>
      <c r="BZ87" s="39">
        <v>9.32</v>
      </c>
      <c r="CA87" s="39">
        <v>9.3699999999999992</v>
      </c>
      <c r="CB87" s="39">
        <v>9.43</v>
      </c>
      <c r="CC87" s="39">
        <v>9.48</v>
      </c>
      <c r="CD87" s="39">
        <v>9.5399999999999991</v>
      </c>
      <c r="CE87" s="39">
        <v>9.6</v>
      </c>
      <c r="CF87" s="39">
        <v>9.65</v>
      </c>
      <c r="CG87" s="39">
        <v>9.7100000000000009</v>
      </c>
      <c r="CH87" s="39">
        <v>9.76</v>
      </c>
      <c r="CI87" s="39">
        <v>9.82</v>
      </c>
      <c r="CJ87" s="39">
        <v>9.8699999999999992</v>
      </c>
      <c r="CK87" s="39">
        <v>9.93</v>
      </c>
      <c r="CL87" s="39">
        <v>9.98</v>
      </c>
      <c r="CM87" s="39">
        <v>10.039999999999999</v>
      </c>
      <c r="CN87" s="39">
        <v>10.09</v>
      </c>
      <c r="CO87" s="39">
        <v>10.15</v>
      </c>
      <c r="CP87" s="39">
        <v>10.199999999999999</v>
      </c>
      <c r="CQ87" s="39">
        <v>10.25</v>
      </c>
      <c r="CR87" s="39">
        <v>10.31</v>
      </c>
      <c r="CS87" s="39">
        <v>10.36</v>
      </c>
      <c r="CT87" s="39">
        <v>10.42</v>
      </c>
      <c r="CU87" s="39">
        <v>10.47</v>
      </c>
      <c r="CV87" s="39">
        <v>10.52</v>
      </c>
      <c r="CW87" s="39">
        <v>10.58</v>
      </c>
      <c r="CX87" s="39">
        <v>10.63</v>
      </c>
      <c r="CY87" s="39">
        <v>10.68</v>
      </c>
      <c r="CZ87" s="39">
        <v>10.73</v>
      </c>
      <c r="DA87" s="39">
        <v>10.79</v>
      </c>
      <c r="DB87" s="39">
        <v>10.84</v>
      </c>
      <c r="DC87" s="39">
        <v>10.89</v>
      </c>
      <c r="DD87" s="39">
        <v>10.94</v>
      </c>
      <c r="DE87" s="39">
        <v>10.99</v>
      </c>
      <c r="DF87" s="39">
        <v>11.05</v>
      </c>
      <c r="DG87" s="39">
        <v>11.1</v>
      </c>
      <c r="DH87" s="39">
        <v>11.15</v>
      </c>
      <c r="DI87" s="39">
        <v>11.2</v>
      </c>
      <c r="DJ87" s="39">
        <v>11.25</v>
      </c>
      <c r="DK87" s="39">
        <v>11.3</v>
      </c>
      <c r="DL87" s="39">
        <v>11.35</v>
      </c>
      <c r="DM87" s="39">
        <v>11.4</v>
      </c>
      <c r="DN87" s="39">
        <v>11.45</v>
      </c>
      <c r="DO87" s="39">
        <v>11.5</v>
      </c>
      <c r="DP87" s="39">
        <v>11.55</v>
      </c>
      <c r="DQ87" s="39">
        <v>11.6</v>
      </c>
      <c r="DR87" s="39">
        <v>11.65</v>
      </c>
    </row>
    <row r="88" spans="1:122">
      <c r="A88" s="44">
        <v>86</v>
      </c>
      <c r="B88" s="45"/>
      <c r="C88" s="45"/>
      <c r="D88" s="45"/>
      <c r="E88" s="45"/>
      <c r="F88" s="45"/>
      <c r="G88" s="45"/>
      <c r="H88" s="45"/>
      <c r="I88" s="45"/>
      <c r="J88" s="45"/>
      <c r="K88" s="45"/>
      <c r="L88" s="45"/>
      <c r="M88" s="45"/>
      <c r="N88" s="45"/>
      <c r="O88" s="45"/>
      <c r="P88" s="45"/>
      <c r="Q88" s="45"/>
      <c r="R88" s="45"/>
      <c r="S88" s="45"/>
      <c r="T88" s="45"/>
      <c r="U88" s="45"/>
      <c r="V88" s="39"/>
      <c r="W88" s="39">
        <v>5.78</v>
      </c>
      <c r="X88" s="39">
        <v>5.78</v>
      </c>
      <c r="Y88" s="39">
        <v>5.84</v>
      </c>
      <c r="Z88" s="39">
        <v>5.88</v>
      </c>
      <c r="AA88" s="39">
        <v>5.91</v>
      </c>
      <c r="AB88" s="39">
        <v>5.97</v>
      </c>
      <c r="AC88" s="39">
        <v>6.03</v>
      </c>
      <c r="AD88" s="39">
        <v>6.06</v>
      </c>
      <c r="AE88" s="39">
        <v>6.11</v>
      </c>
      <c r="AF88" s="39">
        <v>6.17</v>
      </c>
      <c r="AG88" s="39">
        <v>6.22</v>
      </c>
      <c r="AH88" s="39">
        <v>6.28</v>
      </c>
      <c r="AI88" s="39">
        <v>6.34</v>
      </c>
      <c r="AJ88" s="39">
        <v>6.4</v>
      </c>
      <c r="AK88" s="39">
        <v>6.46</v>
      </c>
      <c r="AL88" s="39">
        <v>6.52</v>
      </c>
      <c r="AM88" s="39">
        <v>6.57</v>
      </c>
      <c r="AN88" s="39">
        <v>6.63</v>
      </c>
      <c r="AO88" s="39">
        <v>6.69</v>
      </c>
      <c r="AP88" s="39">
        <v>6.74</v>
      </c>
      <c r="AQ88" s="39">
        <v>6.8</v>
      </c>
      <c r="AR88" s="39">
        <v>6.85</v>
      </c>
      <c r="AS88" s="39">
        <v>6.91</v>
      </c>
      <c r="AT88" s="39">
        <v>6.96</v>
      </c>
      <c r="AU88" s="39">
        <v>7.01</v>
      </c>
      <c r="AV88" s="39">
        <v>7.07</v>
      </c>
      <c r="AW88" s="39">
        <v>7.12</v>
      </c>
      <c r="AX88" s="39">
        <v>7.17</v>
      </c>
      <c r="AY88" s="39">
        <v>7.23</v>
      </c>
      <c r="AZ88" s="39">
        <v>7.28</v>
      </c>
      <c r="BA88" s="39">
        <v>7.33</v>
      </c>
      <c r="BB88" s="39">
        <v>7.39</v>
      </c>
      <c r="BC88" s="39">
        <v>7.44</v>
      </c>
      <c r="BD88" s="39">
        <v>7.49</v>
      </c>
      <c r="BE88" s="39">
        <v>7.55</v>
      </c>
      <c r="BF88" s="39">
        <v>7.6</v>
      </c>
      <c r="BG88" s="39">
        <v>7.66</v>
      </c>
      <c r="BH88" s="39">
        <v>7.71</v>
      </c>
      <c r="BI88" s="39">
        <v>7.76</v>
      </c>
      <c r="BJ88" s="39">
        <v>7.82</v>
      </c>
      <c r="BK88" s="39">
        <v>7.87</v>
      </c>
      <c r="BL88" s="39">
        <v>7.92</v>
      </c>
      <c r="BM88" s="39">
        <v>7.98</v>
      </c>
      <c r="BN88" s="39">
        <v>8.0299999999999994</v>
      </c>
      <c r="BO88" s="39">
        <v>8.08</v>
      </c>
      <c r="BP88" s="39">
        <v>8.14</v>
      </c>
      <c r="BQ88" s="39">
        <v>8.19</v>
      </c>
      <c r="BR88" s="39">
        <v>8.25</v>
      </c>
      <c r="BS88" s="39">
        <v>8.3000000000000007</v>
      </c>
      <c r="BT88" s="39">
        <v>8.35</v>
      </c>
      <c r="BU88" s="39">
        <v>8.41</v>
      </c>
      <c r="BV88" s="39">
        <v>8.4600000000000009</v>
      </c>
      <c r="BW88" s="39">
        <v>8.51</v>
      </c>
      <c r="BX88" s="39">
        <v>8.57</v>
      </c>
      <c r="BY88" s="39">
        <v>8.6199999999999992</v>
      </c>
      <c r="BZ88" s="39">
        <v>8.67</v>
      </c>
      <c r="CA88" s="39">
        <v>8.7200000000000006</v>
      </c>
      <c r="CB88" s="39">
        <v>8.7799999999999994</v>
      </c>
      <c r="CC88" s="39">
        <v>8.83</v>
      </c>
      <c r="CD88" s="39">
        <v>8.8800000000000008</v>
      </c>
      <c r="CE88" s="39">
        <v>8.94</v>
      </c>
      <c r="CF88" s="39">
        <v>8.99</v>
      </c>
      <c r="CG88" s="39">
        <v>9.0399999999999991</v>
      </c>
      <c r="CH88" s="39">
        <v>9.09</v>
      </c>
      <c r="CI88" s="39">
        <v>9.14</v>
      </c>
      <c r="CJ88" s="39">
        <v>9.1999999999999993</v>
      </c>
      <c r="CK88" s="39">
        <v>9.25</v>
      </c>
      <c r="CL88" s="39">
        <v>9.3000000000000007</v>
      </c>
      <c r="CM88" s="39">
        <v>9.35</v>
      </c>
      <c r="CN88" s="39">
        <v>9.4</v>
      </c>
      <c r="CO88" s="39">
        <v>9.4600000000000009</v>
      </c>
      <c r="CP88" s="39">
        <v>9.51</v>
      </c>
      <c r="CQ88" s="39">
        <v>9.56</v>
      </c>
      <c r="CR88" s="39">
        <v>9.61</v>
      </c>
      <c r="CS88" s="39">
        <v>9.66</v>
      </c>
      <c r="CT88" s="39">
        <v>9.7100000000000009</v>
      </c>
      <c r="CU88" s="39">
        <v>9.76</v>
      </c>
      <c r="CV88" s="39">
        <v>9.81</v>
      </c>
      <c r="CW88" s="39">
        <v>9.86</v>
      </c>
      <c r="CX88" s="39">
        <v>9.91</v>
      </c>
      <c r="CY88" s="39">
        <v>9.9600000000000009</v>
      </c>
      <c r="CZ88" s="39">
        <v>10.01</v>
      </c>
      <c r="DA88" s="39">
        <v>10.06</v>
      </c>
      <c r="DB88" s="39">
        <v>10.11</v>
      </c>
      <c r="DC88" s="39">
        <v>10.16</v>
      </c>
      <c r="DD88" s="39">
        <v>10.210000000000001</v>
      </c>
      <c r="DE88" s="39">
        <v>10.26</v>
      </c>
      <c r="DF88" s="39">
        <v>10.31</v>
      </c>
      <c r="DG88" s="39">
        <v>10.36</v>
      </c>
      <c r="DH88" s="39">
        <v>10.41</v>
      </c>
      <c r="DI88" s="39">
        <v>10.46</v>
      </c>
      <c r="DJ88" s="39">
        <v>10.5</v>
      </c>
      <c r="DK88" s="39">
        <v>10.55</v>
      </c>
      <c r="DL88" s="39">
        <v>10.6</v>
      </c>
      <c r="DM88" s="39">
        <v>10.65</v>
      </c>
      <c r="DN88" s="39">
        <v>10.69</v>
      </c>
      <c r="DO88" s="39">
        <v>10.74</v>
      </c>
      <c r="DP88" s="39">
        <v>10.79</v>
      </c>
      <c r="DQ88" s="39">
        <v>10.84</v>
      </c>
      <c r="DR88" s="39">
        <v>10.88</v>
      </c>
    </row>
    <row r="89" spans="1:122">
      <c r="A89" s="44">
        <v>87</v>
      </c>
      <c r="B89" s="45"/>
      <c r="C89" s="45"/>
      <c r="D89" s="45"/>
      <c r="E89" s="45"/>
      <c r="F89" s="45"/>
      <c r="G89" s="45"/>
      <c r="H89" s="45"/>
      <c r="I89" s="45"/>
      <c r="J89" s="45"/>
      <c r="K89" s="45"/>
      <c r="L89" s="45"/>
      <c r="M89" s="45"/>
      <c r="N89" s="45"/>
      <c r="O89" s="45"/>
      <c r="P89" s="45"/>
      <c r="Q89" s="45"/>
      <c r="R89" s="45"/>
      <c r="S89" s="45"/>
      <c r="T89" s="45"/>
      <c r="U89" s="45"/>
      <c r="V89" s="39"/>
      <c r="W89" s="39">
        <v>5.35</v>
      </c>
      <c r="X89" s="39">
        <v>5.36</v>
      </c>
      <c r="Y89" s="39">
        <v>5.4</v>
      </c>
      <c r="Z89" s="39">
        <v>5.43</v>
      </c>
      <c r="AA89" s="39">
        <v>5.47</v>
      </c>
      <c r="AB89" s="39">
        <v>5.54</v>
      </c>
      <c r="AC89" s="39">
        <v>5.57</v>
      </c>
      <c r="AD89" s="39">
        <v>5.62</v>
      </c>
      <c r="AE89" s="39">
        <v>5.65</v>
      </c>
      <c r="AF89" s="39">
        <v>5.72</v>
      </c>
      <c r="AG89" s="39">
        <v>5.77</v>
      </c>
      <c r="AH89" s="39">
        <v>5.82</v>
      </c>
      <c r="AI89" s="39">
        <v>5.88</v>
      </c>
      <c r="AJ89" s="39">
        <v>5.93</v>
      </c>
      <c r="AK89" s="39">
        <v>5.98</v>
      </c>
      <c r="AL89" s="39">
        <v>6.04</v>
      </c>
      <c r="AM89" s="39">
        <v>6.09</v>
      </c>
      <c r="AN89" s="39">
        <v>6.14</v>
      </c>
      <c r="AO89" s="39">
        <v>6.2</v>
      </c>
      <c r="AP89" s="39">
        <v>6.25</v>
      </c>
      <c r="AQ89" s="39">
        <v>6.3</v>
      </c>
      <c r="AR89" s="39">
        <v>6.35</v>
      </c>
      <c r="AS89" s="39">
        <v>6.4</v>
      </c>
      <c r="AT89" s="39">
        <v>6.45</v>
      </c>
      <c r="AU89" s="39">
        <v>6.5</v>
      </c>
      <c r="AV89" s="39">
        <v>6.55</v>
      </c>
      <c r="AW89" s="39">
        <v>6.6</v>
      </c>
      <c r="AX89" s="39">
        <v>6.65</v>
      </c>
      <c r="AY89" s="39">
        <v>6.7</v>
      </c>
      <c r="AZ89" s="39">
        <v>6.75</v>
      </c>
      <c r="BA89" s="39">
        <v>6.8</v>
      </c>
      <c r="BB89" s="39">
        <v>6.85</v>
      </c>
      <c r="BC89" s="39">
        <v>6.9</v>
      </c>
      <c r="BD89" s="39">
        <v>6.95</v>
      </c>
      <c r="BE89" s="39">
        <v>7</v>
      </c>
      <c r="BF89" s="39">
        <v>7.05</v>
      </c>
      <c r="BG89" s="39">
        <v>7.1</v>
      </c>
      <c r="BH89" s="39">
        <v>7.15</v>
      </c>
      <c r="BI89" s="39">
        <v>7.2</v>
      </c>
      <c r="BJ89" s="39">
        <v>7.25</v>
      </c>
      <c r="BK89" s="39">
        <v>7.3</v>
      </c>
      <c r="BL89" s="39">
        <v>7.35</v>
      </c>
      <c r="BM89" s="39">
        <v>7.4</v>
      </c>
      <c r="BN89" s="39">
        <v>7.46</v>
      </c>
      <c r="BO89" s="39">
        <v>7.51</v>
      </c>
      <c r="BP89" s="39">
        <v>7.56</v>
      </c>
      <c r="BQ89" s="39">
        <v>7.61</v>
      </c>
      <c r="BR89" s="39">
        <v>7.66</v>
      </c>
      <c r="BS89" s="39">
        <v>7.71</v>
      </c>
      <c r="BT89" s="39">
        <v>7.76</v>
      </c>
      <c r="BU89" s="39">
        <v>7.81</v>
      </c>
      <c r="BV89" s="39">
        <v>7.86</v>
      </c>
      <c r="BW89" s="39">
        <v>7.91</v>
      </c>
      <c r="BX89" s="39">
        <v>7.96</v>
      </c>
      <c r="BY89" s="39">
        <v>8.01</v>
      </c>
      <c r="BZ89" s="39">
        <v>8.06</v>
      </c>
      <c r="CA89" s="39">
        <v>8.11</v>
      </c>
      <c r="CB89" s="39">
        <v>8.16</v>
      </c>
      <c r="CC89" s="39">
        <v>8.2100000000000009</v>
      </c>
      <c r="CD89" s="39">
        <v>8.26</v>
      </c>
      <c r="CE89" s="39">
        <v>8.3000000000000007</v>
      </c>
      <c r="CF89" s="39">
        <v>8.35</v>
      </c>
      <c r="CG89" s="39">
        <v>8.4</v>
      </c>
      <c r="CH89" s="39">
        <v>8.4499999999999993</v>
      </c>
      <c r="CI89" s="39">
        <v>8.5</v>
      </c>
      <c r="CJ89" s="39">
        <v>8.5500000000000007</v>
      </c>
      <c r="CK89" s="39">
        <v>8.6</v>
      </c>
      <c r="CL89" s="39">
        <v>8.65</v>
      </c>
      <c r="CM89" s="39">
        <v>8.6999999999999993</v>
      </c>
      <c r="CN89" s="39">
        <v>8.75</v>
      </c>
      <c r="CO89" s="39">
        <v>8.7899999999999991</v>
      </c>
      <c r="CP89" s="39">
        <v>8.84</v>
      </c>
      <c r="CQ89" s="39">
        <v>8.89</v>
      </c>
      <c r="CR89" s="39">
        <v>8.94</v>
      </c>
      <c r="CS89" s="39">
        <v>8.99</v>
      </c>
      <c r="CT89" s="39">
        <v>9.0399999999999991</v>
      </c>
      <c r="CU89" s="39">
        <v>9.08</v>
      </c>
      <c r="CV89" s="39">
        <v>9.1300000000000008</v>
      </c>
      <c r="CW89" s="39">
        <v>9.18</v>
      </c>
      <c r="CX89" s="39">
        <v>9.23</v>
      </c>
      <c r="CY89" s="39">
        <v>9.27</v>
      </c>
      <c r="CZ89" s="39">
        <v>9.32</v>
      </c>
      <c r="DA89" s="39">
        <v>9.3699999999999992</v>
      </c>
      <c r="DB89" s="39">
        <v>9.41</v>
      </c>
      <c r="DC89" s="39">
        <v>9.4600000000000009</v>
      </c>
      <c r="DD89" s="39">
        <v>9.51</v>
      </c>
      <c r="DE89" s="39">
        <v>9.5500000000000007</v>
      </c>
      <c r="DF89" s="39">
        <v>9.6</v>
      </c>
      <c r="DG89" s="39">
        <v>9.65</v>
      </c>
      <c r="DH89" s="39">
        <v>9.69</v>
      </c>
      <c r="DI89" s="39">
        <v>9.74</v>
      </c>
      <c r="DJ89" s="39">
        <v>9.7799999999999994</v>
      </c>
      <c r="DK89" s="39">
        <v>9.83</v>
      </c>
      <c r="DL89" s="39">
        <v>9.8699999999999992</v>
      </c>
      <c r="DM89" s="39">
        <v>9.92</v>
      </c>
      <c r="DN89" s="39">
        <v>9.9600000000000009</v>
      </c>
      <c r="DO89" s="39">
        <v>10.01</v>
      </c>
      <c r="DP89" s="39">
        <v>10.050000000000001</v>
      </c>
      <c r="DQ89" s="39">
        <v>10.1</v>
      </c>
      <c r="DR89" s="39">
        <v>10.14</v>
      </c>
    </row>
    <row r="90" spans="1:122">
      <c r="A90" s="44">
        <v>88</v>
      </c>
      <c r="B90" s="45"/>
      <c r="C90" s="45"/>
      <c r="D90" s="45"/>
      <c r="E90" s="45"/>
      <c r="F90" s="45"/>
      <c r="G90" s="45"/>
      <c r="H90" s="45"/>
      <c r="I90" s="45"/>
      <c r="J90" s="45"/>
      <c r="K90" s="45"/>
      <c r="L90" s="45"/>
      <c r="M90" s="45"/>
      <c r="N90" s="45"/>
      <c r="O90" s="45"/>
      <c r="P90" s="45"/>
      <c r="Q90" s="45"/>
      <c r="R90" s="45"/>
      <c r="S90" s="45"/>
      <c r="T90" s="45"/>
      <c r="U90" s="45"/>
      <c r="V90" s="39"/>
      <c r="W90" s="39">
        <v>4.97</v>
      </c>
      <c r="X90" s="39">
        <v>4.95</v>
      </c>
      <c r="Y90" s="39">
        <v>4.99</v>
      </c>
      <c r="Z90" s="39">
        <v>5.0199999999999996</v>
      </c>
      <c r="AA90" s="39">
        <v>5.0599999999999996</v>
      </c>
      <c r="AB90" s="39">
        <v>5.0999999999999996</v>
      </c>
      <c r="AC90" s="39">
        <v>5.17</v>
      </c>
      <c r="AD90" s="39">
        <v>5.19</v>
      </c>
      <c r="AE90" s="39">
        <v>5.23</v>
      </c>
      <c r="AF90" s="39">
        <v>5.29</v>
      </c>
      <c r="AG90" s="39">
        <v>5.34</v>
      </c>
      <c r="AH90" s="39">
        <v>5.39</v>
      </c>
      <c r="AI90" s="39">
        <v>5.44</v>
      </c>
      <c r="AJ90" s="39">
        <v>5.49</v>
      </c>
      <c r="AK90" s="39">
        <v>5.54</v>
      </c>
      <c r="AL90" s="39">
        <v>5.59</v>
      </c>
      <c r="AM90" s="39">
        <v>5.64</v>
      </c>
      <c r="AN90" s="39">
        <v>5.69</v>
      </c>
      <c r="AO90" s="39">
        <v>5.74</v>
      </c>
      <c r="AP90" s="39">
        <v>5.79</v>
      </c>
      <c r="AQ90" s="39">
        <v>5.83</v>
      </c>
      <c r="AR90" s="39">
        <v>5.88</v>
      </c>
      <c r="AS90" s="39">
        <v>5.93</v>
      </c>
      <c r="AT90" s="39">
        <v>5.97</v>
      </c>
      <c r="AU90" s="39">
        <v>6.02</v>
      </c>
      <c r="AV90" s="39">
        <v>6.07</v>
      </c>
      <c r="AW90" s="39">
        <v>6.11</v>
      </c>
      <c r="AX90" s="39">
        <v>6.16</v>
      </c>
      <c r="AY90" s="39">
        <v>6.21</v>
      </c>
      <c r="AZ90" s="39">
        <v>6.25</v>
      </c>
      <c r="BA90" s="39">
        <v>6.3</v>
      </c>
      <c r="BB90" s="39">
        <v>6.35</v>
      </c>
      <c r="BC90" s="39">
        <v>6.39</v>
      </c>
      <c r="BD90" s="39">
        <v>6.44</v>
      </c>
      <c r="BE90" s="39">
        <v>6.49</v>
      </c>
      <c r="BF90" s="39">
        <v>6.53</v>
      </c>
      <c r="BG90" s="39">
        <v>6.58</v>
      </c>
      <c r="BH90" s="39">
        <v>6.63</v>
      </c>
      <c r="BI90" s="39">
        <v>6.68</v>
      </c>
      <c r="BJ90" s="39">
        <v>6.72</v>
      </c>
      <c r="BK90" s="39">
        <v>6.77</v>
      </c>
      <c r="BL90" s="39">
        <v>6.82</v>
      </c>
      <c r="BM90" s="39">
        <v>6.86</v>
      </c>
      <c r="BN90" s="39">
        <v>6.91</v>
      </c>
      <c r="BO90" s="39">
        <v>6.96</v>
      </c>
      <c r="BP90" s="39">
        <v>7</v>
      </c>
      <c r="BQ90" s="39">
        <v>7.05</v>
      </c>
      <c r="BR90" s="39">
        <v>7.1</v>
      </c>
      <c r="BS90" s="39">
        <v>7.15</v>
      </c>
      <c r="BT90" s="39">
        <v>7.19</v>
      </c>
      <c r="BU90" s="39">
        <v>7.24</v>
      </c>
      <c r="BV90" s="39">
        <v>7.29</v>
      </c>
      <c r="BW90" s="39">
        <v>7.33</v>
      </c>
      <c r="BX90" s="39">
        <v>7.38</v>
      </c>
      <c r="BY90" s="39">
        <v>7.43</v>
      </c>
      <c r="BZ90" s="39">
        <v>7.47</v>
      </c>
      <c r="CA90" s="39">
        <v>7.52</v>
      </c>
      <c r="CB90" s="39">
        <v>7.57</v>
      </c>
      <c r="CC90" s="39">
        <v>7.61</v>
      </c>
      <c r="CD90" s="39">
        <v>7.66</v>
      </c>
      <c r="CE90" s="39">
        <v>7.7</v>
      </c>
      <c r="CF90" s="39">
        <v>7.75</v>
      </c>
      <c r="CG90" s="39">
        <v>7.8</v>
      </c>
      <c r="CH90" s="39">
        <v>7.84</v>
      </c>
      <c r="CI90" s="39">
        <v>7.89</v>
      </c>
      <c r="CJ90" s="39">
        <v>7.93</v>
      </c>
      <c r="CK90" s="39">
        <v>7.98</v>
      </c>
      <c r="CL90" s="39">
        <v>8.0299999999999994</v>
      </c>
      <c r="CM90" s="39">
        <v>8.07</v>
      </c>
      <c r="CN90" s="39">
        <v>8.1199999999999992</v>
      </c>
      <c r="CO90" s="39">
        <v>8.16</v>
      </c>
      <c r="CP90" s="39">
        <v>8.2100000000000009</v>
      </c>
      <c r="CQ90" s="39">
        <v>8.25</v>
      </c>
      <c r="CR90" s="39">
        <v>8.3000000000000007</v>
      </c>
      <c r="CS90" s="39">
        <v>8.34</v>
      </c>
      <c r="CT90" s="39">
        <v>8.39</v>
      </c>
      <c r="CU90" s="39">
        <v>8.43</v>
      </c>
      <c r="CV90" s="39">
        <v>8.48</v>
      </c>
      <c r="CW90" s="39">
        <v>8.52</v>
      </c>
      <c r="CX90" s="39">
        <v>8.57</v>
      </c>
      <c r="CY90" s="39">
        <v>8.61</v>
      </c>
      <c r="CZ90" s="39">
        <v>8.65</v>
      </c>
      <c r="DA90" s="39">
        <v>8.6999999999999993</v>
      </c>
      <c r="DB90" s="39">
        <v>8.74</v>
      </c>
      <c r="DC90" s="39">
        <v>8.7899999999999991</v>
      </c>
      <c r="DD90" s="39">
        <v>8.83</v>
      </c>
      <c r="DE90" s="39">
        <v>8.8699999999999992</v>
      </c>
      <c r="DF90" s="39">
        <v>8.92</v>
      </c>
      <c r="DG90" s="39">
        <v>8.9600000000000009</v>
      </c>
      <c r="DH90" s="39">
        <v>9</v>
      </c>
      <c r="DI90" s="39">
        <v>9.0500000000000007</v>
      </c>
      <c r="DJ90" s="39">
        <v>9.09</v>
      </c>
      <c r="DK90" s="39">
        <v>9.1300000000000008</v>
      </c>
      <c r="DL90" s="39">
        <v>9.17</v>
      </c>
      <c r="DM90" s="39">
        <v>9.2200000000000006</v>
      </c>
      <c r="DN90" s="39">
        <v>9.26</v>
      </c>
      <c r="DO90" s="39">
        <v>9.3000000000000007</v>
      </c>
      <c r="DP90" s="39">
        <v>9.34</v>
      </c>
      <c r="DQ90" s="39">
        <v>9.3800000000000008</v>
      </c>
      <c r="DR90" s="39">
        <v>9.42</v>
      </c>
    </row>
    <row r="91" spans="1:122">
      <c r="A91" s="44">
        <v>89</v>
      </c>
      <c r="B91" s="45"/>
      <c r="C91" s="45"/>
      <c r="D91" s="45"/>
      <c r="E91" s="45"/>
      <c r="F91" s="45"/>
      <c r="G91" s="45"/>
      <c r="H91" s="45"/>
      <c r="I91" s="45"/>
      <c r="J91" s="45"/>
      <c r="K91" s="45"/>
      <c r="L91" s="45"/>
      <c r="M91" s="45"/>
      <c r="N91" s="45"/>
      <c r="O91" s="45"/>
      <c r="P91" s="45"/>
      <c r="Q91" s="45"/>
      <c r="R91" s="45"/>
      <c r="S91" s="45"/>
      <c r="T91" s="45"/>
      <c r="U91" s="45"/>
      <c r="V91" s="39"/>
      <c r="W91" s="39">
        <v>4.59</v>
      </c>
      <c r="X91" s="39">
        <v>4.5599999999999996</v>
      </c>
      <c r="Y91" s="39">
        <v>4.5999999999999996</v>
      </c>
      <c r="Z91" s="39">
        <v>4.66</v>
      </c>
      <c r="AA91" s="39">
        <v>4.66</v>
      </c>
      <c r="AB91" s="39">
        <v>4.72</v>
      </c>
      <c r="AC91" s="39">
        <v>4.76</v>
      </c>
      <c r="AD91" s="39">
        <v>4.8</v>
      </c>
      <c r="AE91" s="39">
        <v>4.8499999999999996</v>
      </c>
      <c r="AF91" s="39">
        <v>4.8899999999999997</v>
      </c>
      <c r="AG91" s="39">
        <v>4.9400000000000004</v>
      </c>
      <c r="AH91" s="39">
        <v>4.99</v>
      </c>
      <c r="AI91" s="39">
        <v>5.03</v>
      </c>
      <c r="AJ91" s="39">
        <v>5.08</v>
      </c>
      <c r="AK91" s="39">
        <v>5.13</v>
      </c>
      <c r="AL91" s="39">
        <v>5.17</v>
      </c>
      <c r="AM91" s="39">
        <v>5.22</v>
      </c>
      <c r="AN91" s="39">
        <v>5.27</v>
      </c>
      <c r="AO91" s="39">
        <v>5.31</v>
      </c>
      <c r="AP91" s="39">
        <v>5.35</v>
      </c>
      <c r="AQ91" s="39">
        <v>5.4</v>
      </c>
      <c r="AR91" s="39">
        <v>5.44</v>
      </c>
      <c r="AS91" s="39">
        <v>5.48</v>
      </c>
      <c r="AT91" s="39">
        <v>5.53</v>
      </c>
      <c r="AU91" s="39">
        <v>5.57</v>
      </c>
      <c r="AV91" s="39">
        <v>5.61</v>
      </c>
      <c r="AW91" s="39">
        <v>5.66</v>
      </c>
      <c r="AX91" s="39">
        <v>5.7</v>
      </c>
      <c r="AY91" s="39">
        <v>5.74</v>
      </c>
      <c r="AZ91" s="39">
        <v>5.79</v>
      </c>
      <c r="BA91" s="39">
        <v>5.83</v>
      </c>
      <c r="BB91" s="39">
        <v>5.87</v>
      </c>
      <c r="BC91" s="39">
        <v>5.92</v>
      </c>
      <c r="BD91" s="39">
        <v>5.96</v>
      </c>
      <c r="BE91" s="39">
        <v>6</v>
      </c>
      <c r="BF91" s="39">
        <v>6.05</v>
      </c>
      <c r="BG91" s="39">
        <v>6.09</v>
      </c>
      <c r="BH91" s="39">
        <v>6.14</v>
      </c>
      <c r="BI91" s="39">
        <v>6.18</v>
      </c>
      <c r="BJ91" s="39">
        <v>6.22</v>
      </c>
      <c r="BK91" s="39">
        <v>6.27</v>
      </c>
      <c r="BL91" s="39">
        <v>6.31</v>
      </c>
      <c r="BM91" s="39">
        <v>6.35</v>
      </c>
      <c r="BN91" s="39">
        <v>6.4</v>
      </c>
      <c r="BO91" s="39">
        <v>6.44</v>
      </c>
      <c r="BP91" s="39">
        <v>6.48</v>
      </c>
      <c r="BQ91" s="39">
        <v>6.53</v>
      </c>
      <c r="BR91" s="39">
        <v>6.57</v>
      </c>
      <c r="BS91" s="39">
        <v>6.62</v>
      </c>
      <c r="BT91" s="39">
        <v>6.66</v>
      </c>
      <c r="BU91" s="39">
        <v>6.7</v>
      </c>
      <c r="BV91" s="39">
        <v>6.75</v>
      </c>
      <c r="BW91" s="39">
        <v>6.79</v>
      </c>
      <c r="BX91" s="39">
        <v>6.83</v>
      </c>
      <c r="BY91" s="39">
        <v>6.88</v>
      </c>
      <c r="BZ91" s="39">
        <v>6.92</v>
      </c>
      <c r="CA91" s="39">
        <v>6.96</v>
      </c>
      <c r="CB91" s="39">
        <v>7.01</v>
      </c>
      <c r="CC91" s="39">
        <v>7.05</v>
      </c>
      <c r="CD91" s="39">
        <v>7.09</v>
      </c>
      <c r="CE91" s="39">
        <v>7.13</v>
      </c>
      <c r="CF91" s="39">
        <v>7.18</v>
      </c>
      <c r="CG91" s="39">
        <v>7.22</v>
      </c>
      <c r="CH91" s="39">
        <v>7.26</v>
      </c>
      <c r="CI91" s="39">
        <v>7.31</v>
      </c>
      <c r="CJ91" s="39">
        <v>7.35</v>
      </c>
      <c r="CK91" s="39">
        <v>7.39</v>
      </c>
      <c r="CL91" s="39">
        <v>7.43</v>
      </c>
      <c r="CM91" s="39">
        <v>7.48</v>
      </c>
      <c r="CN91" s="39">
        <v>7.52</v>
      </c>
      <c r="CO91" s="39">
        <v>7.56</v>
      </c>
      <c r="CP91" s="39">
        <v>7.6</v>
      </c>
      <c r="CQ91" s="39">
        <v>7.64</v>
      </c>
      <c r="CR91" s="39">
        <v>7.69</v>
      </c>
      <c r="CS91" s="39">
        <v>7.73</v>
      </c>
      <c r="CT91" s="39">
        <v>7.77</v>
      </c>
      <c r="CU91" s="39">
        <v>7.81</v>
      </c>
      <c r="CV91" s="39">
        <v>7.85</v>
      </c>
      <c r="CW91" s="39">
        <v>7.89</v>
      </c>
      <c r="CX91" s="39">
        <v>7.94</v>
      </c>
      <c r="CY91" s="39">
        <v>7.98</v>
      </c>
      <c r="CZ91" s="39">
        <v>8.02</v>
      </c>
      <c r="DA91" s="39">
        <v>8.06</v>
      </c>
      <c r="DB91" s="39">
        <v>8.1</v>
      </c>
      <c r="DC91" s="39">
        <v>8.14</v>
      </c>
      <c r="DD91" s="39">
        <v>8.18</v>
      </c>
      <c r="DE91" s="39">
        <v>8.2200000000000006</v>
      </c>
      <c r="DF91" s="39">
        <v>8.26</v>
      </c>
      <c r="DG91" s="39">
        <v>8.3000000000000007</v>
      </c>
      <c r="DH91" s="39">
        <v>8.34</v>
      </c>
      <c r="DI91" s="39">
        <v>8.3800000000000008</v>
      </c>
      <c r="DJ91" s="39">
        <v>8.42</v>
      </c>
      <c r="DK91" s="39">
        <v>8.4600000000000009</v>
      </c>
      <c r="DL91" s="39">
        <v>8.5</v>
      </c>
      <c r="DM91" s="39">
        <v>8.5399999999999991</v>
      </c>
      <c r="DN91" s="39">
        <v>8.58</v>
      </c>
      <c r="DO91" s="39">
        <v>8.6199999999999992</v>
      </c>
      <c r="DP91" s="39">
        <v>8.66</v>
      </c>
      <c r="DQ91" s="39">
        <v>8.6999999999999993</v>
      </c>
      <c r="DR91" s="39">
        <v>8.73</v>
      </c>
    </row>
    <row r="92" spans="1:122">
      <c r="A92" s="44">
        <v>90</v>
      </c>
      <c r="B92" s="45"/>
      <c r="C92" s="45"/>
      <c r="D92" s="45"/>
      <c r="E92" s="45"/>
      <c r="F92" s="45"/>
      <c r="G92" s="45"/>
      <c r="H92" s="45"/>
      <c r="I92" s="45"/>
      <c r="J92" s="45"/>
      <c r="K92" s="45"/>
      <c r="L92" s="45"/>
      <c r="M92" s="45"/>
      <c r="N92" s="45"/>
      <c r="O92" s="45"/>
      <c r="P92" s="45"/>
      <c r="Q92" s="45"/>
      <c r="R92" s="45"/>
      <c r="S92" s="45"/>
      <c r="T92" s="45"/>
      <c r="U92" s="45"/>
      <c r="V92" s="39"/>
      <c r="W92" s="39">
        <v>4.24</v>
      </c>
      <c r="X92" s="39">
        <v>4.21</v>
      </c>
      <c r="Y92" s="39">
        <v>4.2699999999999996</v>
      </c>
      <c r="Z92" s="39">
        <v>4.28</v>
      </c>
      <c r="AA92" s="39">
        <v>4.3099999999999996</v>
      </c>
      <c r="AB92" s="39">
        <v>4.3499999999999996</v>
      </c>
      <c r="AC92" s="39">
        <v>4.4000000000000004</v>
      </c>
      <c r="AD92" s="39">
        <v>4.4400000000000004</v>
      </c>
      <c r="AE92" s="39">
        <v>4.49</v>
      </c>
      <c r="AF92" s="39">
        <v>4.53</v>
      </c>
      <c r="AG92" s="39">
        <v>4.57</v>
      </c>
      <c r="AH92" s="39">
        <v>4.6100000000000003</v>
      </c>
      <c r="AI92" s="39">
        <v>4.66</v>
      </c>
      <c r="AJ92" s="39">
        <v>4.7</v>
      </c>
      <c r="AK92" s="39">
        <v>4.75</v>
      </c>
      <c r="AL92" s="39">
        <v>4.79</v>
      </c>
      <c r="AM92" s="39">
        <v>4.83</v>
      </c>
      <c r="AN92" s="39">
        <v>4.87</v>
      </c>
      <c r="AO92" s="39">
        <v>4.91</v>
      </c>
      <c r="AP92" s="39">
        <v>4.95</v>
      </c>
      <c r="AQ92" s="39">
        <v>4.99</v>
      </c>
      <c r="AR92" s="39">
        <v>5.03</v>
      </c>
      <c r="AS92" s="39">
        <v>5.07</v>
      </c>
      <c r="AT92" s="39">
        <v>5.1100000000000003</v>
      </c>
      <c r="AU92" s="39">
        <v>5.15</v>
      </c>
      <c r="AV92" s="39">
        <v>5.19</v>
      </c>
      <c r="AW92" s="39">
        <v>5.23</v>
      </c>
      <c r="AX92" s="39">
        <v>5.27</v>
      </c>
      <c r="AY92" s="39">
        <v>5.31</v>
      </c>
      <c r="AZ92" s="39">
        <v>5.35</v>
      </c>
      <c r="BA92" s="39">
        <v>5.39</v>
      </c>
      <c r="BB92" s="39">
        <v>5.43</v>
      </c>
      <c r="BC92" s="39">
        <v>5.47</v>
      </c>
      <c r="BD92" s="39">
        <v>5.51</v>
      </c>
      <c r="BE92" s="39">
        <v>5.55</v>
      </c>
      <c r="BF92" s="39">
        <v>5.59</v>
      </c>
      <c r="BG92" s="39">
        <v>5.63</v>
      </c>
      <c r="BH92" s="39">
        <v>5.67</v>
      </c>
      <c r="BI92" s="39">
        <v>5.71</v>
      </c>
      <c r="BJ92" s="39">
        <v>5.75</v>
      </c>
      <c r="BK92" s="39">
        <v>5.79</v>
      </c>
      <c r="BL92" s="39">
        <v>5.83</v>
      </c>
      <c r="BM92" s="39">
        <v>5.87</v>
      </c>
      <c r="BN92" s="39">
        <v>5.91</v>
      </c>
      <c r="BO92" s="39">
        <v>5.95</v>
      </c>
      <c r="BP92" s="39">
        <v>6</v>
      </c>
      <c r="BQ92" s="39">
        <v>6.04</v>
      </c>
      <c r="BR92" s="39">
        <v>6.08</v>
      </c>
      <c r="BS92" s="39">
        <v>6.12</v>
      </c>
      <c r="BT92" s="39">
        <v>6.16</v>
      </c>
      <c r="BU92" s="39">
        <v>6.2</v>
      </c>
      <c r="BV92" s="39">
        <v>6.24</v>
      </c>
      <c r="BW92" s="39">
        <v>6.28</v>
      </c>
      <c r="BX92" s="39">
        <v>6.32</v>
      </c>
      <c r="BY92" s="39">
        <v>6.36</v>
      </c>
      <c r="BZ92" s="39">
        <v>6.4</v>
      </c>
      <c r="CA92" s="39">
        <v>6.44</v>
      </c>
      <c r="CB92" s="39">
        <v>6.48</v>
      </c>
      <c r="CC92" s="39">
        <v>6.52</v>
      </c>
      <c r="CD92" s="39">
        <v>6.56</v>
      </c>
      <c r="CE92" s="39">
        <v>6.6</v>
      </c>
      <c r="CF92" s="39">
        <v>6.63</v>
      </c>
      <c r="CG92" s="39">
        <v>6.67</v>
      </c>
      <c r="CH92" s="39">
        <v>6.71</v>
      </c>
      <c r="CI92" s="39">
        <v>6.75</v>
      </c>
      <c r="CJ92" s="39">
        <v>6.79</v>
      </c>
      <c r="CK92" s="39">
        <v>6.83</v>
      </c>
      <c r="CL92" s="39">
        <v>6.87</v>
      </c>
      <c r="CM92" s="39">
        <v>6.91</v>
      </c>
      <c r="CN92" s="39">
        <v>6.95</v>
      </c>
      <c r="CO92" s="39">
        <v>6.99</v>
      </c>
      <c r="CP92" s="39">
        <v>7.03</v>
      </c>
      <c r="CQ92" s="39">
        <v>7.07</v>
      </c>
      <c r="CR92" s="39">
        <v>7.1</v>
      </c>
      <c r="CS92" s="39">
        <v>7.14</v>
      </c>
      <c r="CT92" s="39">
        <v>7.18</v>
      </c>
      <c r="CU92" s="39">
        <v>7.22</v>
      </c>
      <c r="CV92" s="39">
        <v>7.26</v>
      </c>
      <c r="CW92" s="39">
        <v>7.3</v>
      </c>
      <c r="CX92" s="39">
        <v>7.33</v>
      </c>
      <c r="CY92" s="39">
        <v>7.37</v>
      </c>
      <c r="CZ92" s="39">
        <v>7.41</v>
      </c>
      <c r="DA92" s="39">
        <v>7.45</v>
      </c>
      <c r="DB92" s="39">
        <v>7.49</v>
      </c>
      <c r="DC92" s="39">
        <v>7.52</v>
      </c>
      <c r="DD92" s="39">
        <v>7.56</v>
      </c>
      <c r="DE92" s="39">
        <v>7.6</v>
      </c>
      <c r="DF92" s="39">
        <v>7.64</v>
      </c>
      <c r="DG92" s="39">
        <v>7.67</v>
      </c>
      <c r="DH92" s="39">
        <v>7.71</v>
      </c>
      <c r="DI92" s="39">
        <v>7.75</v>
      </c>
      <c r="DJ92" s="39">
        <v>7.78</v>
      </c>
      <c r="DK92" s="39">
        <v>7.82</v>
      </c>
      <c r="DL92" s="39">
        <v>7.86</v>
      </c>
      <c r="DM92" s="39">
        <v>7.89</v>
      </c>
      <c r="DN92" s="39">
        <v>7.93</v>
      </c>
      <c r="DO92" s="39">
        <v>7.96</v>
      </c>
      <c r="DP92" s="39">
        <v>8</v>
      </c>
      <c r="DQ92" s="39">
        <v>8.0399999999999991</v>
      </c>
      <c r="DR92" s="39">
        <v>8.07</v>
      </c>
    </row>
    <row r="93" spans="1:122">
      <c r="A93" s="44">
        <v>91</v>
      </c>
      <c r="B93" s="45"/>
      <c r="C93" s="45"/>
      <c r="D93" s="45"/>
      <c r="E93" s="45"/>
      <c r="F93" s="45"/>
      <c r="G93" s="45"/>
      <c r="H93" s="45"/>
      <c r="I93" s="45"/>
      <c r="J93" s="45"/>
      <c r="K93" s="45"/>
      <c r="L93" s="45"/>
      <c r="M93" s="45"/>
      <c r="N93" s="45"/>
      <c r="O93" s="45"/>
      <c r="P93" s="45"/>
      <c r="Q93" s="45"/>
      <c r="R93" s="45"/>
      <c r="S93" s="45"/>
      <c r="T93" s="45"/>
      <c r="U93" s="45"/>
      <c r="V93" s="39"/>
      <c r="W93" s="39">
        <v>3.93</v>
      </c>
      <c r="X93" s="39">
        <v>3.9</v>
      </c>
      <c r="Y93" s="39">
        <v>3.91</v>
      </c>
      <c r="Z93" s="39">
        <v>3.97</v>
      </c>
      <c r="AA93" s="39">
        <v>3.97</v>
      </c>
      <c r="AB93" s="39">
        <v>4.0199999999999996</v>
      </c>
      <c r="AC93" s="39">
        <v>4.08</v>
      </c>
      <c r="AD93" s="39">
        <v>4.1100000000000003</v>
      </c>
      <c r="AE93" s="39">
        <v>4.1500000000000004</v>
      </c>
      <c r="AF93" s="39">
        <v>4.1900000000000004</v>
      </c>
      <c r="AG93" s="39">
        <v>4.2300000000000004</v>
      </c>
      <c r="AH93" s="39">
        <v>4.2699999999999996</v>
      </c>
      <c r="AI93" s="39">
        <v>4.3099999999999996</v>
      </c>
      <c r="AJ93" s="39">
        <v>4.3499999999999996</v>
      </c>
      <c r="AK93" s="39">
        <v>4.3899999999999997</v>
      </c>
      <c r="AL93" s="39">
        <v>4.43</v>
      </c>
      <c r="AM93" s="39">
        <v>4.47</v>
      </c>
      <c r="AN93" s="39">
        <v>4.51</v>
      </c>
      <c r="AO93" s="39">
        <v>4.54</v>
      </c>
      <c r="AP93" s="39">
        <v>4.58</v>
      </c>
      <c r="AQ93" s="39">
        <v>4.62</v>
      </c>
      <c r="AR93" s="39">
        <v>4.6500000000000004</v>
      </c>
      <c r="AS93" s="39">
        <v>4.6900000000000004</v>
      </c>
      <c r="AT93" s="39">
        <v>4.7300000000000004</v>
      </c>
      <c r="AU93" s="39">
        <v>4.76</v>
      </c>
      <c r="AV93" s="39">
        <v>4.8</v>
      </c>
      <c r="AW93" s="39">
        <v>4.84</v>
      </c>
      <c r="AX93" s="39">
        <v>4.87</v>
      </c>
      <c r="AY93" s="39">
        <v>4.91</v>
      </c>
      <c r="AZ93" s="39">
        <v>4.95</v>
      </c>
      <c r="BA93" s="39">
        <v>4.9800000000000004</v>
      </c>
      <c r="BB93" s="39">
        <v>5.0199999999999996</v>
      </c>
      <c r="BC93" s="39">
        <v>5.0599999999999996</v>
      </c>
      <c r="BD93" s="39">
        <v>5.09</v>
      </c>
      <c r="BE93" s="39">
        <v>5.13</v>
      </c>
      <c r="BF93" s="39">
        <v>5.17</v>
      </c>
      <c r="BG93" s="39">
        <v>5.2</v>
      </c>
      <c r="BH93" s="39">
        <v>5.24</v>
      </c>
      <c r="BI93" s="39">
        <v>5.28</v>
      </c>
      <c r="BJ93" s="39">
        <v>5.31</v>
      </c>
      <c r="BK93" s="39">
        <v>5.35</v>
      </c>
      <c r="BL93" s="39">
        <v>5.39</v>
      </c>
      <c r="BM93" s="39">
        <v>5.43</v>
      </c>
      <c r="BN93" s="39">
        <v>5.46</v>
      </c>
      <c r="BO93" s="39">
        <v>5.5</v>
      </c>
      <c r="BP93" s="39">
        <v>5.54</v>
      </c>
      <c r="BQ93" s="39">
        <v>5.57</v>
      </c>
      <c r="BR93" s="39">
        <v>5.61</v>
      </c>
      <c r="BS93" s="39">
        <v>5.65</v>
      </c>
      <c r="BT93" s="39">
        <v>5.68</v>
      </c>
      <c r="BU93" s="39">
        <v>5.72</v>
      </c>
      <c r="BV93" s="39">
        <v>5.76</v>
      </c>
      <c r="BW93" s="39">
        <v>5.79</v>
      </c>
      <c r="BX93" s="39">
        <v>5.83</v>
      </c>
      <c r="BY93" s="39">
        <v>5.87</v>
      </c>
      <c r="BZ93" s="39">
        <v>5.9</v>
      </c>
      <c r="CA93" s="39">
        <v>5.94</v>
      </c>
      <c r="CB93" s="39">
        <v>5.98</v>
      </c>
      <c r="CC93" s="39">
        <v>6.01</v>
      </c>
      <c r="CD93" s="39">
        <v>6.05</v>
      </c>
      <c r="CE93" s="39">
        <v>6.09</v>
      </c>
      <c r="CF93" s="39">
        <v>6.12</v>
      </c>
      <c r="CG93" s="39">
        <v>6.16</v>
      </c>
      <c r="CH93" s="39">
        <v>6.19</v>
      </c>
      <c r="CI93" s="39">
        <v>6.23</v>
      </c>
      <c r="CJ93" s="39">
        <v>6.27</v>
      </c>
      <c r="CK93" s="39">
        <v>6.3</v>
      </c>
      <c r="CL93" s="39">
        <v>6.34</v>
      </c>
      <c r="CM93" s="39">
        <v>6.37</v>
      </c>
      <c r="CN93" s="39">
        <v>6.41</v>
      </c>
      <c r="CO93" s="39">
        <v>6.45</v>
      </c>
      <c r="CP93" s="39">
        <v>6.48</v>
      </c>
      <c r="CQ93" s="39">
        <v>6.52</v>
      </c>
      <c r="CR93" s="39">
        <v>6.55</v>
      </c>
      <c r="CS93" s="39">
        <v>6.59</v>
      </c>
      <c r="CT93" s="39">
        <v>6.62</v>
      </c>
      <c r="CU93" s="39">
        <v>6.66</v>
      </c>
      <c r="CV93" s="39">
        <v>6.69</v>
      </c>
      <c r="CW93" s="39">
        <v>6.73</v>
      </c>
      <c r="CX93" s="39">
        <v>6.76</v>
      </c>
      <c r="CY93" s="39">
        <v>6.8</v>
      </c>
      <c r="CZ93" s="39">
        <v>6.83</v>
      </c>
      <c r="DA93" s="39">
        <v>6.87</v>
      </c>
      <c r="DB93" s="39">
        <v>6.9</v>
      </c>
      <c r="DC93" s="39">
        <v>6.94</v>
      </c>
      <c r="DD93" s="39">
        <v>6.97</v>
      </c>
      <c r="DE93" s="39">
        <v>7</v>
      </c>
      <c r="DF93" s="39">
        <v>7.04</v>
      </c>
      <c r="DG93" s="39">
        <v>7.07</v>
      </c>
      <c r="DH93" s="39">
        <v>7.11</v>
      </c>
      <c r="DI93" s="39">
        <v>7.14</v>
      </c>
      <c r="DJ93" s="39">
        <v>7.17</v>
      </c>
      <c r="DK93" s="39">
        <v>7.21</v>
      </c>
      <c r="DL93" s="39">
        <v>7.24</v>
      </c>
      <c r="DM93" s="39">
        <v>7.27</v>
      </c>
      <c r="DN93" s="39">
        <v>7.31</v>
      </c>
      <c r="DO93" s="39">
        <v>7.34</v>
      </c>
      <c r="DP93" s="39">
        <v>7.37</v>
      </c>
      <c r="DQ93" s="39">
        <v>7.4</v>
      </c>
      <c r="DR93" s="39">
        <v>7.44</v>
      </c>
    </row>
    <row r="94" spans="1:122">
      <c r="A94" s="44">
        <v>92</v>
      </c>
      <c r="B94" s="45"/>
      <c r="C94" s="45"/>
      <c r="D94" s="45"/>
      <c r="E94" s="45"/>
      <c r="F94" s="45"/>
      <c r="G94" s="45"/>
      <c r="H94" s="45"/>
      <c r="I94" s="45"/>
      <c r="J94" s="45"/>
      <c r="K94" s="45"/>
      <c r="L94" s="45"/>
      <c r="M94" s="45"/>
      <c r="N94" s="45"/>
      <c r="O94" s="45"/>
      <c r="P94" s="45"/>
      <c r="Q94" s="45"/>
      <c r="R94" s="45"/>
      <c r="S94" s="45"/>
      <c r="T94" s="45"/>
      <c r="U94" s="45"/>
      <c r="V94" s="39"/>
      <c r="W94" s="39">
        <v>3.66</v>
      </c>
      <c r="X94" s="39">
        <v>3.58</v>
      </c>
      <c r="Y94" s="39">
        <v>3.63</v>
      </c>
      <c r="Z94" s="39">
        <v>3.65</v>
      </c>
      <c r="AA94" s="39">
        <v>3.68</v>
      </c>
      <c r="AB94" s="39">
        <v>3.73</v>
      </c>
      <c r="AC94" s="39">
        <v>3.77</v>
      </c>
      <c r="AD94" s="39">
        <v>3.81</v>
      </c>
      <c r="AE94" s="39">
        <v>3.84</v>
      </c>
      <c r="AF94" s="39">
        <v>3.88</v>
      </c>
      <c r="AG94" s="39">
        <v>3.92</v>
      </c>
      <c r="AH94" s="39">
        <v>3.95</v>
      </c>
      <c r="AI94" s="39">
        <v>3.99</v>
      </c>
      <c r="AJ94" s="39">
        <v>4.03</v>
      </c>
      <c r="AK94" s="39">
        <v>4.0599999999999996</v>
      </c>
      <c r="AL94" s="39">
        <v>4.0999999999999996</v>
      </c>
      <c r="AM94" s="39">
        <v>4.13</v>
      </c>
      <c r="AN94" s="39">
        <v>4.17</v>
      </c>
      <c r="AO94" s="39">
        <v>4.2</v>
      </c>
      <c r="AP94" s="39">
        <v>4.2300000000000004</v>
      </c>
      <c r="AQ94" s="39">
        <v>4.2699999999999996</v>
      </c>
      <c r="AR94" s="39">
        <v>4.3</v>
      </c>
      <c r="AS94" s="39">
        <v>4.33</v>
      </c>
      <c r="AT94" s="39">
        <v>4.37</v>
      </c>
      <c r="AU94" s="39">
        <v>4.4000000000000004</v>
      </c>
      <c r="AV94" s="39">
        <v>4.43</v>
      </c>
      <c r="AW94" s="39">
        <v>4.47</v>
      </c>
      <c r="AX94" s="39">
        <v>4.5</v>
      </c>
      <c r="AY94" s="39">
        <v>4.53</v>
      </c>
      <c r="AZ94" s="39">
        <v>4.57</v>
      </c>
      <c r="BA94" s="39">
        <v>4.5999999999999996</v>
      </c>
      <c r="BB94" s="39">
        <v>4.63</v>
      </c>
      <c r="BC94" s="39">
        <v>4.67</v>
      </c>
      <c r="BD94" s="39">
        <v>4.7</v>
      </c>
      <c r="BE94" s="39">
        <v>4.74</v>
      </c>
      <c r="BF94" s="39">
        <v>4.7699999999999996</v>
      </c>
      <c r="BG94" s="39">
        <v>4.8</v>
      </c>
      <c r="BH94" s="39">
        <v>4.84</v>
      </c>
      <c r="BI94" s="39">
        <v>4.87</v>
      </c>
      <c r="BJ94" s="39">
        <v>4.9000000000000004</v>
      </c>
      <c r="BK94" s="39">
        <v>4.9400000000000004</v>
      </c>
      <c r="BL94" s="39">
        <v>4.97</v>
      </c>
      <c r="BM94" s="39">
        <v>5</v>
      </c>
      <c r="BN94" s="39">
        <v>5.04</v>
      </c>
      <c r="BO94" s="39">
        <v>5.07</v>
      </c>
      <c r="BP94" s="39">
        <v>5.0999999999999996</v>
      </c>
      <c r="BQ94" s="39">
        <v>5.14</v>
      </c>
      <c r="BR94" s="39">
        <v>5.17</v>
      </c>
      <c r="BS94" s="39">
        <v>5.2</v>
      </c>
      <c r="BT94" s="39">
        <v>5.24</v>
      </c>
      <c r="BU94" s="39">
        <v>5.27</v>
      </c>
      <c r="BV94" s="39">
        <v>5.3</v>
      </c>
      <c r="BW94" s="39">
        <v>5.34</v>
      </c>
      <c r="BX94" s="39">
        <v>5.37</v>
      </c>
      <c r="BY94" s="39">
        <v>5.4</v>
      </c>
      <c r="BZ94" s="39">
        <v>5.44</v>
      </c>
      <c r="CA94" s="39">
        <v>5.47</v>
      </c>
      <c r="CB94" s="39">
        <v>5.5</v>
      </c>
      <c r="CC94" s="39">
        <v>5.54</v>
      </c>
      <c r="CD94" s="39">
        <v>5.57</v>
      </c>
      <c r="CE94" s="39">
        <v>5.6</v>
      </c>
      <c r="CF94" s="39">
        <v>5.64</v>
      </c>
      <c r="CG94" s="39">
        <v>5.67</v>
      </c>
      <c r="CH94" s="39">
        <v>5.7</v>
      </c>
      <c r="CI94" s="39">
        <v>5.73</v>
      </c>
      <c r="CJ94" s="39">
        <v>5.77</v>
      </c>
      <c r="CK94" s="39">
        <v>5.8</v>
      </c>
      <c r="CL94" s="39">
        <v>5.83</v>
      </c>
      <c r="CM94" s="39">
        <v>5.87</v>
      </c>
      <c r="CN94" s="39">
        <v>5.9</v>
      </c>
      <c r="CO94" s="39">
        <v>5.93</v>
      </c>
      <c r="CP94" s="39">
        <v>5.96</v>
      </c>
      <c r="CQ94" s="39">
        <v>5.99</v>
      </c>
      <c r="CR94" s="39">
        <v>6.03</v>
      </c>
      <c r="CS94" s="39">
        <v>6.06</v>
      </c>
      <c r="CT94" s="39">
        <v>6.09</v>
      </c>
      <c r="CU94" s="39">
        <v>6.12</v>
      </c>
      <c r="CV94" s="39">
        <v>6.15</v>
      </c>
      <c r="CW94" s="39">
        <v>6.19</v>
      </c>
      <c r="CX94" s="39">
        <v>6.22</v>
      </c>
      <c r="CY94" s="39">
        <v>6.25</v>
      </c>
      <c r="CZ94" s="39">
        <v>6.28</v>
      </c>
      <c r="DA94" s="39">
        <v>6.31</v>
      </c>
      <c r="DB94" s="39">
        <v>6.34</v>
      </c>
      <c r="DC94" s="39">
        <v>6.37</v>
      </c>
      <c r="DD94" s="39">
        <v>6.41</v>
      </c>
      <c r="DE94" s="39">
        <v>6.44</v>
      </c>
      <c r="DF94" s="39">
        <v>6.47</v>
      </c>
      <c r="DG94" s="39">
        <v>6.5</v>
      </c>
      <c r="DH94" s="39">
        <v>6.53</v>
      </c>
      <c r="DI94" s="39">
        <v>6.56</v>
      </c>
      <c r="DJ94" s="39">
        <v>6.59</v>
      </c>
      <c r="DK94" s="39">
        <v>6.62</v>
      </c>
      <c r="DL94" s="39">
        <v>6.65</v>
      </c>
      <c r="DM94" s="39">
        <v>6.68</v>
      </c>
      <c r="DN94" s="39">
        <v>6.71</v>
      </c>
      <c r="DO94" s="39">
        <v>6.74</v>
      </c>
      <c r="DP94" s="39">
        <v>6.77</v>
      </c>
      <c r="DQ94" s="39">
        <v>6.8</v>
      </c>
      <c r="DR94" s="39">
        <v>6.83</v>
      </c>
    </row>
    <row r="95" spans="1:122">
      <c r="A95" s="44">
        <v>93</v>
      </c>
      <c r="B95" s="45"/>
      <c r="C95" s="45"/>
      <c r="D95" s="45"/>
      <c r="E95" s="45"/>
      <c r="F95" s="45"/>
      <c r="G95" s="45"/>
      <c r="H95" s="45"/>
      <c r="I95" s="45"/>
      <c r="J95" s="45"/>
      <c r="K95" s="45"/>
      <c r="L95" s="45"/>
      <c r="M95" s="45"/>
      <c r="N95" s="45"/>
      <c r="O95" s="45"/>
      <c r="P95" s="45"/>
      <c r="Q95" s="45"/>
      <c r="R95" s="45"/>
      <c r="S95" s="45"/>
      <c r="T95" s="45"/>
      <c r="U95" s="45"/>
      <c r="V95" s="39"/>
      <c r="W95" s="39">
        <v>3.38</v>
      </c>
      <c r="X95" s="39">
        <v>3.32</v>
      </c>
      <c r="Y95" s="39">
        <v>3.33</v>
      </c>
      <c r="Z95" s="39">
        <v>3.4</v>
      </c>
      <c r="AA95" s="39">
        <v>3.42</v>
      </c>
      <c r="AB95" s="39">
        <v>3.46</v>
      </c>
      <c r="AC95" s="39">
        <v>3.49</v>
      </c>
      <c r="AD95" s="39">
        <v>3.53</v>
      </c>
      <c r="AE95" s="39">
        <v>3.56</v>
      </c>
      <c r="AF95" s="39">
        <v>3.59</v>
      </c>
      <c r="AG95" s="39">
        <v>3.63</v>
      </c>
      <c r="AH95" s="39">
        <v>3.66</v>
      </c>
      <c r="AI95" s="39">
        <v>3.69</v>
      </c>
      <c r="AJ95" s="39">
        <v>3.73</v>
      </c>
      <c r="AK95" s="39">
        <v>3.76</v>
      </c>
      <c r="AL95" s="39">
        <v>3.79</v>
      </c>
      <c r="AM95" s="39">
        <v>3.82</v>
      </c>
      <c r="AN95" s="39">
        <v>3.85</v>
      </c>
      <c r="AO95" s="39">
        <v>3.88</v>
      </c>
      <c r="AP95" s="39">
        <v>3.91</v>
      </c>
      <c r="AQ95" s="39">
        <v>3.94</v>
      </c>
      <c r="AR95" s="39">
        <v>3.97</v>
      </c>
      <c r="AS95" s="39">
        <v>4</v>
      </c>
      <c r="AT95" s="39">
        <v>4.03</v>
      </c>
      <c r="AU95" s="39">
        <v>4.0599999999999996</v>
      </c>
      <c r="AV95" s="39">
        <v>4.09</v>
      </c>
      <c r="AW95" s="39">
        <v>4.13</v>
      </c>
      <c r="AX95" s="39">
        <v>4.16</v>
      </c>
      <c r="AY95" s="39">
        <v>4.1900000000000004</v>
      </c>
      <c r="AZ95" s="39">
        <v>4.22</v>
      </c>
      <c r="BA95" s="39">
        <v>4.25</v>
      </c>
      <c r="BB95" s="39">
        <v>4.28</v>
      </c>
      <c r="BC95" s="39">
        <v>4.3099999999999996</v>
      </c>
      <c r="BD95" s="39">
        <v>4.34</v>
      </c>
      <c r="BE95" s="39">
        <v>4.37</v>
      </c>
      <c r="BF95" s="39">
        <v>4.4000000000000004</v>
      </c>
      <c r="BG95" s="39">
        <v>4.43</v>
      </c>
      <c r="BH95" s="39">
        <v>4.46</v>
      </c>
      <c r="BI95" s="39">
        <v>4.49</v>
      </c>
      <c r="BJ95" s="39">
        <v>4.5199999999999996</v>
      </c>
      <c r="BK95" s="39">
        <v>4.55</v>
      </c>
      <c r="BL95" s="39">
        <v>4.58</v>
      </c>
      <c r="BM95" s="39">
        <v>4.6100000000000003</v>
      </c>
      <c r="BN95" s="39">
        <v>4.6399999999999997</v>
      </c>
      <c r="BO95" s="39">
        <v>4.67</v>
      </c>
      <c r="BP95" s="39">
        <v>4.7</v>
      </c>
      <c r="BQ95" s="39">
        <v>4.7300000000000004</v>
      </c>
      <c r="BR95" s="39">
        <v>4.76</v>
      </c>
      <c r="BS95" s="39">
        <v>4.79</v>
      </c>
      <c r="BT95" s="39">
        <v>4.82</v>
      </c>
      <c r="BU95" s="39">
        <v>4.8499999999999996</v>
      </c>
      <c r="BV95" s="39">
        <v>4.88</v>
      </c>
      <c r="BW95" s="39">
        <v>4.91</v>
      </c>
      <c r="BX95" s="39">
        <v>4.9400000000000004</v>
      </c>
      <c r="BY95" s="39">
        <v>4.97</v>
      </c>
      <c r="BZ95" s="39">
        <v>5</v>
      </c>
      <c r="CA95" s="39">
        <v>5.03</v>
      </c>
      <c r="CB95" s="39">
        <v>5.0599999999999996</v>
      </c>
      <c r="CC95" s="39">
        <v>5.09</v>
      </c>
      <c r="CD95" s="39">
        <v>5.12</v>
      </c>
      <c r="CE95" s="39">
        <v>5.15</v>
      </c>
      <c r="CF95" s="39">
        <v>5.18</v>
      </c>
      <c r="CG95" s="39">
        <v>5.21</v>
      </c>
      <c r="CH95" s="39">
        <v>5.24</v>
      </c>
      <c r="CI95" s="39">
        <v>5.27</v>
      </c>
      <c r="CJ95" s="39">
        <v>5.3</v>
      </c>
      <c r="CK95" s="39">
        <v>5.32</v>
      </c>
      <c r="CL95" s="39">
        <v>5.35</v>
      </c>
      <c r="CM95" s="39">
        <v>5.38</v>
      </c>
      <c r="CN95" s="39">
        <v>5.41</v>
      </c>
      <c r="CO95" s="39">
        <v>5.44</v>
      </c>
      <c r="CP95" s="39">
        <v>5.47</v>
      </c>
      <c r="CQ95" s="39">
        <v>5.5</v>
      </c>
      <c r="CR95" s="39">
        <v>5.53</v>
      </c>
      <c r="CS95" s="39">
        <v>5.56</v>
      </c>
      <c r="CT95" s="39">
        <v>5.59</v>
      </c>
      <c r="CU95" s="39">
        <v>5.61</v>
      </c>
      <c r="CV95" s="39">
        <v>5.64</v>
      </c>
      <c r="CW95" s="39">
        <v>5.67</v>
      </c>
      <c r="CX95" s="39">
        <v>5.7</v>
      </c>
      <c r="CY95" s="39">
        <v>5.73</v>
      </c>
      <c r="CZ95" s="39">
        <v>5.76</v>
      </c>
      <c r="DA95" s="39">
        <v>5.78</v>
      </c>
      <c r="DB95" s="39">
        <v>5.81</v>
      </c>
      <c r="DC95" s="39">
        <v>5.84</v>
      </c>
      <c r="DD95" s="39">
        <v>5.87</v>
      </c>
      <c r="DE95" s="39">
        <v>5.89</v>
      </c>
      <c r="DF95" s="39">
        <v>5.92</v>
      </c>
      <c r="DG95" s="39">
        <v>5.95</v>
      </c>
      <c r="DH95" s="39">
        <v>5.98</v>
      </c>
      <c r="DI95" s="39">
        <v>6</v>
      </c>
      <c r="DJ95" s="39">
        <v>6.03</v>
      </c>
      <c r="DK95" s="39">
        <v>6.06</v>
      </c>
      <c r="DL95" s="39">
        <v>6.09</v>
      </c>
      <c r="DM95" s="39">
        <v>6.11</v>
      </c>
      <c r="DN95" s="39">
        <v>6.14</v>
      </c>
      <c r="DO95" s="39">
        <v>6.17</v>
      </c>
      <c r="DP95" s="39">
        <v>6.19</v>
      </c>
      <c r="DQ95" s="39">
        <v>6.22</v>
      </c>
      <c r="DR95" s="39">
        <v>6.25</v>
      </c>
    </row>
    <row r="96" spans="1:122">
      <c r="A96" s="44">
        <v>94</v>
      </c>
      <c r="B96" s="45"/>
      <c r="C96" s="45"/>
      <c r="D96" s="45"/>
      <c r="E96" s="45"/>
      <c r="F96" s="45"/>
      <c r="G96" s="45"/>
      <c r="H96" s="45"/>
      <c r="I96" s="45"/>
      <c r="J96" s="45"/>
      <c r="K96" s="45"/>
      <c r="L96" s="45"/>
      <c r="M96" s="45"/>
      <c r="N96" s="45"/>
      <c r="O96" s="45"/>
      <c r="P96" s="45"/>
      <c r="Q96" s="45"/>
      <c r="R96" s="45"/>
      <c r="S96" s="45"/>
      <c r="T96" s="45"/>
      <c r="U96" s="45"/>
      <c r="V96" s="39"/>
      <c r="W96" s="39">
        <v>3.17</v>
      </c>
      <c r="X96" s="39">
        <v>3.05</v>
      </c>
      <c r="Y96" s="39">
        <v>3.1</v>
      </c>
      <c r="Z96" s="39">
        <v>3.17</v>
      </c>
      <c r="AA96" s="39">
        <v>3.18</v>
      </c>
      <c r="AB96" s="39">
        <v>3.21</v>
      </c>
      <c r="AC96" s="39">
        <v>3.24</v>
      </c>
      <c r="AD96" s="39">
        <v>3.27</v>
      </c>
      <c r="AE96" s="39">
        <v>3.3</v>
      </c>
      <c r="AF96" s="39">
        <v>3.33</v>
      </c>
      <c r="AG96" s="39">
        <v>3.36</v>
      </c>
      <c r="AH96" s="39">
        <v>3.39</v>
      </c>
      <c r="AI96" s="39">
        <v>3.42</v>
      </c>
      <c r="AJ96" s="39">
        <v>3.45</v>
      </c>
      <c r="AK96" s="39">
        <v>3.48</v>
      </c>
      <c r="AL96" s="39">
        <v>3.51</v>
      </c>
      <c r="AM96" s="39">
        <v>3.54</v>
      </c>
      <c r="AN96" s="39">
        <v>3.56</v>
      </c>
      <c r="AO96" s="39">
        <v>3.59</v>
      </c>
      <c r="AP96" s="39">
        <v>3.62</v>
      </c>
      <c r="AQ96" s="39">
        <v>3.64</v>
      </c>
      <c r="AR96" s="39">
        <v>3.67</v>
      </c>
      <c r="AS96" s="39">
        <v>3.7</v>
      </c>
      <c r="AT96" s="39">
        <v>3.72</v>
      </c>
      <c r="AU96" s="39">
        <v>3.75</v>
      </c>
      <c r="AV96" s="39">
        <v>3.78</v>
      </c>
      <c r="AW96" s="39">
        <v>3.81</v>
      </c>
      <c r="AX96" s="39">
        <v>3.83</v>
      </c>
      <c r="AY96" s="39">
        <v>3.86</v>
      </c>
      <c r="AZ96" s="39">
        <v>3.89</v>
      </c>
      <c r="BA96" s="39">
        <v>3.91</v>
      </c>
      <c r="BB96" s="39">
        <v>3.94</v>
      </c>
      <c r="BC96" s="39">
        <v>3.97</v>
      </c>
      <c r="BD96" s="39">
        <v>3.99</v>
      </c>
      <c r="BE96" s="39">
        <v>4.0199999999999996</v>
      </c>
      <c r="BF96" s="39">
        <v>4.05</v>
      </c>
      <c r="BG96" s="39">
        <v>4.08</v>
      </c>
      <c r="BH96" s="39">
        <v>4.0999999999999996</v>
      </c>
      <c r="BI96" s="39">
        <v>4.13</v>
      </c>
      <c r="BJ96" s="39">
        <v>4.16</v>
      </c>
      <c r="BK96" s="39">
        <v>4.18</v>
      </c>
      <c r="BL96" s="39">
        <v>4.21</v>
      </c>
      <c r="BM96" s="39">
        <v>4.24</v>
      </c>
      <c r="BN96" s="39">
        <v>4.26</v>
      </c>
      <c r="BO96" s="39">
        <v>4.29</v>
      </c>
      <c r="BP96" s="39">
        <v>4.32</v>
      </c>
      <c r="BQ96" s="39">
        <v>4.3499999999999996</v>
      </c>
      <c r="BR96" s="39">
        <v>4.37</v>
      </c>
      <c r="BS96" s="39">
        <v>4.4000000000000004</v>
      </c>
      <c r="BT96" s="39">
        <v>4.43</v>
      </c>
      <c r="BU96" s="39">
        <v>4.45</v>
      </c>
      <c r="BV96" s="39">
        <v>4.4800000000000004</v>
      </c>
      <c r="BW96" s="39">
        <v>4.51</v>
      </c>
      <c r="BX96" s="39">
        <v>4.53</v>
      </c>
      <c r="BY96" s="39">
        <v>4.5599999999999996</v>
      </c>
      <c r="BZ96" s="39">
        <v>4.59</v>
      </c>
      <c r="CA96" s="39">
        <v>4.6100000000000003</v>
      </c>
      <c r="CB96" s="39">
        <v>4.6399999999999997</v>
      </c>
      <c r="CC96" s="39">
        <v>4.66</v>
      </c>
      <c r="CD96" s="39">
        <v>4.6900000000000004</v>
      </c>
      <c r="CE96" s="39">
        <v>4.72</v>
      </c>
      <c r="CF96" s="39">
        <v>4.74</v>
      </c>
      <c r="CG96" s="39">
        <v>4.7699999999999996</v>
      </c>
      <c r="CH96" s="39">
        <v>4.8</v>
      </c>
      <c r="CI96" s="39">
        <v>4.82</v>
      </c>
      <c r="CJ96" s="39">
        <v>4.8499999999999996</v>
      </c>
      <c r="CK96" s="39">
        <v>4.87</v>
      </c>
      <c r="CL96" s="39">
        <v>4.9000000000000004</v>
      </c>
      <c r="CM96" s="39">
        <v>4.93</v>
      </c>
      <c r="CN96" s="39">
        <v>4.95</v>
      </c>
      <c r="CO96" s="39">
        <v>4.9800000000000004</v>
      </c>
      <c r="CP96" s="39">
        <v>5</v>
      </c>
      <c r="CQ96" s="39">
        <v>5.03</v>
      </c>
      <c r="CR96" s="39">
        <v>5.05</v>
      </c>
      <c r="CS96" s="39">
        <v>5.08</v>
      </c>
      <c r="CT96" s="39">
        <v>5.0999999999999996</v>
      </c>
      <c r="CU96" s="39">
        <v>5.13</v>
      </c>
      <c r="CV96" s="39">
        <v>5.15</v>
      </c>
      <c r="CW96" s="39">
        <v>5.18</v>
      </c>
      <c r="CX96" s="39">
        <v>5.2</v>
      </c>
      <c r="CY96" s="39">
        <v>5.23</v>
      </c>
      <c r="CZ96" s="39">
        <v>5.25</v>
      </c>
      <c r="DA96" s="39">
        <v>5.28</v>
      </c>
      <c r="DB96" s="39">
        <v>5.3</v>
      </c>
      <c r="DC96" s="39">
        <v>5.33</v>
      </c>
      <c r="DD96" s="39">
        <v>5.35</v>
      </c>
      <c r="DE96" s="39">
        <v>5.38</v>
      </c>
      <c r="DF96" s="39">
        <v>5.4</v>
      </c>
      <c r="DG96" s="39">
        <v>5.43</v>
      </c>
      <c r="DH96" s="39">
        <v>5.45</v>
      </c>
      <c r="DI96" s="39">
        <v>5.47</v>
      </c>
      <c r="DJ96" s="39">
        <v>5.5</v>
      </c>
      <c r="DK96" s="39">
        <v>5.52</v>
      </c>
      <c r="DL96" s="39">
        <v>5.55</v>
      </c>
      <c r="DM96" s="39">
        <v>5.57</v>
      </c>
      <c r="DN96" s="39">
        <v>5.59</v>
      </c>
      <c r="DO96" s="39">
        <v>5.62</v>
      </c>
      <c r="DP96" s="39">
        <v>5.64</v>
      </c>
      <c r="DQ96" s="39">
        <v>5.66</v>
      </c>
      <c r="DR96" s="39">
        <v>5.69</v>
      </c>
    </row>
    <row r="97" spans="1:122">
      <c r="A97" s="44">
        <v>95</v>
      </c>
      <c r="B97" s="45"/>
      <c r="C97" s="45"/>
      <c r="D97" s="45"/>
      <c r="E97" s="45"/>
      <c r="F97" s="45"/>
      <c r="G97" s="45"/>
      <c r="H97" s="45"/>
      <c r="I97" s="45"/>
      <c r="J97" s="45"/>
      <c r="K97" s="45"/>
      <c r="L97" s="45"/>
      <c r="M97" s="45"/>
      <c r="N97" s="45"/>
      <c r="O97" s="45"/>
      <c r="P97" s="45"/>
      <c r="Q97" s="45"/>
      <c r="R97" s="45"/>
      <c r="S97" s="45"/>
      <c r="T97" s="45"/>
      <c r="U97" s="45"/>
      <c r="V97" s="39"/>
      <c r="W97" s="39">
        <v>2.94</v>
      </c>
      <c r="X97" s="39">
        <v>2.83</v>
      </c>
      <c r="Y97" s="39">
        <v>2.87</v>
      </c>
      <c r="Z97" s="39">
        <v>2.94</v>
      </c>
      <c r="AA97" s="39">
        <v>2.95</v>
      </c>
      <c r="AB97" s="39">
        <v>2.98</v>
      </c>
      <c r="AC97" s="39">
        <v>3</v>
      </c>
      <c r="AD97" s="39">
        <v>3.03</v>
      </c>
      <c r="AE97" s="39">
        <v>3.06</v>
      </c>
      <c r="AF97" s="39">
        <v>3.08</v>
      </c>
      <c r="AG97" s="39">
        <v>3.11</v>
      </c>
      <c r="AH97" s="39">
        <v>3.14</v>
      </c>
      <c r="AI97" s="39">
        <v>3.16</v>
      </c>
      <c r="AJ97" s="39">
        <v>3.19</v>
      </c>
      <c r="AK97" s="39">
        <v>3.22</v>
      </c>
      <c r="AL97" s="39">
        <v>3.24</v>
      </c>
      <c r="AM97" s="39">
        <v>3.27</v>
      </c>
      <c r="AN97" s="39">
        <v>3.29</v>
      </c>
      <c r="AO97" s="39">
        <v>3.32</v>
      </c>
      <c r="AP97" s="39">
        <v>3.34</v>
      </c>
      <c r="AQ97" s="39">
        <v>3.36</v>
      </c>
      <c r="AR97" s="39">
        <v>3.39</v>
      </c>
      <c r="AS97" s="39">
        <v>3.41</v>
      </c>
      <c r="AT97" s="39">
        <v>3.43</v>
      </c>
      <c r="AU97" s="39">
        <v>3.46</v>
      </c>
      <c r="AV97" s="39">
        <v>3.48</v>
      </c>
      <c r="AW97" s="39">
        <v>3.51</v>
      </c>
      <c r="AX97" s="39">
        <v>3.53</v>
      </c>
      <c r="AY97" s="39">
        <v>3.55</v>
      </c>
      <c r="AZ97" s="39">
        <v>3.58</v>
      </c>
      <c r="BA97" s="39">
        <v>3.6</v>
      </c>
      <c r="BB97" s="39">
        <v>3.63</v>
      </c>
      <c r="BC97" s="39">
        <v>3.65</v>
      </c>
      <c r="BD97" s="39">
        <v>3.67</v>
      </c>
      <c r="BE97" s="39">
        <v>3.7</v>
      </c>
      <c r="BF97" s="39">
        <v>3.72</v>
      </c>
      <c r="BG97" s="39">
        <v>3.74</v>
      </c>
      <c r="BH97" s="39">
        <v>3.77</v>
      </c>
      <c r="BI97" s="39">
        <v>3.79</v>
      </c>
      <c r="BJ97" s="39">
        <v>3.82</v>
      </c>
      <c r="BK97" s="39">
        <v>3.84</v>
      </c>
      <c r="BL97" s="39">
        <v>3.86</v>
      </c>
      <c r="BM97" s="39">
        <v>3.89</v>
      </c>
      <c r="BN97" s="39">
        <v>3.91</v>
      </c>
      <c r="BO97" s="39">
        <v>3.93</v>
      </c>
      <c r="BP97" s="39">
        <v>3.96</v>
      </c>
      <c r="BQ97" s="39">
        <v>3.98</v>
      </c>
      <c r="BR97" s="39">
        <v>4</v>
      </c>
      <c r="BS97" s="39">
        <v>4.03</v>
      </c>
      <c r="BT97" s="39">
        <v>4.05</v>
      </c>
      <c r="BU97" s="39">
        <v>4.08</v>
      </c>
      <c r="BV97" s="39">
        <v>4.0999999999999996</v>
      </c>
      <c r="BW97" s="39">
        <v>4.12</v>
      </c>
      <c r="BX97" s="39">
        <v>4.1500000000000004</v>
      </c>
      <c r="BY97" s="39">
        <v>4.17</v>
      </c>
      <c r="BZ97" s="39">
        <v>4.1900000000000004</v>
      </c>
      <c r="CA97" s="39">
        <v>4.21</v>
      </c>
      <c r="CB97" s="39">
        <v>4.24</v>
      </c>
      <c r="CC97" s="39">
        <v>4.26</v>
      </c>
      <c r="CD97" s="39">
        <v>4.28</v>
      </c>
      <c r="CE97" s="39">
        <v>4.3099999999999996</v>
      </c>
      <c r="CF97" s="39">
        <v>4.33</v>
      </c>
      <c r="CG97" s="39">
        <v>4.3499999999999996</v>
      </c>
      <c r="CH97" s="39">
        <v>4.38</v>
      </c>
      <c r="CI97" s="39">
        <v>4.4000000000000004</v>
      </c>
      <c r="CJ97" s="39">
        <v>4.42</v>
      </c>
      <c r="CK97" s="39">
        <v>4.4400000000000004</v>
      </c>
      <c r="CL97" s="39">
        <v>4.47</v>
      </c>
      <c r="CM97" s="39">
        <v>4.49</v>
      </c>
      <c r="CN97" s="39">
        <v>4.51</v>
      </c>
      <c r="CO97" s="39">
        <v>4.53</v>
      </c>
      <c r="CP97" s="39">
        <v>4.5599999999999996</v>
      </c>
      <c r="CQ97" s="39">
        <v>4.58</v>
      </c>
      <c r="CR97" s="39">
        <v>4.5999999999999996</v>
      </c>
      <c r="CS97" s="39">
        <v>4.62</v>
      </c>
      <c r="CT97" s="39">
        <v>4.6399999999999997</v>
      </c>
      <c r="CU97" s="39">
        <v>4.67</v>
      </c>
      <c r="CV97" s="39">
        <v>4.6900000000000004</v>
      </c>
      <c r="CW97" s="39">
        <v>4.71</v>
      </c>
      <c r="CX97" s="39">
        <v>4.7300000000000004</v>
      </c>
      <c r="CY97" s="39">
        <v>4.75</v>
      </c>
      <c r="CZ97" s="39">
        <v>4.7699999999999996</v>
      </c>
      <c r="DA97" s="39">
        <v>4.8</v>
      </c>
      <c r="DB97" s="39">
        <v>4.82</v>
      </c>
      <c r="DC97" s="39">
        <v>4.84</v>
      </c>
      <c r="DD97" s="39">
        <v>4.8600000000000003</v>
      </c>
      <c r="DE97" s="39">
        <v>4.88</v>
      </c>
      <c r="DF97" s="39">
        <v>4.9000000000000004</v>
      </c>
      <c r="DG97" s="39">
        <v>4.92</v>
      </c>
      <c r="DH97" s="39">
        <v>4.9400000000000004</v>
      </c>
      <c r="DI97" s="39">
        <v>4.96</v>
      </c>
      <c r="DJ97" s="39">
        <v>4.99</v>
      </c>
      <c r="DK97" s="39">
        <v>5.01</v>
      </c>
      <c r="DL97" s="39">
        <v>5.03</v>
      </c>
      <c r="DM97" s="39">
        <v>5.05</v>
      </c>
      <c r="DN97" s="39">
        <v>5.07</v>
      </c>
      <c r="DO97" s="39">
        <v>5.09</v>
      </c>
      <c r="DP97" s="39">
        <v>5.1100000000000003</v>
      </c>
      <c r="DQ97" s="39">
        <v>5.13</v>
      </c>
      <c r="DR97" s="39">
        <v>5.15</v>
      </c>
    </row>
    <row r="98" spans="1:122">
      <c r="A98" s="44">
        <v>96</v>
      </c>
      <c r="B98" s="45"/>
      <c r="C98" s="45"/>
      <c r="D98" s="45"/>
      <c r="E98" s="45"/>
      <c r="F98" s="45"/>
      <c r="G98" s="45"/>
      <c r="H98" s="45"/>
      <c r="I98" s="45"/>
      <c r="J98" s="45"/>
      <c r="K98" s="45"/>
      <c r="L98" s="45"/>
      <c r="M98" s="45"/>
      <c r="N98" s="45"/>
      <c r="O98" s="45"/>
      <c r="P98" s="45"/>
      <c r="Q98" s="45"/>
      <c r="R98" s="45"/>
      <c r="S98" s="45"/>
      <c r="T98" s="45"/>
      <c r="U98" s="45"/>
      <c r="V98" s="39"/>
      <c r="W98" s="39">
        <v>2.74</v>
      </c>
      <c r="X98" s="39">
        <v>2.64</v>
      </c>
      <c r="Y98" s="39">
        <v>2.68</v>
      </c>
      <c r="Z98" s="39">
        <v>2.74</v>
      </c>
      <c r="AA98" s="39">
        <v>2.74</v>
      </c>
      <c r="AB98" s="39">
        <v>2.77</v>
      </c>
      <c r="AC98" s="39">
        <v>2.79</v>
      </c>
      <c r="AD98" s="39">
        <v>2.82</v>
      </c>
      <c r="AE98" s="39">
        <v>2.84</v>
      </c>
      <c r="AF98" s="39">
        <v>2.86</v>
      </c>
      <c r="AG98" s="39">
        <v>2.89</v>
      </c>
      <c r="AH98" s="39">
        <v>2.91</v>
      </c>
      <c r="AI98" s="39">
        <v>2.93</v>
      </c>
      <c r="AJ98" s="39">
        <v>2.96</v>
      </c>
      <c r="AK98" s="39">
        <v>2.98</v>
      </c>
      <c r="AL98" s="39">
        <v>3.01</v>
      </c>
      <c r="AM98" s="39">
        <v>3.03</v>
      </c>
      <c r="AN98" s="39">
        <v>3.05</v>
      </c>
      <c r="AO98" s="39">
        <v>3.07</v>
      </c>
      <c r="AP98" s="39">
        <v>3.09</v>
      </c>
      <c r="AQ98" s="39">
        <v>3.11</v>
      </c>
      <c r="AR98" s="39">
        <v>3.13</v>
      </c>
      <c r="AS98" s="39">
        <v>3.16</v>
      </c>
      <c r="AT98" s="39">
        <v>3.18</v>
      </c>
      <c r="AU98" s="39">
        <v>3.2</v>
      </c>
      <c r="AV98" s="39">
        <v>3.22</v>
      </c>
      <c r="AW98" s="39">
        <v>3.24</v>
      </c>
      <c r="AX98" s="39">
        <v>3.26</v>
      </c>
      <c r="AY98" s="39">
        <v>3.28</v>
      </c>
      <c r="AZ98" s="39">
        <v>3.3</v>
      </c>
      <c r="BA98" s="39">
        <v>3.33</v>
      </c>
      <c r="BB98" s="39">
        <v>3.35</v>
      </c>
      <c r="BC98" s="39">
        <v>3.37</v>
      </c>
      <c r="BD98" s="39">
        <v>3.39</v>
      </c>
      <c r="BE98" s="39">
        <v>3.41</v>
      </c>
      <c r="BF98" s="39">
        <v>3.43</v>
      </c>
      <c r="BG98" s="39">
        <v>3.45</v>
      </c>
      <c r="BH98" s="39">
        <v>3.47</v>
      </c>
      <c r="BI98" s="39">
        <v>3.49</v>
      </c>
      <c r="BJ98" s="39">
        <v>3.52</v>
      </c>
      <c r="BK98" s="39">
        <v>3.54</v>
      </c>
      <c r="BL98" s="39">
        <v>3.56</v>
      </c>
      <c r="BM98" s="39">
        <v>3.58</v>
      </c>
      <c r="BN98" s="39">
        <v>3.6</v>
      </c>
      <c r="BO98" s="39">
        <v>3.62</v>
      </c>
      <c r="BP98" s="39">
        <v>3.64</v>
      </c>
      <c r="BQ98" s="39">
        <v>3.66</v>
      </c>
      <c r="BR98" s="39">
        <v>3.68</v>
      </c>
      <c r="BS98" s="39">
        <v>3.7</v>
      </c>
      <c r="BT98" s="39">
        <v>3.72</v>
      </c>
      <c r="BU98" s="39">
        <v>3.74</v>
      </c>
      <c r="BV98" s="39">
        <v>3.76</v>
      </c>
      <c r="BW98" s="39">
        <v>3.79</v>
      </c>
      <c r="BX98" s="39">
        <v>3.81</v>
      </c>
      <c r="BY98" s="39">
        <v>3.83</v>
      </c>
      <c r="BZ98" s="39">
        <v>3.85</v>
      </c>
      <c r="CA98" s="39">
        <v>3.87</v>
      </c>
      <c r="CB98" s="39">
        <v>3.89</v>
      </c>
      <c r="CC98" s="39">
        <v>3.91</v>
      </c>
      <c r="CD98" s="39">
        <v>3.93</v>
      </c>
      <c r="CE98" s="39">
        <v>3.95</v>
      </c>
      <c r="CF98" s="39">
        <v>3.97</v>
      </c>
      <c r="CG98" s="39">
        <v>3.99</v>
      </c>
      <c r="CH98" s="39">
        <v>4.01</v>
      </c>
      <c r="CI98" s="39">
        <v>4.03</v>
      </c>
      <c r="CJ98" s="39">
        <v>4.05</v>
      </c>
      <c r="CK98" s="39">
        <v>4.07</v>
      </c>
      <c r="CL98" s="39">
        <v>4.09</v>
      </c>
      <c r="CM98" s="39">
        <v>4.1100000000000003</v>
      </c>
      <c r="CN98" s="39">
        <v>4.13</v>
      </c>
      <c r="CO98" s="39">
        <v>4.1500000000000004</v>
      </c>
      <c r="CP98" s="39">
        <v>4.17</v>
      </c>
      <c r="CQ98" s="39">
        <v>4.18</v>
      </c>
      <c r="CR98" s="39">
        <v>4.2</v>
      </c>
      <c r="CS98" s="39">
        <v>4.22</v>
      </c>
      <c r="CT98" s="39">
        <v>4.24</v>
      </c>
      <c r="CU98" s="39">
        <v>4.26</v>
      </c>
      <c r="CV98" s="39">
        <v>4.28</v>
      </c>
      <c r="CW98" s="39">
        <v>4.3</v>
      </c>
      <c r="CX98" s="39">
        <v>4.32</v>
      </c>
      <c r="CY98" s="39">
        <v>4.34</v>
      </c>
      <c r="CZ98" s="39">
        <v>4.3600000000000003</v>
      </c>
      <c r="DA98" s="39">
        <v>4.38</v>
      </c>
      <c r="DB98" s="39">
        <v>4.3899999999999997</v>
      </c>
      <c r="DC98" s="39">
        <v>4.41</v>
      </c>
      <c r="DD98" s="39">
        <v>4.43</v>
      </c>
      <c r="DE98" s="39">
        <v>4.45</v>
      </c>
      <c r="DF98" s="39">
        <v>4.47</v>
      </c>
      <c r="DG98" s="39">
        <v>4.49</v>
      </c>
      <c r="DH98" s="39">
        <v>4.5</v>
      </c>
      <c r="DI98" s="39">
        <v>4.5199999999999996</v>
      </c>
      <c r="DJ98" s="39">
        <v>4.54</v>
      </c>
      <c r="DK98" s="39">
        <v>4.5599999999999996</v>
      </c>
      <c r="DL98" s="39">
        <v>4.58</v>
      </c>
      <c r="DM98" s="39">
        <v>4.59</v>
      </c>
      <c r="DN98" s="39">
        <v>4.6100000000000003</v>
      </c>
      <c r="DO98" s="39">
        <v>4.63</v>
      </c>
      <c r="DP98" s="39">
        <v>4.6500000000000004</v>
      </c>
      <c r="DQ98" s="39">
        <v>4.66</v>
      </c>
      <c r="DR98" s="39">
        <v>4.68</v>
      </c>
    </row>
    <row r="99" spans="1:122">
      <c r="A99" s="44">
        <v>97</v>
      </c>
      <c r="B99" s="45"/>
      <c r="C99" s="45"/>
      <c r="D99" s="45"/>
      <c r="E99" s="45"/>
      <c r="F99" s="45"/>
      <c r="G99" s="45"/>
      <c r="H99" s="45"/>
      <c r="I99" s="45"/>
      <c r="J99" s="45"/>
      <c r="K99" s="45"/>
      <c r="L99" s="45"/>
      <c r="M99" s="45"/>
      <c r="N99" s="45"/>
      <c r="O99" s="45"/>
      <c r="P99" s="45"/>
      <c r="Q99" s="45"/>
      <c r="R99" s="45"/>
      <c r="S99" s="45"/>
      <c r="T99" s="45"/>
      <c r="U99" s="45"/>
      <c r="V99" s="39"/>
      <c r="W99" s="39">
        <v>2.5499999999999998</v>
      </c>
      <c r="X99" s="39">
        <v>2.46</v>
      </c>
      <c r="Y99" s="39">
        <v>2.5</v>
      </c>
      <c r="Z99" s="39">
        <v>2.5499999999999998</v>
      </c>
      <c r="AA99" s="39">
        <v>2.56</v>
      </c>
      <c r="AB99" s="39">
        <v>2.58</v>
      </c>
      <c r="AC99" s="39">
        <v>2.6</v>
      </c>
      <c r="AD99" s="39">
        <v>2.62</v>
      </c>
      <c r="AE99" s="39">
        <v>2.64</v>
      </c>
      <c r="AF99" s="39">
        <v>2.67</v>
      </c>
      <c r="AG99" s="39">
        <v>2.69</v>
      </c>
      <c r="AH99" s="39">
        <v>2.71</v>
      </c>
      <c r="AI99" s="39">
        <v>2.73</v>
      </c>
      <c r="AJ99" s="39">
        <v>2.75</v>
      </c>
      <c r="AK99" s="39">
        <v>2.77</v>
      </c>
      <c r="AL99" s="39">
        <v>2.8</v>
      </c>
      <c r="AM99" s="39">
        <v>2.81</v>
      </c>
      <c r="AN99" s="39">
        <v>2.83</v>
      </c>
      <c r="AO99" s="39">
        <v>2.85</v>
      </c>
      <c r="AP99" s="39">
        <v>2.87</v>
      </c>
      <c r="AQ99" s="39">
        <v>2.89</v>
      </c>
      <c r="AR99" s="39">
        <v>2.91</v>
      </c>
      <c r="AS99" s="39">
        <v>2.93</v>
      </c>
      <c r="AT99" s="39">
        <v>2.95</v>
      </c>
      <c r="AU99" s="39">
        <v>2.97</v>
      </c>
      <c r="AV99" s="39">
        <v>2.99</v>
      </c>
      <c r="AW99" s="39">
        <v>3</v>
      </c>
      <c r="AX99" s="39">
        <v>3.02</v>
      </c>
      <c r="AY99" s="39">
        <v>3.04</v>
      </c>
      <c r="AZ99" s="39">
        <v>3.06</v>
      </c>
      <c r="BA99" s="39">
        <v>3.08</v>
      </c>
      <c r="BB99" s="39">
        <v>3.1</v>
      </c>
      <c r="BC99" s="39">
        <v>3.12</v>
      </c>
      <c r="BD99" s="39">
        <v>3.14</v>
      </c>
      <c r="BE99" s="39">
        <v>3.16</v>
      </c>
      <c r="BF99" s="39">
        <v>3.17</v>
      </c>
      <c r="BG99" s="39">
        <v>3.19</v>
      </c>
      <c r="BH99" s="39">
        <v>3.21</v>
      </c>
      <c r="BI99" s="39">
        <v>3.23</v>
      </c>
      <c r="BJ99" s="39">
        <v>3.25</v>
      </c>
      <c r="BK99" s="39">
        <v>3.27</v>
      </c>
      <c r="BL99" s="39">
        <v>3.29</v>
      </c>
      <c r="BM99" s="39">
        <v>3.31</v>
      </c>
      <c r="BN99" s="39">
        <v>3.32</v>
      </c>
      <c r="BO99" s="39">
        <v>3.34</v>
      </c>
      <c r="BP99" s="39">
        <v>3.36</v>
      </c>
      <c r="BQ99" s="39">
        <v>3.38</v>
      </c>
      <c r="BR99" s="39">
        <v>3.4</v>
      </c>
      <c r="BS99" s="39">
        <v>3.42</v>
      </c>
      <c r="BT99" s="39">
        <v>3.43</v>
      </c>
      <c r="BU99" s="39">
        <v>3.45</v>
      </c>
      <c r="BV99" s="39">
        <v>3.47</v>
      </c>
      <c r="BW99" s="39">
        <v>3.49</v>
      </c>
      <c r="BX99" s="39">
        <v>3.51</v>
      </c>
      <c r="BY99" s="39">
        <v>3.53</v>
      </c>
      <c r="BZ99" s="39">
        <v>3.54</v>
      </c>
      <c r="CA99" s="39">
        <v>3.56</v>
      </c>
      <c r="CB99" s="39">
        <v>3.58</v>
      </c>
      <c r="CC99" s="39">
        <v>3.6</v>
      </c>
      <c r="CD99" s="39">
        <v>3.62</v>
      </c>
      <c r="CE99" s="39">
        <v>3.63</v>
      </c>
      <c r="CF99" s="39">
        <v>3.65</v>
      </c>
      <c r="CG99" s="39">
        <v>3.67</v>
      </c>
      <c r="CH99" s="39">
        <v>3.69</v>
      </c>
      <c r="CI99" s="39">
        <v>3.7</v>
      </c>
      <c r="CJ99" s="39">
        <v>3.72</v>
      </c>
      <c r="CK99" s="39">
        <v>3.74</v>
      </c>
      <c r="CL99" s="39">
        <v>3.76</v>
      </c>
      <c r="CM99" s="39">
        <v>3.77</v>
      </c>
      <c r="CN99" s="39">
        <v>3.79</v>
      </c>
      <c r="CO99" s="39">
        <v>3.81</v>
      </c>
      <c r="CP99" s="39">
        <v>3.83</v>
      </c>
      <c r="CQ99" s="39">
        <v>3.84</v>
      </c>
      <c r="CR99" s="39">
        <v>3.86</v>
      </c>
      <c r="CS99" s="39">
        <v>3.88</v>
      </c>
      <c r="CT99" s="39">
        <v>3.89</v>
      </c>
      <c r="CU99" s="39">
        <v>3.91</v>
      </c>
      <c r="CV99" s="39">
        <v>3.93</v>
      </c>
      <c r="CW99" s="39">
        <v>3.94</v>
      </c>
      <c r="CX99" s="39">
        <v>3.96</v>
      </c>
      <c r="CY99" s="39">
        <v>3.98</v>
      </c>
      <c r="CZ99" s="39">
        <v>3.99</v>
      </c>
      <c r="DA99" s="39">
        <v>4.01</v>
      </c>
      <c r="DB99" s="39">
        <v>4.03</v>
      </c>
      <c r="DC99" s="39">
        <v>4.04</v>
      </c>
      <c r="DD99" s="39">
        <v>4.0599999999999996</v>
      </c>
      <c r="DE99" s="39">
        <v>4.08</v>
      </c>
      <c r="DF99" s="39">
        <v>4.09</v>
      </c>
      <c r="DG99" s="39">
        <v>4.1100000000000003</v>
      </c>
      <c r="DH99" s="39">
        <v>4.12</v>
      </c>
      <c r="DI99" s="39">
        <v>4.1399999999999997</v>
      </c>
      <c r="DJ99" s="39">
        <v>4.16</v>
      </c>
      <c r="DK99" s="39">
        <v>4.17</v>
      </c>
      <c r="DL99" s="39">
        <v>4.1900000000000004</v>
      </c>
      <c r="DM99" s="39">
        <v>4.2</v>
      </c>
      <c r="DN99" s="39">
        <v>4.22</v>
      </c>
      <c r="DO99" s="39">
        <v>4.2300000000000004</v>
      </c>
      <c r="DP99" s="39">
        <v>4.25</v>
      </c>
      <c r="DQ99" s="39">
        <v>4.26</v>
      </c>
      <c r="DR99" s="39">
        <v>4.28</v>
      </c>
    </row>
    <row r="100" spans="1:122">
      <c r="A100" s="44">
        <v>98</v>
      </c>
      <c r="B100" s="45"/>
      <c r="C100" s="45"/>
      <c r="D100" s="45"/>
      <c r="E100" s="45"/>
      <c r="F100" s="45"/>
      <c r="G100" s="45"/>
      <c r="H100" s="45"/>
      <c r="I100" s="45"/>
      <c r="J100" s="45"/>
      <c r="K100" s="45"/>
      <c r="L100" s="45"/>
      <c r="M100" s="45"/>
      <c r="N100" s="45"/>
      <c r="O100" s="45"/>
      <c r="P100" s="45"/>
      <c r="Q100" s="45"/>
      <c r="R100" s="45"/>
      <c r="S100" s="45"/>
      <c r="T100" s="45"/>
      <c r="U100" s="45"/>
      <c r="V100" s="39"/>
      <c r="W100" s="39">
        <v>2.39</v>
      </c>
      <c r="X100" s="39">
        <v>2.31</v>
      </c>
      <c r="Y100" s="39">
        <v>2.34</v>
      </c>
      <c r="Z100" s="39">
        <v>2.39</v>
      </c>
      <c r="AA100" s="39">
        <v>2.39</v>
      </c>
      <c r="AB100" s="39">
        <v>2.41</v>
      </c>
      <c r="AC100" s="39">
        <v>2.4300000000000002</v>
      </c>
      <c r="AD100" s="39">
        <v>2.4500000000000002</v>
      </c>
      <c r="AE100" s="39">
        <v>2.4700000000000002</v>
      </c>
      <c r="AF100" s="39">
        <v>2.4900000000000002</v>
      </c>
      <c r="AG100" s="39">
        <v>2.5099999999999998</v>
      </c>
      <c r="AH100" s="39">
        <v>2.5299999999999998</v>
      </c>
      <c r="AI100" s="39">
        <v>2.5499999999999998</v>
      </c>
      <c r="AJ100" s="39">
        <v>2.57</v>
      </c>
      <c r="AK100" s="39">
        <v>2.59</v>
      </c>
      <c r="AL100" s="39">
        <v>2.61</v>
      </c>
      <c r="AM100" s="39">
        <v>2.62</v>
      </c>
      <c r="AN100" s="39">
        <v>2.64</v>
      </c>
      <c r="AO100" s="39">
        <v>2.66</v>
      </c>
      <c r="AP100" s="39">
        <v>2.68</v>
      </c>
      <c r="AQ100" s="39">
        <v>2.69</v>
      </c>
      <c r="AR100" s="39">
        <v>2.71</v>
      </c>
      <c r="AS100" s="39">
        <v>2.73</v>
      </c>
      <c r="AT100" s="39">
        <v>2.74</v>
      </c>
      <c r="AU100" s="39">
        <v>2.76</v>
      </c>
      <c r="AV100" s="39">
        <v>2.78</v>
      </c>
      <c r="AW100" s="39">
        <v>2.8</v>
      </c>
      <c r="AX100" s="39">
        <v>2.81</v>
      </c>
      <c r="AY100" s="39">
        <v>2.83</v>
      </c>
      <c r="AZ100" s="39">
        <v>2.85</v>
      </c>
      <c r="BA100" s="39">
        <v>2.86</v>
      </c>
      <c r="BB100" s="39">
        <v>2.88</v>
      </c>
      <c r="BC100" s="39">
        <v>2.9</v>
      </c>
      <c r="BD100" s="39">
        <v>2.91</v>
      </c>
      <c r="BE100" s="39">
        <v>2.93</v>
      </c>
      <c r="BF100" s="39">
        <v>2.95</v>
      </c>
      <c r="BG100" s="39">
        <v>2.97</v>
      </c>
      <c r="BH100" s="39">
        <v>2.98</v>
      </c>
      <c r="BI100" s="39">
        <v>3</v>
      </c>
      <c r="BJ100" s="39">
        <v>3.02</v>
      </c>
      <c r="BK100" s="39">
        <v>3.03</v>
      </c>
      <c r="BL100" s="39">
        <v>3.05</v>
      </c>
      <c r="BM100" s="39">
        <v>3.07</v>
      </c>
      <c r="BN100" s="39">
        <v>3.08</v>
      </c>
      <c r="BO100" s="39">
        <v>3.1</v>
      </c>
      <c r="BP100" s="39">
        <v>3.12</v>
      </c>
      <c r="BQ100" s="39">
        <v>3.13</v>
      </c>
      <c r="BR100" s="39">
        <v>3.15</v>
      </c>
      <c r="BS100" s="39">
        <v>3.16</v>
      </c>
      <c r="BT100" s="39">
        <v>3.18</v>
      </c>
      <c r="BU100" s="39">
        <v>3.2</v>
      </c>
      <c r="BV100" s="39">
        <v>3.21</v>
      </c>
      <c r="BW100" s="39">
        <v>3.23</v>
      </c>
      <c r="BX100" s="39">
        <v>3.25</v>
      </c>
      <c r="BY100" s="39">
        <v>3.26</v>
      </c>
      <c r="BZ100" s="39">
        <v>3.28</v>
      </c>
      <c r="CA100" s="39">
        <v>3.29</v>
      </c>
      <c r="CB100" s="39">
        <v>3.31</v>
      </c>
      <c r="CC100" s="39">
        <v>3.33</v>
      </c>
      <c r="CD100" s="39">
        <v>3.34</v>
      </c>
      <c r="CE100" s="39">
        <v>3.36</v>
      </c>
      <c r="CF100" s="39">
        <v>3.37</v>
      </c>
      <c r="CG100" s="39">
        <v>3.39</v>
      </c>
      <c r="CH100" s="39">
        <v>3.41</v>
      </c>
      <c r="CI100" s="39">
        <v>3.42</v>
      </c>
      <c r="CJ100" s="39">
        <v>3.44</v>
      </c>
      <c r="CK100" s="39">
        <v>3.45</v>
      </c>
      <c r="CL100" s="39">
        <v>3.47</v>
      </c>
      <c r="CM100" s="39">
        <v>3.48</v>
      </c>
      <c r="CN100" s="39">
        <v>3.5</v>
      </c>
      <c r="CO100" s="39">
        <v>3.51</v>
      </c>
      <c r="CP100" s="39">
        <v>3.53</v>
      </c>
      <c r="CQ100" s="39">
        <v>3.54</v>
      </c>
      <c r="CR100" s="39">
        <v>3.56</v>
      </c>
      <c r="CS100" s="39">
        <v>3.57</v>
      </c>
      <c r="CT100" s="39">
        <v>3.59</v>
      </c>
      <c r="CU100" s="39">
        <v>3.6</v>
      </c>
      <c r="CV100" s="39">
        <v>3.62</v>
      </c>
      <c r="CW100" s="39">
        <v>3.63</v>
      </c>
      <c r="CX100" s="39">
        <v>3.65</v>
      </c>
      <c r="CY100" s="39">
        <v>3.66</v>
      </c>
      <c r="CZ100" s="39">
        <v>3.68</v>
      </c>
      <c r="DA100" s="39">
        <v>3.69</v>
      </c>
      <c r="DB100" s="39">
        <v>3.71</v>
      </c>
      <c r="DC100" s="39">
        <v>3.72</v>
      </c>
      <c r="DD100" s="39">
        <v>3.74</v>
      </c>
      <c r="DE100" s="39">
        <v>3.75</v>
      </c>
      <c r="DF100" s="39">
        <v>3.76</v>
      </c>
      <c r="DG100" s="39">
        <v>3.78</v>
      </c>
      <c r="DH100" s="39">
        <v>3.79</v>
      </c>
      <c r="DI100" s="39">
        <v>3.81</v>
      </c>
      <c r="DJ100" s="39">
        <v>3.82</v>
      </c>
      <c r="DK100" s="39">
        <v>3.83</v>
      </c>
      <c r="DL100" s="39">
        <v>3.85</v>
      </c>
      <c r="DM100" s="39">
        <v>3.86</v>
      </c>
      <c r="DN100" s="39">
        <v>3.88</v>
      </c>
      <c r="DO100" s="39">
        <v>3.89</v>
      </c>
      <c r="DP100" s="39">
        <v>3.9</v>
      </c>
      <c r="DQ100" s="39">
        <v>3.92</v>
      </c>
      <c r="DR100" s="39">
        <v>3.93</v>
      </c>
    </row>
    <row r="101" spans="1:122">
      <c r="A101" s="44">
        <v>99</v>
      </c>
      <c r="B101" s="45"/>
      <c r="C101" s="45"/>
      <c r="D101" s="45"/>
      <c r="E101" s="45"/>
      <c r="F101" s="45"/>
      <c r="G101" s="45"/>
      <c r="H101" s="45"/>
      <c r="I101" s="45"/>
      <c r="J101" s="45"/>
      <c r="K101" s="45"/>
      <c r="L101" s="45"/>
      <c r="M101" s="45"/>
      <c r="N101" s="45"/>
      <c r="O101" s="45"/>
      <c r="P101" s="45"/>
      <c r="Q101" s="45"/>
      <c r="R101" s="45"/>
      <c r="S101" s="45"/>
      <c r="T101" s="45"/>
      <c r="U101" s="45"/>
      <c r="V101" s="39"/>
      <c r="W101" s="39">
        <v>2.2400000000000002</v>
      </c>
      <c r="X101" s="39">
        <v>2.17</v>
      </c>
      <c r="Y101" s="39">
        <v>2.19</v>
      </c>
      <c r="Z101" s="39">
        <v>2.2400000000000002</v>
      </c>
      <c r="AA101" s="39">
        <v>2.25</v>
      </c>
      <c r="AB101" s="39">
        <v>2.2599999999999998</v>
      </c>
      <c r="AC101" s="39">
        <v>2.2799999999999998</v>
      </c>
      <c r="AD101" s="39">
        <v>2.2999999999999998</v>
      </c>
      <c r="AE101" s="39">
        <v>2.3199999999999998</v>
      </c>
      <c r="AF101" s="39">
        <v>2.33</v>
      </c>
      <c r="AG101" s="39">
        <v>2.35</v>
      </c>
      <c r="AH101" s="39">
        <v>2.37</v>
      </c>
      <c r="AI101" s="39">
        <v>2.39</v>
      </c>
      <c r="AJ101" s="39">
        <v>2.41</v>
      </c>
      <c r="AK101" s="39">
        <v>2.42</v>
      </c>
      <c r="AL101" s="39">
        <v>2.44</v>
      </c>
      <c r="AM101" s="39">
        <v>2.46</v>
      </c>
      <c r="AN101" s="39">
        <v>2.4700000000000002</v>
      </c>
      <c r="AO101" s="39">
        <v>2.4900000000000002</v>
      </c>
      <c r="AP101" s="39">
        <v>2.5</v>
      </c>
      <c r="AQ101" s="39">
        <v>2.52</v>
      </c>
      <c r="AR101" s="39">
        <v>2.5299999999999998</v>
      </c>
      <c r="AS101" s="39">
        <v>2.5499999999999998</v>
      </c>
      <c r="AT101" s="39">
        <v>2.56</v>
      </c>
      <c r="AU101" s="39">
        <v>2.58</v>
      </c>
      <c r="AV101" s="39">
        <v>2.6</v>
      </c>
      <c r="AW101" s="39">
        <v>2.61</v>
      </c>
      <c r="AX101" s="39">
        <v>2.63</v>
      </c>
      <c r="AY101" s="39">
        <v>2.64</v>
      </c>
      <c r="AZ101" s="39">
        <v>2.66</v>
      </c>
      <c r="BA101" s="39">
        <v>2.67</v>
      </c>
      <c r="BB101" s="39">
        <v>2.69</v>
      </c>
      <c r="BC101" s="39">
        <v>2.7</v>
      </c>
      <c r="BD101" s="39">
        <v>2.72</v>
      </c>
      <c r="BE101" s="39">
        <v>2.73</v>
      </c>
      <c r="BF101" s="39">
        <v>2.75</v>
      </c>
      <c r="BG101" s="39">
        <v>2.76</v>
      </c>
      <c r="BH101" s="39">
        <v>2.78</v>
      </c>
      <c r="BI101" s="39">
        <v>2.79</v>
      </c>
      <c r="BJ101" s="39">
        <v>2.81</v>
      </c>
      <c r="BK101" s="39">
        <v>2.82</v>
      </c>
      <c r="BL101" s="39">
        <v>2.84</v>
      </c>
      <c r="BM101" s="39">
        <v>2.85</v>
      </c>
      <c r="BN101" s="39">
        <v>2.87</v>
      </c>
      <c r="BO101" s="39">
        <v>2.88</v>
      </c>
      <c r="BP101" s="39">
        <v>2.9</v>
      </c>
      <c r="BQ101" s="39">
        <v>2.91</v>
      </c>
      <c r="BR101" s="39">
        <v>2.93</v>
      </c>
      <c r="BS101" s="39">
        <v>2.94</v>
      </c>
      <c r="BT101" s="39">
        <v>2.96</v>
      </c>
      <c r="BU101" s="39">
        <v>2.97</v>
      </c>
      <c r="BV101" s="39">
        <v>2.99</v>
      </c>
      <c r="BW101" s="39">
        <v>3</v>
      </c>
      <c r="BX101" s="39">
        <v>3.02</v>
      </c>
      <c r="BY101" s="39">
        <v>3.03</v>
      </c>
      <c r="BZ101" s="39">
        <v>3.05</v>
      </c>
      <c r="CA101" s="39">
        <v>3.06</v>
      </c>
      <c r="CB101" s="39">
        <v>3.07</v>
      </c>
      <c r="CC101" s="39">
        <v>3.09</v>
      </c>
      <c r="CD101" s="39">
        <v>3.1</v>
      </c>
      <c r="CE101" s="39">
        <v>3.12</v>
      </c>
      <c r="CF101" s="39">
        <v>3.13</v>
      </c>
      <c r="CG101" s="39">
        <v>3.15</v>
      </c>
      <c r="CH101" s="39">
        <v>3.16</v>
      </c>
      <c r="CI101" s="39">
        <v>3.17</v>
      </c>
      <c r="CJ101" s="39">
        <v>3.19</v>
      </c>
      <c r="CK101" s="39">
        <v>3.2</v>
      </c>
      <c r="CL101" s="39">
        <v>3.21</v>
      </c>
      <c r="CM101" s="39">
        <v>3.23</v>
      </c>
      <c r="CN101" s="39">
        <v>3.24</v>
      </c>
      <c r="CO101" s="39">
        <v>3.26</v>
      </c>
      <c r="CP101" s="39">
        <v>3.27</v>
      </c>
      <c r="CQ101" s="39">
        <v>3.28</v>
      </c>
      <c r="CR101" s="39">
        <v>3.3</v>
      </c>
      <c r="CS101" s="39">
        <v>3.31</v>
      </c>
      <c r="CT101" s="39">
        <v>3.32</v>
      </c>
      <c r="CU101" s="39">
        <v>3.34</v>
      </c>
      <c r="CV101" s="39">
        <v>3.35</v>
      </c>
      <c r="CW101" s="39">
        <v>3.36</v>
      </c>
      <c r="CX101" s="39">
        <v>3.38</v>
      </c>
      <c r="CY101" s="39">
        <v>3.39</v>
      </c>
      <c r="CZ101" s="39">
        <v>3.4</v>
      </c>
      <c r="DA101" s="39">
        <v>3.42</v>
      </c>
      <c r="DB101" s="39">
        <v>3.43</v>
      </c>
      <c r="DC101" s="39">
        <v>3.44</v>
      </c>
      <c r="DD101" s="39">
        <v>3.45</v>
      </c>
      <c r="DE101" s="39">
        <v>3.47</v>
      </c>
      <c r="DF101" s="39">
        <v>3.48</v>
      </c>
      <c r="DG101" s="39">
        <v>3.49</v>
      </c>
      <c r="DH101" s="39">
        <v>3.5</v>
      </c>
      <c r="DI101" s="39">
        <v>3.52</v>
      </c>
      <c r="DJ101" s="39">
        <v>3.53</v>
      </c>
      <c r="DK101" s="39">
        <v>3.54</v>
      </c>
      <c r="DL101" s="39">
        <v>3.55</v>
      </c>
      <c r="DM101" s="39">
        <v>3.57</v>
      </c>
      <c r="DN101" s="39">
        <v>3.58</v>
      </c>
      <c r="DO101" s="39">
        <v>3.59</v>
      </c>
      <c r="DP101" s="39">
        <v>3.6</v>
      </c>
      <c r="DQ101" s="39">
        <v>3.61</v>
      </c>
      <c r="DR101" s="39">
        <v>3.63</v>
      </c>
    </row>
    <row r="102" spans="1:122">
      <c r="A102" s="44">
        <v>100</v>
      </c>
      <c r="B102" s="45"/>
      <c r="C102" s="45"/>
      <c r="D102" s="45"/>
      <c r="E102" s="45"/>
      <c r="F102" s="45"/>
      <c r="G102" s="45"/>
      <c r="H102" s="45"/>
      <c r="I102" s="45"/>
      <c r="J102" s="45"/>
      <c r="K102" s="45"/>
      <c r="L102" s="45"/>
      <c r="M102" s="45"/>
      <c r="N102" s="45"/>
      <c r="O102" s="45"/>
      <c r="P102" s="45"/>
      <c r="Q102" s="45"/>
      <c r="R102" s="45"/>
      <c r="S102" s="45"/>
      <c r="T102" s="45"/>
      <c r="U102" s="45"/>
      <c r="V102" s="39"/>
      <c r="W102" s="39">
        <v>2.11</v>
      </c>
      <c r="X102" s="39">
        <v>2.04</v>
      </c>
      <c r="Y102" s="39">
        <v>2.0699999999999998</v>
      </c>
      <c r="Z102" s="39">
        <v>2.11</v>
      </c>
      <c r="AA102" s="39">
        <v>2.11</v>
      </c>
      <c r="AB102" s="39">
        <v>2.13</v>
      </c>
      <c r="AC102" s="39">
        <v>2.15</v>
      </c>
      <c r="AD102" s="39">
        <v>2.16</v>
      </c>
      <c r="AE102" s="39">
        <v>2.1800000000000002</v>
      </c>
      <c r="AF102" s="39">
        <v>2.2000000000000002</v>
      </c>
      <c r="AG102" s="39">
        <v>2.21</v>
      </c>
      <c r="AH102" s="39">
        <v>2.23</v>
      </c>
      <c r="AI102" s="39">
        <v>2.2400000000000002</v>
      </c>
      <c r="AJ102" s="39">
        <v>2.2599999999999998</v>
      </c>
      <c r="AK102" s="39">
        <v>2.2799999999999998</v>
      </c>
      <c r="AL102" s="39">
        <v>2.29</v>
      </c>
      <c r="AM102" s="39">
        <v>2.31</v>
      </c>
      <c r="AN102" s="39">
        <v>2.3199999999999998</v>
      </c>
      <c r="AO102" s="39">
        <v>2.33</v>
      </c>
      <c r="AP102" s="39">
        <v>2.35</v>
      </c>
      <c r="AQ102" s="39">
        <v>2.36</v>
      </c>
      <c r="AR102" s="39">
        <v>2.38</v>
      </c>
      <c r="AS102" s="39">
        <v>2.39</v>
      </c>
      <c r="AT102" s="39">
        <v>2.41</v>
      </c>
      <c r="AU102" s="39">
        <v>2.42</v>
      </c>
      <c r="AV102" s="39">
        <v>2.4300000000000002</v>
      </c>
      <c r="AW102" s="39">
        <v>2.4500000000000002</v>
      </c>
      <c r="AX102" s="39">
        <v>2.46</v>
      </c>
      <c r="AY102" s="39">
        <v>2.48</v>
      </c>
      <c r="AZ102" s="39">
        <v>2.4900000000000002</v>
      </c>
      <c r="BA102" s="39">
        <v>2.5</v>
      </c>
      <c r="BB102" s="39">
        <v>2.52</v>
      </c>
      <c r="BC102" s="39">
        <v>2.5299999999999998</v>
      </c>
      <c r="BD102" s="39">
        <v>2.5499999999999998</v>
      </c>
      <c r="BE102" s="39">
        <v>2.56</v>
      </c>
      <c r="BF102" s="39">
        <v>2.57</v>
      </c>
      <c r="BG102" s="39">
        <v>2.59</v>
      </c>
      <c r="BH102" s="39">
        <v>2.6</v>
      </c>
      <c r="BI102" s="39">
        <v>2.61</v>
      </c>
      <c r="BJ102" s="39">
        <v>2.63</v>
      </c>
      <c r="BK102" s="39">
        <v>2.64</v>
      </c>
      <c r="BL102" s="39">
        <v>2.66</v>
      </c>
      <c r="BM102" s="39">
        <v>2.67</v>
      </c>
      <c r="BN102" s="39">
        <v>2.68</v>
      </c>
      <c r="BO102" s="39">
        <v>2.7</v>
      </c>
      <c r="BP102" s="39">
        <v>2.71</v>
      </c>
      <c r="BQ102" s="39">
        <v>2.72</v>
      </c>
      <c r="BR102" s="39">
        <v>2.74</v>
      </c>
      <c r="BS102" s="39">
        <v>2.75</v>
      </c>
      <c r="BT102" s="39">
        <v>2.76</v>
      </c>
      <c r="BU102" s="39">
        <v>2.78</v>
      </c>
      <c r="BV102" s="39">
        <v>2.79</v>
      </c>
      <c r="BW102" s="39">
        <v>2.8</v>
      </c>
      <c r="BX102" s="39">
        <v>2.82</v>
      </c>
      <c r="BY102" s="39">
        <v>2.83</v>
      </c>
      <c r="BZ102" s="39">
        <v>2.84</v>
      </c>
      <c r="CA102" s="39">
        <v>2.85</v>
      </c>
      <c r="CB102" s="39">
        <v>2.87</v>
      </c>
      <c r="CC102" s="39">
        <v>2.88</v>
      </c>
      <c r="CD102" s="39">
        <v>2.89</v>
      </c>
      <c r="CE102" s="39">
        <v>2.91</v>
      </c>
      <c r="CF102" s="39">
        <v>2.92</v>
      </c>
      <c r="CG102" s="39">
        <v>2.93</v>
      </c>
      <c r="CH102" s="39">
        <v>2.94</v>
      </c>
      <c r="CI102" s="39">
        <v>2.96</v>
      </c>
      <c r="CJ102" s="39">
        <v>2.97</v>
      </c>
      <c r="CK102" s="39">
        <v>2.98</v>
      </c>
      <c r="CL102" s="39">
        <v>2.99</v>
      </c>
      <c r="CM102" s="39">
        <v>3.01</v>
      </c>
      <c r="CN102" s="39">
        <v>3.02</v>
      </c>
      <c r="CO102" s="39">
        <v>3.03</v>
      </c>
      <c r="CP102" s="39">
        <v>3.04</v>
      </c>
      <c r="CQ102" s="39">
        <v>3.06</v>
      </c>
      <c r="CR102" s="39">
        <v>3.07</v>
      </c>
      <c r="CS102" s="39">
        <v>3.08</v>
      </c>
      <c r="CT102" s="39">
        <v>3.09</v>
      </c>
      <c r="CU102" s="39">
        <v>3.1</v>
      </c>
      <c r="CV102" s="39">
        <v>3.12</v>
      </c>
      <c r="CW102" s="39">
        <v>3.13</v>
      </c>
      <c r="CX102" s="39">
        <v>3.14</v>
      </c>
      <c r="CY102" s="39">
        <v>3.15</v>
      </c>
      <c r="CZ102" s="39">
        <v>3.16</v>
      </c>
      <c r="DA102" s="39">
        <v>3.17</v>
      </c>
      <c r="DB102" s="39">
        <v>3.19</v>
      </c>
      <c r="DC102" s="39">
        <v>3.2</v>
      </c>
      <c r="DD102" s="39">
        <v>3.21</v>
      </c>
      <c r="DE102" s="39">
        <v>3.22</v>
      </c>
      <c r="DF102" s="39">
        <v>3.23</v>
      </c>
      <c r="DG102" s="39">
        <v>3.24</v>
      </c>
      <c r="DH102" s="39">
        <v>3.25</v>
      </c>
      <c r="DI102" s="39">
        <v>3.26</v>
      </c>
      <c r="DJ102" s="39">
        <v>3.28</v>
      </c>
      <c r="DK102" s="39">
        <v>3.29</v>
      </c>
      <c r="DL102" s="39">
        <v>3.3</v>
      </c>
      <c r="DM102" s="39">
        <v>3.31</v>
      </c>
      <c r="DN102" s="39">
        <v>3.32</v>
      </c>
      <c r="DO102" s="39">
        <v>3.33</v>
      </c>
      <c r="DP102" s="39">
        <v>3.34</v>
      </c>
      <c r="DQ102" s="39">
        <v>3.35</v>
      </c>
      <c r="DR102" s="39">
        <v>3.36</v>
      </c>
    </row>
    <row r="103" spans="1:122">
      <c r="B103" s="47"/>
      <c r="C103" s="47"/>
      <c r="D103" s="47"/>
      <c r="E103" s="47"/>
      <c r="F103" s="47"/>
      <c r="G103" s="47"/>
      <c r="H103" s="4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row>
    <row r="104" spans="1:122">
      <c r="B104" s="47"/>
      <c r="C104" s="47"/>
      <c r="D104" s="47"/>
      <c r="E104" s="47"/>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row>
    <row r="105" spans="1:122">
      <c r="B105" s="47"/>
      <c r="C105" s="47"/>
      <c r="D105" s="47"/>
      <c r="E105" s="47"/>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row>
    <row r="106" spans="1:122">
      <c r="B106" s="47"/>
      <c r="C106" s="47"/>
      <c r="D106" s="47"/>
      <c r="E106" s="47"/>
      <c r="F106" s="47"/>
      <c r="G106" s="47"/>
      <c r="H106" s="47"/>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row>
    <row r="107" spans="1:122">
      <c r="B107" s="47"/>
      <c r="C107" s="47"/>
      <c r="D107" s="47"/>
      <c r="E107" s="47"/>
      <c r="F107" s="47"/>
      <c r="G107" s="47"/>
      <c r="H107" s="47"/>
      <c r="I107" s="47"/>
      <c r="J107" s="47"/>
      <c r="K107" s="47"/>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row>
    <row r="108" spans="1:122">
      <c r="B108" s="47"/>
      <c r="C108" s="47"/>
      <c r="D108" s="47"/>
      <c r="E108" s="47"/>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row>
    <row r="109" spans="1:122">
      <c r="B109" s="47"/>
      <c r="C109" s="47"/>
      <c r="D109" s="47"/>
      <c r="E109" s="47"/>
      <c r="F109" s="47"/>
      <c r="G109" s="47"/>
      <c r="H109" s="47"/>
      <c r="I109" s="47"/>
      <c r="J109" s="47"/>
      <c r="K109" s="47"/>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row>
    <row r="110" spans="1:122">
      <c r="B110" s="47"/>
      <c r="C110" s="47"/>
      <c r="D110" s="47"/>
      <c r="E110" s="47"/>
      <c r="F110" s="47"/>
      <c r="G110" s="47"/>
      <c r="H110" s="47"/>
      <c r="I110" s="47"/>
      <c r="J110" s="47"/>
      <c r="K110" s="47"/>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row>
    <row r="111" spans="1:122">
      <c r="B111" s="47"/>
      <c r="C111" s="47"/>
      <c r="D111" s="47"/>
      <c r="E111" s="47"/>
      <c r="F111" s="47"/>
      <c r="G111" s="47"/>
      <c r="H111" s="47"/>
      <c r="I111" s="47"/>
      <c r="J111" s="47"/>
      <c r="K111" s="47"/>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row>
    <row r="112" spans="1:122">
      <c r="B112" s="47"/>
      <c r="C112" s="47"/>
      <c r="D112" s="47"/>
      <c r="E112" s="47"/>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row>
    <row r="113" spans="2:119">
      <c r="B113" s="47"/>
      <c r="C113" s="47"/>
      <c r="D113" s="47"/>
      <c r="E113" s="47"/>
      <c r="F113" s="47"/>
      <c r="G113" s="47"/>
      <c r="H113" s="47"/>
      <c r="I113" s="47"/>
      <c r="J113" s="47"/>
      <c r="K113" s="47"/>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row>
    <row r="114" spans="2:119">
      <c r="B114" s="47"/>
      <c r="C114" s="47"/>
      <c r="D114" s="47"/>
      <c r="E114" s="47"/>
      <c r="F114" s="47"/>
      <c r="G114" s="47"/>
      <c r="H114" s="47"/>
      <c r="I114" s="47"/>
      <c r="J114" s="47"/>
      <c r="K114" s="47"/>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row>
    <row r="115" spans="2:119">
      <c r="B115" s="47"/>
      <c r="C115" s="47"/>
      <c r="D115" s="47"/>
      <c r="E115" s="47"/>
      <c r="F115" s="47"/>
      <c r="G115" s="47"/>
      <c r="H115" s="47"/>
      <c r="I115" s="47"/>
      <c r="J115" s="47"/>
      <c r="K115" s="47"/>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row>
    <row r="117" spans="2:119">
      <c r="N117" t="e">
        <v>#NAME?</v>
      </c>
    </row>
  </sheetData>
  <hyperlinks>
    <hyperlink ref="A1" r:id="rId1" display="https://view.officeapps.live.com/op/view.aspx?src=https%3A%2F%2Fwww.destatis.de%2FDE%2FThemen%2FGesellschaft-Umwelt%2FBevoelkerung%2FSterbefaelle-Lebenserwartung%2FPublikationen%2FDownloads-Sterbefaelle%2Fkohortensterbetafeln-5126101209005.xlsx%3F__blob%3DpublicationFile&amp;wdOrigin=BROWSELINK" xr:uid="{B64B5BD6-2B96-425D-8613-68015760AC72}"/>
  </hyperlinks>
  <pageMargins left="0.7" right="0.7" top="0.78740157499999996" bottom="0.78740157499999996"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B82B5-C416-46AA-BCE5-3EDA69EFB13A}">
  <sheetPr codeName="Tabelle9"/>
  <dimension ref="A1:F113"/>
  <sheetViews>
    <sheetView zoomScaleNormal="100" workbookViewId="0">
      <pane xSplit="5" ySplit="2" topLeftCell="F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zeroHeight="1"/>
  <cols>
    <col min="1" max="1" width="5" customWidth="1"/>
    <col min="2" max="3" width="5.140625" customWidth="1"/>
    <col min="4" max="4" width="9.7109375" style="130" customWidth="1"/>
    <col min="5" max="5" width="23.85546875" customWidth="1"/>
    <col min="6" max="6" width="120.7109375" customWidth="1"/>
    <col min="7" max="16384" width="11.42578125" hidden="1"/>
  </cols>
  <sheetData>
    <row r="1" spans="1:6" ht="64.5" customHeight="1">
      <c r="B1" s="139" t="s">
        <v>2726</v>
      </c>
      <c r="C1" s="417" t="s">
        <v>2739</v>
      </c>
      <c r="D1" s="419" t="s">
        <v>2728</v>
      </c>
      <c r="E1" s="128" t="s">
        <v>3506</v>
      </c>
      <c r="F1" s="16" t="s">
        <v>7</v>
      </c>
    </row>
    <row r="2" spans="1:6" ht="39.75" customHeight="1">
      <c r="A2" s="138"/>
      <c r="B2" s="139"/>
      <c r="C2" s="417"/>
      <c r="D2" s="419"/>
      <c r="E2" s="134"/>
      <c r="F2" s="173" t="str" cm="1">
        <f t="array" ref="F2">_xlfn.TEXTJOIN("; ", TRUE, IF(Entscheidungen!A2:A100=F1, Entscheidungen!B2:B100, ""))</f>
        <v/>
      </c>
    </row>
    <row r="3" spans="1:6" ht="409.5">
      <c r="A3" s="17">
        <f>ROW()</f>
        <v>3</v>
      </c>
      <c r="B3" s="18" t="s">
        <v>2740</v>
      </c>
      <c r="C3" s="18"/>
      <c r="D3" s="421" t="str">
        <f>+E3</f>
        <v>Geltende Rechtsgrundlage</v>
      </c>
      <c r="E3" s="31" t="s">
        <v>2724</v>
      </c>
      <c r="F3" s="6" t="s">
        <v>3301</v>
      </c>
    </row>
    <row r="4" spans="1:6" ht="81">
      <c r="A4" s="17">
        <f>ROW()</f>
        <v>4</v>
      </c>
      <c r="B4" s="18" t="s">
        <v>2740</v>
      </c>
      <c r="C4" s="1"/>
      <c r="D4" s="421" t="str">
        <f t="shared" ref="D4:D34" si="0">+E4</f>
        <v>Grundprinzipien</v>
      </c>
      <c r="E4" s="32" t="s">
        <v>2709</v>
      </c>
      <c r="F4" s="6" t="s">
        <v>3302</v>
      </c>
    </row>
    <row r="5" spans="1:6" ht="138.75">
      <c r="A5" s="17">
        <f>ROW()</f>
        <v>5</v>
      </c>
      <c r="B5" s="18" t="s">
        <v>2740</v>
      </c>
      <c r="C5" s="1"/>
      <c r="D5" s="421" t="str">
        <f t="shared" si="0"/>
        <v>Gedecktes Risiko: Definition</v>
      </c>
      <c r="E5" s="32" t="s">
        <v>2891</v>
      </c>
      <c r="F5" s="6" t="s">
        <v>3303</v>
      </c>
    </row>
    <row r="6" spans="1:6" ht="144">
      <c r="A6" s="17">
        <f>ROW()</f>
        <v>6</v>
      </c>
      <c r="B6" s="18" t="s">
        <v>2740</v>
      </c>
      <c r="C6" s="18" t="s">
        <v>2653</v>
      </c>
      <c r="D6" s="421" t="str">
        <f t="shared" si="0"/>
        <v>Versicherte Personen</v>
      </c>
      <c r="E6" s="33" t="s">
        <v>2653</v>
      </c>
      <c r="F6" s="6" t="s">
        <v>3304</v>
      </c>
    </row>
    <row r="7" spans="1:6" ht="200.25">
      <c r="A7" s="17">
        <f>ROW()</f>
        <v>7</v>
      </c>
      <c r="B7" s="18" t="s">
        <v>2740</v>
      </c>
      <c r="C7" s="18" t="str">
        <f>+E6</f>
        <v>Versicherte Personen</v>
      </c>
      <c r="D7" s="421" t="str">
        <f t="shared" si="0"/>
        <v>Ausnahmen von der Versicherungspflicht</v>
      </c>
      <c r="E7" s="33" t="s">
        <v>2685</v>
      </c>
      <c r="F7" s="6" t="s">
        <v>125</v>
      </c>
    </row>
    <row r="8" spans="1:6" ht="194.25">
      <c r="A8" s="17">
        <f>ROW()</f>
        <v>8</v>
      </c>
      <c r="B8" s="18" t="s">
        <v>2740</v>
      </c>
      <c r="C8" s="19" t="s">
        <v>149</v>
      </c>
      <c r="D8" s="421" t="str">
        <f t="shared" si="0"/>
        <v>1. Anwartschaftszeit</v>
      </c>
      <c r="E8" s="33" t="s">
        <v>2744</v>
      </c>
      <c r="F8" s="6" t="s">
        <v>3305</v>
      </c>
    </row>
    <row r="9" spans="1:6" ht="315">
      <c r="A9" s="17">
        <f>ROW()</f>
        <v>9</v>
      </c>
      <c r="B9" s="18" t="s">
        <v>2740</v>
      </c>
      <c r="C9" s="19" t="s">
        <v>149</v>
      </c>
      <c r="D9" s="421" t="str">
        <f t="shared" si="0"/>
        <v xml:space="preserve">2. Begutachtungskriterien und Kategorien der Arbeitsunfähigkeit/Arbeitsfähigkeit  </v>
      </c>
      <c r="E9" s="33" t="s">
        <v>2745</v>
      </c>
      <c r="F9" s="6" t="s">
        <v>4634</v>
      </c>
    </row>
    <row r="10" spans="1:6" ht="195">
      <c r="A10" s="17">
        <f>ROW()</f>
        <v>10</v>
      </c>
      <c r="B10" s="18" t="s">
        <v>2740</v>
      </c>
      <c r="C10" s="19" t="s">
        <v>149</v>
      </c>
      <c r="D10" s="421" t="str">
        <f t="shared" si="0"/>
        <v>3. Zeitraum der Leistungszahlung</v>
      </c>
      <c r="E10" s="33" t="s">
        <v>2747</v>
      </c>
      <c r="F10" s="6" t="s">
        <v>3306</v>
      </c>
    </row>
    <row r="11" spans="1:6" ht="96">
      <c r="A11" s="17">
        <f>ROW()</f>
        <v>11</v>
      </c>
      <c r="B11" s="18" t="s">
        <v>2740</v>
      </c>
      <c r="C11" s="19" t="s">
        <v>2749</v>
      </c>
      <c r="D11" s="421" t="str">
        <f t="shared" si="0"/>
        <v>1. Gutachter</v>
      </c>
      <c r="E11" s="33" t="s">
        <v>2750</v>
      </c>
      <c r="F11" s="6" t="s">
        <v>3307</v>
      </c>
    </row>
    <row r="12" spans="1:6" ht="105">
      <c r="A12" s="17">
        <f>ROW()</f>
        <v>12</v>
      </c>
      <c r="B12" s="18" t="s">
        <v>2740</v>
      </c>
      <c r="C12" s="19" t="s">
        <v>2749</v>
      </c>
      <c r="D12" s="421" t="str">
        <f t="shared" si="0"/>
        <v xml:space="preserve">2. Überprüfung  </v>
      </c>
      <c r="E12" s="33" t="s">
        <v>2751</v>
      </c>
      <c r="F12" s="6" t="s">
        <v>3308</v>
      </c>
    </row>
    <row r="13" spans="1:6" ht="360">
      <c r="A13" s="17">
        <f>ROW()</f>
        <v>13</v>
      </c>
      <c r="B13" s="18" t="s">
        <v>2740</v>
      </c>
      <c r="C13" s="18" t="s">
        <v>2695</v>
      </c>
      <c r="D13" s="421" t="str">
        <f t="shared" si="0"/>
        <v>1. Berechnungsmethode bzw. Rentenformel</v>
      </c>
      <c r="E13" s="33" t="s">
        <v>2753</v>
      </c>
      <c r="F13" s="6" t="s">
        <v>4635</v>
      </c>
    </row>
    <row r="14" spans="1:6" ht="252">
      <c r="A14" s="17">
        <f>ROW()</f>
        <v>14</v>
      </c>
      <c r="B14" s="18" t="s">
        <v>2740</v>
      </c>
      <c r="C14" s="18" t="s">
        <v>2695</v>
      </c>
      <c r="D14" s="418" t="str">
        <f t="shared" si="0"/>
        <v>2. Referenzeinkommen bzw. Berechnungsgrundlage</v>
      </c>
      <c r="E14" s="33" t="s">
        <v>2754</v>
      </c>
      <c r="F14" s="6" t="s">
        <v>3309</v>
      </c>
    </row>
    <row r="15" spans="1:6" ht="163.5">
      <c r="A15" s="17">
        <f>ROW()</f>
        <v>15</v>
      </c>
      <c r="B15" s="18" t="s">
        <v>2740</v>
      </c>
      <c r="C15" s="18" t="s">
        <v>2695</v>
      </c>
      <c r="D15" s="421" t="str">
        <f t="shared" si="0"/>
        <v>3. Mindest- und Höchstleistungen</v>
      </c>
      <c r="E15" s="33" t="s">
        <v>2756</v>
      </c>
      <c r="F15" s="6" t="s">
        <v>3310</v>
      </c>
    </row>
    <row r="16" spans="1:6" ht="297">
      <c r="A16" s="17">
        <f>ROW()</f>
        <v>16</v>
      </c>
      <c r="B16" s="18" t="s">
        <v>2740</v>
      </c>
      <c r="C16" s="18" t="s">
        <v>2695</v>
      </c>
      <c r="D16" s="421" t="str">
        <f t="shared" si="0"/>
        <v>4. Anrechenbare oder als Beitragszeiten gewertete Zeiträume</v>
      </c>
      <c r="E16" s="33" t="s">
        <v>2757</v>
      </c>
      <c r="F16" s="6" t="s">
        <v>3311</v>
      </c>
    </row>
    <row r="17" spans="1:6" ht="176.25">
      <c r="A17" s="17">
        <f>ROW()</f>
        <v>17</v>
      </c>
      <c r="B17" s="18" t="s">
        <v>2740</v>
      </c>
      <c r="C17" s="18" t="s">
        <v>2695</v>
      </c>
      <c r="D17" s="421" t="str">
        <f t="shared" si="0"/>
        <v xml:space="preserve">5. Zulagen für Unterhaltsberechtigte  </v>
      </c>
      <c r="E17" s="33" t="s">
        <v>2759</v>
      </c>
      <c r="F17" s="6" t="s">
        <v>3312</v>
      </c>
    </row>
    <row r="18" spans="1:6" ht="409.5">
      <c r="A18" s="17">
        <f>ROW()</f>
        <v>18</v>
      </c>
      <c r="B18" s="18" t="s">
        <v>2740</v>
      </c>
      <c r="C18" s="18" t="str">
        <f>+E18</f>
        <v>Sonstige Leistungen</v>
      </c>
      <c r="D18" s="421" t="str">
        <f>+E18</f>
        <v>Sonstige Leistungen</v>
      </c>
      <c r="E18" s="32" t="s">
        <v>2678</v>
      </c>
      <c r="F18" s="6" t="s">
        <v>4636</v>
      </c>
    </row>
    <row r="19" spans="1:6" ht="300.75">
      <c r="A19" s="17">
        <f>ROW()</f>
        <v>19</v>
      </c>
      <c r="B19" s="18" t="s">
        <v>2740</v>
      </c>
      <c r="C19" s="18" t="s">
        <v>2761</v>
      </c>
      <c r="D19" s="421" t="str">
        <f t="shared" si="0"/>
        <v>Umschulung, berufsbezogene Rehabilitation</v>
      </c>
      <c r="E19" s="33" t="s">
        <v>2762</v>
      </c>
      <c r="F19" s="6" t="s">
        <v>3313</v>
      </c>
    </row>
    <row r="20" spans="1:6" ht="300.75">
      <c r="A20" s="17">
        <f>ROW()</f>
        <v>20</v>
      </c>
      <c r="B20" s="18" t="s">
        <v>2740</v>
      </c>
      <c r="C20" s="18" t="s">
        <v>2761</v>
      </c>
      <c r="D20" s="421" t="str">
        <f t="shared" si="0"/>
        <v xml:space="preserve">Bevorzugte und reservierte Beschäftigung von Menschen mit Behinderungen  </v>
      </c>
      <c r="E20" s="33" t="s">
        <v>2763</v>
      </c>
      <c r="F20" s="6" t="s">
        <v>3314</v>
      </c>
    </row>
    <row r="21" spans="1:6" ht="126">
      <c r="A21" s="17">
        <f>ROW()</f>
        <v>21</v>
      </c>
      <c r="B21" s="18" t="s">
        <v>2740</v>
      </c>
      <c r="C21" s="18" t="s">
        <v>2765</v>
      </c>
      <c r="D21" s="421" t="str">
        <f t="shared" si="0"/>
        <v>Indexbindung/Anpassung</v>
      </c>
      <c r="E21" s="32" t="s">
        <v>2766</v>
      </c>
      <c r="F21" s="6" t="s">
        <v>3315</v>
      </c>
    </row>
    <row r="22" spans="1:6" ht="176.25">
      <c r="A22" s="17">
        <f>ROW()</f>
        <v>22</v>
      </c>
      <c r="B22" s="18" t="s">
        <v>2740</v>
      </c>
      <c r="C22" s="18" t="s">
        <v>2765</v>
      </c>
      <c r="D22" s="421" t="str">
        <f>+E22</f>
        <v>Kumulation mit Erwerbseinkommen</v>
      </c>
      <c r="E22" s="32" t="s">
        <v>2723</v>
      </c>
      <c r="F22" s="6" t="s">
        <v>3316</v>
      </c>
    </row>
    <row r="23" spans="1:6" ht="201">
      <c r="A23" s="17">
        <f>ROW()</f>
        <v>23</v>
      </c>
      <c r="B23" s="18" t="s">
        <v>2740</v>
      </c>
      <c r="C23" s="18" t="s">
        <v>2765</v>
      </c>
      <c r="D23" s="418" t="str">
        <f t="shared" si="0"/>
        <v>Kumulation mit anderen Sozialleistungen</v>
      </c>
      <c r="E23" s="32" t="s">
        <v>2696</v>
      </c>
      <c r="F23" s="6" t="s">
        <v>3317</v>
      </c>
    </row>
    <row r="24" spans="1:6" ht="213.75">
      <c r="A24" s="17">
        <f>ROW()</f>
        <v>24</v>
      </c>
      <c r="B24" s="18" t="s">
        <v>2740</v>
      </c>
      <c r="C24" s="18" t="s">
        <v>2701</v>
      </c>
      <c r="D24" s="421" t="str">
        <f t="shared" si="0"/>
        <v>1. Besteuerung von Geldleistungen</v>
      </c>
      <c r="E24" s="33" t="s">
        <v>2770</v>
      </c>
      <c r="F24" s="6" t="s">
        <v>772</v>
      </c>
    </row>
    <row r="25" spans="1:6" ht="283.5">
      <c r="A25" s="17">
        <f>ROW()</f>
        <v>25</v>
      </c>
      <c r="B25" s="18" t="s">
        <v>2740</v>
      </c>
      <c r="C25" s="18" t="s">
        <v>2701</v>
      </c>
      <c r="D25" s="421" t="str">
        <f t="shared" si="0"/>
        <v>2. Einkommensgrenze für Besteuerung von Geldleistungen</v>
      </c>
      <c r="E25" s="33" t="s">
        <v>2772</v>
      </c>
      <c r="F25" s="6" t="s">
        <v>2531</v>
      </c>
    </row>
    <row r="26" spans="1:6" ht="285">
      <c r="A26" s="17">
        <f>ROW()</f>
        <v>26</v>
      </c>
      <c r="B26" s="18" t="s">
        <v>2740</v>
      </c>
      <c r="C26" s="18" t="s">
        <v>2701</v>
      </c>
      <c r="D26" s="421" t="str">
        <f t="shared" si="0"/>
        <v>3. Auf Leistungen anfallende Sozialabgaben</v>
      </c>
      <c r="E26" s="33" t="s">
        <v>2773</v>
      </c>
      <c r="F26" s="6" t="s">
        <v>4637</v>
      </c>
    </row>
    <row r="27" spans="1:6" ht="102">
      <c r="A27" s="17">
        <f>ROW()</f>
        <v>27</v>
      </c>
      <c r="B27" s="18" t="s">
        <v>2740</v>
      </c>
      <c r="C27" s="18" t="s">
        <v>2775</v>
      </c>
      <c r="D27" s="421" t="str">
        <f t="shared" si="0"/>
        <v>Anwendungsbereich</v>
      </c>
      <c r="E27" s="33" t="s">
        <v>2708</v>
      </c>
      <c r="F27" s="6" t="s">
        <v>3318</v>
      </c>
    </row>
    <row r="28" spans="1:6" ht="88.5">
      <c r="A28" s="17">
        <f>ROW()</f>
        <v>28</v>
      </c>
      <c r="B28" s="18" t="s">
        <v>2740</v>
      </c>
      <c r="C28" s="18" t="s">
        <v>2775</v>
      </c>
      <c r="D28" s="421" t="str">
        <f t="shared" si="0"/>
        <v>Grundprinzipien</v>
      </c>
      <c r="E28" s="33" t="s">
        <v>2709</v>
      </c>
      <c r="F28" s="6" t="s">
        <v>3319</v>
      </c>
    </row>
    <row r="29" spans="1:6" ht="130.5" customHeight="1">
      <c r="A29" s="17">
        <f>ROW()</f>
        <v>29</v>
      </c>
      <c r="B29" s="18" t="s">
        <v>2740</v>
      </c>
      <c r="C29" s="18" t="s">
        <v>2775</v>
      </c>
      <c r="D29" s="421" t="str">
        <f t="shared" si="0"/>
        <v>Voraussetzungen für die Deckung</v>
      </c>
      <c r="E29" s="33" t="s">
        <v>2710</v>
      </c>
      <c r="F29" s="6" t="s">
        <v>899</v>
      </c>
    </row>
    <row r="30" spans="1:6" ht="219" customHeight="1">
      <c r="A30" s="17">
        <f>ROW()</f>
        <v>30</v>
      </c>
      <c r="B30" s="18" t="s">
        <v>2740</v>
      </c>
      <c r="C30" s="18" t="s">
        <v>2775</v>
      </c>
      <c r="D30" s="421" t="str">
        <f t="shared" si="0"/>
        <v>Kombination von selbstständiger und unselbstständiger Tätigkeit</v>
      </c>
      <c r="E30" s="33" t="s">
        <v>2698</v>
      </c>
      <c r="F30" s="6" t="s">
        <v>3320</v>
      </c>
    </row>
    <row r="31" spans="1:6" ht="275.25">
      <c r="A31" s="17">
        <f>ROW()</f>
        <v>31</v>
      </c>
      <c r="B31" s="18" t="s">
        <v>2740</v>
      </c>
      <c r="C31" s="18" t="s">
        <v>2695</v>
      </c>
      <c r="D31" s="421" t="str">
        <f t="shared" si="0"/>
        <v xml:space="preserve">Voraussetzungen für den Zugang zu Diensten/Leistungen </v>
      </c>
      <c r="E31" s="33" t="s">
        <v>2699</v>
      </c>
      <c r="F31" s="6" t="s">
        <v>940</v>
      </c>
    </row>
    <row r="32" spans="1:6" ht="185.25">
      <c r="A32" s="17">
        <f>ROW()</f>
        <v>32</v>
      </c>
      <c r="B32" s="18" t="s">
        <v>2740</v>
      </c>
      <c r="C32" s="18" t="s">
        <v>2695</v>
      </c>
      <c r="D32" s="421" t="str">
        <f t="shared" si="0"/>
        <v>Beträge, Dauer und Kostenbeteiligung</v>
      </c>
      <c r="E32" s="33" t="s">
        <v>2700</v>
      </c>
      <c r="F32" s="6" t="s">
        <v>955</v>
      </c>
    </row>
    <row r="33" spans="1:6" ht="159.75">
      <c r="A33" s="17">
        <f>ROW()</f>
        <v>33</v>
      </c>
      <c r="B33" s="18" t="s">
        <v>2740</v>
      </c>
      <c r="C33" s="18" t="s">
        <v>2695</v>
      </c>
      <c r="D33" s="421" t="str">
        <f t="shared" si="0"/>
        <v>Besteuerung von Geldleistungen</v>
      </c>
      <c r="E33" s="33" t="s">
        <v>2681</v>
      </c>
      <c r="F33" s="6" t="s">
        <v>940</v>
      </c>
    </row>
    <row r="34" spans="1:6" ht="202.5">
      <c r="A34" s="17">
        <f>ROW()</f>
        <v>34</v>
      </c>
      <c r="B34" s="18" t="s">
        <v>2740</v>
      </c>
      <c r="C34" s="18" t="s">
        <v>2695</v>
      </c>
      <c r="D34" s="421" t="str">
        <f t="shared" si="0"/>
        <v xml:space="preserve"> Auf Leistungen anfallende Sozialabgaben</v>
      </c>
      <c r="E34" s="33" t="s">
        <v>2779</v>
      </c>
      <c r="F34" s="6" t="s">
        <v>940</v>
      </c>
    </row>
    <row r="35" spans="1:6" ht="409.5">
      <c r="A35" s="17">
        <f>ROW()</f>
        <v>35</v>
      </c>
      <c r="B35" s="18" t="s">
        <v>2780</v>
      </c>
      <c r="C35" s="18" t="str">
        <f>+D35</f>
        <v>Geltende Rechtsgrundlage</v>
      </c>
      <c r="D35" s="421" t="str">
        <f>+E35</f>
        <v>Geltende Rechtsgrundlage</v>
      </c>
      <c r="E35" s="32" t="s">
        <v>2724</v>
      </c>
      <c r="F35" s="6" t="s">
        <v>38</v>
      </c>
    </row>
    <row r="36" spans="1:6" ht="409.5">
      <c r="A36" s="17">
        <f>ROW()</f>
        <v>36</v>
      </c>
      <c r="B36" s="18" t="s">
        <v>2780</v>
      </c>
      <c r="C36" s="18" t="str">
        <f>+D36</f>
        <v>Grundprinzipien</v>
      </c>
      <c r="D36" s="421" t="str">
        <f>+E36</f>
        <v>Grundprinzipien</v>
      </c>
      <c r="E36" s="32" t="s">
        <v>2709</v>
      </c>
      <c r="F36" s="6" t="s">
        <v>69</v>
      </c>
    </row>
    <row r="37" spans="1:6" ht="138">
      <c r="A37" s="17">
        <f>ROW()</f>
        <v>37</v>
      </c>
      <c r="B37" s="18" t="s">
        <v>2780</v>
      </c>
      <c r="C37" s="18" t="s">
        <v>2708</v>
      </c>
      <c r="D37" s="421" t="str">
        <f>+E37</f>
        <v>1. Versicherte Personen</v>
      </c>
      <c r="E37" s="33" t="s">
        <v>2781</v>
      </c>
      <c r="F37" s="6" t="s">
        <v>101</v>
      </c>
    </row>
    <row r="38" spans="1:6" ht="268.5">
      <c r="A38" s="17">
        <f>ROW()</f>
        <v>38</v>
      </c>
      <c r="B38" s="18" t="s">
        <v>2780</v>
      </c>
      <c r="C38" s="18" t="s">
        <v>2708</v>
      </c>
      <c r="D38" s="421" t="str">
        <f t="shared" ref="D38:D58" si="1">+E38</f>
        <v>2. Ausnahmen von der Deckung  der Pflichtversicherung</v>
      </c>
      <c r="E38" s="33" t="s">
        <v>2782</v>
      </c>
      <c r="F38" s="6" t="s">
        <v>130</v>
      </c>
    </row>
    <row r="39" spans="1:6" ht="141">
      <c r="A39" s="17">
        <f>ROW()</f>
        <v>39</v>
      </c>
      <c r="B39" s="18" t="s">
        <v>2780</v>
      </c>
      <c r="C39" s="418" t="s">
        <v>149</v>
      </c>
      <c r="D39" s="421" t="str">
        <f t="shared" si="1"/>
        <v>1. Rentenalter</v>
      </c>
      <c r="E39" s="33" t="s">
        <v>2784</v>
      </c>
      <c r="F39" s="6" t="s">
        <v>4638</v>
      </c>
    </row>
    <row r="40" spans="1:6" ht="363.75">
      <c r="A40" s="17">
        <f>ROW()</f>
        <v>40</v>
      </c>
      <c r="B40" s="18" t="s">
        <v>2780</v>
      </c>
      <c r="C40" s="418" t="s">
        <v>149</v>
      </c>
      <c r="D40" s="421" t="str">
        <f t="shared" si="1"/>
        <v>2. Anwartschaftszeit und sonstige Anspruchsvoraussetzungen für den Bezug einer Altersrente</v>
      </c>
      <c r="E40" s="33" t="s">
        <v>2785</v>
      </c>
      <c r="F40" s="6" t="s">
        <v>4639</v>
      </c>
    </row>
    <row r="41" spans="1:6" ht="270">
      <c r="A41" s="17">
        <f>ROW()</f>
        <v>41</v>
      </c>
      <c r="B41" s="18" t="s">
        <v>2780</v>
      </c>
      <c r="C41" s="418" t="s">
        <v>149</v>
      </c>
      <c r="D41" s="421" t="str">
        <f t="shared" si="1"/>
        <v>3. Vorruhestand</v>
      </c>
      <c r="E41" s="33" t="s">
        <v>2786</v>
      </c>
      <c r="F41" s="6" t="s">
        <v>4640</v>
      </c>
    </row>
    <row r="42" spans="1:6" ht="360">
      <c r="A42" s="17">
        <f>ROW()</f>
        <v>42</v>
      </c>
      <c r="B42" s="18" t="s">
        <v>2780</v>
      </c>
      <c r="C42" s="18" t="s">
        <v>149</v>
      </c>
      <c r="D42" s="421" t="str">
        <f t="shared" si="1"/>
        <v>4. Beschwerliche und gefährliche Arbeit</v>
      </c>
      <c r="E42" s="33" t="s">
        <v>2787</v>
      </c>
      <c r="F42" s="6" t="s">
        <v>4641</v>
      </c>
    </row>
    <row r="43" spans="1:6" ht="194.25">
      <c r="A43" s="17">
        <f>ROW()</f>
        <v>43</v>
      </c>
      <c r="B43" s="18" t="s">
        <v>2780</v>
      </c>
      <c r="C43" s="18" t="s">
        <v>149</v>
      </c>
      <c r="D43" s="421" t="str">
        <f t="shared" si="1"/>
        <v>5. Rentenaufschub</v>
      </c>
      <c r="E43" s="33" t="s">
        <v>2788</v>
      </c>
      <c r="F43" s="6" t="s">
        <v>278</v>
      </c>
    </row>
    <row r="44" spans="1:6" ht="150">
      <c r="A44" s="17">
        <f>ROW()</f>
        <v>44</v>
      </c>
      <c r="B44" s="18" t="s">
        <v>2780</v>
      </c>
      <c r="C44" s="18" t="s">
        <v>2695</v>
      </c>
      <c r="D44" s="421" t="str">
        <f t="shared" si="1"/>
        <v>1. Bestimmende Faktoren</v>
      </c>
      <c r="E44" s="33" t="s">
        <v>2789</v>
      </c>
      <c r="F44" s="6" t="s">
        <v>304</v>
      </c>
    </row>
    <row r="45" spans="1:6" ht="285">
      <c r="A45" s="17">
        <f>ROW()</f>
        <v>45</v>
      </c>
      <c r="B45" s="18" t="s">
        <v>2780</v>
      </c>
      <c r="C45" s="18" t="s">
        <v>2695</v>
      </c>
      <c r="D45" s="421" t="str">
        <f t="shared" si="1"/>
        <v>2. Berechnungsmethode, Rentenformel bzw. Beträge</v>
      </c>
      <c r="E45" s="33" t="s">
        <v>2790</v>
      </c>
      <c r="F45" s="6" t="s">
        <v>335</v>
      </c>
    </row>
    <row r="46" spans="1:6" ht="252">
      <c r="A46" s="17">
        <f>ROW()</f>
        <v>46</v>
      </c>
      <c r="B46" s="18" t="s">
        <v>2780</v>
      </c>
      <c r="C46" s="18" t="s">
        <v>2695</v>
      </c>
      <c r="D46" s="421" t="str">
        <f t="shared" si="1"/>
        <v>3. Referenzeinkommen bzw. Berechnungsgrundlage</v>
      </c>
      <c r="E46" s="33" t="s">
        <v>2791</v>
      </c>
      <c r="F46" s="6" t="s">
        <v>366</v>
      </c>
    </row>
    <row r="47" spans="1:6" ht="297">
      <c r="A47" s="17">
        <f>ROW()</f>
        <v>47</v>
      </c>
      <c r="B47" s="18" t="s">
        <v>2780</v>
      </c>
      <c r="C47" s="18" t="s">
        <v>2695</v>
      </c>
      <c r="D47" s="421" t="str">
        <f t="shared" si="1"/>
        <v>4. Anrechenbare oder als Beitragszeiten gewertete Zeiträume</v>
      </c>
      <c r="E47" s="33" t="s">
        <v>2757</v>
      </c>
      <c r="F47" s="6" t="s">
        <v>4642</v>
      </c>
    </row>
    <row r="48" spans="1:6" ht="177.75">
      <c r="A48" s="17">
        <f>ROW()</f>
        <v>48</v>
      </c>
      <c r="B48" s="18" t="s">
        <v>2780</v>
      </c>
      <c r="C48" s="18" t="s">
        <v>2695</v>
      </c>
      <c r="D48" s="421" t="str">
        <f t="shared" si="1"/>
        <v>5. Rückkauf von Versicherungszeiten</v>
      </c>
      <c r="E48" s="33" t="s">
        <v>2792</v>
      </c>
      <c r="F48" s="6" t="s">
        <v>427</v>
      </c>
    </row>
    <row r="49" spans="1:6" ht="178.5">
      <c r="A49" s="17">
        <f>ROW()</f>
        <v>49</v>
      </c>
      <c r="B49" s="18" t="s">
        <v>2780</v>
      </c>
      <c r="C49" s="18" t="s">
        <v>2695</v>
      </c>
      <c r="D49" s="421" t="str">
        <f t="shared" si="1"/>
        <v>6.  Zulagen für Unterhaltsberechtigte</v>
      </c>
      <c r="E49" s="33" t="s">
        <v>2892</v>
      </c>
      <c r="F49" s="6" t="s">
        <v>453</v>
      </c>
    </row>
    <row r="50" spans="1:6" ht="105.75">
      <c r="A50" s="17">
        <f>ROW()</f>
        <v>50</v>
      </c>
      <c r="B50" s="18" t="s">
        <v>2780</v>
      </c>
      <c r="C50" s="18" t="s">
        <v>2695</v>
      </c>
      <c r="D50" s="421" t="str">
        <f t="shared" si="1"/>
        <v>7. Besondere Zulagen</v>
      </c>
      <c r="E50" s="33" t="s">
        <v>2793</v>
      </c>
      <c r="F50" s="6" t="s">
        <v>4643</v>
      </c>
    </row>
    <row r="51" spans="1:6" ht="262.5">
      <c r="A51" s="17">
        <f>ROW()</f>
        <v>51</v>
      </c>
      <c r="B51" s="18" t="s">
        <v>2780</v>
      </c>
      <c r="C51" s="18" t="s">
        <v>2695</v>
      </c>
      <c r="D51" s="421" t="str">
        <f t="shared" si="1"/>
        <v>8. Mindestrente und bedürftigkeitsabhängige Leistung</v>
      </c>
      <c r="E51" s="33" t="s">
        <v>2794</v>
      </c>
      <c r="F51" s="6" t="s">
        <v>506</v>
      </c>
    </row>
    <row r="52" spans="1:6" ht="75.75">
      <c r="A52" s="17">
        <f>ROW()</f>
        <v>52</v>
      </c>
      <c r="B52" s="18" t="s">
        <v>2780</v>
      </c>
      <c r="C52" s="18" t="s">
        <v>2695</v>
      </c>
      <c r="D52" s="421" t="str">
        <f t="shared" si="1"/>
        <v>9. Höchstrente</v>
      </c>
      <c r="E52" s="33" t="s">
        <v>2795</v>
      </c>
      <c r="F52" s="6" t="s">
        <v>536</v>
      </c>
    </row>
    <row r="53" spans="1:6" ht="85.5">
      <c r="A53" s="17">
        <f>ROW()</f>
        <v>53</v>
      </c>
      <c r="B53" s="18" t="s">
        <v>2780</v>
      </c>
      <c r="C53" s="18" t="s">
        <v>2695</v>
      </c>
      <c r="D53" s="421" t="str">
        <f t="shared" si="1"/>
        <v>10. Vorruhestand</v>
      </c>
      <c r="E53" s="33" t="s">
        <v>2796</v>
      </c>
      <c r="F53" s="6" t="s">
        <v>563</v>
      </c>
    </row>
    <row r="54" spans="1:6" ht="198.75">
      <c r="A54" s="17">
        <f>ROW()</f>
        <v>54</v>
      </c>
      <c r="B54" s="18" t="s">
        <v>2780</v>
      </c>
      <c r="C54" s="18" t="s">
        <v>2695</v>
      </c>
      <c r="D54" s="421" t="str">
        <f t="shared" si="1"/>
        <v>11. Beschwerliche und gefährliche Arbeit</v>
      </c>
      <c r="E54" s="33" t="s">
        <v>2797</v>
      </c>
      <c r="F54" s="6" t="s">
        <v>591</v>
      </c>
    </row>
    <row r="55" spans="1:6" ht="75.75">
      <c r="A55" s="17">
        <f>ROW()</f>
        <v>55</v>
      </c>
      <c r="B55" s="18" t="s">
        <v>2780</v>
      </c>
      <c r="C55" s="18" t="s">
        <v>2695</v>
      </c>
      <c r="D55" s="421" t="str">
        <f t="shared" si="1"/>
        <v>12. Teilrente</v>
      </c>
      <c r="E55" s="33" t="s">
        <v>2798</v>
      </c>
      <c r="F55" s="6" t="s">
        <v>617</v>
      </c>
    </row>
    <row r="56" spans="1:6" ht="125.25">
      <c r="A56" s="17">
        <f>ROW()</f>
        <v>56</v>
      </c>
      <c r="B56" s="18" t="s">
        <v>2780</v>
      </c>
      <c r="C56" s="18" t="s">
        <v>2695</v>
      </c>
      <c r="D56" s="421" t="str">
        <f t="shared" si="1"/>
        <v>13. Aufgeschobene Rente</v>
      </c>
      <c r="E56" s="33" t="s">
        <v>2893</v>
      </c>
      <c r="F56" s="6" t="s">
        <v>644</v>
      </c>
    </row>
    <row r="57" spans="1:6" ht="135">
      <c r="A57" s="17">
        <f>ROW()</f>
        <v>57</v>
      </c>
      <c r="B57" s="18" t="s">
        <v>2780</v>
      </c>
      <c r="C57" s="418" t="s">
        <v>2799</v>
      </c>
      <c r="D57" s="421" t="s">
        <v>2799</v>
      </c>
      <c r="E57" s="32" t="s">
        <v>2799</v>
      </c>
      <c r="F57" s="6" t="s">
        <v>675</v>
      </c>
    </row>
    <row r="58" spans="1:6" ht="179.25">
      <c r="A58" s="17">
        <f>ROW()</f>
        <v>58</v>
      </c>
      <c r="B58" s="18" t="s">
        <v>2780</v>
      </c>
      <c r="C58" s="18" t="s">
        <v>2799</v>
      </c>
      <c r="D58" s="421" t="str">
        <f t="shared" si="1"/>
        <v xml:space="preserve">Kumulation mit Erwerbseinkommen </v>
      </c>
      <c r="E58" s="32" t="s">
        <v>2697</v>
      </c>
      <c r="F58" s="6" t="s">
        <v>706</v>
      </c>
    </row>
    <row r="59" spans="1:6" ht="207.75">
      <c r="A59" s="17">
        <f>ROW()</f>
        <v>59</v>
      </c>
      <c r="B59" s="18" t="s">
        <v>2780</v>
      </c>
      <c r="C59" s="18" t="s">
        <v>2799</v>
      </c>
      <c r="D59" s="421" t="s">
        <v>2800</v>
      </c>
      <c r="E59" s="32" t="s">
        <v>2696</v>
      </c>
      <c r="F59" s="6" t="s">
        <v>737</v>
      </c>
    </row>
    <row r="60" spans="1:6" ht="162.75">
      <c r="A60" s="17">
        <f>ROW()</f>
        <v>60</v>
      </c>
      <c r="B60" s="18" t="s">
        <v>2780</v>
      </c>
      <c r="C60" s="418" t="s">
        <v>761</v>
      </c>
      <c r="D60" s="421" t="str">
        <f t="shared" ref="D60:D70" si="2">+E60</f>
        <v>1. Besteuerung von Renten</v>
      </c>
      <c r="E60" s="33" t="s">
        <v>2801</v>
      </c>
      <c r="F60" s="6" t="s">
        <v>769</v>
      </c>
    </row>
    <row r="61" spans="1:6" ht="162.75">
      <c r="A61" s="17">
        <f>ROW()</f>
        <v>61</v>
      </c>
      <c r="B61" s="18" t="s">
        <v>2780</v>
      </c>
      <c r="C61" s="418" t="s">
        <v>761</v>
      </c>
      <c r="D61" s="421" t="str">
        <f t="shared" si="2"/>
        <v>2. Einkommensgrenze für Besteuerung von Renten</v>
      </c>
      <c r="E61" s="33" t="s">
        <v>2802</v>
      </c>
      <c r="F61" s="6" t="s">
        <v>795</v>
      </c>
    </row>
    <row r="62" spans="1:6" ht="162.75">
      <c r="A62" s="17">
        <f>ROW()</f>
        <v>62</v>
      </c>
      <c r="B62" s="18" t="s">
        <v>2780</v>
      </c>
      <c r="C62" s="418" t="s">
        <v>761</v>
      </c>
      <c r="D62" s="421" t="str">
        <f t="shared" si="2"/>
        <v>3. Auf Renten anfallende Sozialabgaben</v>
      </c>
      <c r="E62" s="33" t="s">
        <v>2803</v>
      </c>
      <c r="F62" s="6" t="s">
        <v>4644</v>
      </c>
    </row>
    <row r="63" spans="1:6" ht="138">
      <c r="A63" s="17">
        <f>ROW()</f>
        <v>63</v>
      </c>
      <c r="B63" s="18" t="s">
        <v>2804</v>
      </c>
      <c r="C63" s="18" t="str">
        <f>+E63</f>
        <v>Anwendungsbereich</v>
      </c>
      <c r="D63" s="421" t="str">
        <f t="shared" si="2"/>
        <v>Anwendungsbereich</v>
      </c>
      <c r="E63" s="33" t="s">
        <v>2708</v>
      </c>
      <c r="F63" s="6" t="s">
        <v>844</v>
      </c>
    </row>
    <row r="64" spans="1:6" ht="132.75">
      <c r="A64" s="17">
        <f>ROW()</f>
        <v>64</v>
      </c>
      <c r="B64" s="18" t="s">
        <v>2804</v>
      </c>
      <c r="C64" s="18" t="s">
        <v>2775</v>
      </c>
      <c r="D64" s="421" t="str">
        <f t="shared" si="2"/>
        <v>Grundprinzipien</v>
      </c>
      <c r="E64" s="33" t="s">
        <v>2709</v>
      </c>
      <c r="F64" s="6" t="s">
        <v>870</v>
      </c>
    </row>
    <row r="65" spans="1:6" ht="162.75">
      <c r="A65" s="17">
        <f>ROW()</f>
        <v>65</v>
      </c>
      <c r="B65" s="18" t="s">
        <v>2804</v>
      </c>
      <c r="C65" s="18" t="s">
        <v>2775</v>
      </c>
      <c r="D65" s="421" t="str">
        <f t="shared" si="2"/>
        <v>Voraussetzungen für die Deckung</v>
      </c>
      <c r="E65" s="33" t="s">
        <v>2710</v>
      </c>
      <c r="F65" s="6" t="s">
        <v>899</v>
      </c>
    </row>
    <row r="66" spans="1:6" ht="313.5">
      <c r="A66" s="17">
        <f>ROW()</f>
        <v>66</v>
      </c>
      <c r="B66" s="18" t="s">
        <v>2804</v>
      </c>
      <c r="C66" s="18" t="s">
        <v>2775</v>
      </c>
      <c r="D66" s="421" t="str">
        <f t="shared" si="2"/>
        <v>Kombination von selbstständiger und unselbstständiger Tätigkeit</v>
      </c>
      <c r="E66" s="33" t="s">
        <v>2698</v>
      </c>
      <c r="F66" s="6" t="s">
        <v>924</v>
      </c>
    </row>
    <row r="67" spans="1:6" ht="275.25">
      <c r="A67" s="17">
        <f>ROW()</f>
        <v>67</v>
      </c>
      <c r="B67" s="18" t="s">
        <v>2804</v>
      </c>
      <c r="C67" s="18" t="s">
        <v>2695</v>
      </c>
      <c r="D67" s="421" t="str">
        <f t="shared" si="2"/>
        <v xml:space="preserve">Voraussetzungen für den Zugang zu Diensten/Leistungen </v>
      </c>
      <c r="E67" s="33" t="s">
        <v>2699</v>
      </c>
      <c r="F67" s="6" t="s">
        <v>940</v>
      </c>
    </row>
    <row r="68" spans="1:6" ht="185.25">
      <c r="A68" s="17">
        <f>ROW()</f>
        <v>68</v>
      </c>
      <c r="B68" s="18" t="s">
        <v>2804</v>
      </c>
      <c r="C68" s="18" t="s">
        <v>2695</v>
      </c>
      <c r="D68" s="421" t="str">
        <f t="shared" si="2"/>
        <v>Beträge, Dauer und Kostenbeteiligung</v>
      </c>
      <c r="E68" s="33" t="s">
        <v>2700</v>
      </c>
      <c r="F68" s="6" t="s">
        <v>955</v>
      </c>
    </row>
    <row r="69" spans="1:6" ht="159.75">
      <c r="A69" s="17">
        <f>ROW()</f>
        <v>69</v>
      </c>
      <c r="B69" s="18" t="s">
        <v>2804</v>
      </c>
      <c r="C69" s="18" t="s">
        <v>2695</v>
      </c>
      <c r="D69" s="421" t="str">
        <f t="shared" si="2"/>
        <v>Besteuerung von Geldleistungen</v>
      </c>
      <c r="E69" s="33" t="s">
        <v>2681</v>
      </c>
      <c r="F69" s="6" t="s">
        <v>940</v>
      </c>
    </row>
    <row r="70" spans="1:6" ht="200.25">
      <c r="A70" s="17">
        <f>ROW()</f>
        <v>70</v>
      </c>
      <c r="B70" s="18" t="s">
        <v>2804</v>
      </c>
      <c r="C70" s="18" t="s">
        <v>2695</v>
      </c>
      <c r="D70" s="421" t="str">
        <f t="shared" si="2"/>
        <v>Auf Leistungen anfallende Sozialabgaben</v>
      </c>
      <c r="E70" s="33" t="s">
        <v>2683</v>
      </c>
      <c r="F70" s="6" t="s">
        <v>940</v>
      </c>
    </row>
    <row r="71" spans="1:6" ht="390">
      <c r="A71" s="17">
        <f>ROW()</f>
        <v>71</v>
      </c>
      <c r="B71" s="18" t="s">
        <v>2702</v>
      </c>
      <c r="C71" s="18" t="str">
        <f t="shared" ref="C71:D75" si="3">+D71</f>
        <v>Geltende Rechtsgrundlage</v>
      </c>
      <c r="D71" s="421" t="str">
        <f t="shared" si="3"/>
        <v>Geltende Rechtsgrundlage</v>
      </c>
      <c r="E71" s="32" t="s">
        <v>2724</v>
      </c>
      <c r="F71" s="6" t="s">
        <v>997</v>
      </c>
    </row>
    <row r="72" spans="1:6" ht="110.25">
      <c r="A72" s="17">
        <f>ROW()</f>
        <v>72</v>
      </c>
      <c r="B72" s="18" t="s">
        <v>2702</v>
      </c>
      <c r="C72" s="18" t="str">
        <f t="shared" si="3"/>
        <v>Grundprinzipien</v>
      </c>
      <c r="D72" s="421" t="str">
        <f t="shared" si="3"/>
        <v>Grundprinzipien</v>
      </c>
      <c r="E72" s="32" t="s">
        <v>2709</v>
      </c>
      <c r="F72" s="6" t="s">
        <v>1023</v>
      </c>
    </row>
    <row r="73" spans="1:6" ht="315">
      <c r="A73" s="17">
        <f>ROW()</f>
        <v>73</v>
      </c>
      <c r="B73" s="18" t="s">
        <v>2702</v>
      </c>
      <c r="C73" s="19" t="str">
        <f t="shared" si="3"/>
        <v>Anwendungsbereich (in Bezug auf Verstorbene)</v>
      </c>
      <c r="D73" s="421" t="str">
        <f t="shared" si="3"/>
        <v>Anwendungsbereich (in Bezug auf Verstorbene)</v>
      </c>
      <c r="E73" s="32" t="s">
        <v>2725</v>
      </c>
      <c r="F73" s="6" t="s">
        <v>1053</v>
      </c>
    </row>
    <row r="74" spans="1:6" ht="409.5">
      <c r="A74" s="17">
        <f>ROW()</f>
        <v>74</v>
      </c>
      <c r="B74" s="18" t="s">
        <v>2702</v>
      </c>
      <c r="C74" s="19" t="str">
        <f t="shared" si="3"/>
        <v>Ausnahmen von der Deckung der Pflichtversicherung (in Bezug auf Verstorbene)</v>
      </c>
      <c r="D74" s="421" t="str">
        <f t="shared" si="3"/>
        <v>Ausnahmen von der Deckung der Pflichtversicherung (in Bezug auf Verstorbene)</v>
      </c>
      <c r="E74" s="32" t="s">
        <v>2729</v>
      </c>
      <c r="F74" s="6" t="s">
        <v>125</v>
      </c>
    </row>
    <row r="75" spans="1:6" ht="144.75">
      <c r="A75" s="17">
        <f>ROW()</f>
        <v>75</v>
      </c>
      <c r="B75" s="18" t="s">
        <v>2702</v>
      </c>
      <c r="C75" s="19" t="str">
        <f t="shared" si="3"/>
        <v>Berechtigte Personen</v>
      </c>
      <c r="D75" s="421" t="str">
        <f t="shared" si="3"/>
        <v>Berechtigte Personen</v>
      </c>
      <c r="E75" s="32" t="s">
        <v>2730</v>
      </c>
      <c r="F75" s="6" t="s">
        <v>1098</v>
      </c>
    </row>
    <row r="76" spans="1:6" ht="102">
      <c r="A76" s="17">
        <f>ROW()</f>
        <v>76</v>
      </c>
      <c r="B76" s="18" t="s">
        <v>2702</v>
      </c>
      <c r="C76" s="1"/>
      <c r="D76" s="422"/>
      <c r="E76" s="32" t="s">
        <v>2783</v>
      </c>
      <c r="F76" s="6"/>
    </row>
    <row r="77" spans="1:6" ht="181.5">
      <c r="A77" s="17">
        <f>ROW()</f>
        <v>77</v>
      </c>
      <c r="B77" s="18" t="s">
        <v>2702</v>
      </c>
      <c r="C77" s="18" t="s">
        <v>2805</v>
      </c>
      <c r="D77" s="421" t="str">
        <f t="shared" ref="D77:D90" si="4">+E77</f>
        <v>1. Verstorbener Versicherter</v>
      </c>
      <c r="E77" s="33" t="s">
        <v>2806</v>
      </c>
      <c r="F77" s="6" t="s">
        <v>1129</v>
      </c>
    </row>
    <row r="78" spans="1:6" ht="181.5">
      <c r="A78" s="17">
        <f>ROW()</f>
        <v>78</v>
      </c>
      <c r="B78" s="18" t="s">
        <v>2702</v>
      </c>
      <c r="C78" s="18" t="s">
        <v>2805</v>
      </c>
      <c r="D78" s="421" t="str">
        <f t="shared" si="4"/>
        <v>2. Hinterbliebener Ehegatte</v>
      </c>
      <c r="E78" s="33" t="s">
        <v>2807</v>
      </c>
      <c r="F78" s="6" t="s">
        <v>4645</v>
      </c>
    </row>
    <row r="79" spans="1:6" ht="181.5">
      <c r="A79" s="17">
        <f>ROW()</f>
        <v>79</v>
      </c>
      <c r="B79" s="18" t="s">
        <v>2702</v>
      </c>
      <c r="C79" s="18" t="s">
        <v>2805</v>
      </c>
      <c r="D79" s="421" t="str">
        <f t="shared" si="4"/>
        <v>3. Geschiedener Ehegatte</v>
      </c>
      <c r="E79" s="33" t="s">
        <v>2808</v>
      </c>
      <c r="F79" s="6" t="s">
        <v>4646</v>
      </c>
    </row>
    <row r="80" spans="1:6" ht="181.5">
      <c r="A80" s="17">
        <f>ROW()</f>
        <v>80</v>
      </c>
      <c r="B80" s="18" t="s">
        <v>2702</v>
      </c>
      <c r="C80" s="18" t="s">
        <v>2805</v>
      </c>
      <c r="D80" s="421" t="str">
        <f t="shared" si="4"/>
        <v>4. Hinterbliebene Lebenspartner</v>
      </c>
      <c r="E80" s="33" t="s">
        <v>2809</v>
      </c>
      <c r="F80" s="6" t="s">
        <v>1215</v>
      </c>
    </row>
    <row r="81" spans="1:6" ht="181.5">
      <c r="A81" s="17">
        <f>ROW()</f>
        <v>81</v>
      </c>
      <c r="B81" s="18" t="s">
        <v>2702</v>
      </c>
      <c r="C81" s="18" t="s">
        <v>2805</v>
      </c>
      <c r="D81" s="421" t="str">
        <f t="shared" si="4"/>
        <v>5. Kinder</v>
      </c>
      <c r="E81" s="33" t="s">
        <v>2810</v>
      </c>
      <c r="F81" s="6" t="s">
        <v>1241</v>
      </c>
    </row>
    <row r="82" spans="1:6" ht="181.5">
      <c r="A82" s="17">
        <f>ROW()</f>
        <v>82</v>
      </c>
      <c r="B82" s="18" t="s">
        <v>2702</v>
      </c>
      <c r="C82" s="18" t="s">
        <v>2805</v>
      </c>
      <c r="D82" s="421" t="str">
        <f t="shared" si="4"/>
        <v>6. Andere Personen</v>
      </c>
      <c r="E82" s="33" t="s">
        <v>2811</v>
      </c>
      <c r="F82" s="6" t="s">
        <v>373</v>
      </c>
    </row>
    <row r="83" spans="1:6" ht="329.25">
      <c r="A83" s="17">
        <f>ROW()</f>
        <v>83</v>
      </c>
      <c r="B83" s="18" t="s">
        <v>2702</v>
      </c>
      <c r="C83" s="18" t="s">
        <v>2695</v>
      </c>
      <c r="D83" s="421" t="str">
        <f t="shared" si="4"/>
        <v>1. Hinterbliebener Ehegatte, geschiedener Ehegatte, hinterbliebene Lebenspartner</v>
      </c>
      <c r="E83" s="33" t="s">
        <v>2812</v>
      </c>
      <c r="F83" s="6" t="s">
        <v>1289</v>
      </c>
    </row>
    <row r="84" spans="1:6" ht="205.5">
      <c r="A84" s="17">
        <f>ROW()</f>
        <v>84</v>
      </c>
      <c r="B84" s="18" t="s">
        <v>2702</v>
      </c>
      <c r="C84" s="18" t="s">
        <v>2695</v>
      </c>
      <c r="D84" s="421" t="str">
        <f t="shared" si="4"/>
        <v>2. Hinterbliebener Ehegatte: Wiederheirat</v>
      </c>
      <c r="E84" s="33" t="s">
        <v>2813</v>
      </c>
      <c r="F84" s="6" t="s">
        <v>1320</v>
      </c>
    </row>
    <row r="85" spans="1:6" ht="102">
      <c r="A85" s="17">
        <f>ROW()</f>
        <v>85</v>
      </c>
      <c r="B85" s="18" t="s">
        <v>2702</v>
      </c>
      <c r="C85" s="18" t="s">
        <v>2695</v>
      </c>
      <c r="D85" s="421" t="str">
        <f t="shared" si="4"/>
        <v>3. Kinder</v>
      </c>
      <c r="E85" s="33" t="s">
        <v>2814</v>
      </c>
      <c r="F85" s="6" t="s">
        <v>1349</v>
      </c>
    </row>
    <row r="86" spans="1:6" ht="107.25">
      <c r="A86" s="17">
        <f>ROW()</f>
        <v>86</v>
      </c>
      <c r="B86" s="18" t="s">
        <v>2702</v>
      </c>
      <c r="C86" s="18" t="s">
        <v>2695</v>
      </c>
      <c r="D86" s="421" t="str">
        <f t="shared" si="4"/>
        <v>4. Andere Berechtigte</v>
      </c>
      <c r="E86" s="33" t="s">
        <v>2815</v>
      </c>
      <c r="F86" s="6" t="s">
        <v>373</v>
      </c>
    </row>
    <row r="87" spans="1:6" ht="276">
      <c r="A87" s="17">
        <f>ROW()</f>
        <v>87</v>
      </c>
      <c r="B87" s="18" t="s">
        <v>2702</v>
      </c>
      <c r="C87" s="18" t="s">
        <v>2695</v>
      </c>
      <c r="D87" s="421" t="str">
        <f t="shared" si="4"/>
        <v xml:space="preserve"> 5. Höchster zahlbarer Gesamtbetrag für alle Berechtigten</v>
      </c>
      <c r="E87" s="33" t="s">
        <v>2816</v>
      </c>
      <c r="F87" s="6" t="s">
        <v>1394</v>
      </c>
    </row>
    <row r="88" spans="1:6" ht="109.5">
      <c r="A88" s="17">
        <f>ROW()</f>
        <v>88</v>
      </c>
      <c r="B88" s="18" t="s">
        <v>2702</v>
      </c>
      <c r="C88" s="18" t="s">
        <v>2695</v>
      </c>
      <c r="D88" s="421" t="str">
        <f t="shared" si="4"/>
        <v>6. Sonstige Leistungen</v>
      </c>
      <c r="E88" s="33" t="s">
        <v>2817</v>
      </c>
      <c r="F88" s="6" t="s">
        <v>1413</v>
      </c>
    </row>
    <row r="89" spans="1:6" ht="102">
      <c r="A89" s="17">
        <f>ROW()</f>
        <v>89</v>
      </c>
      <c r="B89" s="18" t="s">
        <v>2702</v>
      </c>
      <c r="C89" s="18" t="s">
        <v>2695</v>
      </c>
      <c r="D89" s="421" t="str">
        <f>+E89</f>
        <v>7. Mindestleistung</v>
      </c>
      <c r="E89" s="33" t="s">
        <v>2818</v>
      </c>
      <c r="F89" s="6" t="s">
        <v>1448</v>
      </c>
    </row>
    <row r="90" spans="1:6" ht="102">
      <c r="A90" s="17">
        <f>ROW()</f>
        <v>90</v>
      </c>
      <c r="B90" s="18" t="s">
        <v>2702</v>
      </c>
      <c r="C90" s="18" t="s">
        <v>2695</v>
      </c>
      <c r="D90" s="421" t="str">
        <f t="shared" si="4"/>
        <v xml:space="preserve"> 8. Höchstleistung</v>
      </c>
      <c r="E90" s="33" t="s">
        <v>2819</v>
      </c>
      <c r="F90" s="6" t="s">
        <v>1475</v>
      </c>
    </row>
    <row r="91" spans="1:6" ht="179.25">
      <c r="A91" s="17">
        <f>ROW()</f>
        <v>91</v>
      </c>
      <c r="B91" s="18" t="s">
        <v>2702</v>
      </c>
      <c r="C91" s="18" t="s">
        <v>2799</v>
      </c>
      <c r="D91" s="421" t="str">
        <f>+C91</f>
        <v>Indexbindung / Anpassung</v>
      </c>
      <c r="E91" s="32" t="s">
        <v>2799</v>
      </c>
      <c r="F91" s="6" t="s">
        <v>1498</v>
      </c>
    </row>
    <row r="92" spans="1:6" ht="179.25">
      <c r="A92" s="17">
        <f>ROW()</f>
        <v>92</v>
      </c>
      <c r="B92" s="18" t="s">
        <v>2702</v>
      </c>
      <c r="C92" s="18" t="s">
        <v>2799</v>
      </c>
      <c r="D92" s="421" t="str">
        <f t="shared" ref="D92:D105" si="5">+E92</f>
        <v>Kumulation mit Erwerbseinkommen</v>
      </c>
      <c r="E92" s="32" t="s">
        <v>2723</v>
      </c>
      <c r="F92" s="6" t="s">
        <v>1528</v>
      </c>
    </row>
    <row r="93" spans="1:6" ht="201">
      <c r="A93" s="17">
        <f>ROW()</f>
        <v>93</v>
      </c>
      <c r="B93" s="18" t="s">
        <v>2702</v>
      </c>
      <c r="C93" s="18" t="s">
        <v>2799</v>
      </c>
      <c r="D93" s="421" t="str">
        <f t="shared" si="5"/>
        <v>Kumulation mit anderen Sozialleistungen</v>
      </c>
      <c r="E93" s="32" t="s">
        <v>2696</v>
      </c>
      <c r="F93" s="6" t="s">
        <v>1559</v>
      </c>
    </row>
    <row r="94" spans="1:6" ht="213.75">
      <c r="A94" s="17">
        <f>ROW()</f>
        <v>94</v>
      </c>
      <c r="B94" s="18" t="s">
        <v>2702</v>
      </c>
      <c r="C94" s="19" t="s">
        <v>2701</v>
      </c>
      <c r="D94" s="421" t="str">
        <f t="shared" si="5"/>
        <v>1. Besteuerung von Geldleistungen</v>
      </c>
      <c r="E94" s="33" t="s">
        <v>2770</v>
      </c>
      <c r="F94" s="6" t="s">
        <v>1589</v>
      </c>
    </row>
    <row r="95" spans="1:6" ht="283.5">
      <c r="A95" s="17">
        <f>ROW()</f>
        <v>95</v>
      </c>
      <c r="B95" s="18" t="s">
        <v>2702</v>
      </c>
      <c r="C95" s="19" t="s">
        <v>2701</v>
      </c>
      <c r="D95" s="421" t="str">
        <f t="shared" si="5"/>
        <v>2. Einkommensgrenze für Besteuerung von Geldleistungen</v>
      </c>
      <c r="E95" s="33" t="s">
        <v>2772</v>
      </c>
      <c r="F95" s="6" t="s">
        <v>1608</v>
      </c>
    </row>
    <row r="96" spans="1:6" ht="213.75">
      <c r="A96" s="17">
        <f>ROW()</f>
        <v>96</v>
      </c>
      <c r="B96" s="18" t="s">
        <v>2702</v>
      </c>
      <c r="C96" s="19" t="s">
        <v>2701</v>
      </c>
      <c r="D96" s="421" t="str">
        <f t="shared" si="5"/>
        <v>3. Auf Leistungen anfallende Sozialabgaben</v>
      </c>
      <c r="E96" s="33" t="s">
        <v>2773</v>
      </c>
      <c r="F96" s="6" t="s">
        <v>1629</v>
      </c>
    </row>
    <row r="97" spans="1:6" ht="102">
      <c r="A97" s="17">
        <f>ROW()</f>
        <v>97</v>
      </c>
      <c r="B97" s="18" t="s">
        <v>2702</v>
      </c>
      <c r="C97" s="19" t="s">
        <v>2775</v>
      </c>
      <c r="D97" s="421" t="str">
        <f t="shared" si="5"/>
        <v>Anwendungsbereich</v>
      </c>
      <c r="E97" s="33" t="s">
        <v>2708</v>
      </c>
      <c r="F97" s="6" t="s">
        <v>849</v>
      </c>
    </row>
    <row r="98" spans="1:6" ht="102">
      <c r="A98" s="17">
        <f>ROW()</f>
        <v>98</v>
      </c>
      <c r="B98" s="18" t="s">
        <v>2702</v>
      </c>
      <c r="C98" s="19" t="s">
        <v>2775</v>
      </c>
      <c r="D98" s="421" t="str">
        <f t="shared" si="5"/>
        <v>Grundprinzipien</v>
      </c>
      <c r="E98" s="33" t="s">
        <v>2709</v>
      </c>
      <c r="F98" s="6" t="s">
        <v>1661</v>
      </c>
    </row>
    <row r="99" spans="1:6" ht="162.75">
      <c r="A99" s="17">
        <f>ROW()</f>
        <v>99</v>
      </c>
      <c r="B99" s="18" t="s">
        <v>2702</v>
      </c>
      <c r="C99" s="19" t="s">
        <v>2775</v>
      </c>
      <c r="D99" s="421" t="str">
        <f t="shared" si="5"/>
        <v>Voraussetzungen für die Deckung</v>
      </c>
      <c r="E99" s="33" t="s">
        <v>2710</v>
      </c>
      <c r="F99" s="6" t="s">
        <v>899</v>
      </c>
    </row>
    <row r="100" spans="1:6" ht="313.5">
      <c r="A100" s="17">
        <f>ROW()</f>
        <v>100</v>
      </c>
      <c r="B100" s="18" t="s">
        <v>2702</v>
      </c>
      <c r="C100" s="19" t="s">
        <v>2775</v>
      </c>
      <c r="D100" s="421" t="str">
        <f t="shared" si="5"/>
        <v>Kombination von selbstständiger und unselbstständiger Tätigkeit</v>
      </c>
      <c r="E100" s="33" t="s">
        <v>2698</v>
      </c>
      <c r="F100" s="6" t="s">
        <v>1686</v>
      </c>
    </row>
    <row r="101" spans="1:6" ht="275.25">
      <c r="A101" s="17">
        <f>ROW()</f>
        <v>101</v>
      </c>
      <c r="B101" s="18" t="s">
        <v>2702</v>
      </c>
      <c r="C101" s="19" t="s">
        <v>2775</v>
      </c>
      <c r="D101" s="421" t="str">
        <f t="shared" si="5"/>
        <v xml:space="preserve">Voraussetzungen für den Zugang zu Diensten/Leistungen </v>
      </c>
      <c r="E101" s="33" t="s">
        <v>2699</v>
      </c>
      <c r="F101" s="6" t="s">
        <v>940</v>
      </c>
    </row>
    <row r="102" spans="1:6" ht="185.25">
      <c r="A102" s="17">
        <f>ROW()</f>
        <v>102</v>
      </c>
      <c r="B102" s="18" t="s">
        <v>2702</v>
      </c>
      <c r="C102" s="19" t="s">
        <v>2775</v>
      </c>
      <c r="D102" s="421" t="str">
        <f t="shared" si="5"/>
        <v>Beträge, Dauer und Kostenbeteiligung</v>
      </c>
      <c r="E102" s="33" t="s">
        <v>2700</v>
      </c>
      <c r="F102" s="6" t="s">
        <v>940</v>
      </c>
    </row>
    <row r="103" spans="1:6" ht="156">
      <c r="A103" s="17">
        <f>ROW()</f>
        <v>103</v>
      </c>
      <c r="B103" s="18" t="s">
        <v>2702</v>
      </c>
      <c r="C103" s="19" t="s">
        <v>2775</v>
      </c>
      <c r="D103" s="421" t="str">
        <f t="shared" si="5"/>
        <v>Besteuerung und Sozialabgaben</v>
      </c>
      <c r="E103" s="33" t="s">
        <v>2701</v>
      </c>
      <c r="F103" s="6"/>
    </row>
    <row r="104" spans="1:6" ht="159.75">
      <c r="A104" s="17">
        <f>ROW()</f>
        <v>104</v>
      </c>
      <c r="B104" s="18" t="s">
        <v>2702</v>
      </c>
      <c r="C104" s="19" t="s">
        <v>2775</v>
      </c>
      <c r="D104" s="421" t="str">
        <f t="shared" si="5"/>
        <v>Besteuerung von Geldleistungen</v>
      </c>
      <c r="E104" s="33" t="s">
        <v>2681</v>
      </c>
      <c r="F104" s="6" t="s">
        <v>940</v>
      </c>
    </row>
    <row r="105" spans="1:6" ht="200.25">
      <c r="A105" s="17">
        <f>ROW()</f>
        <v>105</v>
      </c>
      <c r="B105" s="18" t="s">
        <v>2702</v>
      </c>
      <c r="C105" s="19" t="s">
        <v>2775</v>
      </c>
      <c r="D105" s="421" t="str">
        <f t="shared" si="5"/>
        <v>Auf Leistungen anfallende Sozialabgaben</v>
      </c>
      <c r="E105" s="33" t="s">
        <v>2683</v>
      </c>
      <c r="F105" s="6" t="s">
        <v>940</v>
      </c>
    </row>
    <row r="106" spans="1:6">
      <c r="C106" s="21"/>
      <c r="D106" s="420"/>
    </row>
    <row r="107" spans="1:6">
      <c r="C107" s="21"/>
      <c r="D107" s="420"/>
    </row>
    <row r="108" spans="1:6">
      <c r="C108" s="21"/>
      <c r="D108" s="420"/>
    </row>
    <row r="109" spans="1:6">
      <c r="C109" s="21"/>
      <c r="D109" s="420"/>
    </row>
    <row r="110" spans="1:6">
      <c r="C110" s="21"/>
      <c r="D110" s="420"/>
    </row>
    <row r="111" spans="1:6">
      <c r="C111" s="21"/>
      <c r="D111" s="420"/>
    </row>
    <row r="112" spans="1:6">
      <c r="C112" s="21"/>
      <c r="D112" s="420"/>
    </row>
    <row r="113" spans="3:4">
      <c r="C113" s="21"/>
      <c r="D113" s="420"/>
    </row>
  </sheetData>
  <sheetProtection algorithmName="SHA-512" hashValue="W1HMwwgm3g6TOUF1GZ5jDXwyIqbgs3KZCr3iMgNx5qVCTPKjdFEGJKvr8nILVpQ+I4t213go8nz3RrXuG4mXJw==" saltValue="y0LfU4C8nm4D3DHc4j9u8w==" spinCount="100000" sheet="1" objects="1" scenarios="1" formatColumns="0" autoFilter="0"/>
  <autoFilter ref="A2:F105" xr:uid="{E62B82B5-C416-46AA-BCE5-3EDA69EFB13A}"/>
  <pageMargins left="0.7" right="0.7" top="0.78740157499999996" bottom="0.78740157499999996"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4AF38-F4B5-4761-91D7-59384985C97E}">
  <sheetPr codeName="Tabelle10"/>
  <dimension ref="A1:F113"/>
  <sheetViews>
    <sheetView workbookViewId="0">
      <pane xSplit="5" ySplit="2" topLeftCell="F1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39" t="s">
        <v>2726</v>
      </c>
      <c r="C1" s="136" t="s">
        <v>2739</v>
      </c>
      <c r="D1" s="136" t="s">
        <v>2728</v>
      </c>
      <c r="E1" s="128" t="s">
        <v>3506</v>
      </c>
      <c r="F1" s="16" t="s">
        <v>8</v>
      </c>
    </row>
    <row r="2" spans="1:6" ht="39.75" customHeight="1">
      <c r="A2" s="138"/>
      <c r="B2" s="139"/>
      <c r="C2" s="136"/>
      <c r="D2" s="136"/>
      <c r="E2" s="134"/>
      <c r="F2" s="173" t="str" cm="1">
        <f t="array" ref="F2">_xlfn.TEXTJOIN("; ", TRUE, IF(Entscheidungen!A2:A100=F1, Entscheidungen!B2:B100, ""))</f>
        <v>OLG Brandenburg, 17.08.2021 – 13 UF 25/20</v>
      </c>
    </row>
    <row r="3" spans="1:6" ht="177">
      <c r="A3" s="17">
        <f>ROW()</f>
        <v>3</v>
      </c>
      <c r="B3" s="18" t="s">
        <v>2740</v>
      </c>
      <c r="C3" s="18"/>
      <c r="D3" s="18" t="str">
        <f>+E3</f>
        <v>Geltende Rechtsgrundlage</v>
      </c>
      <c r="E3" s="31" t="s">
        <v>2724</v>
      </c>
      <c r="F3" s="6" t="s">
        <v>39</v>
      </c>
    </row>
    <row r="4" spans="1:6" ht="165">
      <c r="A4" s="17">
        <f>ROW()</f>
        <v>4</v>
      </c>
      <c r="B4" s="18" t="s">
        <v>2740</v>
      </c>
      <c r="C4" s="1"/>
      <c r="D4" s="18" t="str">
        <f t="shared" ref="D4:D34" si="0">+E4</f>
        <v>Grundprinzipien</v>
      </c>
      <c r="E4" s="32" t="s">
        <v>2709</v>
      </c>
      <c r="F4" s="6" t="s">
        <v>4647</v>
      </c>
    </row>
    <row r="5" spans="1:6" ht="188.25">
      <c r="A5" s="17">
        <f>ROW()</f>
        <v>5</v>
      </c>
      <c r="B5" s="18" t="s">
        <v>2740</v>
      </c>
      <c r="C5" s="1"/>
      <c r="D5" s="18" t="str">
        <f t="shared" si="0"/>
        <v>Gedecktes Risiko: Definition</v>
      </c>
      <c r="E5" s="32" t="s">
        <v>2891</v>
      </c>
      <c r="F5" s="6" t="s">
        <v>3279</v>
      </c>
    </row>
    <row r="6" spans="1:6" ht="144">
      <c r="A6" s="17">
        <f>ROW()</f>
        <v>6</v>
      </c>
      <c r="B6" s="18" t="s">
        <v>2740</v>
      </c>
      <c r="C6" s="18" t="s">
        <v>2653</v>
      </c>
      <c r="D6" s="18" t="str">
        <f t="shared" si="0"/>
        <v>Versicherte Personen</v>
      </c>
      <c r="E6" s="33" t="s">
        <v>2653</v>
      </c>
      <c r="F6" s="6" t="s">
        <v>3280</v>
      </c>
    </row>
    <row r="7" spans="1:6" ht="273">
      <c r="A7" s="17">
        <f>ROW()</f>
        <v>7</v>
      </c>
      <c r="B7" s="18" t="s">
        <v>2740</v>
      </c>
      <c r="C7" s="18" t="str">
        <f>+E6</f>
        <v>Versicherte Personen</v>
      </c>
      <c r="D7" s="18" t="str">
        <f t="shared" si="0"/>
        <v>Ausnahmen von der Versicherungspflicht</v>
      </c>
      <c r="E7" s="33" t="s">
        <v>2685</v>
      </c>
      <c r="F7" s="6" t="s">
        <v>3281</v>
      </c>
    </row>
    <row r="8" spans="1:6" ht="194.25">
      <c r="A8" s="17">
        <f>ROW()</f>
        <v>8</v>
      </c>
      <c r="B8" s="18" t="s">
        <v>2740</v>
      </c>
      <c r="C8" s="19" t="s">
        <v>149</v>
      </c>
      <c r="D8" s="18" t="str">
        <f t="shared" si="0"/>
        <v>1. Anwartschaftszeit</v>
      </c>
      <c r="E8" s="33" t="s">
        <v>2744</v>
      </c>
      <c r="F8" s="6" t="s">
        <v>3282</v>
      </c>
    </row>
    <row r="9" spans="1:6" ht="409.5">
      <c r="A9" s="17">
        <f>ROW()</f>
        <v>9</v>
      </c>
      <c r="B9" s="18" t="s">
        <v>2740</v>
      </c>
      <c r="C9" s="19" t="s">
        <v>149</v>
      </c>
      <c r="D9" s="18" t="str">
        <f t="shared" si="0"/>
        <v xml:space="preserve">2. Begutachtungskriterien und Kategorien der Arbeitsunfähigkeit/Arbeitsfähigkeit  </v>
      </c>
      <c r="E9" s="33" t="s">
        <v>2745</v>
      </c>
      <c r="F9" s="6" t="s">
        <v>3283</v>
      </c>
    </row>
    <row r="10" spans="1:6" ht="222">
      <c r="A10" s="17">
        <f>ROW()</f>
        <v>10</v>
      </c>
      <c r="B10" s="18" t="s">
        <v>2740</v>
      </c>
      <c r="C10" s="19" t="s">
        <v>149</v>
      </c>
      <c r="D10" s="18" t="str">
        <f t="shared" si="0"/>
        <v>3. Zeitraum der Leistungszahlung</v>
      </c>
      <c r="E10" s="33" t="s">
        <v>2747</v>
      </c>
      <c r="F10" s="6" t="s">
        <v>3284</v>
      </c>
    </row>
    <row r="11" spans="1:6" ht="180">
      <c r="A11" s="17">
        <f>ROW()</f>
        <v>11</v>
      </c>
      <c r="B11" s="18" t="s">
        <v>2740</v>
      </c>
      <c r="C11" s="19" t="s">
        <v>2749</v>
      </c>
      <c r="D11" s="18" t="str">
        <f t="shared" si="0"/>
        <v>1. Gutachter</v>
      </c>
      <c r="E11" s="33" t="s">
        <v>2750</v>
      </c>
      <c r="F11" s="6" t="s">
        <v>3285</v>
      </c>
    </row>
    <row r="12" spans="1:6" ht="150">
      <c r="A12" s="17">
        <f>ROW()</f>
        <v>12</v>
      </c>
      <c r="B12" s="18" t="s">
        <v>2740</v>
      </c>
      <c r="C12" s="19" t="s">
        <v>2749</v>
      </c>
      <c r="D12" s="18" t="str">
        <f t="shared" si="0"/>
        <v xml:space="preserve">2. Überprüfung  </v>
      </c>
      <c r="E12" s="33" t="s">
        <v>2751</v>
      </c>
      <c r="F12" s="6" t="s">
        <v>3286</v>
      </c>
    </row>
    <row r="13" spans="1:6" ht="291.75">
      <c r="A13" s="17">
        <f>ROW()</f>
        <v>13</v>
      </c>
      <c r="B13" s="18" t="s">
        <v>2740</v>
      </c>
      <c r="C13" s="18" t="s">
        <v>2695</v>
      </c>
      <c r="D13" s="18" t="str">
        <f t="shared" si="0"/>
        <v>1. Berechnungsmethode bzw. Rentenformel</v>
      </c>
      <c r="E13" s="33" t="s">
        <v>2753</v>
      </c>
      <c r="F13" s="6" t="s">
        <v>4648</v>
      </c>
    </row>
    <row r="14" spans="1:6" ht="343.5">
      <c r="A14" s="17">
        <f>ROW()</f>
        <v>14</v>
      </c>
      <c r="B14" s="18" t="s">
        <v>2740</v>
      </c>
      <c r="C14" s="18" t="s">
        <v>2695</v>
      </c>
      <c r="D14" s="18" t="str">
        <f t="shared" si="0"/>
        <v>2. Referenzeinkommen bzw. Berechnungsgrundlage</v>
      </c>
      <c r="E14" s="33" t="s">
        <v>2754</v>
      </c>
      <c r="F14" s="6" t="s">
        <v>3287</v>
      </c>
    </row>
    <row r="15" spans="1:6" ht="226.5">
      <c r="A15" s="17">
        <f>ROW()</f>
        <v>15</v>
      </c>
      <c r="B15" s="18" t="s">
        <v>2740</v>
      </c>
      <c r="C15" s="18" t="s">
        <v>2695</v>
      </c>
      <c r="D15" s="18" t="str">
        <f t="shared" si="0"/>
        <v>3. Mindest- und Höchstleistungen</v>
      </c>
      <c r="E15" s="33" t="s">
        <v>2756</v>
      </c>
      <c r="F15" s="6" t="s">
        <v>3288</v>
      </c>
    </row>
    <row r="16" spans="1:6" ht="405">
      <c r="A16" s="17">
        <f>ROW()</f>
        <v>16</v>
      </c>
      <c r="B16" s="18" t="s">
        <v>2740</v>
      </c>
      <c r="C16" s="18" t="s">
        <v>2695</v>
      </c>
      <c r="D16" s="18" t="str">
        <f t="shared" si="0"/>
        <v>4. Anrechenbare oder als Beitragszeiten gewertete Zeiträume</v>
      </c>
      <c r="E16" s="33" t="s">
        <v>2757</v>
      </c>
      <c r="F16" s="6" t="s">
        <v>3289</v>
      </c>
    </row>
    <row r="17" spans="1:6" ht="250.5">
      <c r="A17" s="17">
        <f>ROW()</f>
        <v>17</v>
      </c>
      <c r="B17" s="18" t="s">
        <v>2740</v>
      </c>
      <c r="C17" s="18" t="s">
        <v>2695</v>
      </c>
      <c r="D17" s="18" t="str">
        <f t="shared" si="0"/>
        <v xml:space="preserve">5. Zulagen für Unterhaltsberechtigte  </v>
      </c>
      <c r="E17" s="33" t="s">
        <v>2759</v>
      </c>
      <c r="F17" s="6" t="s">
        <v>3290</v>
      </c>
    </row>
    <row r="18" spans="1:6" ht="135">
      <c r="A18" s="17">
        <f>ROW()</f>
        <v>18</v>
      </c>
      <c r="B18" s="18" t="s">
        <v>2740</v>
      </c>
      <c r="C18" s="18" t="str">
        <f>+E18</f>
        <v>Sonstige Leistungen</v>
      </c>
      <c r="D18" s="18" t="str">
        <f>+E18</f>
        <v>Sonstige Leistungen</v>
      </c>
      <c r="E18" s="32" t="s">
        <v>2678</v>
      </c>
      <c r="F18" s="6" t="s">
        <v>3291</v>
      </c>
    </row>
    <row r="19" spans="1:6" ht="300.75">
      <c r="A19" s="17">
        <f>ROW()</f>
        <v>19</v>
      </c>
      <c r="B19" s="18" t="s">
        <v>2740</v>
      </c>
      <c r="C19" s="18" t="s">
        <v>2761</v>
      </c>
      <c r="D19" s="18" t="str">
        <f t="shared" si="0"/>
        <v>Umschulung, berufsbezogene Rehabilitation</v>
      </c>
      <c r="E19" s="33" t="s">
        <v>2762</v>
      </c>
      <c r="F19" s="6" t="s">
        <v>3292</v>
      </c>
    </row>
    <row r="20" spans="1:6" ht="409.5">
      <c r="A20" s="17">
        <f>ROW()</f>
        <v>20</v>
      </c>
      <c r="B20" s="18" t="s">
        <v>2740</v>
      </c>
      <c r="C20" s="18" t="s">
        <v>2761</v>
      </c>
      <c r="D20" s="18" t="str">
        <f t="shared" si="0"/>
        <v xml:space="preserve">Bevorzugte und reservierte Beschäftigung von Menschen mit Behinderungen  </v>
      </c>
      <c r="E20" s="33" t="s">
        <v>2763</v>
      </c>
      <c r="F20" s="6" t="s">
        <v>4649</v>
      </c>
    </row>
    <row r="21" spans="1:6" ht="171.75">
      <c r="A21" s="17">
        <f>ROW()</f>
        <v>21</v>
      </c>
      <c r="B21" s="18" t="s">
        <v>2740</v>
      </c>
      <c r="C21" s="18" t="s">
        <v>2765</v>
      </c>
      <c r="D21" s="18" t="str">
        <f t="shared" si="0"/>
        <v>Indexbindung/Anpassung</v>
      </c>
      <c r="E21" s="32" t="s">
        <v>2766</v>
      </c>
      <c r="F21" s="6" t="s">
        <v>3293</v>
      </c>
    </row>
    <row r="22" spans="1:6" ht="242.25">
      <c r="A22" s="17">
        <f>ROW()</f>
        <v>22</v>
      </c>
      <c r="B22" s="18" t="s">
        <v>2740</v>
      </c>
      <c r="C22" s="18" t="s">
        <v>2765</v>
      </c>
      <c r="D22" s="18" t="str">
        <f>+E22</f>
        <v>Kumulation mit Erwerbseinkommen</v>
      </c>
      <c r="E22" s="32" t="s">
        <v>2723</v>
      </c>
      <c r="F22" s="6" t="s">
        <v>3294</v>
      </c>
    </row>
    <row r="23" spans="1:6" ht="275.25">
      <c r="A23" s="17">
        <f>ROW()</f>
        <v>23</v>
      </c>
      <c r="B23" s="18" t="s">
        <v>2740</v>
      </c>
      <c r="C23" s="18" t="s">
        <v>2765</v>
      </c>
      <c r="D23" s="18" t="str">
        <f t="shared" si="0"/>
        <v>Kumulation mit anderen Sozialleistungen</v>
      </c>
      <c r="E23" s="32" t="s">
        <v>2696</v>
      </c>
      <c r="F23" s="6" t="s">
        <v>3295</v>
      </c>
    </row>
    <row r="24" spans="1:6" ht="232.5">
      <c r="A24" s="17">
        <f>ROW()</f>
        <v>24</v>
      </c>
      <c r="B24" s="18" t="s">
        <v>2740</v>
      </c>
      <c r="C24" s="18" t="s">
        <v>2701</v>
      </c>
      <c r="D24" s="18" t="str">
        <f t="shared" si="0"/>
        <v>1. Besteuerung von Geldleistungen</v>
      </c>
      <c r="E24" s="33" t="s">
        <v>2770</v>
      </c>
      <c r="F24" s="6" t="s">
        <v>3296</v>
      </c>
    </row>
    <row r="25" spans="1:6" ht="387">
      <c r="A25" s="17">
        <f>ROW()</f>
        <v>25</v>
      </c>
      <c r="B25" s="18" t="s">
        <v>2740</v>
      </c>
      <c r="C25" s="18" t="s">
        <v>2701</v>
      </c>
      <c r="D25" s="18" t="str">
        <f t="shared" si="0"/>
        <v>2. Einkommensgrenze für Besteuerung von Geldleistungen</v>
      </c>
      <c r="E25" s="33" t="s">
        <v>2772</v>
      </c>
      <c r="F25" s="6" t="s">
        <v>3297</v>
      </c>
    </row>
    <row r="26" spans="1:6" ht="288.75">
      <c r="A26" s="17">
        <f>ROW()</f>
        <v>26</v>
      </c>
      <c r="B26" s="18" t="s">
        <v>2740</v>
      </c>
      <c r="C26" s="18" t="s">
        <v>2701</v>
      </c>
      <c r="D26" s="18" t="str">
        <f t="shared" si="0"/>
        <v>3. Auf Leistungen anfallende Sozialabgaben</v>
      </c>
      <c r="E26" s="33" t="s">
        <v>2773</v>
      </c>
      <c r="F26" s="6" t="s">
        <v>825</v>
      </c>
    </row>
    <row r="27" spans="1:6" ht="138">
      <c r="A27" s="17">
        <f>ROW()</f>
        <v>27</v>
      </c>
      <c r="B27" s="18" t="s">
        <v>2740</v>
      </c>
      <c r="C27" s="18" t="s">
        <v>2775</v>
      </c>
      <c r="D27" s="18" t="str">
        <f t="shared" si="0"/>
        <v>Anwendungsbereich</v>
      </c>
      <c r="E27" s="33" t="s">
        <v>2708</v>
      </c>
      <c r="F27" s="6" t="s">
        <v>3298</v>
      </c>
    </row>
    <row r="28" spans="1:6" ht="110.25">
      <c r="A28" s="17">
        <f>ROW()</f>
        <v>28</v>
      </c>
      <c r="B28" s="18" t="s">
        <v>2740</v>
      </c>
      <c r="C28" s="18" t="s">
        <v>2775</v>
      </c>
      <c r="D28" s="18" t="str">
        <f t="shared" si="0"/>
        <v>Grundprinzipien</v>
      </c>
      <c r="E28" s="33" t="s">
        <v>2709</v>
      </c>
      <c r="F28" s="6" t="s">
        <v>2600</v>
      </c>
    </row>
    <row r="29" spans="1:6" ht="224.25">
      <c r="A29" s="17">
        <f>ROW()</f>
        <v>29</v>
      </c>
      <c r="B29" s="18" t="s">
        <v>2740</v>
      </c>
      <c r="C29" s="18" t="s">
        <v>2775</v>
      </c>
      <c r="D29" s="18" t="str">
        <f t="shared" si="0"/>
        <v>Voraussetzungen für die Deckung</v>
      </c>
      <c r="E29" s="33" t="s">
        <v>2710</v>
      </c>
      <c r="F29" s="6" t="s">
        <v>3299</v>
      </c>
    </row>
    <row r="30" spans="1:6" ht="409.5">
      <c r="A30" s="17">
        <f>ROW()</f>
        <v>30</v>
      </c>
      <c r="B30" s="18" t="s">
        <v>2740</v>
      </c>
      <c r="C30" s="18" t="s">
        <v>2775</v>
      </c>
      <c r="D30" s="19" t="str">
        <f t="shared" si="0"/>
        <v>Kombination von selbstständiger und unselbstständiger Tätigkeit</v>
      </c>
      <c r="E30" s="33" t="s">
        <v>2698</v>
      </c>
      <c r="F30" s="6" t="s">
        <v>920</v>
      </c>
    </row>
    <row r="31" spans="1:6" ht="376.5">
      <c r="A31" s="17">
        <f>ROW()</f>
        <v>31</v>
      </c>
      <c r="B31" s="18" t="s">
        <v>2740</v>
      </c>
      <c r="C31" s="18" t="s">
        <v>2695</v>
      </c>
      <c r="D31" s="19" t="str">
        <f t="shared" si="0"/>
        <v xml:space="preserve">Voraussetzungen für den Zugang zu Diensten/Leistungen </v>
      </c>
      <c r="E31" s="33" t="s">
        <v>2699</v>
      </c>
      <c r="F31" s="6" t="s">
        <v>917</v>
      </c>
    </row>
    <row r="32" spans="1:6" ht="253.5">
      <c r="A32" s="17">
        <f>ROW()</f>
        <v>32</v>
      </c>
      <c r="B32" s="18" t="s">
        <v>2740</v>
      </c>
      <c r="C32" s="18" t="s">
        <v>2695</v>
      </c>
      <c r="D32" s="18" t="str">
        <f t="shared" si="0"/>
        <v>Beträge, Dauer und Kostenbeteiligung</v>
      </c>
      <c r="E32" s="33" t="s">
        <v>2700</v>
      </c>
      <c r="F32" s="6" t="s">
        <v>917</v>
      </c>
    </row>
    <row r="33" spans="1:6" ht="216">
      <c r="A33" s="17">
        <f>ROW()</f>
        <v>33</v>
      </c>
      <c r="B33" s="18" t="s">
        <v>2740</v>
      </c>
      <c r="C33" s="18" t="s">
        <v>2695</v>
      </c>
      <c r="D33" s="18" t="str">
        <f t="shared" si="0"/>
        <v>Besteuerung von Geldleistungen</v>
      </c>
      <c r="E33" s="33" t="s">
        <v>2681</v>
      </c>
      <c r="F33" s="6" t="s">
        <v>3300</v>
      </c>
    </row>
    <row r="34" spans="1:6" ht="276.75">
      <c r="A34" s="17">
        <f>ROW()</f>
        <v>34</v>
      </c>
      <c r="B34" s="18" t="s">
        <v>2740</v>
      </c>
      <c r="C34" s="18" t="s">
        <v>2695</v>
      </c>
      <c r="D34" s="18" t="str">
        <f t="shared" si="0"/>
        <v xml:space="preserve"> Auf Leistungen anfallende Sozialabgaben</v>
      </c>
      <c r="E34" s="33" t="s">
        <v>2779</v>
      </c>
      <c r="F34" s="6" t="s">
        <v>982</v>
      </c>
    </row>
    <row r="35" spans="1:6" ht="177">
      <c r="A35" s="17">
        <f>ROW()</f>
        <v>35</v>
      </c>
      <c r="B35" s="18" t="s">
        <v>2780</v>
      </c>
      <c r="C35" s="18" t="str">
        <f>+D35</f>
        <v>Geltende Rechtsgrundlage</v>
      </c>
      <c r="D35" s="18" t="str">
        <f>+E35</f>
        <v>Geltende Rechtsgrundlage</v>
      </c>
      <c r="E35" s="32" t="s">
        <v>2724</v>
      </c>
      <c r="F35" s="6" t="s">
        <v>39</v>
      </c>
    </row>
    <row r="36" spans="1:6" ht="110.25">
      <c r="A36" s="17">
        <f>ROW()</f>
        <v>36</v>
      </c>
      <c r="B36" s="18" t="s">
        <v>2780</v>
      </c>
      <c r="C36" s="18" t="str">
        <f>+D36</f>
        <v>Grundprinzipien</v>
      </c>
      <c r="D36" s="18" t="str">
        <f>+E36</f>
        <v>Grundprinzipien</v>
      </c>
      <c r="E36" s="32" t="s">
        <v>2709</v>
      </c>
      <c r="F36" s="6" t="s">
        <v>70</v>
      </c>
    </row>
    <row r="37" spans="1:6" ht="159.75">
      <c r="A37" s="17">
        <f>ROW()</f>
        <v>37</v>
      </c>
      <c r="B37" s="18" t="s">
        <v>2780</v>
      </c>
      <c r="C37" s="18" t="s">
        <v>2708</v>
      </c>
      <c r="D37" s="18" t="str">
        <f>+E37</f>
        <v>1. Versicherte Personen</v>
      </c>
      <c r="E37" s="33" t="s">
        <v>2781</v>
      </c>
      <c r="F37" s="6" t="s">
        <v>102</v>
      </c>
    </row>
    <row r="38" spans="1:6" ht="371.25">
      <c r="A38" s="17">
        <f>ROW()</f>
        <v>38</v>
      </c>
      <c r="B38" s="18" t="s">
        <v>2780</v>
      </c>
      <c r="C38" s="18" t="s">
        <v>2708</v>
      </c>
      <c r="D38" s="18" t="str">
        <f t="shared" ref="D38:D58" si="1">+E38</f>
        <v>2. Ausnahmen von der Deckung  der Pflichtversicherung</v>
      </c>
      <c r="E38" s="33" t="s">
        <v>2782</v>
      </c>
      <c r="F38" s="6" t="s">
        <v>131</v>
      </c>
    </row>
    <row r="39" spans="1:6" ht="194.25">
      <c r="A39" s="17">
        <f>ROW()</f>
        <v>39</v>
      </c>
      <c r="B39" s="18" t="s">
        <v>2780</v>
      </c>
      <c r="C39" s="18" t="s">
        <v>149</v>
      </c>
      <c r="D39" s="18" t="str">
        <f t="shared" si="1"/>
        <v>1. Rentenalter</v>
      </c>
      <c r="E39" s="33" t="s">
        <v>2784</v>
      </c>
      <c r="F39" s="6" t="s">
        <v>158</v>
      </c>
    </row>
    <row r="40" spans="1:6" ht="409.5">
      <c r="A40" s="17">
        <f>ROW()</f>
        <v>40</v>
      </c>
      <c r="B40" s="18" t="s">
        <v>2780</v>
      </c>
      <c r="C40" s="18" t="s">
        <v>149</v>
      </c>
      <c r="D40" s="18" t="str">
        <f t="shared" si="1"/>
        <v>2. Anwartschaftszeit und sonstige Anspruchsvoraussetzungen für den Bezug einer Altersrente</v>
      </c>
      <c r="E40" s="33" t="s">
        <v>2785</v>
      </c>
      <c r="F40" s="6" t="s">
        <v>189</v>
      </c>
    </row>
    <row r="41" spans="1:6" ht="194.25">
      <c r="A41" s="17">
        <f>ROW()</f>
        <v>41</v>
      </c>
      <c r="B41" s="18" t="s">
        <v>2780</v>
      </c>
      <c r="C41" s="18" t="s">
        <v>149</v>
      </c>
      <c r="D41" s="18" t="str">
        <f t="shared" si="1"/>
        <v>3. Vorruhestand</v>
      </c>
      <c r="E41" s="33" t="s">
        <v>2786</v>
      </c>
      <c r="F41" s="6" t="s">
        <v>220</v>
      </c>
    </row>
    <row r="42" spans="1:6" ht="264">
      <c r="A42" s="17">
        <f>ROW()</f>
        <v>42</v>
      </c>
      <c r="B42" s="18" t="s">
        <v>2780</v>
      </c>
      <c r="C42" s="18" t="s">
        <v>149</v>
      </c>
      <c r="D42" s="18" t="str">
        <f t="shared" si="1"/>
        <v>4. Beschwerliche und gefährliche Arbeit</v>
      </c>
      <c r="E42" s="33" t="s">
        <v>2787</v>
      </c>
      <c r="F42" s="6" t="s">
        <v>251</v>
      </c>
    </row>
    <row r="43" spans="1:6" ht="194.25">
      <c r="A43" s="17">
        <f>ROW()</f>
        <v>43</v>
      </c>
      <c r="B43" s="18" t="s">
        <v>2780</v>
      </c>
      <c r="C43" s="18" t="s">
        <v>149</v>
      </c>
      <c r="D43" s="18" t="str">
        <f t="shared" si="1"/>
        <v>5. Rentenaufschub</v>
      </c>
      <c r="E43" s="33" t="s">
        <v>2788</v>
      </c>
      <c r="F43" s="6" t="s">
        <v>279</v>
      </c>
    </row>
    <row r="44" spans="1:6" ht="174">
      <c r="A44" s="17">
        <f>ROW()</f>
        <v>44</v>
      </c>
      <c r="B44" s="18" t="s">
        <v>2780</v>
      </c>
      <c r="C44" s="18" t="s">
        <v>2695</v>
      </c>
      <c r="D44" s="18" t="str">
        <f t="shared" si="1"/>
        <v>1. Bestimmende Faktoren</v>
      </c>
      <c r="E44" s="33" t="s">
        <v>2789</v>
      </c>
      <c r="F44" s="6" t="s">
        <v>4650</v>
      </c>
    </row>
    <row r="45" spans="1:6" ht="349.5">
      <c r="A45" s="17">
        <f>ROW()</f>
        <v>45</v>
      </c>
      <c r="B45" s="18" t="s">
        <v>2780</v>
      </c>
      <c r="C45" s="18" t="s">
        <v>2695</v>
      </c>
      <c r="D45" s="18" t="str">
        <f t="shared" si="1"/>
        <v>2. Berechnungsmethode, Rentenformel bzw. Beträge</v>
      </c>
      <c r="E45" s="33" t="s">
        <v>2790</v>
      </c>
      <c r="F45" s="6" t="s">
        <v>4651</v>
      </c>
    </row>
    <row r="46" spans="1:6" ht="343.5">
      <c r="A46" s="17">
        <f>ROW()</f>
        <v>46</v>
      </c>
      <c r="B46" s="18" t="s">
        <v>2780</v>
      </c>
      <c r="C46" s="18" t="s">
        <v>2695</v>
      </c>
      <c r="D46" s="18" t="str">
        <f t="shared" si="1"/>
        <v>3. Referenzeinkommen bzw. Berechnungsgrundlage</v>
      </c>
      <c r="E46" s="33" t="s">
        <v>2791</v>
      </c>
      <c r="F46" s="6" t="s">
        <v>367</v>
      </c>
    </row>
    <row r="47" spans="1:6" ht="405">
      <c r="A47" s="17">
        <f>ROW()</f>
        <v>47</v>
      </c>
      <c r="B47" s="18" t="s">
        <v>2780</v>
      </c>
      <c r="C47" s="18" t="s">
        <v>2695</v>
      </c>
      <c r="D47" s="18" t="str">
        <f t="shared" si="1"/>
        <v>4. Anrechenbare oder als Beitragszeiten gewertete Zeiträume</v>
      </c>
      <c r="E47" s="33" t="s">
        <v>2757</v>
      </c>
      <c r="F47" s="6" t="s">
        <v>4652</v>
      </c>
    </row>
    <row r="48" spans="1:6" ht="243.75">
      <c r="A48" s="17">
        <f>ROW()</f>
        <v>48</v>
      </c>
      <c r="B48" s="18" t="s">
        <v>2780</v>
      </c>
      <c r="C48" s="18" t="s">
        <v>2695</v>
      </c>
      <c r="D48" s="18" t="str">
        <f t="shared" si="1"/>
        <v>5. Rückkauf von Versicherungszeiten</v>
      </c>
      <c r="E48" s="33" t="s">
        <v>2792</v>
      </c>
      <c r="F48" s="6" t="s">
        <v>428</v>
      </c>
    </row>
    <row r="49" spans="1:6" ht="246">
      <c r="A49" s="17">
        <f>ROW()</f>
        <v>49</v>
      </c>
      <c r="B49" s="18" t="s">
        <v>2780</v>
      </c>
      <c r="C49" s="18" t="s">
        <v>2695</v>
      </c>
      <c r="D49" s="18" t="str">
        <f t="shared" si="1"/>
        <v>6.  Zulagen für Unterhaltsberechtigte</v>
      </c>
      <c r="E49" s="33" t="s">
        <v>2892</v>
      </c>
      <c r="F49" s="6" t="s">
        <v>4653</v>
      </c>
    </row>
    <row r="50" spans="1:6" ht="150">
      <c r="A50" s="17">
        <f>ROW()</f>
        <v>50</v>
      </c>
      <c r="B50" s="18" t="s">
        <v>2780</v>
      </c>
      <c r="C50" s="18" t="s">
        <v>2695</v>
      </c>
      <c r="D50" s="18" t="str">
        <f t="shared" si="1"/>
        <v>7. Besondere Zulagen</v>
      </c>
      <c r="E50" s="33" t="s">
        <v>2793</v>
      </c>
      <c r="F50" s="6" t="s">
        <v>479</v>
      </c>
    </row>
    <row r="51" spans="1:6" ht="360.75">
      <c r="A51" s="17">
        <f>ROW()</f>
        <v>51</v>
      </c>
      <c r="B51" s="18" t="s">
        <v>2780</v>
      </c>
      <c r="C51" s="18" t="s">
        <v>2695</v>
      </c>
      <c r="D51" s="18" t="str">
        <f t="shared" si="1"/>
        <v>8. Mindestrente und bedürftigkeitsabhängige Leistung</v>
      </c>
      <c r="E51" s="33" t="s">
        <v>2794</v>
      </c>
      <c r="F51" s="6" t="s">
        <v>507</v>
      </c>
    </row>
    <row r="52" spans="1:6" ht="101.25">
      <c r="A52" s="17">
        <f>ROW()</f>
        <v>52</v>
      </c>
      <c r="B52" s="18" t="s">
        <v>2780</v>
      </c>
      <c r="C52" s="18" t="s">
        <v>2695</v>
      </c>
      <c r="D52" s="18" t="str">
        <f t="shared" si="1"/>
        <v>9. Höchstrente</v>
      </c>
      <c r="E52" s="33" t="s">
        <v>2795</v>
      </c>
      <c r="F52" s="6" t="s">
        <v>537</v>
      </c>
    </row>
    <row r="53" spans="1:6" ht="119.25">
      <c r="A53" s="17">
        <f>ROW()</f>
        <v>53</v>
      </c>
      <c r="B53" s="18" t="s">
        <v>2780</v>
      </c>
      <c r="C53" s="18" t="s">
        <v>2695</v>
      </c>
      <c r="D53" s="18" t="str">
        <f t="shared" si="1"/>
        <v>10. Vorruhestand</v>
      </c>
      <c r="E53" s="33" t="s">
        <v>2796</v>
      </c>
      <c r="F53" s="6" t="s">
        <v>564</v>
      </c>
    </row>
    <row r="54" spans="1:6" ht="272.25">
      <c r="A54" s="17">
        <f>ROW()</f>
        <v>54</v>
      </c>
      <c r="B54" s="18" t="s">
        <v>2780</v>
      </c>
      <c r="C54" s="18" t="s">
        <v>2695</v>
      </c>
      <c r="D54" s="18" t="str">
        <f t="shared" si="1"/>
        <v>11. Beschwerliche und gefährliche Arbeit</v>
      </c>
      <c r="E54" s="33" t="s">
        <v>2797</v>
      </c>
      <c r="F54" s="6" t="s">
        <v>589</v>
      </c>
    </row>
    <row r="55" spans="1:6" ht="87.75">
      <c r="A55" s="17">
        <f>ROW()</f>
        <v>55</v>
      </c>
      <c r="B55" s="18" t="s">
        <v>2780</v>
      </c>
      <c r="C55" s="18" t="s">
        <v>2695</v>
      </c>
      <c r="D55" s="18" t="str">
        <f t="shared" si="1"/>
        <v>12. Teilrente</v>
      </c>
      <c r="E55" s="33" t="s">
        <v>2798</v>
      </c>
      <c r="F55" s="6" t="s">
        <v>618</v>
      </c>
    </row>
    <row r="56" spans="1:6" ht="171.75">
      <c r="A56" s="17">
        <f>ROW()</f>
        <v>56</v>
      </c>
      <c r="B56" s="18" t="s">
        <v>2780</v>
      </c>
      <c r="C56" s="18" t="s">
        <v>2695</v>
      </c>
      <c r="D56" s="18" t="str">
        <f t="shared" si="1"/>
        <v>13. Aufgeschobene Rente</v>
      </c>
      <c r="E56" s="33" t="s">
        <v>2893</v>
      </c>
      <c r="F56" s="6" t="s">
        <v>645</v>
      </c>
    </row>
    <row r="57" spans="1:6" ht="179.25">
      <c r="A57" s="17">
        <f>ROW()</f>
        <v>57</v>
      </c>
      <c r="B57" s="18" t="s">
        <v>2780</v>
      </c>
      <c r="C57" s="18" t="s">
        <v>2799</v>
      </c>
      <c r="D57" s="18" t="s">
        <v>2799</v>
      </c>
      <c r="E57" s="32" t="s">
        <v>2799</v>
      </c>
      <c r="F57" s="6" t="s">
        <v>676</v>
      </c>
    </row>
    <row r="58" spans="1:6" ht="246">
      <c r="A58" s="17">
        <f>ROW()</f>
        <v>58</v>
      </c>
      <c r="B58" s="18" t="s">
        <v>2780</v>
      </c>
      <c r="C58" s="18" t="s">
        <v>2799</v>
      </c>
      <c r="D58" s="18" t="str">
        <f t="shared" si="1"/>
        <v xml:space="preserve">Kumulation mit Erwerbseinkommen </v>
      </c>
      <c r="E58" s="32" t="s">
        <v>2697</v>
      </c>
      <c r="F58" s="6" t="s">
        <v>707</v>
      </c>
    </row>
    <row r="59" spans="1:6" ht="286.5">
      <c r="A59" s="17">
        <f>ROW()</f>
        <v>59</v>
      </c>
      <c r="B59" s="18" t="s">
        <v>2780</v>
      </c>
      <c r="C59" s="18" t="s">
        <v>2799</v>
      </c>
      <c r="D59" s="18" t="s">
        <v>2800</v>
      </c>
      <c r="E59" s="32" t="s">
        <v>2696</v>
      </c>
      <c r="F59" s="6" t="s">
        <v>738</v>
      </c>
    </row>
    <row r="60" spans="1:6" ht="225.75">
      <c r="A60" s="17">
        <f>ROW()</f>
        <v>60</v>
      </c>
      <c r="B60" s="18" t="s">
        <v>2780</v>
      </c>
      <c r="C60" s="18" t="s">
        <v>761</v>
      </c>
      <c r="D60" s="18" t="str">
        <f t="shared" ref="D60:D70" si="2">+E60</f>
        <v>1. Besteuerung von Renten</v>
      </c>
      <c r="E60" s="33" t="s">
        <v>2801</v>
      </c>
      <c r="F60" s="6" t="s">
        <v>770</v>
      </c>
    </row>
    <row r="61" spans="1:6" ht="335.25">
      <c r="A61" s="17">
        <f>ROW()</f>
        <v>61</v>
      </c>
      <c r="B61" s="18" t="s">
        <v>2780</v>
      </c>
      <c r="C61" s="18" t="s">
        <v>761</v>
      </c>
      <c r="D61" s="18" t="str">
        <f t="shared" si="2"/>
        <v>2. Einkommensgrenze für Besteuerung von Renten</v>
      </c>
      <c r="E61" s="33" t="s">
        <v>2802</v>
      </c>
      <c r="F61" s="6" t="s">
        <v>796</v>
      </c>
    </row>
    <row r="62" spans="1:6" ht="264">
      <c r="A62" s="17">
        <f>ROW()</f>
        <v>62</v>
      </c>
      <c r="B62" s="18" t="s">
        <v>2780</v>
      </c>
      <c r="C62" s="18" t="s">
        <v>761</v>
      </c>
      <c r="D62" s="18" t="str">
        <f t="shared" si="2"/>
        <v>3. Auf Renten anfallende Sozialabgaben</v>
      </c>
      <c r="E62" s="33" t="s">
        <v>2803</v>
      </c>
      <c r="F62" s="6" t="s">
        <v>820</v>
      </c>
    </row>
    <row r="63" spans="1:6" ht="138">
      <c r="A63" s="17">
        <f>ROW()</f>
        <v>63</v>
      </c>
      <c r="B63" s="18" t="s">
        <v>2804</v>
      </c>
      <c r="C63" s="18" t="str">
        <f>+E63</f>
        <v>Anwendungsbereich</v>
      </c>
      <c r="D63" s="18" t="str">
        <f t="shared" si="2"/>
        <v>Anwendungsbereich</v>
      </c>
      <c r="E63" s="33" t="s">
        <v>2708</v>
      </c>
      <c r="F63" s="6" t="s">
        <v>845</v>
      </c>
    </row>
    <row r="64" spans="1:6" ht="132.75">
      <c r="A64" s="17">
        <f>ROW()</f>
        <v>64</v>
      </c>
      <c r="B64" s="18" t="s">
        <v>2804</v>
      </c>
      <c r="C64" s="18" t="s">
        <v>2775</v>
      </c>
      <c r="D64" s="18" t="str">
        <f t="shared" si="2"/>
        <v>Grundprinzipien</v>
      </c>
      <c r="E64" s="33" t="s">
        <v>2709</v>
      </c>
      <c r="F64" s="6" t="s">
        <v>871</v>
      </c>
    </row>
    <row r="65" spans="1:6" ht="224.25">
      <c r="A65" s="17">
        <f>ROW()</f>
        <v>65</v>
      </c>
      <c r="B65" s="18" t="s">
        <v>2804</v>
      </c>
      <c r="C65" s="18" t="s">
        <v>2775</v>
      </c>
      <c r="D65" s="18" t="str">
        <f t="shared" si="2"/>
        <v>Voraussetzungen für die Deckung</v>
      </c>
      <c r="E65" s="33" t="s">
        <v>2710</v>
      </c>
      <c r="F65" s="6" t="s">
        <v>900</v>
      </c>
    </row>
    <row r="66" spans="1:6" ht="409.5">
      <c r="A66" s="17">
        <f>ROW()</f>
        <v>66</v>
      </c>
      <c r="B66" s="18" t="s">
        <v>2804</v>
      </c>
      <c r="C66" s="18" t="s">
        <v>2775</v>
      </c>
      <c r="D66" s="18" t="str">
        <f t="shared" si="2"/>
        <v>Kombination von selbstständiger und unselbstständiger Tätigkeit</v>
      </c>
      <c r="E66" s="33" t="s">
        <v>2698</v>
      </c>
      <c r="F66" s="6" t="s">
        <v>920</v>
      </c>
    </row>
    <row r="67" spans="1:6" ht="376.5">
      <c r="A67" s="17">
        <f>ROW()</f>
        <v>67</v>
      </c>
      <c r="B67" s="18" t="s">
        <v>2804</v>
      </c>
      <c r="C67" s="18" t="s">
        <v>2695</v>
      </c>
      <c r="D67" s="19" t="str">
        <f t="shared" si="2"/>
        <v xml:space="preserve">Voraussetzungen für den Zugang zu Diensten/Leistungen </v>
      </c>
      <c r="E67" s="33" t="s">
        <v>2699</v>
      </c>
      <c r="F67" s="6" t="s">
        <v>944</v>
      </c>
    </row>
    <row r="68" spans="1:6" ht="253.5">
      <c r="A68" s="17">
        <f>ROW()</f>
        <v>68</v>
      </c>
      <c r="B68" s="18" t="s">
        <v>2804</v>
      </c>
      <c r="C68" s="18" t="s">
        <v>2695</v>
      </c>
      <c r="D68" s="19" t="str">
        <f t="shared" si="2"/>
        <v>Beträge, Dauer und Kostenbeteiligung</v>
      </c>
      <c r="E68" s="33" t="s">
        <v>2700</v>
      </c>
      <c r="F68" s="6" t="s">
        <v>917</v>
      </c>
    </row>
    <row r="69" spans="1:6" ht="216">
      <c r="A69" s="17">
        <f>ROW()</f>
        <v>69</v>
      </c>
      <c r="B69" s="18" t="s">
        <v>2804</v>
      </c>
      <c r="C69" s="18" t="s">
        <v>2695</v>
      </c>
      <c r="D69" s="19" t="str">
        <f t="shared" si="2"/>
        <v>Besteuerung von Geldleistungen</v>
      </c>
      <c r="E69" s="33" t="s">
        <v>2681</v>
      </c>
      <c r="F69" s="6" t="s">
        <v>968</v>
      </c>
    </row>
    <row r="70" spans="1:6" ht="272.25">
      <c r="A70" s="17">
        <f>ROW()</f>
        <v>70</v>
      </c>
      <c r="B70" s="18" t="s">
        <v>2804</v>
      </c>
      <c r="C70" s="18" t="s">
        <v>2695</v>
      </c>
      <c r="D70" s="19" t="str">
        <f t="shared" si="2"/>
        <v>Auf Leistungen anfallende Sozialabgaben</v>
      </c>
      <c r="E70" s="33" t="s">
        <v>2683</v>
      </c>
      <c r="F70" s="6" t="s">
        <v>982</v>
      </c>
    </row>
    <row r="71" spans="1:6" ht="177">
      <c r="A71" s="17">
        <f>ROW()</f>
        <v>71</v>
      </c>
      <c r="B71" s="18" t="s">
        <v>2702</v>
      </c>
      <c r="C71" s="18" t="str">
        <f t="shared" ref="C71:D75" si="3">+D71</f>
        <v>Geltende Rechtsgrundlage</v>
      </c>
      <c r="D71" s="19" t="str">
        <f t="shared" si="3"/>
        <v>Geltende Rechtsgrundlage</v>
      </c>
      <c r="E71" s="32" t="s">
        <v>2724</v>
      </c>
      <c r="F71" s="6" t="s">
        <v>39</v>
      </c>
    </row>
    <row r="72" spans="1:6" ht="110.25">
      <c r="A72" s="17">
        <f>ROW()</f>
        <v>72</v>
      </c>
      <c r="B72" s="18" t="s">
        <v>2702</v>
      </c>
      <c r="C72" s="18" t="str">
        <f t="shared" si="3"/>
        <v>Grundprinzipien</v>
      </c>
      <c r="D72" s="19" t="str">
        <f t="shared" si="3"/>
        <v>Grundprinzipien</v>
      </c>
      <c r="E72" s="32" t="s">
        <v>2709</v>
      </c>
      <c r="F72" s="6" t="s">
        <v>1024</v>
      </c>
    </row>
    <row r="73" spans="1:6" ht="315">
      <c r="A73" s="17">
        <f>ROW()</f>
        <v>73</v>
      </c>
      <c r="B73" s="18" t="s">
        <v>2702</v>
      </c>
      <c r="C73" s="19" t="str">
        <f t="shared" si="3"/>
        <v>Anwendungsbereich (in Bezug auf Verstorbene)</v>
      </c>
      <c r="D73" s="19" t="str">
        <f t="shared" si="3"/>
        <v>Anwendungsbereich (in Bezug auf Verstorbene)</v>
      </c>
      <c r="E73" s="32" t="s">
        <v>2725</v>
      </c>
      <c r="F73" s="6" t="s">
        <v>1054</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1079</v>
      </c>
    </row>
    <row r="75" spans="1:6" ht="144.75">
      <c r="A75" s="17">
        <f>ROW()</f>
        <v>75</v>
      </c>
      <c r="B75" s="18" t="s">
        <v>2702</v>
      </c>
      <c r="C75" s="19" t="str">
        <f t="shared" si="3"/>
        <v>Berechtigte Personen</v>
      </c>
      <c r="D75" s="19" t="str">
        <f t="shared" si="3"/>
        <v>Berechtigte Personen</v>
      </c>
      <c r="E75" s="32" t="s">
        <v>2730</v>
      </c>
      <c r="F75" s="6" t="s">
        <v>1099</v>
      </c>
    </row>
    <row r="76" spans="1:6" ht="102">
      <c r="A76" s="17">
        <f>ROW()</f>
        <v>76</v>
      </c>
      <c r="B76" s="18" t="s">
        <v>2702</v>
      </c>
      <c r="C76" s="1"/>
      <c r="D76" s="1"/>
      <c r="E76" s="32" t="s">
        <v>2783</v>
      </c>
      <c r="F76" s="6"/>
    </row>
    <row r="77" spans="1:6" ht="189.75">
      <c r="A77" s="17">
        <f>ROW()</f>
        <v>77</v>
      </c>
      <c r="B77" s="18" t="s">
        <v>2702</v>
      </c>
      <c r="C77" s="18" t="s">
        <v>2805</v>
      </c>
      <c r="D77" s="18" t="str">
        <f t="shared" ref="D77:D90" si="4">+E77</f>
        <v>1. Verstorbener Versicherter</v>
      </c>
      <c r="E77" s="33" t="s">
        <v>2806</v>
      </c>
      <c r="F77" s="6" t="s">
        <v>4654</v>
      </c>
    </row>
    <row r="78" spans="1:6" ht="185.25">
      <c r="A78" s="17">
        <f>ROW()</f>
        <v>78</v>
      </c>
      <c r="B78" s="18" t="s">
        <v>2702</v>
      </c>
      <c r="C78" s="18" t="s">
        <v>2805</v>
      </c>
      <c r="D78" s="18" t="str">
        <f t="shared" si="4"/>
        <v>2. Hinterbliebener Ehegatte</v>
      </c>
      <c r="E78" s="33" t="s">
        <v>2807</v>
      </c>
      <c r="F78" s="6" t="s">
        <v>1161</v>
      </c>
    </row>
    <row r="79" spans="1:6" ht="181.5">
      <c r="A79" s="17">
        <f>ROW()</f>
        <v>79</v>
      </c>
      <c r="B79" s="18" t="s">
        <v>2702</v>
      </c>
      <c r="C79" s="18" t="s">
        <v>2805</v>
      </c>
      <c r="D79" s="18" t="str">
        <f t="shared" si="4"/>
        <v>3. Geschiedener Ehegatte</v>
      </c>
      <c r="E79" s="33" t="s">
        <v>2808</v>
      </c>
      <c r="F79" s="6" t="s">
        <v>1191</v>
      </c>
    </row>
    <row r="80" spans="1:6" ht="216">
      <c r="A80" s="17">
        <f>ROW()</f>
        <v>80</v>
      </c>
      <c r="B80" s="18" t="s">
        <v>2702</v>
      </c>
      <c r="C80" s="18" t="s">
        <v>2805</v>
      </c>
      <c r="D80" s="18" t="str">
        <f t="shared" si="4"/>
        <v>4. Hinterbliebene Lebenspartner</v>
      </c>
      <c r="E80" s="33" t="s">
        <v>2809</v>
      </c>
      <c r="F80" s="6" t="s">
        <v>1216</v>
      </c>
    </row>
    <row r="81" spans="1:6" ht="181.5">
      <c r="A81" s="17">
        <f>ROW()</f>
        <v>81</v>
      </c>
      <c r="B81" s="18" t="s">
        <v>2702</v>
      </c>
      <c r="C81" s="18" t="s">
        <v>2805</v>
      </c>
      <c r="D81" s="18" t="str">
        <f t="shared" si="4"/>
        <v>5. Kinder</v>
      </c>
      <c r="E81" s="33" t="s">
        <v>2810</v>
      </c>
      <c r="F81" s="6" t="s">
        <v>1242</v>
      </c>
    </row>
    <row r="82" spans="1:6" ht="181.5">
      <c r="A82" s="17">
        <f>ROW()</f>
        <v>82</v>
      </c>
      <c r="B82" s="18" t="s">
        <v>2702</v>
      </c>
      <c r="C82" s="18" t="s">
        <v>2805</v>
      </c>
      <c r="D82" s="18" t="str">
        <f t="shared" si="4"/>
        <v>6. Andere Personen</v>
      </c>
      <c r="E82" s="33" t="s">
        <v>2811</v>
      </c>
      <c r="F82" s="6" t="s">
        <v>1265</v>
      </c>
    </row>
    <row r="83" spans="1:6" ht="409.5">
      <c r="A83" s="17">
        <f>ROW()</f>
        <v>83</v>
      </c>
      <c r="B83" s="18" t="s">
        <v>2702</v>
      </c>
      <c r="C83" s="18" t="s">
        <v>2695</v>
      </c>
      <c r="D83" s="19" t="str">
        <f t="shared" si="4"/>
        <v>1. Hinterbliebener Ehegatte, geschiedener Ehegatte, hinterbliebene Lebenspartner</v>
      </c>
      <c r="E83" s="33" t="s">
        <v>2812</v>
      </c>
      <c r="F83" s="6" t="s">
        <v>4655</v>
      </c>
    </row>
    <row r="84" spans="1:6" ht="280.5">
      <c r="A84" s="17">
        <f>ROW()</f>
        <v>84</v>
      </c>
      <c r="B84" s="18" t="s">
        <v>2702</v>
      </c>
      <c r="C84" s="18" t="s">
        <v>2695</v>
      </c>
      <c r="D84" s="19" t="str">
        <f t="shared" si="4"/>
        <v>2. Hinterbliebener Ehegatte: Wiederheirat</v>
      </c>
      <c r="E84" s="33" t="s">
        <v>2813</v>
      </c>
      <c r="F84" s="6" t="s">
        <v>1321</v>
      </c>
    </row>
    <row r="85" spans="1:6" ht="180">
      <c r="A85" s="17">
        <f>ROW()</f>
        <v>85</v>
      </c>
      <c r="B85" s="18" t="s">
        <v>2702</v>
      </c>
      <c r="C85" s="18" t="s">
        <v>2695</v>
      </c>
      <c r="D85" s="19" t="str">
        <f t="shared" si="4"/>
        <v>3. Kinder</v>
      </c>
      <c r="E85" s="33" t="s">
        <v>2814</v>
      </c>
      <c r="F85" s="6" t="s">
        <v>4656</v>
      </c>
    </row>
    <row r="86" spans="1:6" ht="147">
      <c r="A86" s="17">
        <f>ROW()</f>
        <v>86</v>
      </c>
      <c r="B86" s="18" t="s">
        <v>2702</v>
      </c>
      <c r="C86" s="18" t="s">
        <v>2695</v>
      </c>
      <c r="D86" s="19" t="str">
        <f t="shared" si="4"/>
        <v>4. Andere Berechtigte</v>
      </c>
      <c r="E86" s="33" t="s">
        <v>2815</v>
      </c>
      <c r="F86" s="6" t="s">
        <v>1265</v>
      </c>
    </row>
    <row r="87" spans="1:6" ht="381">
      <c r="A87" s="17">
        <f>ROW()</f>
        <v>87</v>
      </c>
      <c r="B87" s="18" t="s">
        <v>2702</v>
      </c>
      <c r="C87" s="18" t="s">
        <v>2695</v>
      </c>
      <c r="D87" s="19" t="str">
        <f t="shared" si="4"/>
        <v xml:space="preserve"> 5. Höchster zahlbarer Gesamtbetrag für alle Berechtigten</v>
      </c>
      <c r="E87" s="33" t="s">
        <v>2816</v>
      </c>
      <c r="F87" s="6" t="s">
        <v>545</v>
      </c>
    </row>
    <row r="88" spans="1:6" ht="151.5">
      <c r="A88" s="17">
        <f>ROW()</f>
        <v>88</v>
      </c>
      <c r="B88" s="18" t="s">
        <v>2702</v>
      </c>
      <c r="C88" s="18" t="s">
        <v>2695</v>
      </c>
      <c r="D88" s="19" t="str">
        <f t="shared" si="4"/>
        <v>6. Sonstige Leistungen</v>
      </c>
      <c r="E88" s="33" t="s">
        <v>2817</v>
      </c>
      <c r="F88" s="6" t="s">
        <v>1420</v>
      </c>
    </row>
    <row r="89" spans="1:6" ht="126.75">
      <c r="A89" s="17">
        <f>ROW()</f>
        <v>89</v>
      </c>
      <c r="B89" s="18" t="s">
        <v>2702</v>
      </c>
      <c r="C89" s="18" t="s">
        <v>2695</v>
      </c>
      <c r="D89" s="19" t="str">
        <f>+E89</f>
        <v>7. Mindestleistung</v>
      </c>
      <c r="E89" s="33" t="s">
        <v>2818</v>
      </c>
      <c r="F89" s="6" t="s">
        <v>1449</v>
      </c>
    </row>
    <row r="90" spans="1:6" ht="122.25">
      <c r="A90" s="17">
        <f>ROW()</f>
        <v>90</v>
      </c>
      <c r="B90" s="18" t="s">
        <v>2702</v>
      </c>
      <c r="C90" s="18" t="s">
        <v>2695</v>
      </c>
      <c r="D90" s="19" t="str">
        <f t="shared" si="4"/>
        <v xml:space="preserve"> 8. Höchstleistung</v>
      </c>
      <c r="E90" s="33" t="s">
        <v>2819</v>
      </c>
      <c r="F90" s="6" t="s">
        <v>1449</v>
      </c>
    </row>
    <row r="91" spans="1:6" ht="179.25">
      <c r="A91" s="17">
        <f>ROW()</f>
        <v>91</v>
      </c>
      <c r="B91" s="18" t="s">
        <v>2702</v>
      </c>
      <c r="C91" s="18" t="s">
        <v>2799</v>
      </c>
      <c r="D91" s="19" t="str">
        <f>+C91</f>
        <v>Indexbindung / Anpassung</v>
      </c>
      <c r="E91" s="32" t="s">
        <v>2799</v>
      </c>
      <c r="F91" s="6" t="s">
        <v>1499</v>
      </c>
    </row>
    <row r="92" spans="1:6" ht="242.25">
      <c r="A92" s="17">
        <f>ROW()</f>
        <v>92</v>
      </c>
      <c r="B92" s="18" t="s">
        <v>2702</v>
      </c>
      <c r="C92" s="18" t="s">
        <v>2799</v>
      </c>
      <c r="D92" s="19" t="str">
        <f t="shared" ref="D92:D105" si="5">+E92</f>
        <v>Kumulation mit Erwerbseinkommen</v>
      </c>
      <c r="E92" s="32" t="s">
        <v>2723</v>
      </c>
      <c r="F92" s="6" t="s">
        <v>1529</v>
      </c>
    </row>
    <row r="93" spans="1:6" ht="275.25">
      <c r="A93" s="17">
        <f>ROW()</f>
        <v>93</v>
      </c>
      <c r="B93" s="18" t="s">
        <v>2702</v>
      </c>
      <c r="C93" s="18" t="s">
        <v>2799</v>
      </c>
      <c r="D93" s="19" t="str">
        <f t="shared" si="5"/>
        <v>Kumulation mit anderen Sozialleistungen</v>
      </c>
      <c r="E93" s="32" t="s">
        <v>2696</v>
      </c>
      <c r="F93" s="6" t="s">
        <v>4657</v>
      </c>
    </row>
    <row r="94" spans="1:6" ht="232.5">
      <c r="A94" s="17">
        <f>ROW()</f>
        <v>94</v>
      </c>
      <c r="B94" s="18" t="s">
        <v>2702</v>
      </c>
      <c r="C94" s="19" t="s">
        <v>2701</v>
      </c>
      <c r="D94" s="19" t="str">
        <f t="shared" si="5"/>
        <v>1. Besteuerung von Geldleistungen</v>
      </c>
      <c r="E94" s="33" t="s">
        <v>2770</v>
      </c>
      <c r="F94" s="6" t="s">
        <v>772</v>
      </c>
    </row>
    <row r="95" spans="1:6" ht="387">
      <c r="A95" s="17">
        <f>ROW()</f>
        <v>95</v>
      </c>
      <c r="B95" s="18" t="s">
        <v>2702</v>
      </c>
      <c r="C95" s="19" t="s">
        <v>2701</v>
      </c>
      <c r="D95" s="19" t="str">
        <f t="shared" si="5"/>
        <v>2. Einkommensgrenze für Besteuerung von Geldleistungen</v>
      </c>
      <c r="E95" s="33" t="s">
        <v>2772</v>
      </c>
      <c r="F95" s="6" t="s">
        <v>1609</v>
      </c>
    </row>
    <row r="96" spans="1:6" ht="288.75">
      <c r="A96" s="17">
        <f>ROW()</f>
        <v>96</v>
      </c>
      <c r="B96" s="18" t="s">
        <v>2702</v>
      </c>
      <c r="C96" s="19" t="s">
        <v>2701</v>
      </c>
      <c r="D96" s="19" t="str">
        <f t="shared" si="5"/>
        <v>3. Auf Leistungen anfallende Sozialabgaben</v>
      </c>
      <c r="E96" s="33" t="s">
        <v>2773</v>
      </c>
      <c r="F96" s="6" t="s">
        <v>1630</v>
      </c>
    </row>
    <row r="97" spans="1:6" ht="138">
      <c r="A97" s="17">
        <f>ROW()</f>
        <v>97</v>
      </c>
      <c r="B97" s="18" t="s">
        <v>2702</v>
      </c>
      <c r="C97" s="19" t="s">
        <v>2775</v>
      </c>
      <c r="D97" s="19" t="str">
        <f t="shared" si="5"/>
        <v>Anwendungsbereich</v>
      </c>
      <c r="E97" s="33" t="s">
        <v>2708</v>
      </c>
      <c r="F97" s="6" t="s">
        <v>1646</v>
      </c>
    </row>
    <row r="98" spans="1:6" ht="110.25">
      <c r="A98" s="17">
        <f>ROW()</f>
        <v>98</v>
      </c>
      <c r="B98" s="18" t="s">
        <v>2702</v>
      </c>
      <c r="C98" s="19" t="s">
        <v>2775</v>
      </c>
      <c r="D98" s="19" t="str">
        <f t="shared" si="5"/>
        <v>Grundprinzipien</v>
      </c>
      <c r="E98" s="33" t="s">
        <v>2709</v>
      </c>
      <c r="F98" s="6" t="s">
        <v>1662</v>
      </c>
    </row>
    <row r="99" spans="1:6" ht="224.25">
      <c r="A99" s="17">
        <f>ROW()</f>
        <v>99</v>
      </c>
      <c r="B99" s="18" t="s">
        <v>2702</v>
      </c>
      <c r="C99" s="19" t="s">
        <v>2775</v>
      </c>
      <c r="D99" s="19" t="str">
        <f t="shared" si="5"/>
        <v>Voraussetzungen für die Deckung</v>
      </c>
      <c r="E99" s="33" t="s">
        <v>2710</v>
      </c>
      <c r="F99" s="6" t="s">
        <v>1676</v>
      </c>
    </row>
    <row r="100" spans="1:6" ht="409.5">
      <c r="A100" s="17">
        <f>ROW()</f>
        <v>100</v>
      </c>
      <c r="B100" s="18" t="s">
        <v>2702</v>
      </c>
      <c r="C100" s="19" t="s">
        <v>2775</v>
      </c>
      <c r="D100" s="19" t="str">
        <f t="shared" si="5"/>
        <v>Kombination von selbstständiger und unselbstständiger Tätigkeit</v>
      </c>
      <c r="E100" s="33" t="s">
        <v>2698</v>
      </c>
      <c r="F100" s="6" t="s">
        <v>920</v>
      </c>
    </row>
    <row r="101" spans="1:6" ht="376.5">
      <c r="A101" s="17">
        <f>ROW()</f>
        <v>101</v>
      </c>
      <c r="B101" s="18" t="s">
        <v>2702</v>
      </c>
      <c r="C101" s="19" t="s">
        <v>2775</v>
      </c>
      <c r="D101" s="19" t="str">
        <f t="shared" si="5"/>
        <v xml:space="preserve">Voraussetzungen für den Zugang zu Diensten/Leistungen </v>
      </c>
      <c r="E101" s="33" t="s">
        <v>2699</v>
      </c>
      <c r="F101" s="6" t="s">
        <v>1696</v>
      </c>
    </row>
    <row r="102" spans="1:6" ht="253.5">
      <c r="A102" s="17">
        <f>ROW()</f>
        <v>102</v>
      </c>
      <c r="B102" s="18" t="s">
        <v>2702</v>
      </c>
      <c r="C102" s="19" t="s">
        <v>2775</v>
      </c>
      <c r="D102" s="19" t="str">
        <f t="shared" si="5"/>
        <v>Beträge, Dauer und Kostenbeteiligung</v>
      </c>
      <c r="E102" s="33" t="s">
        <v>2700</v>
      </c>
      <c r="F102" s="6" t="s">
        <v>917</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968</v>
      </c>
    </row>
    <row r="105" spans="1:6" ht="272.25">
      <c r="A105" s="17">
        <f>ROW()</f>
        <v>105</v>
      </c>
      <c r="B105" s="18" t="s">
        <v>2702</v>
      </c>
      <c r="C105" s="19" t="s">
        <v>2775</v>
      </c>
      <c r="D105" s="19" t="str">
        <f t="shared" si="5"/>
        <v>Auf Leistungen anfallende Sozialabgaben</v>
      </c>
      <c r="E105" s="33" t="s">
        <v>2683</v>
      </c>
      <c r="F105" s="6" t="s">
        <v>1706</v>
      </c>
    </row>
    <row r="106" spans="1:6"/>
    <row r="107" spans="1:6"/>
    <row r="108" spans="1:6"/>
    <row r="109" spans="1:6"/>
    <row r="110" spans="1:6"/>
    <row r="111" spans="1:6"/>
    <row r="112" spans="1:6"/>
    <row r="113"/>
  </sheetData>
  <sheetProtection algorithmName="SHA-512" hashValue="FoHmYV4f+imMux7mUeXboVTeaTK86Bzqj8nJNcVQ6yXGIfXDnJm9yRFKSF42lesFu+k2/FINCQo2zkpj648wJA==" saltValue="XGM/KiHIaQA03TgKmbCG6Q==" spinCount="100000" sheet="1" objects="1" scenarios="1" formatColumns="0" autoFilter="0"/>
  <autoFilter ref="A2:F2" xr:uid="{8DE4AF38-F4B5-4761-91D7-59384985C97E}"/>
  <pageMargins left="0.7" right="0.7" top="0.78740157499999996" bottom="0.78740157499999996"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BCAC9-E290-4B1F-869D-D8E2DCD7C7E3}">
  <sheetPr codeName="Tabelle11"/>
  <dimension ref="A1:F113"/>
  <sheetViews>
    <sheetView workbookViewId="0">
      <pane xSplit="5" ySplit="2" topLeftCell="F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zeroHeight="1"/>
  <cols>
    <col min="1" max="1" width="3.8554687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39" t="s">
        <v>2726</v>
      </c>
      <c r="C1" s="136" t="s">
        <v>2739</v>
      </c>
      <c r="D1" s="136" t="s">
        <v>2728</v>
      </c>
      <c r="E1" s="128" t="s">
        <v>3506</v>
      </c>
      <c r="F1" s="16" t="s">
        <v>9</v>
      </c>
    </row>
    <row r="2" spans="1:6" ht="39.75" customHeight="1">
      <c r="A2" s="138"/>
      <c r="B2" s="139"/>
      <c r="C2" s="136"/>
      <c r="D2" s="136"/>
      <c r="E2" s="134"/>
      <c r="F2" s="173" t="str" cm="1">
        <f t="array" ref="F2">_xlfn.TEXTJOIN("; ", TRUE, IF(Entscheidungen!A2:A100=F1, Entscheidungen!B2:B100, ""))</f>
        <v/>
      </c>
    </row>
    <row r="3" spans="1:6" ht="177">
      <c r="A3" s="17">
        <f>ROW()</f>
        <v>3</v>
      </c>
      <c r="B3" s="18" t="s">
        <v>2740</v>
      </c>
      <c r="C3" s="18"/>
      <c r="D3" s="18" t="str">
        <f>+E3</f>
        <v>Geltende Rechtsgrundlage</v>
      </c>
      <c r="E3" s="31" t="s">
        <v>2724</v>
      </c>
      <c r="F3" s="6" t="s">
        <v>3260</v>
      </c>
    </row>
    <row r="4" spans="1:6" ht="110.25">
      <c r="A4" s="17">
        <f>ROW()</f>
        <v>4</v>
      </c>
      <c r="B4" s="18" t="s">
        <v>2740</v>
      </c>
      <c r="C4" s="1"/>
      <c r="D4" s="18" t="str">
        <f t="shared" ref="D4:D34" si="0">+E4</f>
        <v>Grundprinzipien</v>
      </c>
      <c r="E4" s="32" t="s">
        <v>2709</v>
      </c>
      <c r="F4" s="6" t="s">
        <v>4658</v>
      </c>
    </row>
    <row r="5" spans="1:6" ht="132" customHeight="1">
      <c r="A5" s="17">
        <f>ROW()</f>
        <v>5</v>
      </c>
      <c r="B5" s="18" t="s">
        <v>2740</v>
      </c>
      <c r="C5" s="1"/>
      <c r="D5" s="18" t="str">
        <f t="shared" si="0"/>
        <v>Gedecktes Risiko: Definition</v>
      </c>
      <c r="E5" s="32" t="s">
        <v>2891</v>
      </c>
      <c r="F5" s="6" t="s">
        <v>4659</v>
      </c>
    </row>
    <row r="6" spans="1:6" ht="144">
      <c r="A6" s="17">
        <f>ROW()</f>
        <v>6</v>
      </c>
      <c r="B6" s="18" t="s">
        <v>2740</v>
      </c>
      <c r="C6" s="18" t="s">
        <v>2653</v>
      </c>
      <c r="D6" s="18" t="str">
        <f t="shared" si="0"/>
        <v>Versicherte Personen</v>
      </c>
      <c r="E6" s="33" t="s">
        <v>2653</v>
      </c>
      <c r="F6" s="6" t="s">
        <v>3261</v>
      </c>
    </row>
    <row r="7" spans="1:6" ht="273">
      <c r="A7" s="17">
        <f>ROW()</f>
        <v>7</v>
      </c>
      <c r="B7" s="18" t="s">
        <v>2740</v>
      </c>
      <c r="C7" s="18" t="str">
        <f>+E6</f>
        <v>Versicherte Personen</v>
      </c>
      <c r="D7" s="18" t="str">
        <f t="shared" si="0"/>
        <v>Ausnahmen von der Versicherungspflicht</v>
      </c>
      <c r="E7" s="33" t="s">
        <v>2685</v>
      </c>
      <c r="F7" s="6" t="s">
        <v>3262</v>
      </c>
    </row>
    <row r="8" spans="1:6" ht="194.25">
      <c r="A8" s="17">
        <f>ROW()</f>
        <v>8</v>
      </c>
      <c r="B8" s="18" t="s">
        <v>2740</v>
      </c>
      <c r="C8" s="19" t="s">
        <v>149</v>
      </c>
      <c r="D8" s="18" t="str">
        <f t="shared" si="0"/>
        <v>1. Anwartschaftszeit</v>
      </c>
      <c r="E8" s="33" t="s">
        <v>2744</v>
      </c>
      <c r="F8" s="6" t="s">
        <v>4660</v>
      </c>
    </row>
    <row r="9" spans="1:6" ht="409.5">
      <c r="A9" s="17">
        <f>ROW()</f>
        <v>9</v>
      </c>
      <c r="B9" s="18" t="s">
        <v>2740</v>
      </c>
      <c r="C9" s="19" t="s">
        <v>149</v>
      </c>
      <c r="D9" s="18" t="str">
        <f t="shared" si="0"/>
        <v xml:space="preserve">2. Begutachtungskriterien und Kategorien der Arbeitsunfähigkeit/Arbeitsfähigkeit  </v>
      </c>
      <c r="E9" s="33" t="s">
        <v>2745</v>
      </c>
      <c r="F9" s="6" t="s">
        <v>3263</v>
      </c>
    </row>
    <row r="10" spans="1:6" ht="222">
      <c r="A10" s="17">
        <f>ROW()</f>
        <v>10</v>
      </c>
      <c r="B10" s="18" t="s">
        <v>2740</v>
      </c>
      <c r="C10" s="19" t="s">
        <v>149</v>
      </c>
      <c r="D10" s="18" t="str">
        <f t="shared" si="0"/>
        <v>3. Zeitraum der Leistungszahlung</v>
      </c>
      <c r="E10" s="33" t="s">
        <v>2747</v>
      </c>
      <c r="F10" s="6" t="s">
        <v>3264</v>
      </c>
    </row>
    <row r="11" spans="1:6" ht="150">
      <c r="A11" s="17">
        <f>ROW()</f>
        <v>11</v>
      </c>
      <c r="B11" s="18" t="s">
        <v>2740</v>
      </c>
      <c r="C11" s="19" t="s">
        <v>2749</v>
      </c>
      <c r="D11" s="18" t="str">
        <f t="shared" si="0"/>
        <v>1. Gutachter</v>
      </c>
      <c r="E11" s="33" t="s">
        <v>2750</v>
      </c>
      <c r="F11" s="6" t="s">
        <v>3265</v>
      </c>
    </row>
    <row r="12" spans="1:6" ht="111.75">
      <c r="A12" s="17">
        <f>ROW()</f>
        <v>12</v>
      </c>
      <c r="B12" s="18" t="s">
        <v>2740</v>
      </c>
      <c r="C12" s="19" t="s">
        <v>2749</v>
      </c>
      <c r="D12" s="18" t="str">
        <f t="shared" si="0"/>
        <v xml:space="preserve">2. Überprüfung  </v>
      </c>
      <c r="E12" s="33" t="s">
        <v>2751</v>
      </c>
      <c r="F12" s="6" t="s">
        <v>3266</v>
      </c>
    </row>
    <row r="13" spans="1:6" ht="409.5">
      <c r="A13" s="17">
        <f>ROW()</f>
        <v>13</v>
      </c>
      <c r="B13" s="18" t="s">
        <v>2740</v>
      </c>
      <c r="C13" s="18" t="s">
        <v>2695</v>
      </c>
      <c r="D13" s="18" t="str">
        <f t="shared" si="0"/>
        <v>1. Berechnungsmethode bzw. Rentenformel</v>
      </c>
      <c r="E13" s="33" t="s">
        <v>2753</v>
      </c>
      <c r="F13" s="6" t="s">
        <v>4661</v>
      </c>
    </row>
    <row r="14" spans="1:6" ht="343.5">
      <c r="A14" s="17">
        <f>ROW()</f>
        <v>14</v>
      </c>
      <c r="B14" s="18" t="s">
        <v>2740</v>
      </c>
      <c r="C14" s="18" t="s">
        <v>2695</v>
      </c>
      <c r="D14" s="18" t="str">
        <f t="shared" si="0"/>
        <v>2. Referenzeinkommen bzw. Berechnungsgrundlage</v>
      </c>
      <c r="E14" s="33" t="s">
        <v>2754</v>
      </c>
      <c r="F14" s="6" t="s">
        <v>3267</v>
      </c>
    </row>
    <row r="15" spans="1:6" ht="226.5">
      <c r="A15" s="17">
        <f>ROW()</f>
        <v>15</v>
      </c>
      <c r="B15" s="18" t="s">
        <v>2740</v>
      </c>
      <c r="C15" s="18" t="s">
        <v>2695</v>
      </c>
      <c r="D15" s="18" t="str">
        <f t="shared" si="0"/>
        <v>3. Mindest- und Höchstleistungen</v>
      </c>
      <c r="E15" s="33" t="s">
        <v>2756</v>
      </c>
      <c r="F15" s="6" t="s">
        <v>3268</v>
      </c>
    </row>
    <row r="16" spans="1:6" ht="405">
      <c r="A16" s="17">
        <f>ROW()</f>
        <v>16</v>
      </c>
      <c r="B16" s="18" t="s">
        <v>2740</v>
      </c>
      <c r="C16" s="18" t="s">
        <v>2695</v>
      </c>
      <c r="D16" s="18" t="str">
        <f t="shared" si="0"/>
        <v>4. Anrechenbare oder als Beitragszeiten gewertete Zeiträume</v>
      </c>
      <c r="E16" s="33" t="s">
        <v>2757</v>
      </c>
      <c r="F16" s="6" t="s">
        <v>3269</v>
      </c>
    </row>
    <row r="17" spans="1:6" ht="250.5">
      <c r="A17" s="17">
        <f>ROW()</f>
        <v>17</v>
      </c>
      <c r="B17" s="18" t="s">
        <v>2740</v>
      </c>
      <c r="C17" s="18" t="s">
        <v>2695</v>
      </c>
      <c r="D17" s="18" t="str">
        <f t="shared" si="0"/>
        <v xml:space="preserve">5. Zulagen für Unterhaltsberechtigte  </v>
      </c>
      <c r="E17" s="33" t="s">
        <v>2759</v>
      </c>
      <c r="F17" s="6" t="s">
        <v>3270</v>
      </c>
    </row>
    <row r="18" spans="1:6" ht="210">
      <c r="A18" s="17">
        <f>ROW()</f>
        <v>18</v>
      </c>
      <c r="B18" s="18" t="s">
        <v>2740</v>
      </c>
      <c r="C18" s="18" t="str">
        <f>+E18</f>
        <v>Sonstige Leistungen</v>
      </c>
      <c r="D18" s="18" t="str">
        <f>+E18</f>
        <v>Sonstige Leistungen</v>
      </c>
      <c r="E18" s="32" t="s">
        <v>2678</v>
      </c>
      <c r="F18" s="6" t="s">
        <v>4662</v>
      </c>
    </row>
    <row r="19" spans="1:6" ht="330">
      <c r="A19" s="17">
        <f>ROW()</f>
        <v>19</v>
      </c>
      <c r="B19" s="18" t="s">
        <v>2740</v>
      </c>
      <c r="C19" s="18" t="s">
        <v>2761</v>
      </c>
      <c r="D19" s="18" t="str">
        <f t="shared" si="0"/>
        <v>Umschulung, berufsbezogene Rehabilitation</v>
      </c>
      <c r="E19" s="33" t="s">
        <v>2762</v>
      </c>
      <c r="F19" s="6" t="s">
        <v>4663</v>
      </c>
    </row>
    <row r="20" spans="1:6" ht="409.5">
      <c r="A20" s="17">
        <f>ROW()</f>
        <v>20</v>
      </c>
      <c r="B20" s="18" t="s">
        <v>2740</v>
      </c>
      <c r="C20" s="18" t="s">
        <v>2761</v>
      </c>
      <c r="D20" s="18" t="str">
        <f t="shared" si="0"/>
        <v xml:space="preserve">Bevorzugte und reservierte Beschäftigung von Menschen mit Behinderungen  </v>
      </c>
      <c r="E20" s="33" t="s">
        <v>2763</v>
      </c>
      <c r="F20" s="6" t="s">
        <v>3271</v>
      </c>
    </row>
    <row r="21" spans="1:6" ht="171.75">
      <c r="A21" s="17">
        <f>ROW()</f>
        <v>21</v>
      </c>
      <c r="B21" s="18" t="s">
        <v>2740</v>
      </c>
      <c r="C21" s="18" t="s">
        <v>2765</v>
      </c>
      <c r="D21" s="18" t="str">
        <f t="shared" si="0"/>
        <v>Indexbindung/Anpassung</v>
      </c>
      <c r="E21" s="32" t="s">
        <v>2766</v>
      </c>
      <c r="F21" s="6" t="s">
        <v>3272</v>
      </c>
    </row>
    <row r="22" spans="1:6" ht="242.25">
      <c r="A22" s="17">
        <f>ROW()</f>
        <v>22</v>
      </c>
      <c r="B22" s="18" t="s">
        <v>2740</v>
      </c>
      <c r="C22" s="18" t="s">
        <v>2765</v>
      </c>
      <c r="D22" s="18" t="str">
        <f>+E22</f>
        <v>Kumulation mit Erwerbseinkommen</v>
      </c>
      <c r="E22" s="32" t="s">
        <v>2723</v>
      </c>
      <c r="F22" s="6" t="s">
        <v>3273</v>
      </c>
    </row>
    <row r="23" spans="1:6" ht="275.25">
      <c r="A23" s="17">
        <f>ROW()</f>
        <v>23</v>
      </c>
      <c r="B23" s="18" t="s">
        <v>2740</v>
      </c>
      <c r="C23" s="18" t="s">
        <v>2765</v>
      </c>
      <c r="D23" s="18" t="str">
        <f t="shared" si="0"/>
        <v>Kumulation mit anderen Sozialleistungen</v>
      </c>
      <c r="E23" s="32" t="s">
        <v>2696</v>
      </c>
      <c r="F23" s="6" t="s">
        <v>3274</v>
      </c>
    </row>
    <row r="24" spans="1:6" ht="232.5">
      <c r="A24" s="17">
        <f>ROW()</f>
        <v>24</v>
      </c>
      <c r="B24" s="18" t="s">
        <v>2740</v>
      </c>
      <c r="C24" s="18" t="s">
        <v>2701</v>
      </c>
      <c r="D24" s="18" t="str">
        <f t="shared" si="0"/>
        <v>1. Besteuerung von Geldleistungen</v>
      </c>
      <c r="E24" s="33" t="s">
        <v>2770</v>
      </c>
      <c r="F24" s="6" t="s">
        <v>3275</v>
      </c>
    </row>
    <row r="25" spans="1:6" ht="387">
      <c r="A25" s="17">
        <f>ROW()</f>
        <v>25</v>
      </c>
      <c r="B25" s="18" t="s">
        <v>2740</v>
      </c>
      <c r="C25" s="18" t="s">
        <v>2701</v>
      </c>
      <c r="D25" s="18" t="str">
        <f t="shared" si="0"/>
        <v>2. Einkommensgrenze für Besteuerung von Geldleistungen</v>
      </c>
      <c r="E25" s="33" t="s">
        <v>2772</v>
      </c>
      <c r="F25" s="6" t="s">
        <v>3276</v>
      </c>
    </row>
    <row r="26" spans="1:6" ht="288.75">
      <c r="A26" s="17">
        <f>ROW()</f>
        <v>26</v>
      </c>
      <c r="B26" s="18" t="s">
        <v>2740</v>
      </c>
      <c r="C26" s="18" t="s">
        <v>2701</v>
      </c>
      <c r="D26" s="18" t="str">
        <f t="shared" si="0"/>
        <v>3. Auf Leistungen anfallende Sozialabgaben</v>
      </c>
      <c r="E26" s="33" t="s">
        <v>2773</v>
      </c>
      <c r="F26" s="6" t="s">
        <v>820</v>
      </c>
    </row>
    <row r="27" spans="1:6" ht="138">
      <c r="A27" s="17">
        <f>ROW()</f>
        <v>27</v>
      </c>
      <c r="B27" s="18" t="s">
        <v>2740</v>
      </c>
      <c r="C27" s="18" t="s">
        <v>2775</v>
      </c>
      <c r="D27" s="18" t="str">
        <f t="shared" si="0"/>
        <v>Anwendungsbereich</v>
      </c>
      <c r="E27" s="33" t="s">
        <v>2708</v>
      </c>
      <c r="F27" s="6" t="s">
        <v>3277</v>
      </c>
    </row>
    <row r="28" spans="1:6" ht="110.25">
      <c r="A28" s="17">
        <f>ROW()</f>
        <v>28</v>
      </c>
      <c r="B28" s="18" t="s">
        <v>2740</v>
      </c>
      <c r="C28" s="18" t="s">
        <v>2775</v>
      </c>
      <c r="D28" s="18" t="str">
        <f t="shared" si="0"/>
        <v>Grundprinzipien</v>
      </c>
      <c r="E28" s="33" t="s">
        <v>2709</v>
      </c>
      <c r="F28" s="6" t="s">
        <v>3278</v>
      </c>
    </row>
    <row r="29" spans="1:6" ht="224.25">
      <c r="A29" s="17">
        <f>ROW()</f>
        <v>29</v>
      </c>
      <c r="B29" s="18" t="s">
        <v>2740</v>
      </c>
      <c r="C29" s="18" t="s">
        <v>2775</v>
      </c>
      <c r="D29" s="18" t="str">
        <f t="shared" si="0"/>
        <v>Voraussetzungen für die Deckung</v>
      </c>
      <c r="E29" s="33" t="s">
        <v>2710</v>
      </c>
      <c r="F29" s="6" t="s">
        <v>901</v>
      </c>
    </row>
    <row r="30" spans="1:6" ht="409.5">
      <c r="A30" s="17">
        <f>ROW()</f>
        <v>30</v>
      </c>
      <c r="B30" s="18" t="s">
        <v>2740</v>
      </c>
      <c r="C30" s="18" t="s">
        <v>2775</v>
      </c>
      <c r="D30" s="19" t="str">
        <f t="shared" si="0"/>
        <v>Kombination von selbstständiger und unselbstständiger Tätigkeit</v>
      </c>
      <c r="E30" s="33" t="s">
        <v>2698</v>
      </c>
      <c r="F30" s="6" t="s">
        <v>920</v>
      </c>
    </row>
    <row r="31" spans="1:6" ht="376.5">
      <c r="A31" s="17">
        <f>ROW()</f>
        <v>31</v>
      </c>
      <c r="B31" s="18" t="s">
        <v>2740</v>
      </c>
      <c r="C31" s="18" t="s">
        <v>2695</v>
      </c>
      <c r="D31" s="19" t="str">
        <f t="shared" si="0"/>
        <v xml:space="preserve">Voraussetzungen für den Zugang zu Diensten/Leistungen </v>
      </c>
      <c r="E31" s="33" t="s">
        <v>2699</v>
      </c>
      <c r="F31" s="6" t="s">
        <v>2905</v>
      </c>
    </row>
    <row r="32" spans="1:6" ht="253.5">
      <c r="A32" s="17">
        <f>ROW()</f>
        <v>32</v>
      </c>
      <c r="B32" s="18" t="s">
        <v>2740</v>
      </c>
      <c r="C32" s="18" t="s">
        <v>2695</v>
      </c>
      <c r="D32" s="18" t="str">
        <f t="shared" si="0"/>
        <v>Beträge, Dauer und Kostenbeteiligung</v>
      </c>
      <c r="E32" s="33" t="s">
        <v>2700</v>
      </c>
      <c r="F32" s="6" t="s">
        <v>917</v>
      </c>
    </row>
    <row r="33" spans="1:6" ht="216">
      <c r="A33" s="17">
        <f>ROW()</f>
        <v>33</v>
      </c>
      <c r="B33" s="18" t="s">
        <v>2740</v>
      </c>
      <c r="C33" s="18" t="s">
        <v>2695</v>
      </c>
      <c r="D33" s="18" t="str">
        <f t="shared" si="0"/>
        <v>Besteuerung von Geldleistungen</v>
      </c>
      <c r="E33" s="33" t="s">
        <v>2681</v>
      </c>
      <c r="F33" s="6" t="s">
        <v>917</v>
      </c>
    </row>
    <row r="34" spans="1:6" ht="276.75">
      <c r="A34" s="17">
        <f>ROW()</f>
        <v>34</v>
      </c>
      <c r="B34" s="18" t="s">
        <v>2740</v>
      </c>
      <c r="C34" s="18" t="s">
        <v>2695</v>
      </c>
      <c r="D34" s="18" t="str">
        <f t="shared" si="0"/>
        <v xml:space="preserve"> Auf Leistungen anfallende Sozialabgaben</v>
      </c>
      <c r="E34" s="33" t="s">
        <v>2779</v>
      </c>
      <c r="F34" s="6" t="s">
        <v>373</v>
      </c>
    </row>
    <row r="35" spans="1:6" ht="177">
      <c r="A35" s="17">
        <f>ROW()</f>
        <v>35</v>
      </c>
      <c r="B35" s="18" t="s">
        <v>2780</v>
      </c>
      <c r="C35" s="18" t="str">
        <f>+D35</f>
        <v>Geltende Rechtsgrundlage</v>
      </c>
      <c r="D35" s="18" t="str">
        <f>+E35</f>
        <v>Geltende Rechtsgrundlage</v>
      </c>
      <c r="E35" s="32" t="s">
        <v>2724</v>
      </c>
      <c r="F35" s="6" t="s">
        <v>40</v>
      </c>
    </row>
    <row r="36" spans="1:6" ht="135">
      <c r="A36" s="17">
        <f>ROW()</f>
        <v>36</v>
      </c>
      <c r="B36" s="18" t="s">
        <v>2780</v>
      </c>
      <c r="C36" s="18" t="str">
        <f>+D36</f>
        <v>Grundprinzipien</v>
      </c>
      <c r="D36" s="18" t="str">
        <f>+E36</f>
        <v>Grundprinzipien</v>
      </c>
      <c r="E36" s="32" t="s">
        <v>2709</v>
      </c>
      <c r="F36" s="6" t="s">
        <v>71</v>
      </c>
    </row>
    <row r="37" spans="1:6" ht="159.75">
      <c r="A37" s="17">
        <f>ROW()</f>
        <v>37</v>
      </c>
      <c r="B37" s="18" t="s">
        <v>2780</v>
      </c>
      <c r="C37" s="18" t="s">
        <v>2708</v>
      </c>
      <c r="D37" s="18" t="str">
        <f>+E37</f>
        <v>1. Versicherte Personen</v>
      </c>
      <c r="E37" s="33" t="s">
        <v>2781</v>
      </c>
      <c r="F37" s="6" t="s">
        <v>103</v>
      </c>
    </row>
    <row r="38" spans="1:6" ht="371.25">
      <c r="A38" s="17">
        <f>ROW()</f>
        <v>38</v>
      </c>
      <c r="B38" s="18" t="s">
        <v>2780</v>
      </c>
      <c r="C38" s="18" t="s">
        <v>2708</v>
      </c>
      <c r="D38" s="18" t="str">
        <f t="shared" ref="D38:D58" si="1">+E38</f>
        <v>2. Ausnahmen von der Deckung  der Pflichtversicherung</v>
      </c>
      <c r="E38" s="33" t="s">
        <v>2782</v>
      </c>
      <c r="F38" s="6" t="s">
        <v>132</v>
      </c>
    </row>
    <row r="39" spans="1:6" ht="194.25">
      <c r="A39" s="17">
        <f>ROW()</f>
        <v>39</v>
      </c>
      <c r="B39" s="18" t="s">
        <v>2780</v>
      </c>
      <c r="C39" s="18" t="s">
        <v>149</v>
      </c>
      <c r="D39" s="18" t="str">
        <f t="shared" si="1"/>
        <v>1. Rentenalter</v>
      </c>
      <c r="E39" s="33" t="s">
        <v>2784</v>
      </c>
      <c r="F39" s="6" t="s">
        <v>159</v>
      </c>
    </row>
    <row r="40" spans="1:6" ht="409.5">
      <c r="A40" s="17">
        <f>ROW()</f>
        <v>40</v>
      </c>
      <c r="B40" s="18" t="s">
        <v>2780</v>
      </c>
      <c r="C40" s="18" t="s">
        <v>149</v>
      </c>
      <c r="D40" s="18" t="str">
        <f t="shared" si="1"/>
        <v>2. Anwartschaftszeit und sonstige Anspruchsvoraussetzungen für den Bezug einer Altersrente</v>
      </c>
      <c r="E40" s="33" t="s">
        <v>2785</v>
      </c>
      <c r="F40" s="6" t="s">
        <v>190</v>
      </c>
    </row>
    <row r="41" spans="1:6" ht="194.25">
      <c r="A41" s="17">
        <f>ROW()</f>
        <v>41</v>
      </c>
      <c r="B41" s="18" t="s">
        <v>2780</v>
      </c>
      <c r="C41" s="18" t="s">
        <v>149</v>
      </c>
      <c r="D41" s="18" t="str">
        <f t="shared" si="1"/>
        <v>3. Vorruhestand</v>
      </c>
      <c r="E41" s="33" t="s">
        <v>2786</v>
      </c>
      <c r="F41" s="6" t="s">
        <v>221</v>
      </c>
    </row>
    <row r="42" spans="1:6" ht="264">
      <c r="A42" s="17">
        <f>ROW()</f>
        <v>42</v>
      </c>
      <c r="B42" s="18" t="s">
        <v>2780</v>
      </c>
      <c r="C42" s="18" t="s">
        <v>149</v>
      </c>
      <c r="D42" s="18" t="str">
        <f t="shared" si="1"/>
        <v>4. Beschwerliche und gefährliche Arbeit</v>
      </c>
      <c r="E42" s="33" t="s">
        <v>2787</v>
      </c>
      <c r="F42" s="6" t="s">
        <v>252</v>
      </c>
    </row>
    <row r="43" spans="1:6" ht="194.25">
      <c r="A43" s="17">
        <f>ROW()</f>
        <v>43</v>
      </c>
      <c r="B43" s="18" t="s">
        <v>2780</v>
      </c>
      <c r="C43" s="18" t="s">
        <v>149</v>
      </c>
      <c r="D43" s="18" t="str">
        <f t="shared" si="1"/>
        <v>5. Rentenaufschub</v>
      </c>
      <c r="E43" s="33" t="s">
        <v>2788</v>
      </c>
      <c r="F43" s="6" t="s">
        <v>280</v>
      </c>
    </row>
    <row r="44" spans="1:6" ht="174">
      <c r="A44" s="17">
        <f>ROW()</f>
        <v>44</v>
      </c>
      <c r="B44" s="18" t="s">
        <v>2780</v>
      </c>
      <c r="C44" s="18" t="s">
        <v>2695</v>
      </c>
      <c r="D44" s="18" t="str">
        <f t="shared" si="1"/>
        <v>1. Bestimmende Faktoren</v>
      </c>
      <c r="E44" s="33" t="s">
        <v>2789</v>
      </c>
      <c r="F44" s="6" t="s">
        <v>306</v>
      </c>
    </row>
    <row r="45" spans="1:6" ht="409.5">
      <c r="A45" s="17">
        <f>ROW()</f>
        <v>45</v>
      </c>
      <c r="B45" s="18" t="s">
        <v>2780</v>
      </c>
      <c r="C45" s="18" t="s">
        <v>2695</v>
      </c>
      <c r="D45" s="18" t="str">
        <f t="shared" si="1"/>
        <v>2. Berechnungsmethode, Rentenformel bzw. Beträge</v>
      </c>
      <c r="E45" s="33" t="s">
        <v>2790</v>
      </c>
      <c r="F45" s="6" t="s">
        <v>4664</v>
      </c>
    </row>
    <row r="46" spans="1:6" ht="343.5">
      <c r="A46" s="17">
        <f>ROW()</f>
        <v>46</v>
      </c>
      <c r="B46" s="18" t="s">
        <v>2780</v>
      </c>
      <c r="C46" s="18" t="s">
        <v>2695</v>
      </c>
      <c r="D46" s="18" t="str">
        <f t="shared" si="1"/>
        <v>3. Referenzeinkommen bzw. Berechnungsgrundlage</v>
      </c>
      <c r="E46" s="33" t="s">
        <v>2791</v>
      </c>
      <c r="F46" s="6" t="s">
        <v>368</v>
      </c>
    </row>
    <row r="47" spans="1:6" ht="405">
      <c r="A47" s="17">
        <f>ROW()</f>
        <v>47</v>
      </c>
      <c r="B47" s="18" t="s">
        <v>2780</v>
      </c>
      <c r="C47" s="18" t="s">
        <v>2695</v>
      </c>
      <c r="D47" s="18" t="str">
        <f t="shared" si="1"/>
        <v>4. Anrechenbare oder als Beitragszeiten gewertete Zeiträume</v>
      </c>
      <c r="E47" s="33" t="s">
        <v>2757</v>
      </c>
      <c r="F47" s="6" t="s">
        <v>399</v>
      </c>
    </row>
    <row r="48" spans="1:6" ht="243.75">
      <c r="A48" s="17">
        <f>ROW()</f>
        <v>48</v>
      </c>
      <c r="B48" s="18" t="s">
        <v>2780</v>
      </c>
      <c r="C48" s="18" t="s">
        <v>2695</v>
      </c>
      <c r="D48" s="18" t="str">
        <f t="shared" si="1"/>
        <v>5. Rückkauf von Versicherungszeiten</v>
      </c>
      <c r="E48" s="33" t="s">
        <v>2792</v>
      </c>
      <c r="F48" s="6" t="s">
        <v>429</v>
      </c>
    </row>
    <row r="49" spans="1:6" ht="246">
      <c r="A49" s="17">
        <f>ROW()</f>
        <v>49</v>
      </c>
      <c r="B49" s="18" t="s">
        <v>2780</v>
      </c>
      <c r="C49" s="18" t="s">
        <v>2695</v>
      </c>
      <c r="D49" s="18" t="str">
        <f t="shared" si="1"/>
        <v>6.  Zulagen für Unterhaltsberechtigte</v>
      </c>
      <c r="E49" s="33" t="s">
        <v>2892</v>
      </c>
      <c r="F49" s="6" t="s">
        <v>455</v>
      </c>
    </row>
    <row r="50" spans="1:6" ht="145.5">
      <c r="A50" s="17">
        <f>ROW()</f>
        <v>50</v>
      </c>
      <c r="B50" s="18" t="s">
        <v>2780</v>
      </c>
      <c r="C50" s="18" t="s">
        <v>2695</v>
      </c>
      <c r="D50" s="18" t="str">
        <f t="shared" si="1"/>
        <v>7. Besondere Zulagen</v>
      </c>
      <c r="E50" s="33" t="s">
        <v>2793</v>
      </c>
      <c r="F50" s="6" t="s">
        <v>4665</v>
      </c>
    </row>
    <row r="51" spans="1:6" ht="360.75">
      <c r="A51" s="17">
        <f>ROW()</f>
        <v>51</v>
      </c>
      <c r="B51" s="18" t="s">
        <v>2780</v>
      </c>
      <c r="C51" s="18" t="s">
        <v>2695</v>
      </c>
      <c r="D51" s="18" t="str">
        <f t="shared" si="1"/>
        <v>8. Mindestrente und bedürftigkeitsabhängige Leistung</v>
      </c>
      <c r="E51" s="33" t="s">
        <v>2794</v>
      </c>
      <c r="F51" s="6" t="s">
        <v>508</v>
      </c>
    </row>
    <row r="52" spans="1:6" ht="101.25">
      <c r="A52" s="17">
        <f>ROW()</f>
        <v>52</v>
      </c>
      <c r="B52" s="18" t="s">
        <v>2780</v>
      </c>
      <c r="C52" s="18" t="s">
        <v>2695</v>
      </c>
      <c r="D52" s="18" t="str">
        <f t="shared" si="1"/>
        <v>9. Höchstrente</v>
      </c>
      <c r="E52" s="33" t="s">
        <v>2795</v>
      </c>
      <c r="F52" s="6" t="s">
        <v>538</v>
      </c>
    </row>
    <row r="53" spans="1:6" ht="119.25">
      <c r="A53" s="17">
        <f>ROW()</f>
        <v>53</v>
      </c>
      <c r="B53" s="18" t="s">
        <v>2780</v>
      </c>
      <c r="C53" s="18" t="s">
        <v>2695</v>
      </c>
      <c r="D53" s="18" t="str">
        <f t="shared" si="1"/>
        <v>10. Vorruhestand</v>
      </c>
      <c r="E53" s="33" t="s">
        <v>2796</v>
      </c>
      <c r="F53" s="6" t="s">
        <v>565</v>
      </c>
    </row>
    <row r="54" spans="1:6" ht="272.25">
      <c r="A54" s="17">
        <f>ROW()</f>
        <v>54</v>
      </c>
      <c r="B54" s="18" t="s">
        <v>2780</v>
      </c>
      <c r="C54" s="18" t="s">
        <v>2695</v>
      </c>
      <c r="D54" s="18" t="str">
        <f t="shared" si="1"/>
        <v>11. Beschwerliche und gefährliche Arbeit</v>
      </c>
      <c r="E54" s="33" t="s">
        <v>2797</v>
      </c>
      <c r="F54" s="6" t="s">
        <v>592</v>
      </c>
    </row>
    <row r="55" spans="1:6" ht="120">
      <c r="A55" s="17">
        <f>ROW()</f>
        <v>55</v>
      </c>
      <c r="B55" s="18" t="s">
        <v>2780</v>
      </c>
      <c r="C55" s="18" t="s">
        <v>2695</v>
      </c>
      <c r="D55" s="18" t="str">
        <f t="shared" si="1"/>
        <v>12. Teilrente</v>
      </c>
      <c r="E55" s="33" t="s">
        <v>2798</v>
      </c>
      <c r="F55" s="6" t="s">
        <v>619</v>
      </c>
    </row>
    <row r="56" spans="1:6" ht="171.75">
      <c r="A56" s="17">
        <f>ROW()</f>
        <v>56</v>
      </c>
      <c r="B56" s="18" t="s">
        <v>2780</v>
      </c>
      <c r="C56" s="18" t="s">
        <v>2695</v>
      </c>
      <c r="D56" s="18" t="str">
        <f t="shared" si="1"/>
        <v>13. Aufgeschobene Rente</v>
      </c>
      <c r="E56" s="33" t="s">
        <v>2893</v>
      </c>
      <c r="F56" s="6" t="s">
        <v>646</v>
      </c>
    </row>
    <row r="57" spans="1:6" ht="179.25">
      <c r="A57" s="17">
        <f>ROW()</f>
        <v>57</v>
      </c>
      <c r="B57" s="18" t="s">
        <v>2780</v>
      </c>
      <c r="C57" s="18" t="s">
        <v>2799</v>
      </c>
      <c r="D57" s="18" t="s">
        <v>2799</v>
      </c>
      <c r="E57" s="32" t="s">
        <v>2799</v>
      </c>
      <c r="F57" s="6" t="s">
        <v>677</v>
      </c>
    </row>
    <row r="58" spans="1:6" ht="246">
      <c r="A58" s="17">
        <f>ROW()</f>
        <v>58</v>
      </c>
      <c r="B58" s="18" t="s">
        <v>2780</v>
      </c>
      <c r="C58" s="18" t="s">
        <v>2799</v>
      </c>
      <c r="D58" s="18" t="str">
        <f t="shared" si="1"/>
        <v xml:space="preserve">Kumulation mit Erwerbseinkommen </v>
      </c>
      <c r="E58" s="32" t="s">
        <v>2697</v>
      </c>
      <c r="F58" s="6" t="s">
        <v>708</v>
      </c>
    </row>
    <row r="59" spans="1:6" ht="286.5">
      <c r="A59" s="17">
        <f>ROW()</f>
        <v>59</v>
      </c>
      <c r="B59" s="18" t="s">
        <v>2780</v>
      </c>
      <c r="C59" s="18" t="s">
        <v>2799</v>
      </c>
      <c r="D59" s="18" t="s">
        <v>2800</v>
      </c>
      <c r="E59" s="32" t="s">
        <v>2696</v>
      </c>
      <c r="F59" s="6" t="s">
        <v>739</v>
      </c>
    </row>
    <row r="60" spans="1:6" ht="225.75">
      <c r="A60" s="17">
        <f>ROW()</f>
        <v>60</v>
      </c>
      <c r="B60" s="18" t="s">
        <v>2780</v>
      </c>
      <c r="C60" s="18" t="s">
        <v>761</v>
      </c>
      <c r="D60" s="18" t="str">
        <f t="shared" ref="D60:D70" si="2">+E60</f>
        <v>1. Besteuerung von Renten</v>
      </c>
      <c r="E60" s="33" t="s">
        <v>2801</v>
      </c>
      <c r="F60" s="6" t="s">
        <v>771</v>
      </c>
    </row>
    <row r="61" spans="1:6" ht="335.25">
      <c r="A61" s="17">
        <f>ROW()</f>
        <v>61</v>
      </c>
      <c r="B61" s="18" t="s">
        <v>2780</v>
      </c>
      <c r="C61" s="18" t="s">
        <v>761</v>
      </c>
      <c r="D61" s="18" t="str">
        <f t="shared" si="2"/>
        <v>2. Einkommensgrenze für Besteuerung von Renten</v>
      </c>
      <c r="E61" s="33" t="s">
        <v>2802</v>
      </c>
      <c r="F61" s="6" t="s">
        <v>797</v>
      </c>
    </row>
    <row r="62" spans="1:6" ht="264">
      <c r="A62" s="17">
        <f>ROW()</f>
        <v>62</v>
      </c>
      <c r="B62" s="18" t="s">
        <v>2780</v>
      </c>
      <c r="C62" s="18" t="s">
        <v>761</v>
      </c>
      <c r="D62" s="18" t="str">
        <f t="shared" si="2"/>
        <v>3. Auf Renten anfallende Sozialabgaben</v>
      </c>
      <c r="E62" s="33" t="s">
        <v>2803</v>
      </c>
      <c r="F62" s="6" t="s">
        <v>820</v>
      </c>
    </row>
    <row r="63" spans="1:6" ht="138">
      <c r="A63" s="17">
        <f>ROW()</f>
        <v>63</v>
      </c>
      <c r="B63" s="18" t="s">
        <v>2804</v>
      </c>
      <c r="C63" s="18" t="str">
        <f>+E63</f>
        <v>Anwendungsbereich</v>
      </c>
      <c r="D63" s="18" t="str">
        <f t="shared" si="2"/>
        <v>Anwendungsbereich</v>
      </c>
      <c r="E63" s="33" t="s">
        <v>2708</v>
      </c>
      <c r="F63" s="6" t="s">
        <v>846</v>
      </c>
    </row>
    <row r="64" spans="1:6" ht="132.75">
      <c r="A64" s="17">
        <f>ROW()</f>
        <v>64</v>
      </c>
      <c r="B64" s="18" t="s">
        <v>2804</v>
      </c>
      <c r="C64" s="18" t="s">
        <v>2775</v>
      </c>
      <c r="D64" s="18" t="str">
        <f t="shared" si="2"/>
        <v>Grundprinzipien</v>
      </c>
      <c r="E64" s="33" t="s">
        <v>2709</v>
      </c>
      <c r="F64" s="6" t="s">
        <v>872</v>
      </c>
    </row>
    <row r="65" spans="1:6" ht="224.25">
      <c r="A65" s="17">
        <f>ROW()</f>
        <v>65</v>
      </c>
      <c r="B65" s="18" t="s">
        <v>2804</v>
      </c>
      <c r="C65" s="18" t="s">
        <v>2775</v>
      </c>
      <c r="D65" s="18" t="str">
        <f t="shared" si="2"/>
        <v>Voraussetzungen für die Deckung</v>
      </c>
      <c r="E65" s="33" t="s">
        <v>2710</v>
      </c>
      <c r="F65" s="6" t="s">
        <v>901</v>
      </c>
    </row>
    <row r="66" spans="1:6" ht="409.5">
      <c r="A66" s="17">
        <f>ROW()</f>
        <v>66</v>
      </c>
      <c r="B66" s="18" t="s">
        <v>2804</v>
      </c>
      <c r="C66" s="18" t="s">
        <v>2775</v>
      </c>
      <c r="D66" s="18" t="str">
        <f t="shared" si="2"/>
        <v>Kombination von selbstständiger und unselbstständiger Tätigkeit</v>
      </c>
      <c r="E66" s="33" t="s">
        <v>2698</v>
      </c>
      <c r="F66" s="6" t="s">
        <v>920</v>
      </c>
    </row>
    <row r="67" spans="1:6" ht="376.5">
      <c r="A67" s="17">
        <f>ROW()</f>
        <v>67</v>
      </c>
      <c r="B67" s="18" t="s">
        <v>2804</v>
      </c>
      <c r="C67" s="18" t="s">
        <v>2695</v>
      </c>
      <c r="D67" s="19" t="str">
        <f t="shared" si="2"/>
        <v xml:space="preserve">Voraussetzungen für den Zugang zu Diensten/Leistungen </v>
      </c>
      <c r="E67" s="33" t="s">
        <v>2699</v>
      </c>
      <c r="F67" s="6" t="s">
        <v>917</v>
      </c>
    </row>
    <row r="68" spans="1:6" ht="253.5">
      <c r="A68" s="17">
        <f>ROW()</f>
        <v>68</v>
      </c>
      <c r="B68" s="18" t="s">
        <v>2804</v>
      </c>
      <c r="C68" s="18" t="s">
        <v>2695</v>
      </c>
      <c r="D68" s="19" t="str">
        <f t="shared" si="2"/>
        <v>Beträge, Dauer und Kostenbeteiligung</v>
      </c>
      <c r="E68" s="33" t="s">
        <v>2700</v>
      </c>
      <c r="F68" s="6" t="s">
        <v>917</v>
      </c>
    </row>
    <row r="69" spans="1:6" ht="216">
      <c r="A69" s="17">
        <f>ROW()</f>
        <v>69</v>
      </c>
      <c r="B69" s="18" t="s">
        <v>2804</v>
      </c>
      <c r="C69" s="18" t="s">
        <v>2695</v>
      </c>
      <c r="D69" s="19" t="str">
        <f t="shared" si="2"/>
        <v>Besteuerung von Geldleistungen</v>
      </c>
      <c r="E69" s="33" t="s">
        <v>2681</v>
      </c>
      <c r="F69" s="6" t="s">
        <v>917</v>
      </c>
    </row>
    <row r="70" spans="1:6" ht="272.25">
      <c r="A70" s="17">
        <f>ROW()</f>
        <v>70</v>
      </c>
      <c r="B70" s="18" t="s">
        <v>2804</v>
      </c>
      <c r="C70" s="18" t="s">
        <v>2695</v>
      </c>
      <c r="D70" s="19" t="str">
        <f t="shared" si="2"/>
        <v>Auf Leistungen anfallende Sozialabgaben</v>
      </c>
      <c r="E70" s="33" t="s">
        <v>2683</v>
      </c>
      <c r="F70" s="6" t="s">
        <v>373</v>
      </c>
    </row>
    <row r="71" spans="1:6" ht="177">
      <c r="A71" s="17">
        <f>ROW()</f>
        <v>71</v>
      </c>
      <c r="B71" s="18" t="s">
        <v>2702</v>
      </c>
      <c r="C71" s="18" t="str">
        <f t="shared" ref="C71:D75" si="3">+D71</f>
        <v>Geltende Rechtsgrundlage</v>
      </c>
      <c r="D71" s="19" t="str">
        <f t="shared" si="3"/>
        <v>Geltende Rechtsgrundlage</v>
      </c>
      <c r="E71" s="32" t="s">
        <v>2724</v>
      </c>
      <c r="F71" s="6" t="s">
        <v>998</v>
      </c>
    </row>
    <row r="72" spans="1:6" ht="110.25">
      <c r="A72" s="17">
        <f>ROW()</f>
        <v>72</v>
      </c>
      <c r="B72" s="18" t="s">
        <v>2702</v>
      </c>
      <c r="C72" s="18" t="str">
        <f t="shared" si="3"/>
        <v>Grundprinzipien</v>
      </c>
      <c r="D72" s="19" t="str">
        <f t="shared" si="3"/>
        <v>Grundprinzipien</v>
      </c>
      <c r="E72" s="32" t="s">
        <v>2709</v>
      </c>
      <c r="F72" s="6" t="s">
        <v>4666</v>
      </c>
    </row>
    <row r="73" spans="1:6" ht="315">
      <c r="A73" s="17">
        <f>ROW()</f>
        <v>73</v>
      </c>
      <c r="B73" s="18" t="s">
        <v>2702</v>
      </c>
      <c r="C73" s="19" t="str">
        <f t="shared" si="3"/>
        <v>Anwendungsbereich (in Bezug auf Verstorbene)</v>
      </c>
      <c r="D73" s="19" t="str">
        <f t="shared" si="3"/>
        <v>Anwendungsbereich (in Bezug auf Verstorbene)</v>
      </c>
      <c r="E73" s="32" t="s">
        <v>2725</v>
      </c>
      <c r="F73" s="6" t="s">
        <v>1055</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132</v>
      </c>
    </row>
    <row r="75" spans="1:6" ht="144.75">
      <c r="A75" s="17">
        <f>ROW()</f>
        <v>75</v>
      </c>
      <c r="B75" s="18" t="s">
        <v>2702</v>
      </c>
      <c r="C75" s="19" t="str">
        <f t="shared" si="3"/>
        <v>Berechtigte Personen</v>
      </c>
      <c r="D75" s="19" t="str">
        <f t="shared" si="3"/>
        <v>Berechtigte Personen</v>
      </c>
      <c r="E75" s="32" t="s">
        <v>2730</v>
      </c>
      <c r="F75" s="6" t="s">
        <v>1100</v>
      </c>
    </row>
    <row r="76" spans="1:6" ht="102">
      <c r="A76" s="17">
        <f>ROW()</f>
        <v>76</v>
      </c>
      <c r="B76" s="18" t="s">
        <v>2702</v>
      </c>
      <c r="C76" s="1"/>
      <c r="D76" s="1"/>
      <c r="E76" s="32" t="s">
        <v>2783</v>
      </c>
      <c r="F76" s="6"/>
    </row>
    <row r="77" spans="1:6" ht="189.75">
      <c r="A77" s="17">
        <f>ROW()</f>
        <v>77</v>
      </c>
      <c r="B77" s="18" t="s">
        <v>2702</v>
      </c>
      <c r="C77" s="18" t="s">
        <v>2805</v>
      </c>
      <c r="D77" s="18" t="str">
        <f t="shared" ref="D77:D90" si="4">+E77</f>
        <v>1. Verstorbener Versicherter</v>
      </c>
      <c r="E77" s="33" t="s">
        <v>2806</v>
      </c>
      <c r="F77" s="6" t="s">
        <v>1131</v>
      </c>
    </row>
    <row r="78" spans="1:6" ht="185.25">
      <c r="A78" s="17">
        <f>ROW()</f>
        <v>78</v>
      </c>
      <c r="B78" s="18" t="s">
        <v>2702</v>
      </c>
      <c r="C78" s="18" t="s">
        <v>2805</v>
      </c>
      <c r="D78" s="18" t="str">
        <f t="shared" si="4"/>
        <v>2. Hinterbliebener Ehegatte</v>
      </c>
      <c r="E78" s="33" t="s">
        <v>2807</v>
      </c>
      <c r="F78" s="6" t="s">
        <v>1162</v>
      </c>
    </row>
    <row r="79" spans="1:6" ht="181.5">
      <c r="A79" s="17">
        <f>ROW()</f>
        <v>79</v>
      </c>
      <c r="B79" s="18" t="s">
        <v>2702</v>
      </c>
      <c r="C79" s="18" t="s">
        <v>2805</v>
      </c>
      <c r="D79" s="18" t="str">
        <f t="shared" si="4"/>
        <v>3. Geschiedener Ehegatte</v>
      </c>
      <c r="E79" s="33" t="s">
        <v>2808</v>
      </c>
      <c r="F79" s="6" t="s">
        <v>1192</v>
      </c>
    </row>
    <row r="80" spans="1:6" ht="216">
      <c r="A80" s="17">
        <f>ROW()</f>
        <v>80</v>
      </c>
      <c r="B80" s="18" t="s">
        <v>2702</v>
      </c>
      <c r="C80" s="18" t="s">
        <v>2805</v>
      </c>
      <c r="D80" s="18" t="str">
        <f t="shared" si="4"/>
        <v>4. Hinterbliebene Lebenspartner</v>
      </c>
      <c r="E80" s="33" t="s">
        <v>2809</v>
      </c>
      <c r="F80" s="6" t="s">
        <v>1217</v>
      </c>
    </row>
    <row r="81" spans="1:6" ht="181.5">
      <c r="A81" s="17">
        <f>ROW()</f>
        <v>81</v>
      </c>
      <c r="B81" s="18" t="s">
        <v>2702</v>
      </c>
      <c r="C81" s="18" t="s">
        <v>2805</v>
      </c>
      <c r="D81" s="18" t="str">
        <f t="shared" si="4"/>
        <v>5. Kinder</v>
      </c>
      <c r="E81" s="33" t="s">
        <v>2810</v>
      </c>
      <c r="F81" s="6" t="s">
        <v>1243</v>
      </c>
    </row>
    <row r="82" spans="1:6" ht="181.5">
      <c r="A82" s="17">
        <f>ROW()</f>
        <v>82</v>
      </c>
      <c r="B82" s="18" t="s">
        <v>2702</v>
      </c>
      <c r="C82" s="18" t="s">
        <v>2805</v>
      </c>
      <c r="D82" s="18" t="str">
        <f t="shared" si="4"/>
        <v>6. Andere Personen</v>
      </c>
      <c r="E82" s="33" t="s">
        <v>2811</v>
      </c>
      <c r="F82" s="6" t="s">
        <v>1268</v>
      </c>
    </row>
    <row r="83" spans="1:6" ht="409.5">
      <c r="A83" s="17">
        <f>ROW()</f>
        <v>83</v>
      </c>
      <c r="B83" s="18" t="s">
        <v>2702</v>
      </c>
      <c r="C83" s="18" t="s">
        <v>2695</v>
      </c>
      <c r="D83" s="19" t="str">
        <f t="shared" si="4"/>
        <v>1. Hinterbliebener Ehegatte, geschiedener Ehegatte, hinterbliebene Lebenspartner</v>
      </c>
      <c r="E83" s="33" t="s">
        <v>2812</v>
      </c>
      <c r="F83" s="6" t="s">
        <v>1291</v>
      </c>
    </row>
    <row r="84" spans="1:6" ht="280.5">
      <c r="A84" s="17">
        <f>ROW()</f>
        <v>84</v>
      </c>
      <c r="B84" s="18" t="s">
        <v>2702</v>
      </c>
      <c r="C84" s="18" t="s">
        <v>2695</v>
      </c>
      <c r="D84" s="19" t="str">
        <f t="shared" si="4"/>
        <v>2. Hinterbliebener Ehegatte: Wiederheirat</v>
      </c>
      <c r="E84" s="33" t="s">
        <v>2813</v>
      </c>
      <c r="F84" s="6" t="s">
        <v>1322</v>
      </c>
    </row>
    <row r="85" spans="1:6" ht="135">
      <c r="A85" s="17">
        <f>ROW()</f>
        <v>85</v>
      </c>
      <c r="B85" s="18" t="s">
        <v>2702</v>
      </c>
      <c r="C85" s="18" t="s">
        <v>2695</v>
      </c>
      <c r="D85" s="19" t="str">
        <f t="shared" si="4"/>
        <v>3. Kinder</v>
      </c>
      <c r="E85" s="33" t="s">
        <v>2814</v>
      </c>
      <c r="F85" s="6" t="s">
        <v>1351</v>
      </c>
    </row>
    <row r="86" spans="1:6" ht="147">
      <c r="A86" s="17">
        <f>ROW()</f>
        <v>86</v>
      </c>
      <c r="B86" s="18" t="s">
        <v>2702</v>
      </c>
      <c r="C86" s="18" t="s">
        <v>2695</v>
      </c>
      <c r="D86" s="19" t="str">
        <f t="shared" si="4"/>
        <v>4. Andere Berechtigte</v>
      </c>
      <c r="E86" s="33" t="s">
        <v>2815</v>
      </c>
      <c r="F86" s="6" t="s">
        <v>1268</v>
      </c>
    </row>
    <row r="87" spans="1:6" ht="381">
      <c r="A87" s="17">
        <f>ROW()</f>
        <v>87</v>
      </c>
      <c r="B87" s="18" t="s">
        <v>2702</v>
      </c>
      <c r="C87" s="18" t="s">
        <v>2695</v>
      </c>
      <c r="D87" s="19" t="str">
        <f t="shared" si="4"/>
        <v xml:space="preserve"> 5. Höchster zahlbarer Gesamtbetrag für alle Berechtigten</v>
      </c>
      <c r="E87" s="33" t="s">
        <v>2816</v>
      </c>
      <c r="F87" s="6" t="s">
        <v>545</v>
      </c>
    </row>
    <row r="88" spans="1:6" ht="151.5">
      <c r="A88" s="17">
        <f>ROW()</f>
        <v>88</v>
      </c>
      <c r="B88" s="18" t="s">
        <v>2702</v>
      </c>
      <c r="C88" s="18" t="s">
        <v>2695</v>
      </c>
      <c r="D88" s="19" t="str">
        <f t="shared" si="4"/>
        <v>6. Sonstige Leistungen</v>
      </c>
      <c r="E88" s="33" t="s">
        <v>2817</v>
      </c>
      <c r="F88" s="6" t="s">
        <v>1421</v>
      </c>
    </row>
    <row r="89" spans="1:6" ht="126.75">
      <c r="A89" s="17">
        <f>ROW()</f>
        <v>89</v>
      </c>
      <c r="B89" s="18" t="s">
        <v>2702</v>
      </c>
      <c r="C89" s="18" t="s">
        <v>2695</v>
      </c>
      <c r="D89" s="19" t="str">
        <f>+E89</f>
        <v>7. Mindestleistung</v>
      </c>
      <c r="E89" s="33" t="s">
        <v>2818</v>
      </c>
      <c r="F89" s="6" t="s">
        <v>1450</v>
      </c>
    </row>
    <row r="90" spans="1:6" ht="122.25">
      <c r="A90" s="17">
        <f>ROW()</f>
        <v>90</v>
      </c>
      <c r="B90" s="18" t="s">
        <v>2702</v>
      </c>
      <c r="C90" s="18" t="s">
        <v>2695</v>
      </c>
      <c r="D90" s="19" t="str">
        <f t="shared" si="4"/>
        <v xml:space="preserve"> 8. Höchstleistung</v>
      </c>
      <c r="E90" s="33" t="s">
        <v>2819</v>
      </c>
      <c r="F90" s="6" t="s">
        <v>1476</v>
      </c>
    </row>
    <row r="91" spans="1:6" ht="179.25">
      <c r="A91" s="17">
        <f>ROW()</f>
        <v>91</v>
      </c>
      <c r="B91" s="18" t="s">
        <v>2702</v>
      </c>
      <c r="C91" s="18" t="s">
        <v>2799</v>
      </c>
      <c r="D91" s="19" t="str">
        <f>+C91</f>
        <v>Indexbindung / Anpassung</v>
      </c>
      <c r="E91" s="32" t="s">
        <v>2799</v>
      </c>
      <c r="F91" s="6" t="s">
        <v>1500</v>
      </c>
    </row>
    <row r="92" spans="1:6" ht="242.25">
      <c r="A92" s="17">
        <f>ROW()</f>
        <v>92</v>
      </c>
      <c r="B92" s="18" t="s">
        <v>2702</v>
      </c>
      <c r="C92" s="18" t="s">
        <v>2799</v>
      </c>
      <c r="D92" s="19" t="str">
        <f t="shared" ref="D92:D105" si="5">+E92</f>
        <v>Kumulation mit Erwerbseinkommen</v>
      </c>
      <c r="E92" s="32" t="s">
        <v>2723</v>
      </c>
      <c r="F92" s="6" t="s">
        <v>1530</v>
      </c>
    </row>
    <row r="93" spans="1:6" ht="275.25">
      <c r="A93" s="17">
        <f>ROW()</f>
        <v>93</v>
      </c>
      <c r="B93" s="18" t="s">
        <v>2702</v>
      </c>
      <c r="C93" s="18" t="s">
        <v>2799</v>
      </c>
      <c r="D93" s="19" t="str">
        <f t="shared" si="5"/>
        <v>Kumulation mit anderen Sozialleistungen</v>
      </c>
      <c r="E93" s="32" t="s">
        <v>2696</v>
      </c>
      <c r="F93" s="6" t="s">
        <v>1561</v>
      </c>
    </row>
    <row r="94" spans="1:6" ht="232.5">
      <c r="A94" s="17">
        <f>ROW()</f>
        <v>94</v>
      </c>
      <c r="B94" s="18" t="s">
        <v>2702</v>
      </c>
      <c r="C94" s="19" t="s">
        <v>2701</v>
      </c>
      <c r="D94" s="19" t="str">
        <f t="shared" si="5"/>
        <v>1. Besteuerung von Geldleistungen</v>
      </c>
      <c r="E94" s="33" t="s">
        <v>2770</v>
      </c>
      <c r="F94" s="6" t="s">
        <v>1590</v>
      </c>
    </row>
    <row r="95" spans="1:6" ht="387">
      <c r="A95" s="17">
        <f>ROW()</f>
        <v>95</v>
      </c>
      <c r="B95" s="18" t="s">
        <v>2702</v>
      </c>
      <c r="C95" s="19" t="s">
        <v>2701</v>
      </c>
      <c r="D95" s="19" t="str">
        <f t="shared" si="5"/>
        <v>2. Einkommensgrenze für Besteuerung von Geldleistungen</v>
      </c>
      <c r="E95" s="33" t="s">
        <v>2772</v>
      </c>
      <c r="F95" s="6" t="s">
        <v>1610</v>
      </c>
    </row>
    <row r="96" spans="1:6" ht="288.75">
      <c r="A96" s="17">
        <f>ROW()</f>
        <v>96</v>
      </c>
      <c r="B96" s="18" t="s">
        <v>2702</v>
      </c>
      <c r="C96" s="19" t="s">
        <v>2701</v>
      </c>
      <c r="D96" s="19" t="str">
        <f t="shared" si="5"/>
        <v>3. Auf Leistungen anfallende Sozialabgaben</v>
      </c>
      <c r="E96" s="33" t="s">
        <v>2773</v>
      </c>
      <c r="F96" s="6" t="s">
        <v>820</v>
      </c>
    </row>
    <row r="97" spans="1:6" ht="138">
      <c r="A97" s="17">
        <f>ROW()</f>
        <v>97</v>
      </c>
      <c r="B97" s="18" t="s">
        <v>2702</v>
      </c>
      <c r="C97" s="19" t="s">
        <v>2775</v>
      </c>
      <c r="D97" s="19" t="str">
        <f t="shared" si="5"/>
        <v>Anwendungsbereich</v>
      </c>
      <c r="E97" s="33" t="s">
        <v>2708</v>
      </c>
      <c r="F97" s="6" t="s">
        <v>1647</v>
      </c>
    </row>
    <row r="98" spans="1:6" ht="110.25">
      <c r="A98" s="17">
        <f>ROW()</f>
        <v>98</v>
      </c>
      <c r="B98" s="18" t="s">
        <v>2702</v>
      </c>
      <c r="C98" s="19" t="s">
        <v>2775</v>
      </c>
      <c r="D98" s="19" t="str">
        <f t="shared" si="5"/>
        <v>Grundprinzipien</v>
      </c>
      <c r="E98" s="33" t="s">
        <v>2709</v>
      </c>
      <c r="F98" s="6" t="s">
        <v>1663</v>
      </c>
    </row>
    <row r="99" spans="1:6" ht="224.25">
      <c r="A99" s="17">
        <f>ROW()</f>
        <v>99</v>
      </c>
      <c r="B99" s="18" t="s">
        <v>2702</v>
      </c>
      <c r="C99" s="19" t="s">
        <v>2775</v>
      </c>
      <c r="D99" s="19" t="str">
        <f t="shared" si="5"/>
        <v>Voraussetzungen für die Deckung</v>
      </c>
      <c r="E99" s="33" t="s">
        <v>2710</v>
      </c>
      <c r="F99" s="6" t="s">
        <v>901</v>
      </c>
    </row>
    <row r="100" spans="1:6" ht="409.5">
      <c r="A100" s="17">
        <f>ROW()</f>
        <v>100</v>
      </c>
      <c r="B100" s="18" t="s">
        <v>2702</v>
      </c>
      <c r="C100" s="19" t="s">
        <v>2775</v>
      </c>
      <c r="D100" s="19" t="str">
        <f t="shared" si="5"/>
        <v>Kombination von selbstständiger und unselbstständiger Tätigkeit</v>
      </c>
      <c r="E100" s="33" t="s">
        <v>2698</v>
      </c>
      <c r="F100" s="6" t="s">
        <v>920</v>
      </c>
    </row>
    <row r="101" spans="1:6" ht="376.5">
      <c r="A101" s="17">
        <f>ROW()</f>
        <v>101</v>
      </c>
      <c r="B101" s="18" t="s">
        <v>2702</v>
      </c>
      <c r="C101" s="19" t="s">
        <v>2775</v>
      </c>
      <c r="D101" s="19" t="str">
        <f t="shared" si="5"/>
        <v xml:space="preserve">Voraussetzungen für den Zugang zu Diensten/Leistungen </v>
      </c>
      <c r="E101" s="33" t="s">
        <v>2699</v>
      </c>
      <c r="F101" s="6" t="s">
        <v>917</v>
      </c>
    </row>
    <row r="102" spans="1:6" ht="253.5">
      <c r="A102" s="17">
        <f>ROW()</f>
        <v>102</v>
      </c>
      <c r="B102" s="18" t="s">
        <v>2702</v>
      </c>
      <c r="C102" s="19" t="s">
        <v>2775</v>
      </c>
      <c r="D102" s="19" t="str">
        <f t="shared" si="5"/>
        <v>Beträge, Dauer und Kostenbeteiligung</v>
      </c>
      <c r="E102" s="33" t="s">
        <v>2700</v>
      </c>
      <c r="F102" s="6" t="s">
        <v>917</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917</v>
      </c>
    </row>
    <row r="105" spans="1:6" ht="272.25">
      <c r="A105" s="17">
        <f>ROW()</f>
        <v>105</v>
      </c>
      <c r="B105" s="18" t="s">
        <v>2702</v>
      </c>
      <c r="C105" s="19" t="s">
        <v>2775</v>
      </c>
      <c r="D105" s="19" t="str">
        <f t="shared" si="5"/>
        <v>Auf Leistungen anfallende Sozialabgaben</v>
      </c>
      <c r="E105" s="33" t="s">
        <v>2683</v>
      </c>
      <c r="F105" s="6" t="s">
        <v>373</v>
      </c>
    </row>
    <row r="106" spans="1:6"/>
    <row r="107" spans="1:6"/>
    <row r="108" spans="1:6"/>
    <row r="109" spans="1:6"/>
    <row r="110" spans="1:6"/>
    <row r="111" spans="1:6"/>
    <row r="112" spans="1:6"/>
    <row r="113"/>
  </sheetData>
  <sheetProtection algorithmName="SHA-512" hashValue="I+neb/b6BIr/IJZCiea0F1TP3JL2gimhKfXY+EzyLXSwYIXoPQaTusufcyJDFUGcJ+sQcavzzvXVbt0upuzsLQ==" saltValue="Z3vtfJ/4Kl/Pur5Pb8ogiA==" spinCount="100000" sheet="1" objects="1" scenarios="1" formatColumns="0" autoFilter="0"/>
  <autoFilter ref="A2:F2" xr:uid="{F99BCAC9-E290-4B1F-869D-D8E2DCD7C7E3}"/>
  <pageMargins left="0.7" right="0.7" top="0.78740157499999996" bottom="0.78740157499999996"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26DC6-EF86-42C0-AA9F-D8B7CB677BCF}">
  <sheetPr codeName="Tabelle12"/>
  <dimension ref="A1:XFC113"/>
  <sheetViews>
    <sheetView workbookViewId="0">
      <pane xSplit="5" ySplit="2" topLeftCell="F73" activePane="bottomRight" state="frozen"/>
      <selection activeCell="F2" sqref="F2"/>
      <selection pane="topRight" activeCell="F2" sqref="F2"/>
      <selection pane="bottomLeft" activeCell="F2" sqref="F2"/>
      <selection pane="bottomRight" activeCell="Y2" sqref="Y2"/>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3" width="11.42578125" hidden="1"/>
    <col min="16384" max="16384" width="0.28515625" hidden="1"/>
  </cols>
  <sheetData>
    <row r="1" spans="1:6" ht="64.5" customHeight="1">
      <c r="B1" s="139" t="s">
        <v>2726</v>
      </c>
      <c r="C1" s="136" t="s">
        <v>2739</v>
      </c>
      <c r="D1" s="136" t="s">
        <v>2728</v>
      </c>
      <c r="E1" s="128" t="s">
        <v>3506</v>
      </c>
      <c r="F1" s="16" t="s">
        <v>10</v>
      </c>
    </row>
    <row r="2" spans="1:6" ht="39.75" customHeight="1">
      <c r="A2" s="138"/>
      <c r="B2" s="139"/>
      <c r="C2" s="136"/>
      <c r="D2" s="136"/>
      <c r="E2" s="134"/>
      <c r="F2" s="173" t="str" cm="1">
        <f t="array" ref="F2">_xlfn.TEXTJOIN("; ", TRUE, IF(Entscheidungen!A2:A100=F1, Entscheidungen!B2:B100, ""))</f>
        <v>OLG Frankfurt, 21.07.2014 – 5 UF 149/14; OLG Düsseldorf, 07.09.2018 – II-8 UF 36/17</v>
      </c>
    </row>
    <row r="3" spans="1:6" ht="405">
      <c r="A3" s="17">
        <f>ROW()</f>
        <v>3</v>
      </c>
      <c r="B3" s="18" t="s">
        <v>2740</v>
      </c>
      <c r="C3" s="18"/>
      <c r="D3" s="18" t="str">
        <f>+E3</f>
        <v>Geltende Rechtsgrundlage</v>
      </c>
      <c r="E3" s="31" t="s">
        <v>2724</v>
      </c>
      <c r="F3" s="6" t="s">
        <v>3240</v>
      </c>
    </row>
    <row r="4" spans="1:6" ht="110.25">
      <c r="A4" s="17">
        <f>ROW()</f>
        <v>4</v>
      </c>
      <c r="B4" s="18" t="s">
        <v>2740</v>
      </c>
      <c r="C4" s="1"/>
      <c r="D4" s="18" t="str">
        <f t="shared" ref="D4:D34" si="0">+E4</f>
        <v>Grundprinzipien</v>
      </c>
      <c r="E4" s="32" t="s">
        <v>2709</v>
      </c>
      <c r="F4" s="6" t="s">
        <v>3241</v>
      </c>
    </row>
    <row r="5" spans="1:6" ht="188.25">
      <c r="A5" s="17">
        <f>ROW()</f>
        <v>5</v>
      </c>
      <c r="B5" s="18" t="s">
        <v>2740</v>
      </c>
      <c r="C5" s="1"/>
      <c r="D5" s="18" t="str">
        <f t="shared" si="0"/>
        <v>Gedecktes Risiko: Definition</v>
      </c>
      <c r="E5" s="32" t="s">
        <v>2891</v>
      </c>
      <c r="F5" s="6" t="s">
        <v>3242</v>
      </c>
    </row>
    <row r="6" spans="1:6" ht="144">
      <c r="A6" s="17">
        <f>ROW()</f>
        <v>6</v>
      </c>
      <c r="B6" s="18" t="s">
        <v>2740</v>
      </c>
      <c r="C6" s="18" t="s">
        <v>2653</v>
      </c>
      <c r="D6" s="18" t="str">
        <f t="shared" si="0"/>
        <v>Versicherte Personen</v>
      </c>
      <c r="E6" s="33" t="s">
        <v>2653</v>
      </c>
      <c r="F6" s="6" t="s">
        <v>3243</v>
      </c>
    </row>
    <row r="7" spans="1:6" ht="273">
      <c r="A7" s="17">
        <f>ROW()</f>
        <v>7</v>
      </c>
      <c r="B7" s="18" t="s">
        <v>2740</v>
      </c>
      <c r="C7" s="18" t="str">
        <f>+E6</f>
        <v>Versicherte Personen</v>
      </c>
      <c r="D7" s="18" t="str">
        <f t="shared" si="0"/>
        <v>Ausnahmen von der Versicherungspflicht</v>
      </c>
      <c r="E7" s="33" t="s">
        <v>2685</v>
      </c>
      <c r="F7" s="6" t="s">
        <v>3244</v>
      </c>
    </row>
    <row r="8" spans="1:6" ht="194.25">
      <c r="A8" s="17">
        <f>ROW()</f>
        <v>8</v>
      </c>
      <c r="B8" s="18" t="s">
        <v>2740</v>
      </c>
      <c r="C8" s="19" t="s">
        <v>149</v>
      </c>
      <c r="D8" s="18" t="str">
        <f t="shared" si="0"/>
        <v>1. Anwartschaftszeit</v>
      </c>
      <c r="E8" s="33" t="s">
        <v>2744</v>
      </c>
      <c r="F8" s="6" t="s">
        <v>4667</v>
      </c>
    </row>
    <row r="9" spans="1:6" ht="409.5">
      <c r="A9" s="17">
        <f>ROW()</f>
        <v>9</v>
      </c>
      <c r="B9" s="18" t="s">
        <v>2740</v>
      </c>
      <c r="C9" s="19" t="s">
        <v>149</v>
      </c>
      <c r="D9" s="18" t="str">
        <f t="shared" si="0"/>
        <v xml:space="preserve">2. Begutachtungskriterien und Kategorien der Arbeitsunfähigkeit/Arbeitsfähigkeit  </v>
      </c>
      <c r="E9" s="33" t="s">
        <v>2745</v>
      </c>
      <c r="F9" s="6" t="s">
        <v>4668</v>
      </c>
    </row>
    <row r="10" spans="1:6" ht="222">
      <c r="A10" s="17">
        <f>ROW()</f>
        <v>10</v>
      </c>
      <c r="B10" s="18" t="s">
        <v>2740</v>
      </c>
      <c r="C10" s="19" t="s">
        <v>149</v>
      </c>
      <c r="D10" s="18" t="str">
        <f t="shared" si="0"/>
        <v>3. Zeitraum der Leistungszahlung</v>
      </c>
      <c r="E10" s="33" t="s">
        <v>2747</v>
      </c>
      <c r="F10" s="6" t="s">
        <v>3245</v>
      </c>
    </row>
    <row r="11" spans="1:6" ht="120">
      <c r="A11" s="17">
        <f>ROW()</f>
        <v>11</v>
      </c>
      <c r="B11" s="18" t="s">
        <v>2740</v>
      </c>
      <c r="C11" s="19" t="s">
        <v>2749</v>
      </c>
      <c r="D11" s="18" t="str">
        <f t="shared" si="0"/>
        <v>1. Gutachter</v>
      </c>
      <c r="E11" s="33" t="s">
        <v>2750</v>
      </c>
      <c r="F11" s="6" t="s">
        <v>3246</v>
      </c>
    </row>
    <row r="12" spans="1:6" ht="111.75">
      <c r="A12" s="17">
        <f>ROW()</f>
        <v>12</v>
      </c>
      <c r="B12" s="18" t="s">
        <v>2740</v>
      </c>
      <c r="C12" s="19" t="s">
        <v>2749</v>
      </c>
      <c r="D12" s="18" t="str">
        <f t="shared" si="0"/>
        <v xml:space="preserve">2. Überprüfung  </v>
      </c>
      <c r="E12" s="33" t="s">
        <v>2751</v>
      </c>
      <c r="F12" s="6" t="s">
        <v>3247</v>
      </c>
    </row>
    <row r="13" spans="1:6" ht="291.75">
      <c r="A13" s="17">
        <f>ROW()</f>
        <v>13</v>
      </c>
      <c r="B13" s="18" t="s">
        <v>2740</v>
      </c>
      <c r="C13" s="18" t="s">
        <v>2695</v>
      </c>
      <c r="D13" s="18" t="str">
        <f t="shared" si="0"/>
        <v>1. Berechnungsmethode bzw. Rentenformel</v>
      </c>
      <c r="E13" s="33" t="s">
        <v>2753</v>
      </c>
      <c r="F13" s="6" t="s">
        <v>4669</v>
      </c>
    </row>
    <row r="14" spans="1:6" ht="343.5">
      <c r="A14" s="17">
        <f>ROW()</f>
        <v>14</v>
      </c>
      <c r="B14" s="18" t="s">
        <v>2740</v>
      </c>
      <c r="C14" s="18" t="s">
        <v>2695</v>
      </c>
      <c r="D14" s="18" t="str">
        <f t="shared" si="0"/>
        <v>2. Referenzeinkommen bzw. Berechnungsgrundlage</v>
      </c>
      <c r="E14" s="33" t="s">
        <v>2754</v>
      </c>
      <c r="F14" s="6" t="s">
        <v>4670</v>
      </c>
    </row>
    <row r="15" spans="1:6" ht="226.5">
      <c r="A15" s="17">
        <f>ROW()</f>
        <v>15</v>
      </c>
      <c r="B15" s="18" t="s">
        <v>2740</v>
      </c>
      <c r="C15" s="18" t="s">
        <v>2695</v>
      </c>
      <c r="D15" s="18" t="str">
        <f t="shared" si="0"/>
        <v>3. Mindest- und Höchstleistungen</v>
      </c>
      <c r="E15" s="33" t="s">
        <v>2756</v>
      </c>
      <c r="F15" s="6" t="s">
        <v>3248</v>
      </c>
    </row>
    <row r="16" spans="1:6" ht="405">
      <c r="A16" s="17">
        <f>ROW()</f>
        <v>16</v>
      </c>
      <c r="B16" s="18" t="s">
        <v>2740</v>
      </c>
      <c r="C16" s="18" t="s">
        <v>2695</v>
      </c>
      <c r="D16" s="18" t="str">
        <f t="shared" si="0"/>
        <v>4. Anrechenbare oder als Beitragszeiten gewertete Zeiträume</v>
      </c>
      <c r="E16" s="33" t="s">
        <v>2757</v>
      </c>
      <c r="F16" s="6" t="s">
        <v>3249</v>
      </c>
    </row>
    <row r="17" spans="1:6" ht="250.5">
      <c r="A17" s="17">
        <f>ROW()</f>
        <v>17</v>
      </c>
      <c r="B17" s="18" t="s">
        <v>2740</v>
      </c>
      <c r="C17" s="18" t="s">
        <v>2695</v>
      </c>
      <c r="D17" s="18" t="str">
        <f t="shared" si="0"/>
        <v xml:space="preserve">5. Zulagen für Unterhaltsberechtigte  </v>
      </c>
      <c r="E17" s="33" t="s">
        <v>2759</v>
      </c>
      <c r="F17" s="6" t="s">
        <v>2247</v>
      </c>
    </row>
    <row r="18" spans="1:6" ht="135">
      <c r="A18" s="17">
        <f>ROW()</f>
        <v>18</v>
      </c>
      <c r="B18" s="18" t="s">
        <v>2740</v>
      </c>
      <c r="C18" s="18" t="str">
        <f>+E18</f>
        <v>Sonstige Leistungen</v>
      </c>
      <c r="D18" s="18" t="str">
        <f>+E18</f>
        <v>Sonstige Leistungen</v>
      </c>
      <c r="E18" s="32" t="s">
        <v>2678</v>
      </c>
      <c r="F18" s="6" t="s">
        <v>3250</v>
      </c>
    </row>
    <row r="19" spans="1:6" ht="300.75">
      <c r="A19" s="17">
        <f>ROW()</f>
        <v>19</v>
      </c>
      <c r="B19" s="18" t="s">
        <v>2740</v>
      </c>
      <c r="C19" s="18" t="s">
        <v>2761</v>
      </c>
      <c r="D19" s="18" t="str">
        <f t="shared" si="0"/>
        <v>Umschulung, berufsbezogene Rehabilitation</v>
      </c>
      <c r="E19" s="33" t="s">
        <v>2762</v>
      </c>
      <c r="F19" s="6" t="s">
        <v>3251</v>
      </c>
    </row>
    <row r="20" spans="1:6" ht="409.5">
      <c r="A20" s="17">
        <f>ROW()</f>
        <v>20</v>
      </c>
      <c r="B20" s="18" t="s">
        <v>2740</v>
      </c>
      <c r="C20" s="18" t="s">
        <v>2761</v>
      </c>
      <c r="D20" s="18" t="str">
        <f t="shared" si="0"/>
        <v xml:space="preserve">Bevorzugte und reservierte Beschäftigung von Menschen mit Behinderungen  </v>
      </c>
      <c r="E20" s="33" t="s">
        <v>2763</v>
      </c>
      <c r="F20" s="6" t="s">
        <v>4671</v>
      </c>
    </row>
    <row r="21" spans="1:6" ht="171.75">
      <c r="A21" s="17">
        <f>ROW()</f>
        <v>21</v>
      </c>
      <c r="B21" s="18" t="s">
        <v>2740</v>
      </c>
      <c r="C21" s="18" t="s">
        <v>2765</v>
      </c>
      <c r="D21" s="18" t="str">
        <f t="shared" si="0"/>
        <v>Indexbindung/Anpassung</v>
      </c>
      <c r="E21" s="32" t="s">
        <v>2766</v>
      </c>
      <c r="F21" s="6" t="s">
        <v>3252</v>
      </c>
    </row>
    <row r="22" spans="1:6" ht="242.25">
      <c r="A22" s="17">
        <f>ROW()</f>
        <v>22</v>
      </c>
      <c r="B22" s="18" t="s">
        <v>2740</v>
      </c>
      <c r="C22" s="18" t="s">
        <v>2765</v>
      </c>
      <c r="D22" s="18" t="str">
        <f>+E22</f>
        <v>Kumulation mit Erwerbseinkommen</v>
      </c>
      <c r="E22" s="32" t="s">
        <v>2723</v>
      </c>
      <c r="F22" s="13" t="s">
        <v>3253</v>
      </c>
    </row>
    <row r="23" spans="1:6" ht="275.25">
      <c r="A23" s="17">
        <f>ROW()</f>
        <v>23</v>
      </c>
      <c r="B23" s="18" t="s">
        <v>2740</v>
      </c>
      <c r="C23" s="18" t="s">
        <v>2765</v>
      </c>
      <c r="D23" s="18" t="str">
        <f t="shared" si="0"/>
        <v>Kumulation mit anderen Sozialleistungen</v>
      </c>
      <c r="E23" s="32" t="s">
        <v>2696</v>
      </c>
      <c r="F23" s="6" t="s">
        <v>3254</v>
      </c>
    </row>
    <row r="24" spans="1:6" ht="232.5">
      <c r="A24" s="17">
        <f>ROW()</f>
        <v>24</v>
      </c>
      <c r="B24" s="18" t="s">
        <v>2740</v>
      </c>
      <c r="C24" s="18" t="s">
        <v>2701</v>
      </c>
      <c r="D24" s="18" t="str">
        <f t="shared" si="0"/>
        <v>1. Besteuerung von Geldleistungen</v>
      </c>
      <c r="E24" s="33" t="s">
        <v>2770</v>
      </c>
      <c r="F24" s="6" t="s">
        <v>772</v>
      </c>
    </row>
    <row r="25" spans="1:6" ht="387">
      <c r="A25" s="17">
        <f>ROW()</f>
        <v>25</v>
      </c>
      <c r="B25" s="18" t="s">
        <v>2740</v>
      </c>
      <c r="C25" s="18" t="s">
        <v>2701</v>
      </c>
      <c r="D25" s="18" t="str">
        <f t="shared" si="0"/>
        <v>2. Einkommensgrenze für Besteuerung von Geldleistungen</v>
      </c>
      <c r="E25" s="33" t="s">
        <v>2772</v>
      </c>
      <c r="F25" s="6" t="s">
        <v>804</v>
      </c>
    </row>
    <row r="26" spans="1:6" ht="288.75">
      <c r="A26" s="17">
        <f>ROW()</f>
        <v>26</v>
      </c>
      <c r="B26" s="18" t="s">
        <v>2740</v>
      </c>
      <c r="C26" s="18" t="s">
        <v>2701</v>
      </c>
      <c r="D26" s="18" t="str">
        <f t="shared" si="0"/>
        <v>3. Auf Leistungen anfallende Sozialabgaben</v>
      </c>
      <c r="E26" s="33" t="s">
        <v>2773</v>
      </c>
      <c r="F26" s="6" t="s">
        <v>824</v>
      </c>
    </row>
    <row r="27" spans="1:6" ht="138">
      <c r="A27" s="17">
        <f>ROW()</f>
        <v>27</v>
      </c>
      <c r="B27" s="18" t="s">
        <v>2740</v>
      </c>
      <c r="C27" s="18" t="s">
        <v>2775</v>
      </c>
      <c r="D27" s="18" t="str">
        <f t="shared" si="0"/>
        <v>Anwendungsbereich</v>
      </c>
      <c r="E27" s="33" t="s">
        <v>2708</v>
      </c>
      <c r="F27" s="6" t="s">
        <v>3255</v>
      </c>
    </row>
    <row r="28" spans="1:6" ht="110.25">
      <c r="A28" s="17">
        <f>ROW()</f>
        <v>28</v>
      </c>
      <c r="B28" s="18" t="s">
        <v>2740</v>
      </c>
      <c r="C28" s="18" t="s">
        <v>2775</v>
      </c>
      <c r="D28" s="18" t="str">
        <f t="shared" si="0"/>
        <v>Grundprinzipien</v>
      </c>
      <c r="E28" s="33" t="s">
        <v>2709</v>
      </c>
      <c r="F28" s="6" t="s">
        <v>1664</v>
      </c>
    </row>
    <row r="29" spans="1:6" ht="224.25">
      <c r="A29" s="17">
        <f>ROW()</f>
        <v>29</v>
      </c>
      <c r="B29" s="18" t="s">
        <v>2740</v>
      </c>
      <c r="C29" s="18" t="s">
        <v>2775</v>
      </c>
      <c r="D29" s="18" t="str">
        <f t="shared" si="0"/>
        <v>Voraussetzungen für die Deckung</v>
      </c>
      <c r="E29" s="33" t="s">
        <v>2710</v>
      </c>
      <c r="F29" s="6" t="s">
        <v>3256</v>
      </c>
    </row>
    <row r="30" spans="1:6" ht="409.5">
      <c r="A30" s="17">
        <f>ROW()</f>
        <v>30</v>
      </c>
      <c r="B30" s="18" t="s">
        <v>2740</v>
      </c>
      <c r="C30" s="18" t="s">
        <v>2775</v>
      </c>
      <c r="D30" s="19" t="str">
        <f t="shared" si="0"/>
        <v>Kombination von selbstständiger und unselbstständiger Tätigkeit</v>
      </c>
      <c r="E30" s="33" t="s">
        <v>2698</v>
      </c>
      <c r="F30" s="6" t="s">
        <v>3257</v>
      </c>
    </row>
    <row r="31" spans="1:6" ht="376.5">
      <c r="A31" s="17">
        <f>ROW()</f>
        <v>31</v>
      </c>
      <c r="B31" s="18" t="s">
        <v>2740</v>
      </c>
      <c r="C31" s="18" t="s">
        <v>2695</v>
      </c>
      <c r="D31" s="19" t="str">
        <f t="shared" si="0"/>
        <v xml:space="preserve">Voraussetzungen für den Zugang zu Diensten/Leistungen </v>
      </c>
      <c r="E31" s="33" t="s">
        <v>2699</v>
      </c>
      <c r="F31" s="6" t="s">
        <v>3258</v>
      </c>
    </row>
    <row r="32" spans="1:6" ht="253.5">
      <c r="A32" s="17">
        <f>ROW()</f>
        <v>32</v>
      </c>
      <c r="B32" s="18" t="s">
        <v>2740</v>
      </c>
      <c r="C32" s="18" t="s">
        <v>2695</v>
      </c>
      <c r="D32" s="18" t="str">
        <f t="shared" si="0"/>
        <v>Beträge, Dauer und Kostenbeteiligung</v>
      </c>
      <c r="E32" s="33" t="s">
        <v>2700</v>
      </c>
      <c r="F32" s="6" t="s">
        <v>3259</v>
      </c>
    </row>
    <row r="33" spans="1:6" ht="216">
      <c r="A33" s="17">
        <f>ROW()</f>
        <v>33</v>
      </c>
      <c r="B33" s="18" t="s">
        <v>2740</v>
      </c>
      <c r="C33" s="18" t="s">
        <v>2695</v>
      </c>
      <c r="D33" s="18" t="str">
        <f t="shared" si="0"/>
        <v>Besteuerung von Geldleistungen</v>
      </c>
      <c r="E33" s="33" t="s">
        <v>2681</v>
      </c>
      <c r="F33" s="6" t="s">
        <v>983</v>
      </c>
    </row>
    <row r="34" spans="1:6" ht="276.75">
      <c r="A34" s="17">
        <f>ROW()</f>
        <v>34</v>
      </c>
      <c r="B34" s="18" t="s">
        <v>2740</v>
      </c>
      <c r="C34" s="18" t="s">
        <v>2695</v>
      </c>
      <c r="D34" s="18" t="str">
        <f t="shared" si="0"/>
        <v xml:space="preserve"> Auf Leistungen anfallende Sozialabgaben</v>
      </c>
      <c r="E34" s="33" t="s">
        <v>2779</v>
      </c>
      <c r="F34" s="6" t="s">
        <v>1707</v>
      </c>
    </row>
    <row r="35" spans="1:6" ht="409.5">
      <c r="A35" s="17">
        <f>ROW()</f>
        <v>35</v>
      </c>
      <c r="B35" s="18" t="s">
        <v>2780</v>
      </c>
      <c r="C35" s="18" t="str">
        <f>+D35</f>
        <v>Geltende Rechtsgrundlage</v>
      </c>
      <c r="D35" s="18" t="str">
        <f>+E35</f>
        <v>Geltende Rechtsgrundlage</v>
      </c>
      <c r="E35" s="32" t="s">
        <v>2724</v>
      </c>
      <c r="F35" s="6" t="s">
        <v>41</v>
      </c>
    </row>
    <row r="36" spans="1:6" ht="210">
      <c r="A36" s="17">
        <f>ROW()</f>
        <v>36</v>
      </c>
      <c r="B36" s="18" t="s">
        <v>2780</v>
      </c>
      <c r="C36" s="18" t="str">
        <f>+D36</f>
        <v>Grundprinzipien</v>
      </c>
      <c r="D36" s="18" t="str">
        <f>+E36</f>
        <v>Grundprinzipien</v>
      </c>
      <c r="E36" s="32" t="s">
        <v>2709</v>
      </c>
      <c r="F36" s="6" t="s">
        <v>72</v>
      </c>
    </row>
    <row r="37" spans="1:6" ht="159.75">
      <c r="A37" s="17">
        <f>ROW()</f>
        <v>37</v>
      </c>
      <c r="B37" s="18" t="s">
        <v>2780</v>
      </c>
      <c r="C37" s="18" t="s">
        <v>2708</v>
      </c>
      <c r="D37" s="18" t="str">
        <f>+E37</f>
        <v>1. Versicherte Personen</v>
      </c>
      <c r="E37" s="33" t="s">
        <v>2781</v>
      </c>
      <c r="F37" s="6" t="s">
        <v>104</v>
      </c>
    </row>
    <row r="38" spans="1:6" ht="371.25">
      <c r="A38" s="17">
        <f>ROW()</f>
        <v>38</v>
      </c>
      <c r="B38" s="18" t="s">
        <v>2780</v>
      </c>
      <c r="C38" s="18" t="s">
        <v>2708</v>
      </c>
      <c r="D38" s="18" t="str">
        <f t="shared" ref="D38:D58" si="1">+E38</f>
        <v>2. Ausnahmen von der Deckung  der Pflichtversicherung</v>
      </c>
      <c r="E38" s="33" t="s">
        <v>2782</v>
      </c>
      <c r="F38" s="6" t="s">
        <v>133</v>
      </c>
    </row>
    <row r="39" spans="1:6" ht="194.25">
      <c r="A39" s="17">
        <f>ROW()</f>
        <v>39</v>
      </c>
      <c r="B39" s="18" t="s">
        <v>2780</v>
      </c>
      <c r="C39" s="18" t="s">
        <v>149</v>
      </c>
      <c r="D39" s="18" t="str">
        <f t="shared" si="1"/>
        <v>1. Rentenalter</v>
      </c>
      <c r="E39" s="33" t="s">
        <v>2784</v>
      </c>
      <c r="F39" s="6" t="s">
        <v>160</v>
      </c>
    </row>
    <row r="40" spans="1:6" ht="409.5">
      <c r="A40" s="17">
        <f>ROW()</f>
        <v>40</v>
      </c>
      <c r="B40" s="18" t="s">
        <v>2780</v>
      </c>
      <c r="C40" s="18" t="s">
        <v>149</v>
      </c>
      <c r="D40" s="18" t="str">
        <f t="shared" si="1"/>
        <v>2. Anwartschaftszeit und sonstige Anspruchsvoraussetzungen für den Bezug einer Altersrente</v>
      </c>
      <c r="E40" s="33" t="s">
        <v>2785</v>
      </c>
      <c r="F40" s="13" t="s">
        <v>3507</v>
      </c>
    </row>
    <row r="41" spans="1:6" ht="409.5">
      <c r="A41" s="17">
        <f>ROW()</f>
        <v>41</v>
      </c>
      <c r="B41" s="18" t="s">
        <v>2780</v>
      </c>
      <c r="C41" s="18" t="s">
        <v>149</v>
      </c>
      <c r="D41" s="18" t="str">
        <f t="shared" si="1"/>
        <v>3. Vorruhestand</v>
      </c>
      <c r="E41" s="33" t="s">
        <v>2786</v>
      </c>
      <c r="F41" s="6" t="s">
        <v>4672</v>
      </c>
    </row>
    <row r="42" spans="1:6" ht="330">
      <c r="A42" s="17">
        <f>ROW()</f>
        <v>42</v>
      </c>
      <c r="B42" s="18" t="s">
        <v>2780</v>
      </c>
      <c r="C42" s="18" t="s">
        <v>149</v>
      </c>
      <c r="D42" s="18" t="str">
        <f t="shared" si="1"/>
        <v>4. Beschwerliche und gefährliche Arbeit</v>
      </c>
      <c r="E42" s="33" t="s">
        <v>2787</v>
      </c>
      <c r="F42" s="6" t="s">
        <v>4673</v>
      </c>
    </row>
    <row r="43" spans="1:6" ht="194.25">
      <c r="A43" s="17">
        <f>ROW()</f>
        <v>43</v>
      </c>
      <c r="B43" s="18" t="s">
        <v>2780</v>
      </c>
      <c r="C43" s="18" t="s">
        <v>149</v>
      </c>
      <c r="D43" s="18" t="str">
        <f t="shared" si="1"/>
        <v>5. Rentenaufschub</v>
      </c>
      <c r="E43" s="33" t="s">
        <v>2788</v>
      </c>
      <c r="F43" s="6" t="s">
        <v>281</v>
      </c>
    </row>
    <row r="44" spans="1:6" ht="174">
      <c r="A44" s="17">
        <f>ROW()</f>
        <v>44</v>
      </c>
      <c r="B44" s="18" t="s">
        <v>2780</v>
      </c>
      <c r="C44" s="18" t="s">
        <v>2695</v>
      </c>
      <c r="D44" s="18" t="str">
        <f t="shared" si="1"/>
        <v>1. Bestimmende Faktoren</v>
      </c>
      <c r="E44" s="33" t="s">
        <v>2789</v>
      </c>
      <c r="F44" s="6" t="s">
        <v>307</v>
      </c>
    </row>
    <row r="45" spans="1:6" ht="349.5">
      <c r="A45" s="17">
        <f>ROW()</f>
        <v>45</v>
      </c>
      <c r="B45" s="18" t="s">
        <v>2780</v>
      </c>
      <c r="C45" s="18" t="s">
        <v>2695</v>
      </c>
      <c r="D45" s="18" t="str">
        <f t="shared" si="1"/>
        <v>2. Berechnungsmethode, Rentenformel bzw. Beträge</v>
      </c>
      <c r="E45" s="33" t="s">
        <v>2790</v>
      </c>
      <c r="F45" s="6" t="s">
        <v>4674</v>
      </c>
    </row>
    <row r="46" spans="1:6" ht="343.5">
      <c r="A46" s="17">
        <f>ROW()</f>
        <v>46</v>
      </c>
      <c r="B46" s="18" t="s">
        <v>2780</v>
      </c>
      <c r="C46" s="18" t="s">
        <v>2695</v>
      </c>
      <c r="D46" s="18" t="str">
        <f t="shared" si="1"/>
        <v>3. Referenzeinkommen bzw. Berechnungsgrundlage</v>
      </c>
      <c r="E46" s="33" t="s">
        <v>2791</v>
      </c>
      <c r="F46" s="6" t="s">
        <v>4675</v>
      </c>
    </row>
    <row r="47" spans="1:6" ht="405">
      <c r="A47" s="17">
        <f>ROW()</f>
        <v>47</v>
      </c>
      <c r="B47" s="18" t="s">
        <v>2780</v>
      </c>
      <c r="C47" s="18" t="s">
        <v>2695</v>
      </c>
      <c r="D47" s="18" t="str">
        <f t="shared" si="1"/>
        <v>4. Anrechenbare oder als Beitragszeiten gewertete Zeiträume</v>
      </c>
      <c r="E47" s="33" t="s">
        <v>2757</v>
      </c>
      <c r="F47" s="6" t="s">
        <v>400</v>
      </c>
    </row>
    <row r="48" spans="1:6" ht="243.75">
      <c r="A48" s="17">
        <f>ROW()</f>
        <v>48</v>
      </c>
      <c r="B48" s="18" t="s">
        <v>2780</v>
      </c>
      <c r="C48" s="18" t="s">
        <v>2695</v>
      </c>
      <c r="D48" s="18" t="str">
        <f t="shared" si="1"/>
        <v>5. Rückkauf von Versicherungszeiten</v>
      </c>
      <c r="E48" s="33" t="s">
        <v>2792</v>
      </c>
      <c r="F48" s="6" t="s">
        <v>4676</v>
      </c>
    </row>
    <row r="49" spans="1:6" ht="246">
      <c r="A49" s="17">
        <f>ROW()</f>
        <v>49</v>
      </c>
      <c r="B49" s="18" t="s">
        <v>2780</v>
      </c>
      <c r="C49" s="18" t="s">
        <v>2695</v>
      </c>
      <c r="D49" s="18" t="str">
        <f t="shared" si="1"/>
        <v>6.  Zulagen für Unterhaltsberechtigte</v>
      </c>
      <c r="E49" s="33" t="s">
        <v>2892</v>
      </c>
      <c r="F49" s="6" t="s">
        <v>447</v>
      </c>
    </row>
    <row r="50" spans="1:6" ht="360">
      <c r="A50" s="17">
        <f>ROW()</f>
        <v>50</v>
      </c>
      <c r="B50" s="18" t="s">
        <v>2780</v>
      </c>
      <c r="C50" s="18" t="s">
        <v>2695</v>
      </c>
      <c r="D50" s="18" t="str">
        <f t="shared" si="1"/>
        <v>7. Besondere Zulagen</v>
      </c>
      <c r="E50" s="33" t="s">
        <v>2793</v>
      </c>
      <c r="F50" s="6" t="s">
        <v>4677</v>
      </c>
    </row>
    <row r="51" spans="1:6" ht="360.75">
      <c r="A51" s="17">
        <f>ROW()</f>
        <v>51</v>
      </c>
      <c r="B51" s="18" t="s">
        <v>2780</v>
      </c>
      <c r="C51" s="18" t="s">
        <v>2695</v>
      </c>
      <c r="D51" s="18" t="str">
        <f t="shared" si="1"/>
        <v>8. Mindestrente und bedürftigkeitsabhängige Leistung</v>
      </c>
      <c r="E51" s="33" t="s">
        <v>2794</v>
      </c>
      <c r="F51" s="6" t="s">
        <v>509</v>
      </c>
    </row>
    <row r="52" spans="1:6" ht="101.25">
      <c r="A52" s="17">
        <f>ROW()</f>
        <v>52</v>
      </c>
      <c r="B52" s="18" t="s">
        <v>2780</v>
      </c>
      <c r="C52" s="18" t="s">
        <v>2695</v>
      </c>
      <c r="D52" s="18" t="str">
        <f t="shared" si="1"/>
        <v>9. Höchstrente</v>
      </c>
      <c r="E52" s="33" t="s">
        <v>2795</v>
      </c>
      <c r="F52" s="6" t="s">
        <v>532</v>
      </c>
    </row>
    <row r="53" spans="1:6" ht="240">
      <c r="A53" s="17">
        <f>ROW()</f>
        <v>53</v>
      </c>
      <c r="B53" s="18" t="s">
        <v>2780</v>
      </c>
      <c r="C53" s="18" t="s">
        <v>2695</v>
      </c>
      <c r="D53" s="18" t="str">
        <f t="shared" si="1"/>
        <v>10. Vorruhestand</v>
      </c>
      <c r="E53" s="33" t="s">
        <v>2796</v>
      </c>
      <c r="F53" s="6" t="s">
        <v>566</v>
      </c>
    </row>
    <row r="54" spans="1:6" ht="272.25">
      <c r="A54" s="17">
        <f>ROW()</f>
        <v>54</v>
      </c>
      <c r="B54" s="18" t="s">
        <v>2780</v>
      </c>
      <c r="C54" s="18" t="s">
        <v>2695</v>
      </c>
      <c r="D54" s="18" t="str">
        <f t="shared" si="1"/>
        <v>11. Beschwerliche und gefährliche Arbeit</v>
      </c>
      <c r="E54" s="33" t="s">
        <v>2797</v>
      </c>
      <c r="F54" s="6" t="s">
        <v>593</v>
      </c>
    </row>
    <row r="55" spans="1:6" ht="87.75">
      <c r="A55" s="17">
        <f>ROW()</f>
        <v>55</v>
      </c>
      <c r="B55" s="18" t="s">
        <v>2780</v>
      </c>
      <c r="C55" s="18" t="s">
        <v>2695</v>
      </c>
      <c r="D55" s="18" t="str">
        <f t="shared" si="1"/>
        <v>12. Teilrente</v>
      </c>
      <c r="E55" s="33" t="s">
        <v>2798</v>
      </c>
      <c r="F55" s="6" t="s">
        <v>620</v>
      </c>
    </row>
    <row r="56" spans="1:6" ht="171.75">
      <c r="A56" s="17">
        <f>ROW()</f>
        <v>56</v>
      </c>
      <c r="B56" s="18" t="s">
        <v>2780</v>
      </c>
      <c r="C56" s="18" t="s">
        <v>2695</v>
      </c>
      <c r="D56" s="18" t="str">
        <f t="shared" si="1"/>
        <v>13. Aufgeschobene Rente</v>
      </c>
      <c r="E56" s="33" t="s">
        <v>2893</v>
      </c>
      <c r="F56" s="6" t="s">
        <v>647</v>
      </c>
    </row>
    <row r="57" spans="1:6" ht="179.25">
      <c r="A57" s="17">
        <f>ROW()</f>
        <v>57</v>
      </c>
      <c r="B57" s="18" t="s">
        <v>2780</v>
      </c>
      <c r="C57" s="18" t="s">
        <v>2799</v>
      </c>
      <c r="D57" s="18" t="s">
        <v>2799</v>
      </c>
      <c r="E57" s="32" t="s">
        <v>2799</v>
      </c>
      <c r="F57" s="6" t="s">
        <v>678</v>
      </c>
    </row>
    <row r="58" spans="1:6" ht="246">
      <c r="A58" s="17">
        <f>ROW()</f>
        <v>58</v>
      </c>
      <c r="B58" s="18" t="s">
        <v>2780</v>
      </c>
      <c r="C58" s="18" t="s">
        <v>2799</v>
      </c>
      <c r="D58" s="18" t="str">
        <f t="shared" si="1"/>
        <v xml:space="preserve">Kumulation mit Erwerbseinkommen </v>
      </c>
      <c r="E58" s="32" t="s">
        <v>2697</v>
      </c>
      <c r="F58" s="6" t="s">
        <v>709</v>
      </c>
    </row>
    <row r="59" spans="1:6" ht="286.5">
      <c r="A59" s="17">
        <f>ROW()</f>
        <v>59</v>
      </c>
      <c r="B59" s="18" t="s">
        <v>2780</v>
      </c>
      <c r="C59" s="18" t="s">
        <v>2799</v>
      </c>
      <c r="D59" s="18" t="s">
        <v>2800</v>
      </c>
      <c r="E59" s="32" t="s">
        <v>2696</v>
      </c>
      <c r="F59" s="6" t="s">
        <v>740</v>
      </c>
    </row>
    <row r="60" spans="1:6" ht="225.75">
      <c r="A60" s="17">
        <f>ROW()</f>
        <v>60</v>
      </c>
      <c r="B60" s="18" t="s">
        <v>2780</v>
      </c>
      <c r="C60" s="18" t="s">
        <v>761</v>
      </c>
      <c r="D60" s="18" t="str">
        <f t="shared" ref="D60:D70" si="2">+E60</f>
        <v>1. Besteuerung von Renten</v>
      </c>
      <c r="E60" s="33" t="s">
        <v>2801</v>
      </c>
      <c r="F60" s="6" t="s">
        <v>772</v>
      </c>
    </row>
    <row r="61" spans="1:6" ht="335.25">
      <c r="A61" s="17">
        <f>ROW()</f>
        <v>61</v>
      </c>
      <c r="B61" s="18" t="s">
        <v>2780</v>
      </c>
      <c r="C61" s="18" t="s">
        <v>761</v>
      </c>
      <c r="D61" s="18" t="str">
        <f t="shared" si="2"/>
        <v>2. Einkommensgrenze für Besteuerung von Renten</v>
      </c>
      <c r="E61" s="33" t="s">
        <v>2802</v>
      </c>
      <c r="F61" s="6" t="s">
        <v>798</v>
      </c>
    </row>
    <row r="62" spans="1:6" ht="264">
      <c r="A62" s="17">
        <f>ROW()</f>
        <v>62</v>
      </c>
      <c r="B62" s="18" t="s">
        <v>2780</v>
      </c>
      <c r="C62" s="18" t="s">
        <v>761</v>
      </c>
      <c r="D62" s="18" t="str">
        <f t="shared" si="2"/>
        <v>3. Auf Renten anfallende Sozialabgaben</v>
      </c>
      <c r="E62" s="33" t="s">
        <v>2803</v>
      </c>
      <c r="F62" s="6" t="s">
        <v>824</v>
      </c>
    </row>
    <row r="63" spans="1:6" ht="138">
      <c r="A63" s="17">
        <f>ROW()</f>
        <v>63</v>
      </c>
      <c r="B63" s="18" t="s">
        <v>2804</v>
      </c>
      <c r="C63" s="18" t="str">
        <f>+E63</f>
        <v>Anwendungsbereich</v>
      </c>
      <c r="D63" s="18" t="str">
        <f t="shared" si="2"/>
        <v>Anwendungsbereich</v>
      </c>
      <c r="E63" s="33" t="s">
        <v>2708</v>
      </c>
      <c r="F63" s="6" t="s">
        <v>847</v>
      </c>
    </row>
    <row r="64" spans="1:6" ht="132.75">
      <c r="A64" s="17">
        <f>ROW()</f>
        <v>64</v>
      </c>
      <c r="B64" s="18" t="s">
        <v>2804</v>
      </c>
      <c r="C64" s="18" t="s">
        <v>2775</v>
      </c>
      <c r="D64" s="18" t="str">
        <f t="shared" si="2"/>
        <v>Grundprinzipien</v>
      </c>
      <c r="E64" s="33" t="s">
        <v>2709</v>
      </c>
      <c r="F64" s="6" t="s">
        <v>873</v>
      </c>
    </row>
    <row r="65" spans="1:6" ht="224.25">
      <c r="A65" s="17">
        <f>ROW()</f>
        <v>65</v>
      </c>
      <c r="B65" s="18" t="s">
        <v>2804</v>
      </c>
      <c r="C65" s="18" t="s">
        <v>2775</v>
      </c>
      <c r="D65" s="18" t="str">
        <f t="shared" si="2"/>
        <v>Voraussetzungen für die Deckung</v>
      </c>
      <c r="E65" s="33" t="s">
        <v>2710</v>
      </c>
      <c r="F65" s="6" t="s">
        <v>902</v>
      </c>
    </row>
    <row r="66" spans="1:6" ht="409.5">
      <c r="A66" s="17">
        <f>ROW()</f>
        <v>66</v>
      </c>
      <c r="B66" s="18" t="s">
        <v>2804</v>
      </c>
      <c r="C66" s="18" t="s">
        <v>2775</v>
      </c>
      <c r="D66" s="18" t="str">
        <f t="shared" si="2"/>
        <v>Kombination von selbstständiger und unselbstständiger Tätigkeit</v>
      </c>
      <c r="E66" s="33" t="s">
        <v>2698</v>
      </c>
      <c r="F66" s="6" t="s">
        <v>925</v>
      </c>
    </row>
    <row r="67" spans="1:6" ht="376.5">
      <c r="A67" s="17">
        <f>ROW()</f>
        <v>67</v>
      </c>
      <c r="B67" s="18" t="s">
        <v>2804</v>
      </c>
      <c r="C67" s="18" t="s">
        <v>2695</v>
      </c>
      <c r="D67" s="19" t="str">
        <f t="shared" si="2"/>
        <v xml:space="preserve">Voraussetzungen für den Zugang zu Diensten/Leistungen </v>
      </c>
      <c r="E67" s="33" t="s">
        <v>2699</v>
      </c>
      <c r="F67" s="6" t="s">
        <v>945</v>
      </c>
    </row>
    <row r="68" spans="1:6" ht="409.5">
      <c r="A68" s="17">
        <f>ROW()</f>
        <v>68</v>
      </c>
      <c r="B68" s="18" t="s">
        <v>2804</v>
      </c>
      <c r="C68" s="18" t="s">
        <v>2695</v>
      </c>
      <c r="D68" s="19" t="str">
        <f t="shared" si="2"/>
        <v>Beträge, Dauer und Kostenbeteiligung</v>
      </c>
      <c r="E68" s="33" t="s">
        <v>2700</v>
      </c>
      <c r="F68" s="6" t="s">
        <v>4678</v>
      </c>
    </row>
    <row r="69" spans="1:6" ht="216">
      <c r="A69" s="17">
        <f>ROW()</f>
        <v>69</v>
      </c>
      <c r="B69" s="18" t="s">
        <v>2804</v>
      </c>
      <c r="C69" s="18" t="s">
        <v>2695</v>
      </c>
      <c r="D69" s="19" t="str">
        <f t="shared" si="2"/>
        <v>Besteuerung von Geldleistungen</v>
      </c>
      <c r="E69" s="33" t="s">
        <v>2681</v>
      </c>
      <c r="F69" s="6" t="s">
        <v>969</v>
      </c>
    </row>
    <row r="70" spans="1:6" ht="272.25">
      <c r="A70" s="17">
        <f>ROW()</f>
        <v>70</v>
      </c>
      <c r="B70" s="18" t="s">
        <v>2804</v>
      </c>
      <c r="C70" s="18" t="s">
        <v>2695</v>
      </c>
      <c r="D70" s="19" t="str">
        <f t="shared" si="2"/>
        <v>Auf Leistungen anfallende Sozialabgaben</v>
      </c>
      <c r="E70" s="33" t="s">
        <v>2683</v>
      </c>
      <c r="F70" s="6" t="s">
        <v>983</v>
      </c>
    </row>
    <row r="71" spans="1:6" ht="375">
      <c r="A71" s="17">
        <f>ROW()</f>
        <v>71</v>
      </c>
      <c r="B71" s="18" t="s">
        <v>2702</v>
      </c>
      <c r="C71" s="18" t="str">
        <f t="shared" ref="C71:D75" si="3">+D71</f>
        <v>Geltende Rechtsgrundlage</v>
      </c>
      <c r="D71" s="19" t="str">
        <f t="shared" si="3"/>
        <v>Geltende Rechtsgrundlage</v>
      </c>
      <c r="E71" s="32" t="s">
        <v>2724</v>
      </c>
      <c r="F71" s="6" t="s">
        <v>999</v>
      </c>
    </row>
    <row r="72" spans="1:6" ht="110.25">
      <c r="A72" s="17">
        <f>ROW()</f>
        <v>72</v>
      </c>
      <c r="B72" s="18" t="s">
        <v>2702</v>
      </c>
      <c r="C72" s="18" t="str">
        <f t="shared" si="3"/>
        <v>Grundprinzipien</v>
      </c>
      <c r="D72" s="19" t="str">
        <f t="shared" si="3"/>
        <v>Grundprinzipien</v>
      </c>
      <c r="E72" s="32" t="s">
        <v>2709</v>
      </c>
      <c r="F72" s="6" t="s">
        <v>1026</v>
      </c>
    </row>
    <row r="73" spans="1:6" ht="315">
      <c r="A73" s="17">
        <f>ROW()</f>
        <v>73</v>
      </c>
      <c r="B73" s="18" t="s">
        <v>2702</v>
      </c>
      <c r="C73" s="19" t="str">
        <f t="shared" si="3"/>
        <v>Anwendungsbereich (in Bezug auf Verstorbene)</v>
      </c>
      <c r="D73" s="19" t="str">
        <f t="shared" si="3"/>
        <v>Anwendungsbereich (in Bezug auf Verstorbene)</v>
      </c>
      <c r="E73" s="32" t="s">
        <v>2725</v>
      </c>
      <c r="F73" s="6" t="s">
        <v>1056</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133</v>
      </c>
    </row>
    <row r="75" spans="1:6" ht="144.75">
      <c r="A75" s="17">
        <f>ROW()</f>
        <v>75</v>
      </c>
      <c r="B75" s="18" t="s">
        <v>2702</v>
      </c>
      <c r="C75" s="19" t="str">
        <f t="shared" si="3"/>
        <v>Berechtigte Personen</v>
      </c>
      <c r="D75" s="19" t="str">
        <f t="shared" si="3"/>
        <v>Berechtigte Personen</v>
      </c>
      <c r="E75" s="32" t="s">
        <v>2730</v>
      </c>
      <c r="F75" s="6" t="s">
        <v>1101</v>
      </c>
    </row>
    <row r="76" spans="1:6" ht="102">
      <c r="A76" s="17">
        <f>ROW()</f>
        <v>76</v>
      </c>
      <c r="B76" s="18" t="s">
        <v>2702</v>
      </c>
      <c r="C76" s="1"/>
      <c r="D76" s="1"/>
      <c r="E76" s="32" t="s">
        <v>2783</v>
      </c>
      <c r="F76" s="6"/>
    </row>
    <row r="77" spans="1:6" ht="189.75">
      <c r="A77" s="17">
        <f>ROW()</f>
        <v>77</v>
      </c>
      <c r="B77" s="18" t="s">
        <v>2702</v>
      </c>
      <c r="C77" s="18" t="s">
        <v>2805</v>
      </c>
      <c r="D77" s="18" t="str">
        <f t="shared" ref="D77:D90" si="4">+E77</f>
        <v>1. Verstorbener Versicherter</v>
      </c>
      <c r="E77" s="33" t="s">
        <v>2806</v>
      </c>
      <c r="F77" s="6" t="s">
        <v>1132</v>
      </c>
    </row>
    <row r="78" spans="1:6" ht="185.25">
      <c r="A78" s="17">
        <f>ROW()</f>
        <v>78</v>
      </c>
      <c r="B78" s="18" t="s">
        <v>2702</v>
      </c>
      <c r="C78" s="18" t="s">
        <v>2805</v>
      </c>
      <c r="D78" s="18" t="str">
        <f t="shared" si="4"/>
        <v>2. Hinterbliebener Ehegatte</v>
      </c>
      <c r="E78" s="33" t="s">
        <v>2807</v>
      </c>
      <c r="F78" s="6" t="s">
        <v>4679</v>
      </c>
    </row>
    <row r="79" spans="1:6" ht="181.5">
      <c r="A79" s="17">
        <f>ROW()</f>
        <v>79</v>
      </c>
      <c r="B79" s="18" t="s">
        <v>2702</v>
      </c>
      <c r="C79" s="18" t="s">
        <v>2805</v>
      </c>
      <c r="D79" s="18" t="str">
        <f t="shared" si="4"/>
        <v>3. Geschiedener Ehegatte</v>
      </c>
      <c r="E79" s="33" t="s">
        <v>2808</v>
      </c>
      <c r="F79" s="6" t="s">
        <v>1193</v>
      </c>
    </row>
    <row r="80" spans="1:6" ht="216">
      <c r="A80" s="17">
        <f>ROW()</f>
        <v>80</v>
      </c>
      <c r="B80" s="18" t="s">
        <v>2702</v>
      </c>
      <c r="C80" s="18" t="s">
        <v>2805</v>
      </c>
      <c r="D80" s="18" t="str">
        <f t="shared" si="4"/>
        <v>4. Hinterbliebene Lebenspartner</v>
      </c>
      <c r="E80" s="33" t="s">
        <v>2809</v>
      </c>
      <c r="F80" s="6" t="s">
        <v>1218</v>
      </c>
    </row>
    <row r="81" spans="1:6" ht="181.5">
      <c r="A81" s="17">
        <f>ROW()</f>
        <v>81</v>
      </c>
      <c r="B81" s="18" t="s">
        <v>2702</v>
      </c>
      <c r="C81" s="18" t="s">
        <v>2805</v>
      </c>
      <c r="D81" s="18" t="str">
        <f t="shared" si="4"/>
        <v>5. Kinder</v>
      </c>
      <c r="E81" s="33" t="s">
        <v>2810</v>
      </c>
      <c r="F81" s="6" t="s">
        <v>1244</v>
      </c>
    </row>
    <row r="82" spans="1:6" ht="181.5">
      <c r="A82" s="17">
        <f>ROW()</f>
        <v>82</v>
      </c>
      <c r="B82" s="18" t="s">
        <v>2702</v>
      </c>
      <c r="C82" s="18" t="s">
        <v>2805</v>
      </c>
      <c r="D82" s="18" t="str">
        <f t="shared" si="4"/>
        <v>6. Andere Personen</v>
      </c>
      <c r="E82" s="33" t="s">
        <v>2811</v>
      </c>
      <c r="F82" s="6" t="s">
        <v>1269</v>
      </c>
    </row>
    <row r="83" spans="1:6" ht="409.5">
      <c r="A83" s="17">
        <f>ROW()</f>
        <v>83</v>
      </c>
      <c r="B83" s="18" t="s">
        <v>2702</v>
      </c>
      <c r="C83" s="18" t="s">
        <v>2695</v>
      </c>
      <c r="D83" s="19" t="str">
        <f t="shared" si="4"/>
        <v>1. Hinterbliebener Ehegatte, geschiedener Ehegatte, hinterbliebene Lebenspartner</v>
      </c>
      <c r="E83" s="33" t="s">
        <v>2812</v>
      </c>
      <c r="F83" s="6" t="s">
        <v>1292</v>
      </c>
    </row>
    <row r="84" spans="1:6" ht="280.5">
      <c r="A84" s="17">
        <f>ROW()</f>
        <v>84</v>
      </c>
      <c r="B84" s="18" t="s">
        <v>2702</v>
      </c>
      <c r="C84" s="18" t="s">
        <v>2695</v>
      </c>
      <c r="D84" s="19" t="str">
        <f t="shared" si="4"/>
        <v>2. Hinterbliebener Ehegatte: Wiederheirat</v>
      </c>
      <c r="E84" s="33" t="s">
        <v>2813</v>
      </c>
      <c r="F84" s="6" t="s">
        <v>1323</v>
      </c>
    </row>
    <row r="85" spans="1:6" ht="255">
      <c r="A85" s="17">
        <f>ROW()</f>
        <v>85</v>
      </c>
      <c r="B85" s="18" t="s">
        <v>2702</v>
      </c>
      <c r="C85" s="18" t="s">
        <v>2695</v>
      </c>
      <c r="D85" s="19" t="str">
        <f t="shared" si="4"/>
        <v>3. Kinder</v>
      </c>
      <c r="E85" s="33" t="s">
        <v>2814</v>
      </c>
      <c r="F85" s="6" t="s">
        <v>4680</v>
      </c>
    </row>
    <row r="86" spans="1:6" ht="147">
      <c r="A86" s="17">
        <f>ROW()</f>
        <v>86</v>
      </c>
      <c r="B86" s="18" t="s">
        <v>2702</v>
      </c>
      <c r="C86" s="18" t="s">
        <v>2695</v>
      </c>
      <c r="D86" s="19" t="str">
        <f t="shared" si="4"/>
        <v>4. Andere Berechtigte</v>
      </c>
      <c r="E86" s="33" t="s">
        <v>2815</v>
      </c>
      <c r="F86" s="6" t="s">
        <v>1375</v>
      </c>
    </row>
    <row r="87" spans="1:6" ht="381">
      <c r="A87" s="17">
        <f>ROW()</f>
        <v>87</v>
      </c>
      <c r="B87" s="18" t="s">
        <v>2702</v>
      </c>
      <c r="C87" s="18" t="s">
        <v>2695</v>
      </c>
      <c r="D87" s="19" t="str">
        <f t="shared" si="4"/>
        <v xml:space="preserve"> 5. Höchster zahlbarer Gesamtbetrag für alle Berechtigten</v>
      </c>
      <c r="E87" s="33" t="s">
        <v>2816</v>
      </c>
      <c r="F87" s="6" t="s">
        <v>1395</v>
      </c>
    </row>
    <row r="88" spans="1:6" ht="151.5">
      <c r="A88" s="17">
        <f>ROW()</f>
        <v>88</v>
      </c>
      <c r="B88" s="18" t="s">
        <v>2702</v>
      </c>
      <c r="C88" s="18" t="s">
        <v>2695</v>
      </c>
      <c r="D88" s="19" t="str">
        <f t="shared" si="4"/>
        <v>6. Sonstige Leistungen</v>
      </c>
      <c r="E88" s="33" t="s">
        <v>2817</v>
      </c>
      <c r="F88" s="6" t="s">
        <v>4681</v>
      </c>
    </row>
    <row r="89" spans="1:6" ht="126.75">
      <c r="A89" s="17">
        <f>ROW()</f>
        <v>89</v>
      </c>
      <c r="B89" s="18" t="s">
        <v>2702</v>
      </c>
      <c r="C89" s="18" t="s">
        <v>2695</v>
      </c>
      <c r="D89" s="19" t="str">
        <f>+E89</f>
        <v>7. Mindestleistung</v>
      </c>
      <c r="E89" s="33" t="s">
        <v>2818</v>
      </c>
      <c r="F89" s="6" t="s">
        <v>1451</v>
      </c>
    </row>
    <row r="90" spans="1:6" ht="122.25">
      <c r="A90" s="17">
        <f>ROW()</f>
        <v>90</v>
      </c>
      <c r="B90" s="18" t="s">
        <v>2702</v>
      </c>
      <c r="C90" s="18" t="s">
        <v>2695</v>
      </c>
      <c r="D90" s="19" t="str">
        <f t="shared" si="4"/>
        <v xml:space="preserve"> 8. Höchstleistung</v>
      </c>
      <c r="E90" s="33" t="s">
        <v>2819</v>
      </c>
      <c r="F90" s="6" t="s">
        <v>532</v>
      </c>
    </row>
    <row r="91" spans="1:6" ht="179.25">
      <c r="A91" s="17">
        <f>ROW()</f>
        <v>91</v>
      </c>
      <c r="B91" s="18" t="s">
        <v>2702</v>
      </c>
      <c r="C91" s="18" t="s">
        <v>2799</v>
      </c>
      <c r="D91" s="19" t="str">
        <f>+C91</f>
        <v>Indexbindung / Anpassung</v>
      </c>
      <c r="E91" s="32" t="s">
        <v>2799</v>
      </c>
      <c r="F91" s="6" t="s">
        <v>1501</v>
      </c>
    </row>
    <row r="92" spans="1:6" ht="242.25">
      <c r="A92" s="17">
        <f>ROW()</f>
        <v>92</v>
      </c>
      <c r="B92" s="18" t="s">
        <v>2702</v>
      </c>
      <c r="C92" s="18" t="s">
        <v>2799</v>
      </c>
      <c r="D92" s="19" t="str">
        <f t="shared" ref="D92:D105" si="5">+E92</f>
        <v>Kumulation mit Erwerbseinkommen</v>
      </c>
      <c r="E92" s="32" t="s">
        <v>2723</v>
      </c>
      <c r="F92" s="6" t="s">
        <v>4682</v>
      </c>
    </row>
    <row r="93" spans="1:6" ht="275.25">
      <c r="A93" s="17">
        <f>ROW()</f>
        <v>93</v>
      </c>
      <c r="B93" s="18" t="s">
        <v>2702</v>
      </c>
      <c r="C93" s="18" t="s">
        <v>2799</v>
      </c>
      <c r="D93" s="19" t="str">
        <f t="shared" si="5"/>
        <v>Kumulation mit anderen Sozialleistungen</v>
      </c>
      <c r="E93" s="32" t="s">
        <v>2696</v>
      </c>
      <c r="F93" s="6" t="s">
        <v>1562</v>
      </c>
    </row>
    <row r="94" spans="1:6" ht="232.5">
      <c r="A94" s="17">
        <f>ROW()</f>
        <v>94</v>
      </c>
      <c r="B94" s="18" t="s">
        <v>2702</v>
      </c>
      <c r="C94" s="19" t="s">
        <v>2701</v>
      </c>
      <c r="D94" s="19" t="str">
        <f t="shared" si="5"/>
        <v>1. Besteuerung von Geldleistungen</v>
      </c>
      <c r="E94" s="33" t="s">
        <v>2770</v>
      </c>
      <c r="F94" s="6" t="s">
        <v>1583</v>
      </c>
    </row>
    <row r="95" spans="1:6" ht="387">
      <c r="A95" s="17">
        <f>ROW()</f>
        <v>95</v>
      </c>
      <c r="B95" s="18" t="s">
        <v>2702</v>
      </c>
      <c r="C95" s="19" t="s">
        <v>2701</v>
      </c>
      <c r="D95" s="19" t="str">
        <f t="shared" si="5"/>
        <v>2. Einkommensgrenze für Besteuerung von Geldleistungen</v>
      </c>
      <c r="E95" s="33" t="s">
        <v>2772</v>
      </c>
      <c r="F95" s="6" t="s">
        <v>1610</v>
      </c>
    </row>
    <row r="96" spans="1:6" ht="288.75">
      <c r="A96" s="17">
        <f>ROW()</f>
        <v>96</v>
      </c>
      <c r="B96" s="18" t="s">
        <v>2702</v>
      </c>
      <c r="C96" s="19" t="s">
        <v>2701</v>
      </c>
      <c r="D96" s="19" t="str">
        <f t="shared" si="5"/>
        <v>3. Auf Leistungen anfallende Sozialabgaben</v>
      </c>
      <c r="E96" s="33" t="s">
        <v>2773</v>
      </c>
      <c r="F96" s="6" t="s">
        <v>824</v>
      </c>
    </row>
    <row r="97" spans="1:6" ht="138">
      <c r="A97" s="17">
        <f>ROW()</f>
        <v>97</v>
      </c>
      <c r="B97" s="18" t="s">
        <v>2702</v>
      </c>
      <c r="C97" s="19" t="s">
        <v>2775</v>
      </c>
      <c r="D97" s="19" t="str">
        <f t="shared" si="5"/>
        <v>Anwendungsbereich</v>
      </c>
      <c r="E97" s="33" t="s">
        <v>2708</v>
      </c>
      <c r="F97" s="6" t="s">
        <v>1648</v>
      </c>
    </row>
    <row r="98" spans="1:6" ht="110.25">
      <c r="A98" s="17">
        <f>ROW()</f>
        <v>98</v>
      </c>
      <c r="B98" s="18" t="s">
        <v>2702</v>
      </c>
      <c r="C98" s="19" t="s">
        <v>2775</v>
      </c>
      <c r="D98" s="19" t="str">
        <f t="shared" si="5"/>
        <v>Grundprinzipien</v>
      </c>
      <c r="E98" s="33" t="s">
        <v>2709</v>
      </c>
      <c r="F98" s="6" t="s">
        <v>1664</v>
      </c>
    </row>
    <row r="99" spans="1:6" ht="224.25">
      <c r="A99" s="17">
        <f>ROW()</f>
        <v>99</v>
      </c>
      <c r="B99" s="18" t="s">
        <v>2702</v>
      </c>
      <c r="C99" s="19" t="s">
        <v>2775</v>
      </c>
      <c r="D99" s="19" t="str">
        <f t="shared" si="5"/>
        <v>Voraussetzungen für die Deckung</v>
      </c>
      <c r="E99" s="33" t="s">
        <v>2710</v>
      </c>
      <c r="F99" s="6" t="s">
        <v>1677</v>
      </c>
    </row>
    <row r="100" spans="1:6" ht="409.5">
      <c r="A100" s="17">
        <f>ROW()</f>
        <v>100</v>
      </c>
      <c r="B100" s="18" t="s">
        <v>2702</v>
      </c>
      <c r="C100" s="19" t="s">
        <v>2775</v>
      </c>
      <c r="D100" s="19" t="str">
        <f t="shared" si="5"/>
        <v>Kombination von selbstständiger und unselbstständiger Tätigkeit</v>
      </c>
      <c r="E100" s="33" t="s">
        <v>2698</v>
      </c>
      <c r="F100" s="6" t="s">
        <v>1687</v>
      </c>
    </row>
    <row r="101" spans="1:6" ht="376.5">
      <c r="A101" s="17">
        <f>ROW()</f>
        <v>101</v>
      </c>
      <c r="B101" s="18" t="s">
        <v>2702</v>
      </c>
      <c r="C101" s="19" t="s">
        <v>2775</v>
      </c>
      <c r="D101" s="19" t="str">
        <f t="shared" si="5"/>
        <v xml:space="preserve">Voraussetzungen für den Zugang zu Diensten/Leistungen </v>
      </c>
      <c r="E101" s="33" t="s">
        <v>2699</v>
      </c>
      <c r="F101" s="6" t="s">
        <v>942</v>
      </c>
    </row>
    <row r="102" spans="1:6" ht="253.5">
      <c r="A102" s="17">
        <f>ROW()</f>
        <v>102</v>
      </c>
      <c r="B102" s="18" t="s">
        <v>2702</v>
      </c>
      <c r="C102" s="19" t="s">
        <v>2775</v>
      </c>
      <c r="D102" s="19" t="str">
        <f t="shared" si="5"/>
        <v>Beträge, Dauer und Kostenbeteiligung</v>
      </c>
      <c r="E102" s="33" t="s">
        <v>2700</v>
      </c>
      <c r="F102" s="6" t="s">
        <v>942</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983</v>
      </c>
    </row>
    <row r="105" spans="1:6" ht="272.25">
      <c r="A105" s="17">
        <f>ROW()</f>
        <v>105</v>
      </c>
      <c r="B105" s="18" t="s">
        <v>2702</v>
      </c>
      <c r="C105" s="19" t="s">
        <v>2775</v>
      </c>
      <c r="D105" s="19" t="str">
        <f t="shared" si="5"/>
        <v>Auf Leistungen anfallende Sozialabgaben</v>
      </c>
      <c r="E105" s="33" t="s">
        <v>2683</v>
      </c>
      <c r="F105" s="6" t="s">
        <v>1707</v>
      </c>
    </row>
    <row r="106" spans="1:6"/>
    <row r="107" spans="1:6"/>
    <row r="108" spans="1:6"/>
    <row r="109" spans="1:6"/>
    <row r="110" spans="1:6"/>
    <row r="111" spans="1:6"/>
    <row r="112" spans="1:6"/>
    <row r="113"/>
  </sheetData>
  <sheetProtection algorithmName="SHA-512" hashValue="U1dS6/rRQfnXvmLR14dtjUH9gdSc9cIXX1ymclasjaSYbv5a/36cS6vlNRBbFtsZ0HG+79i/75DmFc2Gf+eybw==" saltValue="9Sk50nZcFYTLBl85cRGwzg==" spinCount="100000" sheet="1" objects="1" scenarios="1" formatColumns="0" autoFilter="0"/>
  <autoFilter ref="A2:F105" xr:uid="{88626DC6-EF86-42C0-AA9F-D8B7CB677BCF}"/>
  <pageMargins left="0.7" right="0.7" top="0.78740157499999996" bottom="0.78740157499999996"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04D24-8A5D-4EC2-AA6E-16FBDCCE78D1}">
  <sheetPr codeName="Tabelle13"/>
  <dimension ref="A1:F113"/>
  <sheetViews>
    <sheetView workbookViewId="0">
      <pane xSplit="5" ySplit="2" topLeftCell="F3" activePane="bottomRight" state="frozen"/>
      <selection activeCell="F2" sqref="F2"/>
      <selection pane="topRight" activeCell="F2" sqref="F2"/>
      <selection pane="bottomLeft" activeCell="F2" sqref="F2"/>
      <selection pane="bottomRight" activeCell="F3" sqref="F3"/>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39" t="s">
        <v>2726</v>
      </c>
      <c r="C1" s="136" t="s">
        <v>2739</v>
      </c>
      <c r="D1" s="136" t="s">
        <v>2728</v>
      </c>
      <c r="E1" s="128" t="s">
        <v>3506</v>
      </c>
      <c r="F1" s="16" t="s">
        <v>11</v>
      </c>
    </row>
    <row r="2" spans="1:6" ht="39.75" customHeight="1">
      <c r="A2" s="138"/>
      <c r="B2" s="139"/>
      <c r="C2" s="136"/>
      <c r="D2" s="136"/>
      <c r="E2" s="134"/>
      <c r="F2" s="173" t="str" cm="1">
        <f t="array" ref="F2">_xlfn.TEXTJOIN("; ", TRUE, IF(Entscheidungen!A2:A100=F1, Entscheidungen!B2:B100, ""))</f>
        <v/>
      </c>
    </row>
    <row r="3" spans="1:6" ht="315">
      <c r="A3" s="17">
        <f>ROW()</f>
        <v>3</v>
      </c>
      <c r="B3" s="18" t="s">
        <v>2740</v>
      </c>
      <c r="C3" s="18"/>
      <c r="D3" s="18" t="str">
        <f>+E3</f>
        <v>Geltende Rechtsgrundlage</v>
      </c>
      <c r="E3" s="31" t="s">
        <v>2724</v>
      </c>
      <c r="F3" s="6" t="s">
        <v>4683</v>
      </c>
    </row>
    <row r="4" spans="1:6" ht="110.25">
      <c r="A4" s="17">
        <f>ROW()</f>
        <v>4</v>
      </c>
      <c r="B4" s="18" t="s">
        <v>2740</v>
      </c>
      <c r="C4" s="1"/>
      <c r="D4" s="18" t="str">
        <f t="shared" ref="D4:D34" si="0">+E4</f>
        <v>Grundprinzipien</v>
      </c>
      <c r="E4" s="32" t="s">
        <v>2709</v>
      </c>
      <c r="F4" s="6" t="s">
        <v>3226</v>
      </c>
    </row>
    <row r="5" spans="1:6" ht="225">
      <c r="A5" s="17">
        <f>ROW()</f>
        <v>5</v>
      </c>
      <c r="B5" s="18" t="s">
        <v>2740</v>
      </c>
      <c r="C5" s="1"/>
      <c r="D5" s="18" t="str">
        <f t="shared" si="0"/>
        <v>Gedecktes Risiko: Definition</v>
      </c>
      <c r="E5" s="32" t="s">
        <v>2891</v>
      </c>
      <c r="F5" s="6" t="s">
        <v>3227</v>
      </c>
    </row>
    <row r="6" spans="1:6" ht="195">
      <c r="A6" s="17">
        <f>ROW()</f>
        <v>6</v>
      </c>
      <c r="B6" s="18" t="s">
        <v>2740</v>
      </c>
      <c r="C6" s="18" t="s">
        <v>2653</v>
      </c>
      <c r="D6" s="18" t="str">
        <f t="shared" si="0"/>
        <v>Versicherte Personen</v>
      </c>
      <c r="E6" s="33" t="s">
        <v>2653</v>
      </c>
      <c r="F6" s="6" t="s">
        <v>4684</v>
      </c>
    </row>
    <row r="7" spans="1:6" ht="273">
      <c r="A7" s="17">
        <f>ROW()</f>
        <v>7</v>
      </c>
      <c r="B7" s="18" t="s">
        <v>2740</v>
      </c>
      <c r="C7" s="18" t="str">
        <f>+E6</f>
        <v>Versicherte Personen</v>
      </c>
      <c r="D7" s="18" t="str">
        <f t="shared" si="0"/>
        <v>Ausnahmen von der Versicherungspflicht</v>
      </c>
      <c r="E7" s="33" t="s">
        <v>2685</v>
      </c>
      <c r="F7" s="6" t="s">
        <v>1080</v>
      </c>
    </row>
    <row r="8" spans="1:6" ht="194.25">
      <c r="A8" s="17">
        <f>ROW()</f>
        <v>8</v>
      </c>
      <c r="B8" s="18" t="s">
        <v>2740</v>
      </c>
      <c r="C8" s="19" t="s">
        <v>149</v>
      </c>
      <c r="D8" s="18" t="str">
        <f t="shared" si="0"/>
        <v>1. Anwartschaftszeit</v>
      </c>
      <c r="E8" s="33" t="s">
        <v>2744</v>
      </c>
      <c r="F8" s="6" t="s">
        <v>4685</v>
      </c>
    </row>
    <row r="9" spans="1:6" ht="409.5">
      <c r="A9" s="17">
        <f>ROW()</f>
        <v>9</v>
      </c>
      <c r="B9" s="18" t="s">
        <v>2740</v>
      </c>
      <c r="C9" s="19" t="s">
        <v>149</v>
      </c>
      <c r="D9" s="18" t="str">
        <f t="shared" si="0"/>
        <v xml:space="preserve">2. Begutachtungskriterien und Kategorien der Arbeitsunfähigkeit/Arbeitsfähigkeit  </v>
      </c>
      <c r="E9" s="33" t="s">
        <v>2745</v>
      </c>
      <c r="F9" s="6" t="s">
        <v>3228</v>
      </c>
    </row>
    <row r="10" spans="1:6" ht="222">
      <c r="A10" s="17">
        <f>ROW()</f>
        <v>10</v>
      </c>
      <c r="B10" s="18" t="s">
        <v>2740</v>
      </c>
      <c r="C10" s="19" t="s">
        <v>149</v>
      </c>
      <c r="D10" s="18" t="str">
        <f t="shared" si="0"/>
        <v>3. Zeitraum der Leistungszahlung</v>
      </c>
      <c r="E10" s="33" t="s">
        <v>2747</v>
      </c>
      <c r="F10" s="6" t="s">
        <v>3229</v>
      </c>
    </row>
    <row r="11" spans="1:6" ht="150">
      <c r="A11" s="17">
        <f>ROW()</f>
        <v>11</v>
      </c>
      <c r="B11" s="18" t="s">
        <v>2740</v>
      </c>
      <c r="C11" s="19" t="s">
        <v>2749</v>
      </c>
      <c r="D11" s="18" t="str">
        <f t="shared" si="0"/>
        <v>1. Gutachter</v>
      </c>
      <c r="E11" s="33" t="s">
        <v>2750</v>
      </c>
      <c r="F11" s="6" t="s">
        <v>3230</v>
      </c>
    </row>
    <row r="12" spans="1:6" ht="120">
      <c r="A12" s="17">
        <f>ROW()</f>
        <v>12</v>
      </c>
      <c r="B12" s="18" t="s">
        <v>2740</v>
      </c>
      <c r="C12" s="19" t="s">
        <v>2749</v>
      </c>
      <c r="D12" s="18" t="str">
        <f t="shared" si="0"/>
        <v xml:space="preserve">2. Überprüfung  </v>
      </c>
      <c r="E12" s="33" t="s">
        <v>2751</v>
      </c>
      <c r="F12" s="6" t="s">
        <v>3231</v>
      </c>
    </row>
    <row r="13" spans="1:6" ht="409.5">
      <c r="A13" s="17">
        <f>ROW()</f>
        <v>13</v>
      </c>
      <c r="B13" s="18" t="s">
        <v>2740</v>
      </c>
      <c r="C13" s="18" t="s">
        <v>2695</v>
      </c>
      <c r="D13" s="18" t="str">
        <f t="shared" si="0"/>
        <v>1. Berechnungsmethode bzw. Rentenformel</v>
      </c>
      <c r="E13" s="33" t="s">
        <v>2753</v>
      </c>
      <c r="F13" s="6" t="s">
        <v>4686</v>
      </c>
    </row>
    <row r="14" spans="1:6" ht="343.5">
      <c r="A14" s="17">
        <f>ROW()</f>
        <v>14</v>
      </c>
      <c r="B14" s="18" t="s">
        <v>2740</v>
      </c>
      <c r="C14" s="18" t="s">
        <v>2695</v>
      </c>
      <c r="D14" s="18" t="str">
        <f t="shared" si="0"/>
        <v>2. Referenzeinkommen bzw. Berechnungsgrundlage</v>
      </c>
      <c r="E14" s="33" t="s">
        <v>2754</v>
      </c>
      <c r="F14" s="6" t="s">
        <v>3232</v>
      </c>
    </row>
    <row r="15" spans="1:6" ht="226.5">
      <c r="A15" s="17">
        <f>ROW()</f>
        <v>15</v>
      </c>
      <c r="B15" s="18" t="s">
        <v>2740</v>
      </c>
      <c r="C15" s="18" t="s">
        <v>2695</v>
      </c>
      <c r="D15" s="18" t="str">
        <f t="shared" si="0"/>
        <v>3. Mindest- und Höchstleistungen</v>
      </c>
      <c r="E15" s="33" t="s">
        <v>2756</v>
      </c>
      <c r="F15" s="6" t="s">
        <v>3233</v>
      </c>
    </row>
    <row r="16" spans="1:6" ht="405">
      <c r="A16" s="17">
        <f>ROW()</f>
        <v>16</v>
      </c>
      <c r="B16" s="18" t="s">
        <v>2740</v>
      </c>
      <c r="C16" s="18" t="s">
        <v>2695</v>
      </c>
      <c r="D16" s="18" t="str">
        <f t="shared" si="0"/>
        <v>4. Anrechenbare oder als Beitragszeiten gewertete Zeiträume</v>
      </c>
      <c r="E16" s="33" t="s">
        <v>2757</v>
      </c>
      <c r="F16" s="6" t="s">
        <v>3234</v>
      </c>
    </row>
    <row r="17" spans="1:6" ht="250.5">
      <c r="A17" s="17">
        <f>ROW()</f>
        <v>17</v>
      </c>
      <c r="B17" s="18" t="s">
        <v>2740</v>
      </c>
      <c r="C17" s="18" t="s">
        <v>2695</v>
      </c>
      <c r="D17" s="18" t="str">
        <f t="shared" si="0"/>
        <v xml:space="preserve">5. Zulagen für Unterhaltsberechtigte  </v>
      </c>
      <c r="E17" s="33" t="s">
        <v>2759</v>
      </c>
      <c r="F17" s="6" t="s">
        <v>456</v>
      </c>
    </row>
    <row r="18" spans="1:6" ht="135">
      <c r="A18" s="17">
        <f>ROW()</f>
        <v>18</v>
      </c>
      <c r="B18" s="18" t="s">
        <v>2740</v>
      </c>
      <c r="C18" s="18" t="str">
        <f>+E18</f>
        <v>Sonstige Leistungen</v>
      </c>
      <c r="D18" s="18" t="str">
        <f>+E18</f>
        <v>Sonstige Leistungen</v>
      </c>
      <c r="E18" s="32" t="s">
        <v>2678</v>
      </c>
      <c r="F18" s="6" t="s">
        <v>1423</v>
      </c>
    </row>
    <row r="19" spans="1:6" ht="330">
      <c r="A19" s="17">
        <f>ROW()</f>
        <v>19</v>
      </c>
      <c r="B19" s="18" t="s">
        <v>2740</v>
      </c>
      <c r="C19" s="18" t="s">
        <v>2761</v>
      </c>
      <c r="D19" s="18" t="str">
        <f t="shared" si="0"/>
        <v>Umschulung, berufsbezogene Rehabilitation</v>
      </c>
      <c r="E19" s="33" t="s">
        <v>2762</v>
      </c>
      <c r="F19" s="6" t="s">
        <v>4687</v>
      </c>
    </row>
    <row r="20" spans="1:6" ht="409.5">
      <c r="A20" s="17">
        <f>ROW()</f>
        <v>20</v>
      </c>
      <c r="B20" s="18" t="s">
        <v>2740</v>
      </c>
      <c r="C20" s="18" t="s">
        <v>2761</v>
      </c>
      <c r="D20" s="18" t="str">
        <f t="shared" si="0"/>
        <v xml:space="preserve">Bevorzugte und reservierte Beschäftigung von Menschen mit Behinderungen  </v>
      </c>
      <c r="E20" s="33" t="s">
        <v>2763</v>
      </c>
      <c r="F20" s="6" t="s">
        <v>4688</v>
      </c>
    </row>
    <row r="21" spans="1:6" ht="171.75">
      <c r="A21" s="17">
        <f>ROW()</f>
        <v>21</v>
      </c>
      <c r="B21" s="18" t="s">
        <v>2740</v>
      </c>
      <c r="C21" s="18" t="s">
        <v>2765</v>
      </c>
      <c r="D21" s="18" t="str">
        <f t="shared" si="0"/>
        <v>Indexbindung/Anpassung</v>
      </c>
      <c r="E21" s="32" t="s">
        <v>2766</v>
      </c>
      <c r="F21" s="6" t="s">
        <v>679</v>
      </c>
    </row>
    <row r="22" spans="1:6" ht="242.25">
      <c r="A22" s="17">
        <f>ROW()</f>
        <v>22</v>
      </c>
      <c r="B22" s="18" t="s">
        <v>2740</v>
      </c>
      <c r="C22" s="18" t="s">
        <v>2765</v>
      </c>
      <c r="D22" s="18" t="str">
        <f>+E22</f>
        <v>Kumulation mit Erwerbseinkommen</v>
      </c>
      <c r="E22" s="32" t="s">
        <v>2723</v>
      </c>
      <c r="F22" s="6" t="s">
        <v>3235</v>
      </c>
    </row>
    <row r="23" spans="1:6" ht="275.25">
      <c r="A23" s="17">
        <f>ROW()</f>
        <v>23</v>
      </c>
      <c r="B23" s="18" t="s">
        <v>2740</v>
      </c>
      <c r="C23" s="18" t="s">
        <v>2765</v>
      </c>
      <c r="D23" s="18" t="str">
        <f t="shared" si="0"/>
        <v>Kumulation mit anderen Sozialleistungen</v>
      </c>
      <c r="E23" s="32" t="s">
        <v>2696</v>
      </c>
      <c r="F23" s="6" t="s">
        <v>2484</v>
      </c>
    </row>
    <row r="24" spans="1:6" ht="232.5">
      <c r="A24" s="17">
        <f>ROW()</f>
        <v>24</v>
      </c>
      <c r="B24" s="18" t="s">
        <v>2740</v>
      </c>
      <c r="C24" s="18" t="s">
        <v>2701</v>
      </c>
      <c r="D24" s="18" t="str">
        <f t="shared" si="0"/>
        <v>1. Besteuerung von Geldleistungen</v>
      </c>
      <c r="E24" s="33" t="s">
        <v>2770</v>
      </c>
      <c r="F24" s="6" t="s">
        <v>762</v>
      </c>
    </row>
    <row r="25" spans="1:6" ht="387">
      <c r="A25" s="17">
        <f>ROW()</f>
        <v>25</v>
      </c>
      <c r="B25" s="18" t="s">
        <v>2740</v>
      </c>
      <c r="C25" s="18" t="s">
        <v>2701</v>
      </c>
      <c r="D25" s="18" t="str">
        <f t="shared" si="0"/>
        <v>2. Einkommensgrenze für Besteuerung von Geldleistungen</v>
      </c>
      <c r="E25" s="33" t="s">
        <v>2772</v>
      </c>
      <c r="F25" s="6" t="s">
        <v>3236</v>
      </c>
    </row>
    <row r="26" spans="1:6" ht="288.75">
      <c r="A26" s="17">
        <f>ROW()</f>
        <v>26</v>
      </c>
      <c r="B26" s="18" t="s">
        <v>2740</v>
      </c>
      <c r="C26" s="18" t="s">
        <v>2701</v>
      </c>
      <c r="D26" s="18" t="str">
        <f t="shared" si="0"/>
        <v>3. Auf Leistungen anfallende Sozialabgaben</v>
      </c>
      <c r="E26" s="33" t="s">
        <v>2773</v>
      </c>
      <c r="F26" s="6" t="s">
        <v>825</v>
      </c>
    </row>
    <row r="27" spans="1:6" ht="138">
      <c r="A27" s="17">
        <f>ROW()</f>
        <v>27</v>
      </c>
      <c r="B27" s="18" t="s">
        <v>2740</v>
      </c>
      <c r="C27" s="18" t="s">
        <v>2775</v>
      </c>
      <c r="D27" s="18" t="str">
        <f t="shared" si="0"/>
        <v>Anwendungsbereich</v>
      </c>
      <c r="E27" s="33" t="s">
        <v>2708</v>
      </c>
      <c r="F27" s="6" t="s">
        <v>3237</v>
      </c>
    </row>
    <row r="28" spans="1:6" ht="110.25">
      <c r="A28" s="17">
        <f>ROW()</f>
        <v>28</v>
      </c>
      <c r="B28" s="18" t="s">
        <v>2740</v>
      </c>
      <c r="C28" s="18" t="s">
        <v>2775</v>
      </c>
      <c r="D28" s="18" t="str">
        <f t="shared" si="0"/>
        <v>Grundprinzipien</v>
      </c>
      <c r="E28" s="33" t="s">
        <v>2709</v>
      </c>
      <c r="F28" s="6" t="s">
        <v>874</v>
      </c>
    </row>
    <row r="29" spans="1:6" ht="224.25">
      <c r="A29" s="17">
        <f>ROW()</f>
        <v>29</v>
      </c>
      <c r="B29" s="18" t="s">
        <v>2740</v>
      </c>
      <c r="C29" s="18" t="s">
        <v>2775</v>
      </c>
      <c r="D29" s="18" t="str">
        <f t="shared" si="0"/>
        <v>Voraussetzungen für die Deckung</v>
      </c>
      <c r="E29" s="33" t="s">
        <v>2710</v>
      </c>
      <c r="F29" s="6" t="s">
        <v>3238</v>
      </c>
    </row>
    <row r="30" spans="1:6" ht="409.5">
      <c r="A30" s="17">
        <f>ROW()</f>
        <v>30</v>
      </c>
      <c r="B30" s="18" t="s">
        <v>2740</v>
      </c>
      <c r="C30" s="18" t="s">
        <v>2775</v>
      </c>
      <c r="D30" s="19" t="str">
        <f t="shared" si="0"/>
        <v>Kombination von selbstständiger und unselbstständiger Tätigkeit</v>
      </c>
      <c r="E30" s="33" t="s">
        <v>2698</v>
      </c>
      <c r="F30" s="6" t="s">
        <v>920</v>
      </c>
    </row>
    <row r="31" spans="1:6" ht="376.5">
      <c r="A31" s="17">
        <f>ROW()</f>
        <v>31</v>
      </c>
      <c r="B31" s="18" t="s">
        <v>2740</v>
      </c>
      <c r="C31" s="18" t="s">
        <v>2695</v>
      </c>
      <c r="D31" s="19" t="str">
        <f t="shared" si="0"/>
        <v xml:space="preserve">Voraussetzungen für den Zugang zu Diensten/Leistungen </v>
      </c>
      <c r="E31" s="33" t="s">
        <v>2699</v>
      </c>
      <c r="F31" s="6" t="s">
        <v>917</v>
      </c>
    </row>
    <row r="32" spans="1:6" ht="253.5">
      <c r="A32" s="17">
        <f>ROW()</f>
        <v>32</v>
      </c>
      <c r="B32" s="18" t="s">
        <v>2740</v>
      </c>
      <c r="C32" s="18" t="s">
        <v>2695</v>
      </c>
      <c r="D32" s="18" t="str">
        <f t="shared" si="0"/>
        <v>Beträge, Dauer und Kostenbeteiligung</v>
      </c>
      <c r="E32" s="33" t="s">
        <v>2700</v>
      </c>
      <c r="F32" s="6" t="s">
        <v>917</v>
      </c>
    </row>
    <row r="33" spans="1:6" ht="216">
      <c r="A33" s="17">
        <f>ROW()</f>
        <v>33</v>
      </c>
      <c r="B33" s="18" t="s">
        <v>2740</v>
      </c>
      <c r="C33" s="18" t="s">
        <v>2695</v>
      </c>
      <c r="D33" s="18" t="str">
        <f t="shared" si="0"/>
        <v>Besteuerung von Geldleistungen</v>
      </c>
      <c r="E33" s="33" t="s">
        <v>2681</v>
      </c>
      <c r="F33" s="6" t="s">
        <v>970</v>
      </c>
    </row>
    <row r="34" spans="1:6" ht="276.75">
      <c r="A34" s="17">
        <f>ROW()</f>
        <v>34</v>
      </c>
      <c r="B34" s="18" t="s">
        <v>2740</v>
      </c>
      <c r="C34" s="18" t="s">
        <v>2695</v>
      </c>
      <c r="D34" s="18" t="str">
        <f t="shared" si="0"/>
        <v xml:space="preserve"> Auf Leistungen anfallende Sozialabgaben</v>
      </c>
      <c r="E34" s="33" t="s">
        <v>2779</v>
      </c>
      <c r="F34" s="6" t="s">
        <v>3239</v>
      </c>
    </row>
    <row r="35" spans="1:6" ht="177">
      <c r="A35" s="17">
        <f>ROW()</f>
        <v>35</v>
      </c>
      <c r="B35" s="18" t="s">
        <v>2780</v>
      </c>
      <c r="C35" s="18" t="str">
        <f>+D35</f>
        <v>Geltende Rechtsgrundlage</v>
      </c>
      <c r="D35" s="18" t="str">
        <f>+E35</f>
        <v>Geltende Rechtsgrundlage</v>
      </c>
      <c r="E35" s="32" t="s">
        <v>2724</v>
      </c>
      <c r="F35" s="6" t="s">
        <v>42</v>
      </c>
    </row>
    <row r="36" spans="1:6" ht="110.25">
      <c r="A36" s="17">
        <f>ROW()</f>
        <v>36</v>
      </c>
      <c r="B36" s="18" t="s">
        <v>2780</v>
      </c>
      <c r="C36" s="18" t="str">
        <f>+D36</f>
        <v>Grundprinzipien</v>
      </c>
      <c r="D36" s="18" t="str">
        <f>+E36</f>
        <v>Grundprinzipien</v>
      </c>
      <c r="E36" s="32" t="s">
        <v>2709</v>
      </c>
      <c r="F36" s="6" t="s">
        <v>73</v>
      </c>
    </row>
    <row r="37" spans="1:6" ht="165">
      <c r="A37" s="17">
        <f>ROW()</f>
        <v>37</v>
      </c>
      <c r="B37" s="18" t="s">
        <v>2780</v>
      </c>
      <c r="C37" s="18" t="s">
        <v>2708</v>
      </c>
      <c r="D37" s="18" t="str">
        <f>+E37</f>
        <v>1. Versicherte Personen</v>
      </c>
      <c r="E37" s="33" t="s">
        <v>2781</v>
      </c>
      <c r="F37" s="6" t="s">
        <v>4689</v>
      </c>
    </row>
    <row r="38" spans="1:6" ht="371.25">
      <c r="A38" s="17">
        <f>ROW()</f>
        <v>38</v>
      </c>
      <c r="B38" s="18" t="s">
        <v>2780</v>
      </c>
      <c r="C38" s="18" t="s">
        <v>2708</v>
      </c>
      <c r="D38" s="18" t="str">
        <f t="shared" ref="D38:D58" si="1">+E38</f>
        <v>2. Ausnahmen von der Deckung  der Pflichtversicherung</v>
      </c>
      <c r="E38" s="33" t="s">
        <v>2782</v>
      </c>
      <c r="F38" s="6" t="s">
        <v>134</v>
      </c>
    </row>
    <row r="39" spans="1:6" ht="194.25">
      <c r="A39" s="17">
        <f>ROW()</f>
        <v>39</v>
      </c>
      <c r="B39" s="18" t="s">
        <v>2780</v>
      </c>
      <c r="C39" s="18" t="s">
        <v>149</v>
      </c>
      <c r="D39" s="18" t="str">
        <f t="shared" si="1"/>
        <v>1. Rentenalter</v>
      </c>
      <c r="E39" s="33" t="s">
        <v>2784</v>
      </c>
      <c r="F39" s="6" t="s">
        <v>4690</v>
      </c>
    </row>
    <row r="40" spans="1:6" ht="409.5">
      <c r="A40" s="17">
        <f>ROW()</f>
        <v>40</v>
      </c>
      <c r="B40" s="18" t="s">
        <v>2780</v>
      </c>
      <c r="C40" s="18" t="s">
        <v>149</v>
      </c>
      <c r="D40" s="18" t="str">
        <f t="shared" si="1"/>
        <v>2. Anwartschaftszeit und sonstige Anspruchsvoraussetzungen für den Bezug einer Altersrente</v>
      </c>
      <c r="E40" s="33" t="s">
        <v>2785</v>
      </c>
      <c r="F40" s="6" t="s">
        <v>192</v>
      </c>
    </row>
    <row r="41" spans="1:6" ht="194.25">
      <c r="A41" s="17">
        <f>ROW()</f>
        <v>41</v>
      </c>
      <c r="B41" s="18" t="s">
        <v>2780</v>
      </c>
      <c r="C41" s="18" t="s">
        <v>149</v>
      </c>
      <c r="D41" s="18" t="str">
        <f t="shared" si="1"/>
        <v>3. Vorruhestand</v>
      </c>
      <c r="E41" s="33" t="s">
        <v>2786</v>
      </c>
      <c r="F41" s="6" t="s">
        <v>223</v>
      </c>
    </row>
    <row r="42" spans="1:6" ht="330">
      <c r="A42" s="17">
        <f>ROW()</f>
        <v>42</v>
      </c>
      <c r="B42" s="18" t="s">
        <v>2780</v>
      </c>
      <c r="C42" s="18" t="s">
        <v>149</v>
      </c>
      <c r="D42" s="18" t="str">
        <f t="shared" si="1"/>
        <v>4. Beschwerliche und gefährliche Arbeit</v>
      </c>
      <c r="E42" s="33" t="s">
        <v>2787</v>
      </c>
      <c r="F42" s="6" t="s">
        <v>4691</v>
      </c>
    </row>
    <row r="43" spans="1:6" ht="194.25">
      <c r="A43" s="17">
        <f>ROW()</f>
        <v>43</v>
      </c>
      <c r="B43" s="18" t="s">
        <v>2780</v>
      </c>
      <c r="C43" s="18" t="s">
        <v>149</v>
      </c>
      <c r="D43" s="18" t="str">
        <f t="shared" si="1"/>
        <v>5. Rentenaufschub</v>
      </c>
      <c r="E43" s="33" t="s">
        <v>2788</v>
      </c>
      <c r="F43" s="6" t="s">
        <v>273</v>
      </c>
    </row>
    <row r="44" spans="1:6" ht="174">
      <c r="A44" s="17">
        <f>ROW()</f>
        <v>44</v>
      </c>
      <c r="B44" s="18" t="s">
        <v>2780</v>
      </c>
      <c r="C44" s="18" t="s">
        <v>2695</v>
      </c>
      <c r="D44" s="18" t="str">
        <f t="shared" si="1"/>
        <v>1. Bestimmende Faktoren</v>
      </c>
      <c r="E44" s="33" t="s">
        <v>2789</v>
      </c>
      <c r="F44" s="6" t="s">
        <v>4692</v>
      </c>
    </row>
    <row r="45" spans="1:6" ht="409.5">
      <c r="A45" s="17">
        <f>ROW()</f>
        <v>45</v>
      </c>
      <c r="B45" s="18" t="s">
        <v>2780</v>
      </c>
      <c r="C45" s="18" t="s">
        <v>2695</v>
      </c>
      <c r="D45" s="18" t="str">
        <f t="shared" si="1"/>
        <v>2. Berechnungsmethode, Rentenformel bzw. Beträge</v>
      </c>
      <c r="E45" s="33" t="s">
        <v>2790</v>
      </c>
      <c r="F45" s="6" t="s">
        <v>4693</v>
      </c>
    </row>
    <row r="46" spans="1:6" ht="343.5">
      <c r="A46" s="17">
        <f>ROW()</f>
        <v>46</v>
      </c>
      <c r="B46" s="18" t="s">
        <v>2780</v>
      </c>
      <c r="C46" s="18" t="s">
        <v>2695</v>
      </c>
      <c r="D46" s="18" t="str">
        <f t="shared" si="1"/>
        <v>3. Referenzeinkommen bzw. Berechnungsgrundlage</v>
      </c>
      <c r="E46" s="33" t="s">
        <v>2791</v>
      </c>
      <c r="F46" s="6" t="s">
        <v>370</v>
      </c>
    </row>
    <row r="47" spans="1:6" ht="405">
      <c r="A47" s="17">
        <f>ROW()</f>
        <v>47</v>
      </c>
      <c r="B47" s="18" t="s">
        <v>2780</v>
      </c>
      <c r="C47" s="18" t="s">
        <v>2695</v>
      </c>
      <c r="D47" s="18" t="str">
        <f t="shared" si="1"/>
        <v>4. Anrechenbare oder als Beitragszeiten gewertete Zeiträume</v>
      </c>
      <c r="E47" s="33" t="s">
        <v>2757</v>
      </c>
      <c r="F47" s="6" t="s">
        <v>4694</v>
      </c>
    </row>
    <row r="48" spans="1:6" ht="243.75">
      <c r="A48" s="17">
        <f>ROW()</f>
        <v>48</v>
      </c>
      <c r="B48" s="18" t="s">
        <v>2780</v>
      </c>
      <c r="C48" s="18" t="s">
        <v>2695</v>
      </c>
      <c r="D48" s="18" t="str">
        <f t="shared" si="1"/>
        <v>5. Rückkauf von Versicherungszeiten</v>
      </c>
      <c r="E48" s="33" t="s">
        <v>2792</v>
      </c>
      <c r="F48" s="6" t="s">
        <v>431</v>
      </c>
    </row>
    <row r="49" spans="1:6" ht="246">
      <c r="A49" s="17">
        <f>ROW()</f>
        <v>49</v>
      </c>
      <c r="B49" s="18" t="s">
        <v>2780</v>
      </c>
      <c r="C49" s="18" t="s">
        <v>2695</v>
      </c>
      <c r="D49" s="18" t="str">
        <f t="shared" si="1"/>
        <v>6.  Zulagen für Unterhaltsberechtigte</v>
      </c>
      <c r="E49" s="33" t="s">
        <v>2892</v>
      </c>
      <c r="F49" s="6" t="s">
        <v>456</v>
      </c>
    </row>
    <row r="50" spans="1:6" ht="145.5">
      <c r="A50" s="17">
        <f>ROW()</f>
        <v>50</v>
      </c>
      <c r="B50" s="18" t="s">
        <v>2780</v>
      </c>
      <c r="C50" s="18" t="s">
        <v>2695</v>
      </c>
      <c r="D50" s="18" t="str">
        <f t="shared" si="1"/>
        <v>7. Besondere Zulagen</v>
      </c>
      <c r="E50" s="33" t="s">
        <v>2793</v>
      </c>
      <c r="F50" s="6" t="s">
        <v>474</v>
      </c>
    </row>
    <row r="51" spans="1:6" ht="360.75">
      <c r="A51" s="17">
        <f>ROW()</f>
        <v>51</v>
      </c>
      <c r="B51" s="18" t="s">
        <v>2780</v>
      </c>
      <c r="C51" s="18" t="s">
        <v>2695</v>
      </c>
      <c r="D51" s="18" t="str">
        <f t="shared" si="1"/>
        <v>8. Mindestrente und bedürftigkeitsabhängige Leistung</v>
      </c>
      <c r="E51" s="33" t="s">
        <v>2794</v>
      </c>
      <c r="F51" s="6" t="s">
        <v>510</v>
      </c>
    </row>
    <row r="52" spans="1:6" ht="101.25">
      <c r="A52" s="17">
        <f>ROW()</f>
        <v>52</v>
      </c>
      <c r="B52" s="18" t="s">
        <v>2780</v>
      </c>
      <c r="C52" s="18" t="s">
        <v>2695</v>
      </c>
      <c r="D52" s="18" t="str">
        <f t="shared" si="1"/>
        <v>9. Höchstrente</v>
      </c>
      <c r="E52" s="33" t="s">
        <v>2795</v>
      </c>
      <c r="F52" s="6" t="s">
        <v>539</v>
      </c>
    </row>
    <row r="53" spans="1:6" ht="119.25">
      <c r="A53" s="17">
        <f>ROW()</f>
        <v>53</v>
      </c>
      <c r="B53" s="18" t="s">
        <v>2780</v>
      </c>
      <c r="C53" s="18" t="s">
        <v>2695</v>
      </c>
      <c r="D53" s="18" t="str">
        <f t="shared" si="1"/>
        <v>10. Vorruhestand</v>
      </c>
      <c r="E53" s="33" t="s">
        <v>2796</v>
      </c>
      <c r="F53" s="6" t="s">
        <v>567</v>
      </c>
    </row>
    <row r="54" spans="1:6" ht="272.25">
      <c r="A54" s="17">
        <f>ROW()</f>
        <v>54</v>
      </c>
      <c r="B54" s="18" t="s">
        <v>2780</v>
      </c>
      <c r="C54" s="18" t="s">
        <v>2695</v>
      </c>
      <c r="D54" s="18" t="str">
        <f t="shared" si="1"/>
        <v>11. Beschwerliche und gefährliche Arbeit</v>
      </c>
      <c r="E54" s="33" t="s">
        <v>2797</v>
      </c>
      <c r="F54" s="6" t="s">
        <v>594</v>
      </c>
    </row>
    <row r="55" spans="1:6" ht="87.75">
      <c r="A55" s="17">
        <f>ROW()</f>
        <v>55</v>
      </c>
      <c r="B55" s="18" t="s">
        <v>2780</v>
      </c>
      <c r="C55" s="18" t="s">
        <v>2695</v>
      </c>
      <c r="D55" s="18" t="str">
        <f t="shared" si="1"/>
        <v>12. Teilrente</v>
      </c>
      <c r="E55" s="33" t="s">
        <v>2798</v>
      </c>
      <c r="F55" s="6" t="s">
        <v>621</v>
      </c>
    </row>
    <row r="56" spans="1:6" ht="171.75">
      <c r="A56" s="17">
        <f>ROW()</f>
        <v>56</v>
      </c>
      <c r="B56" s="18" t="s">
        <v>2780</v>
      </c>
      <c r="C56" s="18" t="s">
        <v>2695</v>
      </c>
      <c r="D56" s="18" t="str">
        <f t="shared" si="1"/>
        <v>13. Aufgeschobene Rente</v>
      </c>
      <c r="E56" s="33" t="s">
        <v>2893</v>
      </c>
      <c r="F56" s="6" t="s">
        <v>648</v>
      </c>
    </row>
    <row r="57" spans="1:6" ht="179.25">
      <c r="A57" s="17">
        <f>ROW()</f>
        <v>57</v>
      </c>
      <c r="B57" s="18" t="s">
        <v>2780</v>
      </c>
      <c r="C57" s="18" t="s">
        <v>2799</v>
      </c>
      <c r="D57" s="18" t="s">
        <v>2799</v>
      </c>
      <c r="E57" s="32" t="s">
        <v>2799</v>
      </c>
      <c r="F57" s="6" t="s">
        <v>679</v>
      </c>
    </row>
    <row r="58" spans="1:6" ht="246">
      <c r="A58" s="17">
        <f>ROW()</f>
        <v>58</v>
      </c>
      <c r="B58" s="18" t="s">
        <v>2780</v>
      </c>
      <c r="C58" s="18" t="s">
        <v>2799</v>
      </c>
      <c r="D58" s="18" t="str">
        <f t="shared" si="1"/>
        <v xml:space="preserve">Kumulation mit Erwerbseinkommen </v>
      </c>
      <c r="E58" s="32" t="s">
        <v>2697</v>
      </c>
      <c r="F58" s="6" t="s">
        <v>710</v>
      </c>
    </row>
    <row r="59" spans="1:6" ht="286.5">
      <c r="A59" s="17">
        <f>ROW()</f>
        <v>59</v>
      </c>
      <c r="B59" s="18" t="s">
        <v>2780</v>
      </c>
      <c r="C59" s="18" t="s">
        <v>2799</v>
      </c>
      <c r="D59" s="18" t="s">
        <v>2800</v>
      </c>
      <c r="E59" s="32" t="s">
        <v>2696</v>
      </c>
      <c r="F59" s="6" t="s">
        <v>741</v>
      </c>
    </row>
    <row r="60" spans="1:6" ht="225.75">
      <c r="A60" s="17">
        <f>ROW()</f>
        <v>60</v>
      </c>
      <c r="B60" s="18" t="s">
        <v>2780</v>
      </c>
      <c r="C60" s="18" t="s">
        <v>761</v>
      </c>
      <c r="D60" s="18" t="str">
        <f t="shared" ref="D60:D70" si="2">+E60</f>
        <v>1. Besteuerung von Renten</v>
      </c>
      <c r="E60" s="33" t="s">
        <v>2801</v>
      </c>
      <c r="F60" s="6" t="s">
        <v>762</v>
      </c>
    </row>
    <row r="61" spans="1:6" ht="335.25">
      <c r="A61" s="17">
        <f>ROW()</f>
        <v>61</v>
      </c>
      <c r="B61" s="18" t="s">
        <v>2780</v>
      </c>
      <c r="C61" s="18" t="s">
        <v>761</v>
      </c>
      <c r="D61" s="18" t="str">
        <f t="shared" si="2"/>
        <v>2. Einkommensgrenze für Besteuerung von Renten</v>
      </c>
      <c r="E61" s="33" t="s">
        <v>2802</v>
      </c>
      <c r="F61" s="6" t="s">
        <v>799</v>
      </c>
    </row>
    <row r="62" spans="1:6" ht="264">
      <c r="A62" s="17">
        <f>ROW()</f>
        <v>62</v>
      </c>
      <c r="B62" s="18" t="s">
        <v>2780</v>
      </c>
      <c r="C62" s="18" t="s">
        <v>761</v>
      </c>
      <c r="D62" s="18" t="str">
        <f t="shared" si="2"/>
        <v>3. Auf Renten anfallende Sozialabgaben</v>
      </c>
      <c r="E62" s="33" t="s">
        <v>2803</v>
      </c>
      <c r="F62" s="6" t="s">
        <v>825</v>
      </c>
    </row>
    <row r="63" spans="1:6" ht="138">
      <c r="A63" s="17">
        <f>ROW()</f>
        <v>63</v>
      </c>
      <c r="B63" s="18" t="s">
        <v>2804</v>
      </c>
      <c r="C63" s="18" t="str">
        <f>+E63</f>
        <v>Anwendungsbereich</v>
      </c>
      <c r="D63" s="18" t="str">
        <f t="shared" si="2"/>
        <v>Anwendungsbereich</v>
      </c>
      <c r="E63" s="33" t="s">
        <v>2708</v>
      </c>
      <c r="F63" s="6" t="s">
        <v>848</v>
      </c>
    </row>
    <row r="64" spans="1:6" ht="132.75">
      <c r="A64" s="17">
        <f>ROW()</f>
        <v>64</v>
      </c>
      <c r="B64" s="18" t="s">
        <v>2804</v>
      </c>
      <c r="C64" s="18" t="s">
        <v>2775</v>
      </c>
      <c r="D64" s="18" t="str">
        <f t="shared" si="2"/>
        <v>Grundprinzipien</v>
      </c>
      <c r="E64" s="33" t="s">
        <v>2709</v>
      </c>
      <c r="F64" s="6" t="s">
        <v>874</v>
      </c>
    </row>
    <row r="65" spans="1:6" ht="224.25">
      <c r="A65" s="17">
        <f>ROW()</f>
        <v>65</v>
      </c>
      <c r="B65" s="18" t="s">
        <v>2804</v>
      </c>
      <c r="C65" s="18" t="s">
        <v>2775</v>
      </c>
      <c r="D65" s="18" t="str">
        <f t="shared" si="2"/>
        <v>Voraussetzungen für die Deckung</v>
      </c>
      <c r="E65" s="33" t="s">
        <v>2710</v>
      </c>
      <c r="F65" s="6" t="s">
        <v>903</v>
      </c>
    </row>
    <row r="66" spans="1:6" ht="409.5">
      <c r="A66" s="17">
        <f>ROW()</f>
        <v>66</v>
      </c>
      <c r="B66" s="18" t="s">
        <v>2804</v>
      </c>
      <c r="C66" s="18" t="s">
        <v>2775</v>
      </c>
      <c r="D66" s="18" t="str">
        <f t="shared" si="2"/>
        <v>Kombination von selbstständiger und unselbstständiger Tätigkeit</v>
      </c>
      <c r="E66" s="33" t="s">
        <v>2698</v>
      </c>
      <c r="F66" s="6" t="s">
        <v>920</v>
      </c>
    </row>
    <row r="67" spans="1:6" ht="376.5">
      <c r="A67" s="17">
        <f>ROW()</f>
        <v>67</v>
      </c>
      <c r="B67" s="18" t="s">
        <v>2804</v>
      </c>
      <c r="C67" s="18" t="s">
        <v>2695</v>
      </c>
      <c r="D67" s="19" t="str">
        <f t="shared" si="2"/>
        <v xml:space="preserve">Voraussetzungen für den Zugang zu Diensten/Leistungen </v>
      </c>
      <c r="E67" s="33" t="s">
        <v>2699</v>
      </c>
      <c r="F67" s="6" t="s">
        <v>917</v>
      </c>
    </row>
    <row r="68" spans="1:6" ht="253.5">
      <c r="A68" s="17">
        <f>ROW()</f>
        <v>68</v>
      </c>
      <c r="B68" s="18" t="s">
        <v>2804</v>
      </c>
      <c r="C68" s="18" t="s">
        <v>2695</v>
      </c>
      <c r="D68" s="19" t="str">
        <f t="shared" si="2"/>
        <v>Beträge, Dauer und Kostenbeteiligung</v>
      </c>
      <c r="E68" s="33" t="s">
        <v>2700</v>
      </c>
      <c r="F68" s="6" t="s">
        <v>917</v>
      </c>
    </row>
    <row r="69" spans="1:6" ht="216">
      <c r="A69" s="17">
        <f>ROW()</f>
        <v>69</v>
      </c>
      <c r="B69" s="18" t="s">
        <v>2804</v>
      </c>
      <c r="C69" s="18" t="s">
        <v>2695</v>
      </c>
      <c r="D69" s="19" t="str">
        <f t="shared" si="2"/>
        <v>Besteuerung von Geldleistungen</v>
      </c>
      <c r="E69" s="33" t="s">
        <v>2681</v>
      </c>
      <c r="F69" s="6" t="s">
        <v>970</v>
      </c>
    </row>
    <row r="70" spans="1:6" ht="272.25">
      <c r="A70" s="17">
        <f>ROW()</f>
        <v>70</v>
      </c>
      <c r="B70" s="18" t="s">
        <v>2804</v>
      </c>
      <c r="C70" s="18" t="s">
        <v>2695</v>
      </c>
      <c r="D70" s="19" t="str">
        <f t="shared" si="2"/>
        <v>Auf Leistungen anfallende Sozialabgaben</v>
      </c>
      <c r="E70" s="33" t="s">
        <v>2683</v>
      </c>
      <c r="F70" s="6" t="s">
        <v>917</v>
      </c>
    </row>
    <row r="71" spans="1:6" ht="177">
      <c r="A71" s="17">
        <f>ROW()</f>
        <v>71</v>
      </c>
      <c r="B71" s="18" t="s">
        <v>2702</v>
      </c>
      <c r="C71" s="18" t="str">
        <f t="shared" ref="C71:D75" si="3">+D71</f>
        <v>Geltende Rechtsgrundlage</v>
      </c>
      <c r="D71" s="19" t="str">
        <f t="shared" si="3"/>
        <v>Geltende Rechtsgrundlage</v>
      </c>
      <c r="E71" s="32" t="s">
        <v>2724</v>
      </c>
      <c r="F71" s="6" t="s">
        <v>1000</v>
      </c>
    </row>
    <row r="72" spans="1:6" ht="110.25">
      <c r="A72" s="17">
        <f>ROW()</f>
        <v>72</v>
      </c>
      <c r="B72" s="18" t="s">
        <v>2702</v>
      </c>
      <c r="C72" s="18" t="str">
        <f t="shared" si="3"/>
        <v>Grundprinzipien</v>
      </c>
      <c r="D72" s="19" t="str">
        <f t="shared" si="3"/>
        <v>Grundprinzipien</v>
      </c>
      <c r="E72" s="32" t="s">
        <v>2709</v>
      </c>
      <c r="F72" s="6" t="s">
        <v>1027</v>
      </c>
    </row>
    <row r="73" spans="1:6" ht="315">
      <c r="A73" s="17">
        <f>ROW()</f>
        <v>73</v>
      </c>
      <c r="B73" s="18" t="s">
        <v>2702</v>
      </c>
      <c r="C73" s="19" t="str">
        <f t="shared" si="3"/>
        <v>Anwendungsbereich (in Bezug auf Verstorbene)</v>
      </c>
      <c r="D73" s="19" t="str">
        <f t="shared" si="3"/>
        <v>Anwendungsbereich (in Bezug auf Verstorbene)</v>
      </c>
      <c r="E73" s="32" t="s">
        <v>2725</v>
      </c>
      <c r="F73" s="6" t="s">
        <v>4695</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1080</v>
      </c>
    </row>
    <row r="75" spans="1:6" ht="144.75">
      <c r="A75" s="17">
        <f>ROW()</f>
        <v>75</v>
      </c>
      <c r="B75" s="18" t="s">
        <v>2702</v>
      </c>
      <c r="C75" s="19" t="str">
        <f t="shared" si="3"/>
        <v>Berechtigte Personen</v>
      </c>
      <c r="D75" s="19" t="str">
        <f t="shared" si="3"/>
        <v>Berechtigte Personen</v>
      </c>
      <c r="E75" s="32" t="s">
        <v>2730</v>
      </c>
      <c r="F75" s="6" t="s">
        <v>1102</v>
      </c>
    </row>
    <row r="76" spans="1:6" ht="102">
      <c r="A76" s="17">
        <f>ROW()</f>
        <v>76</v>
      </c>
      <c r="B76" s="18" t="s">
        <v>2702</v>
      </c>
      <c r="C76" s="1"/>
      <c r="D76" s="1"/>
      <c r="E76" s="32" t="s">
        <v>2783</v>
      </c>
      <c r="F76" s="6"/>
    </row>
    <row r="77" spans="1:6" ht="189.75">
      <c r="A77" s="17">
        <f>ROW()</f>
        <v>77</v>
      </c>
      <c r="B77" s="18" t="s">
        <v>2702</v>
      </c>
      <c r="C77" s="18" t="s">
        <v>2805</v>
      </c>
      <c r="D77" s="18" t="str">
        <f t="shared" ref="D77:D90" si="4">+E77</f>
        <v>1. Verstorbener Versicherter</v>
      </c>
      <c r="E77" s="33" t="s">
        <v>2806</v>
      </c>
      <c r="F77" s="6" t="s">
        <v>4696</v>
      </c>
    </row>
    <row r="78" spans="1:6" ht="185.25">
      <c r="A78" s="17">
        <f>ROW()</f>
        <v>78</v>
      </c>
      <c r="B78" s="18" t="s">
        <v>2702</v>
      </c>
      <c r="C78" s="18" t="s">
        <v>2805</v>
      </c>
      <c r="D78" s="18" t="str">
        <f t="shared" si="4"/>
        <v>2. Hinterbliebener Ehegatte</v>
      </c>
      <c r="E78" s="33" t="s">
        <v>2807</v>
      </c>
      <c r="F78" s="6" t="s">
        <v>1164</v>
      </c>
    </row>
    <row r="79" spans="1:6" ht="181.5">
      <c r="A79" s="17">
        <f>ROW()</f>
        <v>79</v>
      </c>
      <c r="B79" s="18" t="s">
        <v>2702</v>
      </c>
      <c r="C79" s="18" t="s">
        <v>2805</v>
      </c>
      <c r="D79" s="18" t="str">
        <f t="shared" si="4"/>
        <v>3. Geschiedener Ehegatte</v>
      </c>
      <c r="E79" s="33" t="s">
        <v>2808</v>
      </c>
      <c r="F79" s="6" t="s">
        <v>1194</v>
      </c>
    </row>
    <row r="80" spans="1:6" ht="216">
      <c r="A80" s="17">
        <f>ROW()</f>
        <v>80</v>
      </c>
      <c r="B80" s="18" t="s">
        <v>2702</v>
      </c>
      <c r="C80" s="18" t="s">
        <v>2805</v>
      </c>
      <c r="D80" s="18" t="str">
        <f t="shared" si="4"/>
        <v>4. Hinterbliebene Lebenspartner</v>
      </c>
      <c r="E80" s="33" t="s">
        <v>2809</v>
      </c>
      <c r="F80" s="6" t="s">
        <v>1219</v>
      </c>
    </row>
    <row r="81" spans="1:6" ht="181.5">
      <c r="A81" s="17">
        <f>ROW()</f>
        <v>81</v>
      </c>
      <c r="B81" s="18" t="s">
        <v>2702</v>
      </c>
      <c r="C81" s="18" t="s">
        <v>2805</v>
      </c>
      <c r="D81" s="18" t="str">
        <f t="shared" si="4"/>
        <v>5. Kinder</v>
      </c>
      <c r="E81" s="33" t="s">
        <v>2810</v>
      </c>
      <c r="F81" s="6" t="s">
        <v>4697</v>
      </c>
    </row>
    <row r="82" spans="1:6" ht="181.5">
      <c r="A82" s="17">
        <f>ROW()</f>
        <v>82</v>
      </c>
      <c r="B82" s="18" t="s">
        <v>2702</v>
      </c>
      <c r="C82" s="18" t="s">
        <v>2805</v>
      </c>
      <c r="D82" s="18" t="str">
        <f t="shared" si="4"/>
        <v>6. Andere Personen</v>
      </c>
      <c r="E82" s="33" t="s">
        <v>2811</v>
      </c>
      <c r="F82" s="6" t="s">
        <v>4698</v>
      </c>
    </row>
    <row r="83" spans="1:6" ht="409.5">
      <c r="A83" s="17">
        <f>ROW()</f>
        <v>83</v>
      </c>
      <c r="B83" s="18" t="s">
        <v>2702</v>
      </c>
      <c r="C83" s="18" t="s">
        <v>2695</v>
      </c>
      <c r="D83" s="19" t="str">
        <f t="shared" si="4"/>
        <v>1. Hinterbliebener Ehegatte, geschiedener Ehegatte, hinterbliebene Lebenspartner</v>
      </c>
      <c r="E83" s="33" t="s">
        <v>2812</v>
      </c>
      <c r="F83" s="6" t="s">
        <v>4699</v>
      </c>
    </row>
    <row r="84" spans="1:6" ht="280.5">
      <c r="A84" s="17">
        <f>ROW()</f>
        <v>84</v>
      </c>
      <c r="B84" s="18" t="s">
        <v>2702</v>
      </c>
      <c r="C84" s="18" t="s">
        <v>2695</v>
      </c>
      <c r="D84" s="19" t="str">
        <f t="shared" si="4"/>
        <v>2. Hinterbliebener Ehegatte: Wiederheirat</v>
      </c>
      <c r="E84" s="33" t="s">
        <v>2813</v>
      </c>
      <c r="F84" s="6" t="s">
        <v>1324</v>
      </c>
    </row>
    <row r="85" spans="1:6" ht="195">
      <c r="A85" s="17">
        <f>ROW()</f>
        <v>85</v>
      </c>
      <c r="B85" s="18" t="s">
        <v>2702</v>
      </c>
      <c r="C85" s="18" t="s">
        <v>2695</v>
      </c>
      <c r="D85" s="19" t="str">
        <f t="shared" si="4"/>
        <v>3. Kinder</v>
      </c>
      <c r="E85" s="33" t="s">
        <v>2814</v>
      </c>
      <c r="F85" s="6" t="s">
        <v>4700</v>
      </c>
    </row>
    <row r="86" spans="1:6" ht="150">
      <c r="A86" s="17">
        <f>ROW()</f>
        <v>86</v>
      </c>
      <c r="B86" s="18" t="s">
        <v>2702</v>
      </c>
      <c r="C86" s="18" t="s">
        <v>2695</v>
      </c>
      <c r="D86" s="19" t="str">
        <f t="shared" si="4"/>
        <v>4. Andere Berechtigte</v>
      </c>
      <c r="E86" s="33" t="s">
        <v>2815</v>
      </c>
      <c r="F86" s="6" t="s">
        <v>4701</v>
      </c>
    </row>
    <row r="87" spans="1:6" ht="381">
      <c r="A87" s="17">
        <f>ROW()</f>
        <v>87</v>
      </c>
      <c r="B87" s="18" t="s">
        <v>2702</v>
      </c>
      <c r="C87" s="18" t="s">
        <v>2695</v>
      </c>
      <c r="D87" s="19" t="str">
        <f t="shared" si="4"/>
        <v xml:space="preserve"> 5. Höchster zahlbarer Gesamtbetrag für alle Berechtigten</v>
      </c>
      <c r="E87" s="33" t="s">
        <v>2816</v>
      </c>
      <c r="F87" s="6" t="s">
        <v>1396</v>
      </c>
    </row>
    <row r="88" spans="1:6" ht="151.5">
      <c r="A88" s="17">
        <f>ROW()</f>
        <v>88</v>
      </c>
      <c r="B88" s="18" t="s">
        <v>2702</v>
      </c>
      <c r="C88" s="18" t="s">
        <v>2695</v>
      </c>
      <c r="D88" s="19" t="str">
        <f t="shared" si="4"/>
        <v>6. Sonstige Leistungen</v>
      </c>
      <c r="E88" s="33" t="s">
        <v>2817</v>
      </c>
      <c r="F88" s="6" t="s">
        <v>1423</v>
      </c>
    </row>
    <row r="89" spans="1:6" ht="135">
      <c r="A89" s="17">
        <f>ROW()</f>
        <v>89</v>
      </c>
      <c r="B89" s="18" t="s">
        <v>2702</v>
      </c>
      <c r="C89" s="18" t="s">
        <v>2695</v>
      </c>
      <c r="D89" s="19" t="str">
        <f>+E89</f>
        <v>7. Mindestleistung</v>
      </c>
      <c r="E89" s="33" t="s">
        <v>2818</v>
      </c>
      <c r="F89" s="6" t="s">
        <v>1452</v>
      </c>
    </row>
    <row r="90" spans="1:6" ht="122.25">
      <c r="A90" s="17">
        <f>ROW()</f>
        <v>90</v>
      </c>
      <c r="B90" s="18" t="s">
        <v>2702</v>
      </c>
      <c r="C90" s="18" t="s">
        <v>2695</v>
      </c>
      <c r="D90" s="19" t="str">
        <f t="shared" si="4"/>
        <v xml:space="preserve"> 8. Höchstleistung</v>
      </c>
      <c r="E90" s="33" t="s">
        <v>2819</v>
      </c>
      <c r="F90" s="6" t="s">
        <v>1477</v>
      </c>
    </row>
    <row r="91" spans="1:6" ht="179.25">
      <c r="A91" s="17">
        <f>ROW()</f>
        <v>91</v>
      </c>
      <c r="B91" s="18" t="s">
        <v>2702</v>
      </c>
      <c r="C91" s="18" t="s">
        <v>2799</v>
      </c>
      <c r="D91" s="19" t="str">
        <f>+C91</f>
        <v>Indexbindung / Anpassung</v>
      </c>
      <c r="E91" s="32" t="s">
        <v>2799</v>
      </c>
      <c r="F91" s="6" t="s">
        <v>1502</v>
      </c>
    </row>
    <row r="92" spans="1:6" ht="242.25">
      <c r="A92" s="17">
        <f>ROW()</f>
        <v>92</v>
      </c>
      <c r="B92" s="18" t="s">
        <v>2702</v>
      </c>
      <c r="C92" s="18" t="s">
        <v>2799</v>
      </c>
      <c r="D92" s="19" t="str">
        <f t="shared" ref="D92:D105" si="5">+E92</f>
        <v>Kumulation mit Erwerbseinkommen</v>
      </c>
      <c r="E92" s="32" t="s">
        <v>2723</v>
      </c>
      <c r="F92" s="6" t="s">
        <v>1532</v>
      </c>
    </row>
    <row r="93" spans="1:6" ht="275.25">
      <c r="A93" s="17">
        <f>ROW()</f>
        <v>93</v>
      </c>
      <c r="B93" s="18" t="s">
        <v>2702</v>
      </c>
      <c r="C93" s="18" t="s">
        <v>2799</v>
      </c>
      <c r="D93" s="19" t="str">
        <f t="shared" si="5"/>
        <v>Kumulation mit anderen Sozialleistungen</v>
      </c>
      <c r="E93" s="32" t="s">
        <v>2696</v>
      </c>
      <c r="F93" s="6" t="s">
        <v>1563</v>
      </c>
    </row>
    <row r="94" spans="1:6" ht="232.5">
      <c r="A94" s="17">
        <f>ROW()</f>
        <v>94</v>
      </c>
      <c r="B94" s="18" t="s">
        <v>2702</v>
      </c>
      <c r="C94" s="19" t="s">
        <v>2701</v>
      </c>
      <c r="D94" s="19" t="str">
        <f t="shared" si="5"/>
        <v>1. Besteuerung von Geldleistungen</v>
      </c>
      <c r="E94" s="33" t="s">
        <v>2770</v>
      </c>
      <c r="F94" s="6" t="s">
        <v>762</v>
      </c>
    </row>
    <row r="95" spans="1:6" ht="387">
      <c r="A95" s="17">
        <f>ROW()</f>
        <v>95</v>
      </c>
      <c r="B95" s="18" t="s">
        <v>2702</v>
      </c>
      <c r="C95" s="19" t="s">
        <v>2701</v>
      </c>
      <c r="D95" s="19" t="str">
        <f t="shared" si="5"/>
        <v>2. Einkommensgrenze für Besteuerung von Geldleistungen</v>
      </c>
      <c r="E95" s="33" t="s">
        <v>2772</v>
      </c>
      <c r="F95" s="6" t="s">
        <v>799</v>
      </c>
    </row>
    <row r="96" spans="1:6" ht="288.75">
      <c r="A96" s="17">
        <f>ROW()</f>
        <v>96</v>
      </c>
      <c r="B96" s="18" t="s">
        <v>2702</v>
      </c>
      <c r="C96" s="19" t="s">
        <v>2701</v>
      </c>
      <c r="D96" s="19" t="str">
        <f t="shared" si="5"/>
        <v>3. Auf Leistungen anfallende Sozialabgaben</v>
      </c>
      <c r="E96" s="33" t="s">
        <v>2773</v>
      </c>
      <c r="F96" s="6" t="s">
        <v>825</v>
      </c>
    </row>
    <row r="97" spans="1:6" ht="138">
      <c r="A97" s="17">
        <f>ROW()</f>
        <v>97</v>
      </c>
      <c r="B97" s="18" t="s">
        <v>2702</v>
      </c>
      <c r="C97" s="19" t="s">
        <v>2775</v>
      </c>
      <c r="D97" s="19" t="str">
        <f t="shared" si="5"/>
        <v>Anwendungsbereich</v>
      </c>
      <c r="E97" s="33" t="s">
        <v>2708</v>
      </c>
      <c r="F97" s="6" t="s">
        <v>1649</v>
      </c>
    </row>
    <row r="98" spans="1:6" ht="110.25">
      <c r="A98" s="17">
        <f>ROW()</f>
        <v>98</v>
      </c>
      <c r="B98" s="18" t="s">
        <v>2702</v>
      </c>
      <c r="C98" s="19" t="s">
        <v>2775</v>
      </c>
      <c r="D98" s="19" t="str">
        <f t="shared" si="5"/>
        <v>Grundprinzipien</v>
      </c>
      <c r="E98" s="33" t="s">
        <v>2709</v>
      </c>
      <c r="F98" s="6" t="s">
        <v>874</v>
      </c>
    </row>
    <row r="99" spans="1:6" ht="224.25">
      <c r="A99" s="17">
        <f>ROW()</f>
        <v>99</v>
      </c>
      <c r="B99" s="18" t="s">
        <v>2702</v>
      </c>
      <c r="C99" s="19" t="s">
        <v>2775</v>
      </c>
      <c r="D99" s="19" t="str">
        <f t="shared" si="5"/>
        <v>Voraussetzungen für die Deckung</v>
      </c>
      <c r="E99" s="33" t="s">
        <v>2710</v>
      </c>
      <c r="F99" s="6" t="s">
        <v>1669</v>
      </c>
    </row>
    <row r="100" spans="1:6" ht="409.5">
      <c r="A100" s="17">
        <f>ROW()</f>
        <v>100</v>
      </c>
      <c r="B100" s="18" t="s">
        <v>2702</v>
      </c>
      <c r="C100" s="19" t="s">
        <v>2775</v>
      </c>
      <c r="D100" s="19" t="str">
        <f t="shared" si="5"/>
        <v>Kombination von selbstständiger und unselbstständiger Tätigkeit</v>
      </c>
      <c r="E100" s="33" t="s">
        <v>2698</v>
      </c>
      <c r="F100" s="6" t="s">
        <v>1669</v>
      </c>
    </row>
    <row r="101" spans="1:6" ht="376.5">
      <c r="A101" s="17">
        <f>ROW()</f>
        <v>101</v>
      </c>
      <c r="B101" s="18" t="s">
        <v>2702</v>
      </c>
      <c r="C101" s="19" t="s">
        <v>2775</v>
      </c>
      <c r="D101" s="19" t="str">
        <f t="shared" si="5"/>
        <v xml:space="preserve">Voraussetzungen für den Zugang zu Diensten/Leistungen </v>
      </c>
      <c r="E101" s="33" t="s">
        <v>2699</v>
      </c>
      <c r="F101" s="6" t="s">
        <v>1669</v>
      </c>
    </row>
    <row r="102" spans="1:6" ht="253.5">
      <c r="A102" s="17">
        <f>ROW()</f>
        <v>102</v>
      </c>
      <c r="B102" s="18" t="s">
        <v>2702</v>
      </c>
      <c r="C102" s="19" t="s">
        <v>2775</v>
      </c>
      <c r="D102" s="19" t="str">
        <f t="shared" si="5"/>
        <v>Beträge, Dauer und Kostenbeteiligung</v>
      </c>
      <c r="E102" s="33" t="s">
        <v>2700</v>
      </c>
      <c r="F102" s="6" t="s">
        <v>1669</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1669</v>
      </c>
    </row>
    <row r="105" spans="1:6" ht="272.25">
      <c r="A105" s="17">
        <f>ROW()</f>
        <v>105</v>
      </c>
      <c r="B105" s="18" t="s">
        <v>2702</v>
      </c>
      <c r="C105" s="19" t="s">
        <v>2775</v>
      </c>
      <c r="D105" s="19" t="str">
        <f t="shared" si="5"/>
        <v>Auf Leistungen anfallende Sozialabgaben</v>
      </c>
      <c r="E105" s="33" t="s">
        <v>2683</v>
      </c>
      <c r="F105" s="6" t="s">
        <v>1669</v>
      </c>
    </row>
    <row r="106" spans="1:6"/>
    <row r="107" spans="1:6"/>
    <row r="108" spans="1:6"/>
    <row r="109" spans="1:6"/>
    <row r="110" spans="1:6"/>
    <row r="111" spans="1:6"/>
    <row r="112" spans="1:6"/>
    <row r="113"/>
  </sheetData>
  <sheetProtection algorithmName="SHA-512" hashValue="Jfj2znM8IvHvfN5vJXLBFLnUtIaGMypXq/8x9qpMty3CvKM3S+4ofsIckircZ919zKIgnpIOY0agpdEYbUUHwA==" saltValue="CaJ1tMpFNpvAsF1vOW+RhQ==" spinCount="100000" sheet="1" objects="1" scenarios="1" formatColumns="0" autoFilter="0"/>
  <autoFilter ref="A2:F2" xr:uid="{B1004D24-8A5D-4EC2-AA6E-16FBDCCE78D1}"/>
  <pageMargins left="0.7" right="0.7" top="0.78740157499999996" bottom="0.78740157499999996"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48FF0-1380-4035-9754-A6D85FC97BE8}">
  <sheetPr codeName="Tabelle14"/>
  <dimension ref="A1:F113"/>
  <sheetViews>
    <sheetView workbookViewId="0">
      <pane xSplit="5" ySplit="2" topLeftCell="F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39" t="s">
        <v>2726</v>
      </c>
      <c r="C1" s="136" t="s">
        <v>2739</v>
      </c>
      <c r="D1" s="136" t="s">
        <v>2728</v>
      </c>
      <c r="E1" s="128" t="s">
        <v>3506</v>
      </c>
      <c r="F1" s="16" t="s">
        <v>12</v>
      </c>
    </row>
    <row r="2" spans="1:6" ht="39.75" customHeight="1">
      <c r="A2" s="138"/>
      <c r="B2" s="139"/>
      <c r="C2" s="136"/>
      <c r="D2" s="136"/>
      <c r="E2" s="134"/>
      <c r="F2" s="173" t="str" cm="1">
        <f t="array" ref="F2">_xlfn.TEXTJOIN("; ", TRUE, IF(Entscheidungen!A2:A100=F1, Entscheidungen!B2:B100, ""))</f>
        <v/>
      </c>
    </row>
    <row r="3" spans="1:6" ht="177">
      <c r="A3" s="17">
        <f>ROW()</f>
        <v>3</v>
      </c>
      <c r="B3" s="18" t="s">
        <v>2740</v>
      </c>
      <c r="C3" s="18"/>
      <c r="D3" s="18" t="str">
        <f>+E3</f>
        <v>Geltende Rechtsgrundlage</v>
      </c>
      <c r="E3" s="31" t="s">
        <v>2724</v>
      </c>
      <c r="F3" s="6" t="s">
        <v>3211</v>
      </c>
    </row>
    <row r="4" spans="1:6" ht="110.25">
      <c r="A4" s="17">
        <f>ROW()</f>
        <v>4</v>
      </c>
      <c r="B4" s="18" t="s">
        <v>2740</v>
      </c>
      <c r="C4" s="1"/>
      <c r="D4" s="18" t="str">
        <f t="shared" ref="D4:D34" si="0">+E4</f>
        <v>Grundprinzipien</v>
      </c>
      <c r="E4" s="32" t="s">
        <v>2709</v>
      </c>
      <c r="F4" s="6" t="s">
        <v>3212</v>
      </c>
    </row>
    <row r="5" spans="1:6" ht="188.25">
      <c r="A5" s="17">
        <f>ROW()</f>
        <v>5</v>
      </c>
      <c r="B5" s="18" t="s">
        <v>2740</v>
      </c>
      <c r="C5" s="1"/>
      <c r="D5" s="18" t="str">
        <f t="shared" si="0"/>
        <v>Gedecktes Risiko: Definition</v>
      </c>
      <c r="E5" s="32" t="s">
        <v>2891</v>
      </c>
      <c r="F5" s="6" t="s">
        <v>4702</v>
      </c>
    </row>
    <row r="6" spans="1:6" ht="144">
      <c r="A6" s="17">
        <f>ROW()</f>
        <v>6</v>
      </c>
      <c r="B6" s="18" t="s">
        <v>2740</v>
      </c>
      <c r="C6" s="18" t="s">
        <v>2653</v>
      </c>
      <c r="D6" s="18" t="str">
        <f t="shared" si="0"/>
        <v>Versicherte Personen</v>
      </c>
      <c r="E6" s="33" t="s">
        <v>2653</v>
      </c>
      <c r="F6" s="6" t="s">
        <v>3213</v>
      </c>
    </row>
    <row r="7" spans="1:6" ht="273">
      <c r="A7" s="17">
        <f>ROW()</f>
        <v>7</v>
      </c>
      <c r="B7" s="18" t="s">
        <v>2740</v>
      </c>
      <c r="C7" s="18" t="str">
        <f>+E6</f>
        <v>Versicherte Personen</v>
      </c>
      <c r="D7" s="18" t="str">
        <f t="shared" si="0"/>
        <v>Ausnahmen von der Versicherungspflicht</v>
      </c>
      <c r="E7" s="33" t="s">
        <v>2685</v>
      </c>
      <c r="F7" s="6" t="s">
        <v>125</v>
      </c>
    </row>
    <row r="8" spans="1:6" ht="194.25">
      <c r="A8" s="17">
        <f>ROW()</f>
        <v>8</v>
      </c>
      <c r="B8" s="18" t="s">
        <v>2740</v>
      </c>
      <c r="C8" s="19" t="s">
        <v>149</v>
      </c>
      <c r="D8" s="18" t="str">
        <f t="shared" si="0"/>
        <v>1. Anwartschaftszeit</v>
      </c>
      <c r="E8" s="33" t="s">
        <v>2744</v>
      </c>
      <c r="F8" s="6" t="s">
        <v>3214</v>
      </c>
    </row>
    <row r="9" spans="1:6" ht="409.5">
      <c r="A9" s="17">
        <f>ROW()</f>
        <v>9</v>
      </c>
      <c r="B9" s="18" t="s">
        <v>2740</v>
      </c>
      <c r="C9" s="19" t="s">
        <v>149</v>
      </c>
      <c r="D9" s="18" t="str">
        <f t="shared" si="0"/>
        <v xml:space="preserve">2. Begutachtungskriterien und Kategorien der Arbeitsunfähigkeit/Arbeitsfähigkeit  </v>
      </c>
      <c r="E9" s="33" t="s">
        <v>2745</v>
      </c>
      <c r="F9" s="6" t="s">
        <v>4703</v>
      </c>
    </row>
    <row r="10" spans="1:6" ht="222">
      <c r="A10" s="17">
        <f>ROW()</f>
        <v>10</v>
      </c>
      <c r="B10" s="18" t="s">
        <v>2740</v>
      </c>
      <c r="C10" s="19" t="s">
        <v>149</v>
      </c>
      <c r="D10" s="18" t="str">
        <f t="shared" si="0"/>
        <v>3. Zeitraum der Leistungszahlung</v>
      </c>
      <c r="E10" s="33" t="s">
        <v>2747</v>
      </c>
      <c r="F10" s="6" t="s">
        <v>3215</v>
      </c>
    </row>
    <row r="11" spans="1:6" ht="120">
      <c r="A11" s="17">
        <f>ROW()</f>
        <v>11</v>
      </c>
      <c r="B11" s="18" t="s">
        <v>2740</v>
      </c>
      <c r="C11" s="19" t="s">
        <v>2749</v>
      </c>
      <c r="D11" s="18" t="str">
        <f t="shared" si="0"/>
        <v>1. Gutachter</v>
      </c>
      <c r="E11" s="33" t="s">
        <v>2750</v>
      </c>
      <c r="F11" s="6" t="s">
        <v>4704</v>
      </c>
    </row>
    <row r="12" spans="1:6" ht="120">
      <c r="A12" s="17">
        <f>ROW()</f>
        <v>12</v>
      </c>
      <c r="B12" s="18" t="s">
        <v>2740</v>
      </c>
      <c r="C12" s="19" t="s">
        <v>2749</v>
      </c>
      <c r="D12" s="18" t="str">
        <f t="shared" si="0"/>
        <v xml:space="preserve">2. Überprüfung  </v>
      </c>
      <c r="E12" s="33" t="s">
        <v>2751</v>
      </c>
      <c r="F12" s="6" t="s">
        <v>3216</v>
      </c>
    </row>
    <row r="13" spans="1:6" ht="291.75">
      <c r="A13" s="17">
        <f>ROW()</f>
        <v>13</v>
      </c>
      <c r="B13" s="18" t="s">
        <v>2740</v>
      </c>
      <c r="C13" s="18" t="s">
        <v>2695</v>
      </c>
      <c r="D13" s="18" t="str">
        <f t="shared" si="0"/>
        <v>1. Berechnungsmethode bzw. Rentenformel</v>
      </c>
      <c r="E13" s="33" t="s">
        <v>2753</v>
      </c>
      <c r="F13" s="6" t="s">
        <v>3217</v>
      </c>
    </row>
    <row r="14" spans="1:6" ht="343.5">
      <c r="A14" s="17">
        <f>ROW()</f>
        <v>14</v>
      </c>
      <c r="B14" s="18" t="s">
        <v>2740</v>
      </c>
      <c r="C14" s="18" t="s">
        <v>2695</v>
      </c>
      <c r="D14" s="18" t="str">
        <f t="shared" si="0"/>
        <v>2. Referenzeinkommen bzw. Berechnungsgrundlage</v>
      </c>
      <c r="E14" s="33" t="s">
        <v>2754</v>
      </c>
      <c r="F14" s="6" t="s">
        <v>3218</v>
      </c>
    </row>
    <row r="15" spans="1:6" ht="226.5">
      <c r="A15" s="17">
        <f>ROW()</f>
        <v>15</v>
      </c>
      <c r="B15" s="18" t="s">
        <v>2740</v>
      </c>
      <c r="C15" s="18" t="s">
        <v>2695</v>
      </c>
      <c r="D15" s="18" t="str">
        <f t="shared" si="0"/>
        <v>3. Mindest- und Höchstleistungen</v>
      </c>
      <c r="E15" s="33" t="s">
        <v>2756</v>
      </c>
      <c r="F15" s="6" t="s">
        <v>3219</v>
      </c>
    </row>
    <row r="16" spans="1:6" ht="405">
      <c r="A16" s="17">
        <f>ROW()</f>
        <v>16</v>
      </c>
      <c r="B16" s="18" t="s">
        <v>2740</v>
      </c>
      <c r="C16" s="18" t="s">
        <v>2695</v>
      </c>
      <c r="D16" s="18" t="str">
        <f t="shared" si="0"/>
        <v>4. Anrechenbare oder als Beitragszeiten gewertete Zeiträume</v>
      </c>
      <c r="E16" s="33" t="s">
        <v>2757</v>
      </c>
      <c r="F16" s="6" t="s">
        <v>4705</v>
      </c>
    </row>
    <row r="17" spans="1:6" ht="250.5">
      <c r="A17" s="17">
        <f>ROW()</f>
        <v>17</v>
      </c>
      <c r="B17" s="18" t="s">
        <v>2740</v>
      </c>
      <c r="C17" s="18" t="s">
        <v>2695</v>
      </c>
      <c r="D17" s="18" t="str">
        <f t="shared" si="0"/>
        <v xml:space="preserve">5. Zulagen für Unterhaltsberechtigte  </v>
      </c>
      <c r="E17" s="33" t="s">
        <v>2759</v>
      </c>
      <c r="F17" s="6" t="s">
        <v>450</v>
      </c>
    </row>
    <row r="18" spans="1:6" ht="409.5">
      <c r="A18" s="17">
        <f>ROW()</f>
        <v>18</v>
      </c>
      <c r="B18" s="18" t="s">
        <v>2740</v>
      </c>
      <c r="C18" s="18" t="str">
        <f>+E18</f>
        <v>Sonstige Leistungen</v>
      </c>
      <c r="D18" s="18" t="str">
        <f>+E18</f>
        <v>Sonstige Leistungen</v>
      </c>
      <c r="E18" s="32" t="s">
        <v>2678</v>
      </c>
      <c r="F18" s="6" t="s">
        <v>4706</v>
      </c>
    </row>
    <row r="19" spans="1:6" ht="300.75">
      <c r="A19" s="17">
        <f>ROW()</f>
        <v>19</v>
      </c>
      <c r="B19" s="18" t="s">
        <v>2740</v>
      </c>
      <c r="C19" s="18" t="s">
        <v>2761</v>
      </c>
      <c r="D19" s="18" t="str">
        <f t="shared" si="0"/>
        <v>Umschulung, berufsbezogene Rehabilitation</v>
      </c>
      <c r="E19" s="33" t="s">
        <v>2762</v>
      </c>
      <c r="F19" s="6" t="s">
        <v>3220</v>
      </c>
    </row>
    <row r="20" spans="1:6" ht="409.5">
      <c r="A20" s="17">
        <f>ROW()</f>
        <v>20</v>
      </c>
      <c r="B20" s="18" t="s">
        <v>2740</v>
      </c>
      <c r="C20" s="18" t="s">
        <v>2761</v>
      </c>
      <c r="D20" s="18" t="str">
        <f t="shared" si="0"/>
        <v xml:space="preserve">Bevorzugte und reservierte Beschäftigung von Menschen mit Behinderungen  </v>
      </c>
      <c r="E20" s="33" t="s">
        <v>2763</v>
      </c>
      <c r="F20" s="6" t="s">
        <v>3221</v>
      </c>
    </row>
    <row r="21" spans="1:6" ht="171.75">
      <c r="A21" s="17">
        <f>ROW()</f>
        <v>21</v>
      </c>
      <c r="B21" s="18" t="s">
        <v>2740</v>
      </c>
      <c r="C21" s="18" t="s">
        <v>2765</v>
      </c>
      <c r="D21" s="18" t="str">
        <f t="shared" si="0"/>
        <v>Indexbindung/Anpassung</v>
      </c>
      <c r="E21" s="32" t="s">
        <v>2766</v>
      </c>
      <c r="F21" s="6" t="s">
        <v>3222</v>
      </c>
    </row>
    <row r="22" spans="1:6" ht="242.25">
      <c r="A22" s="17">
        <f>ROW()</f>
        <v>22</v>
      </c>
      <c r="B22" s="18" t="s">
        <v>2740</v>
      </c>
      <c r="C22" s="18" t="s">
        <v>2765</v>
      </c>
      <c r="D22" s="18" t="str">
        <f>+E22</f>
        <v>Kumulation mit Erwerbseinkommen</v>
      </c>
      <c r="E22" s="32" t="s">
        <v>2723</v>
      </c>
      <c r="F22" s="6" t="s">
        <v>3223</v>
      </c>
    </row>
    <row r="23" spans="1:6" ht="275.25">
      <c r="A23" s="17">
        <f>ROW()</f>
        <v>23</v>
      </c>
      <c r="B23" s="18" t="s">
        <v>2740</v>
      </c>
      <c r="C23" s="18" t="s">
        <v>2765</v>
      </c>
      <c r="D23" s="18" t="str">
        <f t="shared" si="0"/>
        <v>Kumulation mit anderen Sozialleistungen</v>
      </c>
      <c r="E23" s="32" t="s">
        <v>2696</v>
      </c>
      <c r="F23" s="6" t="s">
        <v>4707</v>
      </c>
    </row>
    <row r="24" spans="1:6" ht="232.5">
      <c r="A24" s="17">
        <f>ROW()</f>
        <v>24</v>
      </c>
      <c r="B24" s="18" t="s">
        <v>2740</v>
      </c>
      <c r="C24" s="18" t="s">
        <v>2701</v>
      </c>
      <c r="D24" s="18" t="str">
        <f t="shared" si="0"/>
        <v>1. Besteuerung von Geldleistungen</v>
      </c>
      <c r="E24" s="33" t="s">
        <v>2770</v>
      </c>
      <c r="F24" s="6" t="s">
        <v>3224</v>
      </c>
    </row>
    <row r="25" spans="1:6" ht="387">
      <c r="A25" s="17">
        <f>ROW()</f>
        <v>25</v>
      </c>
      <c r="B25" s="18" t="s">
        <v>2740</v>
      </c>
      <c r="C25" s="18" t="s">
        <v>2701</v>
      </c>
      <c r="D25" s="18" t="str">
        <f t="shared" si="0"/>
        <v>2. Einkommensgrenze für Besteuerung von Geldleistungen</v>
      </c>
      <c r="E25" s="33" t="s">
        <v>2772</v>
      </c>
      <c r="F25" s="6" t="s">
        <v>4708</v>
      </c>
    </row>
    <row r="26" spans="1:6" ht="288.75">
      <c r="A26" s="17">
        <f>ROW()</f>
        <v>26</v>
      </c>
      <c r="B26" s="18" t="s">
        <v>2740</v>
      </c>
      <c r="C26" s="18" t="s">
        <v>2701</v>
      </c>
      <c r="D26" s="18" t="str">
        <f t="shared" si="0"/>
        <v>3. Auf Leistungen anfallende Sozialabgaben</v>
      </c>
      <c r="E26" s="33" t="s">
        <v>2773</v>
      </c>
      <c r="F26" s="6" t="s">
        <v>820</v>
      </c>
    </row>
    <row r="27" spans="1:6" ht="138">
      <c r="A27" s="17">
        <f>ROW()</f>
        <v>27</v>
      </c>
      <c r="B27" s="18" t="s">
        <v>2740</v>
      </c>
      <c r="C27" s="18" t="s">
        <v>2775</v>
      </c>
      <c r="D27" s="18" t="str">
        <f t="shared" si="0"/>
        <v>Anwendungsbereich</v>
      </c>
      <c r="E27" s="33" t="s">
        <v>2708</v>
      </c>
      <c r="F27" s="6" t="s">
        <v>849</v>
      </c>
    </row>
    <row r="28" spans="1:6" ht="110.25">
      <c r="A28" s="17">
        <f>ROW()</f>
        <v>28</v>
      </c>
      <c r="B28" s="18" t="s">
        <v>2740</v>
      </c>
      <c r="C28" s="18" t="s">
        <v>2775</v>
      </c>
      <c r="D28" s="18" t="str">
        <f t="shared" si="0"/>
        <v>Grundprinzipien</v>
      </c>
      <c r="E28" s="33" t="s">
        <v>2709</v>
      </c>
      <c r="F28" s="6" t="s">
        <v>875</v>
      </c>
    </row>
    <row r="29" spans="1:6" ht="224.25">
      <c r="A29" s="17">
        <f>ROW()</f>
        <v>29</v>
      </c>
      <c r="B29" s="18" t="s">
        <v>2740</v>
      </c>
      <c r="C29" s="18" t="s">
        <v>2775</v>
      </c>
      <c r="D29" s="18" t="str">
        <f t="shared" si="0"/>
        <v>Voraussetzungen für die Deckung</v>
      </c>
      <c r="E29" s="33" t="s">
        <v>2710</v>
      </c>
      <c r="F29" s="6" t="s">
        <v>899</v>
      </c>
    </row>
    <row r="30" spans="1:6" ht="409.5">
      <c r="A30" s="17">
        <f>ROW()</f>
        <v>30</v>
      </c>
      <c r="B30" s="18" t="s">
        <v>2740</v>
      </c>
      <c r="C30" s="18" t="s">
        <v>2775</v>
      </c>
      <c r="D30" s="19" t="str">
        <f t="shared" si="0"/>
        <v>Kombination von selbstständiger und unselbstständiger Tätigkeit</v>
      </c>
      <c r="E30" s="33" t="s">
        <v>2698</v>
      </c>
      <c r="F30" s="6" t="s">
        <v>3225</v>
      </c>
    </row>
    <row r="31" spans="1:6" ht="376.5">
      <c r="A31" s="17">
        <f>ROW()</f>
        <v>31</v>
      </c>
      <c r="B31" s="18" t="s">
        <v>2740</v>
      </c>
      <c r="C31" s="18" t="s">
        <v>2695</v>
      </c>
      <c r="D31" s="19" t="str">
        <f t="shared" si="0"/>
        <v xml:space="preserve">Voraussetzungen für den Zugang zu Diensten/Leistungen </v>
      </c>
      <c r="E31" s="33" t="s">
        <v>2699</v>
      </c>
      <c r="F31" s="6" t="s">
        <v>940</v>
      </c>
    </row>
    <row r="32" spans="1:6" ht="253.5">
      <c r="A32" s="17">
        <f>ROW()</f>
        <v>32</v>
      </c>
      <c r="B32" s="18" t="s">
        <v>2740</v>
      </c>
      <c r="C32" s="18" t="s">
        <v>2695</v>
      </c>
      <c r="D32" s="18" t="str">
        <f t="shared" si="0"/>
        <v>Beträge, Dauer und Kostenbeteiligung</v>
      </c>
      <c r="E32" s="33" t="s">
        <v>2700</v>
      </c>
      <c r="F32" s="6" t="s">
        <v>940</v>
      </c>
    </row>
    <row r="33" spans="1:6" ht="216">
      <c r="A33" s="17">
        <f>ROW()</f>
        <v>33</v>
      </c>
      <c r="B33" s="18" t="s">
        <v>2740</v>
      </c>
      <c r="C33" s="18" t="s">
        <v>2695</v>
      </c>
      <c r="D33" s="18" t="str">
        <f t="shared" si="0"/>
        <v>Besteuerung von Geldleistungen</v>
      </c>
      <c r="E33" s="33" t="s">
        <v>2681</v>
      </c>
      <c r="F33" s="6" t="s">
        <v>940</v>
      </c>
    </row>
    <row r="34" spans="1:6" ht="276.75">
      <c r="A34" s="17">
        <f>ROW()</f>
        <v>34</v>
      </c>
      <c r="B34" s="18" t="s">
        <v>2740</v>
      </c>
      <c r="C34" s="18" t="s">
        <v>2695</v>
      </c>
      <c r="D34" s="18" t="str">
        <f t="shared" si="0"/>
        <v xml:space="preserve"> Auf Leistungen anfallende Sozialabgaben</v>
      </c>
      <c r="E34" s="33" t="s">
        <v>2779</v>
      </c>
      <c r="F34" s="6" t="s">
        <v>940</v>
      </c>
    </row>
    <row r="35" spans="1:6" ht="270">
      <c r="A35" s="17">
        <f>ROW()</f>
        <v>35</v>
      </c>
      <c r="B35" s="18" t="s">
        <v>2780</v>
      </c>
      <c r="C35" s="18" t="str">
        <f>+D35</f>
        <v>Geltende Rechtsgrundlage</v>
      </c>
      <c r="D35" s="18" t="str">
        <f>+E35</f>
        <v>Geltende Rechtsgrundlage</v>
      </c>
      <c r="E35" s="32" t="s">
        <v>2724</v>
      </c>
      <c r="F35" s="6" t="s">
        <v>43</v>
      </c>
    </row>
    <row r="36" spans="1:6" ht="165">
      <c r="A36" s="17">
        <f>ROW()</f>
        <v>36</v>
      </c>
      <c r="B36" s="18" t="s">
        <v>2780</v>
      </c>
      <c r="C36" s="18" t="str">
        <f>+D36</f>
        <v>Grundprinzipien</v>
      </c>
      <c r="D36" s="18" t="str">
        <f>+E36</f>
        <v>Grundprinzipien</v>
      </c>
      <c r="E36" s="32" t="s">
        <v>2709</v>
      </c>
      <c r="F36" s="6" t="s">
        <v>4709</v>
      </c>
    </row>
    <row r="37" spans="1:6" ht="159.75">
      <c r="A37" s="17">
        <f>ROW()</f>
        <v>37</v>
      </c>
      <c r="B37" s="18" t="s">
        <v>2780</v>
      </c>
      <c r="C37" s="18" t="s">
        <v>2708</v>
      </c>
      <c r="D37" s="18" t="str">
        <f>+E37</f>
        <v>1. Versicherte Personen</v>
      </c>
      <c r="E37" s="33" t="s">
        <v>2781</v>
      </c>
      <c r="F37" s="6" t="s">
        <v>106</v>
      </c>
    </row>
    <row r="38" spans="1:6" ht="371.25">
      <c r="A38" s="17">
        <f>ROW()</f>
        <v>38</v>
      </c>
      <c r="B38" s="18" t="s">
        <v>2780</v>
      </c>
      <c r="C38" s="18" t="s">
        <v>2708</v>
      </c>
      <c r="D38" s="18" t="str">
        <f t="shared" ref="D38:D58" si="1">+E38</f>
        <v>2. Ausnahmen von der Deckung  der Pflichtversicherung</v>
      </c>
      <c r="E38" s="33" t="s">
        <v>2782</v>
      </c>
      <c r="F38" s="6" t="s">
        <v>135</v>
      </c>
    </row>
    <row r="39" spans="1:6" ht="194.25">
      <c r="A39" s="17">
        <f>ROW()</f>
        <v>39</v>
      </c>
      <c r="B39" s="18" t="s">
        <v>2780</v>
      </c>
      <c r="C39" s="18" t="s">
        <v>149</v>
      </c>
      <c r="D39" s="18" t="str">
        <f t="shared" si="1"/>
        <v>1. Rentenalter</v>
      </c>
      <c r="E39" s="33" t="s">
        <v>2784</v>
      </c>
      <c r="F39" s="6" t="s">
        <v>162</v>
      </c>
    </row>
    <row r="40" spans="1:6" ht="409.5">
      <c r="A40" s="17">
        <f>ROW()</f>
        <v>40</v>
      </c>
      <c r="B40" s="18" t="s">
        <v>2780</v>
      </c>
      <c r="C40" s="18" t="s">
        <v>149</v>
      </c>
      <c r="D40" s="18" t="str">
        <f t="shared" si="1"/>
        <v>2. Anwartschaftszeit und sonstige Anspruchsvoraussetzungen für den Bezug einer Altersrente</v>
      </c>
      <c r="E40" s="33" t="s">
        <v>2785</v>
      </c>
      <c r="F40" s="6" t="s">
        <v>193</v>
      </c>
    </row>
    <row r="41" spans="1:6" ht="330">
      <c r="A41" s="17">
        <f>ROW()</f>
        <v>41</v>
      </c>
      <c r="B41" s="18" t="s">
        <v>2780</v>
      </c>
      <c r="C41" s="18" t="s">
        <v>149</v>
      </c>
      <c r="D41" s="18" t="str">
        <f t="shared" si="1"/>
        <v>3. Vorruhestand</v>
      </c>
      <c r="E41" s="33" t="s">
        <v>2786</v>
      </c>
      <c r="F41" s="6" t="s">
        <v>4710</v>
      </c>
    </row>
    <row r="42" spans="1:6" ht="264">
      <c r="A42" s="17">
        <f>ROW()</f>
        <v>42</v>
      </c>
      <c r="B42" s="18" t="s">
        <v>2780</v>
      </c>
      <c r="C42" s="18" t="s">
        <v>149</v>
      </c>
      <c r="D42" s="18" t="str">
        <f t="shared" si="1"/>
        <v>4. Beschwerliche und gefährliche Arbeit</v>
      </c>
      <c r="E42" s="33" t="s">
        <v>2787</v>
      </c>
      <c r="F42" s="6" t="s">
        <v>4711</v>
      </c>
    </row>
    <row r="43" spans="1:6" ht="194.25">
      <c r="A43" s="17">
        <f>ROW()</f>
        <v>43</v>
      </c>
      <c r="B43" s="18" t="s">
        <v>2780</v>
      </c>
      <c r="C43" s="18" t="s">
        <v>149</v>
      </c>
      <c r="D43" s="18" t="str">
        <f t="shared" si="1"/>
        <v>5. Rentenaufschub</v>
      </c>
      <c r="E43" s="33" t="s">
        <v>2788</v>
      </c>
      <c r="F43" s="6" t="s">
        <v>282</v>
      </c>
    </row>
    <row r="44" spans="1:6" ht="174">
      <c r="A44" s="17">
        <f>ROW()</f>
        <v>44</v>
      </c>
      <c r="B44" s="18" t="s">
        <v>2780</v>
      </c>
      <c r="C44" s="18" t="s">
        <v>2695</v>
      </c>
      <c r="D44" s="18" t="str">
        <f t="shared" si="1"/>
        <v>1. Bestimmende Faktoren</v>
      </c>
      <c r="E44" s="33" t="s">
        <v>2789</v>
      </c>
      <c r="F44" s="6" t="s">
        <v>4712</v>
      </c>
    </row>
    <row r="45" spans="1:6" ht="375">
      <c r="A45" s="17">
        <f>ROW()</f>
        <v>45</v>
      </c>
      <c r="B45" s="18" t="s">
        <v>2780</v>
      </c>
      <c r="C45" s="18" t="s">
        <v>2695</v>
      </c>
      <c r="D45" s="18" t="str">
        <f t="shared" si="1"/>
        <v>2. Berechnungsmethode, Rentenformel bzw. Beträge</v>
      </c>
      <c r="E45" s="33" t="s">
        <v>2790</v>
      </c>
      <c r="F45" s="6" t="s">
        <v>4713</v>
      </c>
    </row>
    <row r="46" spans="1:6" ht="343.5">
      <c r="A46" s="17">
        <f>ROW()</f>
        <v>46</v>
      </c>
      <c r="B46" s="18" t="s">
        <v>2780</v>
      </c>
      <c r="C46" s="18" t="s">
        <v>2695</v>
      </c>
      <c r="D46" s="18" t="str">
        <f t="shared" si="1"/>
        <v>3. Referenzeinkommen bzw. Berechnungsgrundlage</v>
      </c>
      <c r="E46" s="33" t="s">
        <v>2791</v>
      </c>
      <c r="F46" s="6" t="s">
        <v>371</v>
      </c>
    </row>
    <row r="47" spans="1:6" ht="405">
      <c r="A47" s="17">
        <f>ROW()</f>
        <v>47</v>
      </c>
      <c r="B47" s="18" t="s">
        <v>2780</v>
      </c>
      <c r="C47" s="18" t="s">
        <v>2695</v>
      </c>
      <c r="D47" s="18" t="str">
        <f t="shared" si="1"/>
        <v>4. Anrechenbare oder als Beitragszeiten gewertete Zeiträume</v>
      </c>
      <c r="E47" s="33" t="s">
        <v>2757</v>
      </c>
      <c r="F47" s="6" t="s">
        <v>4714</v>
      </c>
    </row>
    <row r="48" spans="1:6" ht="243.75">
      <c r="A48" s="17">
        <f>ROW()</f>
        <v>48</v>
      </c>
      <c r="B48" s="18" t="s">
        <v>2780</v>
      </c>
      <c r="C48" s="18" t="s">
        <v>2695</v>
      </c>
      <c r="D48" s="18" t="str">
        <f t="shared" si="1"/>
        <v>5. Rückkauf von Versicherungszeiten</v>
      </c>
      <c r="E48" s="33" t="s">
        <v>2792</v>
      </c>
      <c r="F48" s="6" t="s">
        <v>432</v>
      </c>
    </row>
    <row r="49" spans="1:6" ht="246">
      <c r="A49" s="17">
        <f>ROW()</f>
        <v>49</v>
      </c>
      <c r="B49" s="18" t="s">
        <v>2780</v>
      </c>
      <c r="C49" s="18" t="s">
        <v>2695</v>
      </c>
      <c r="D49" s="18" t="str">
        <f t="shared" si="1"/>
        <v>6.  Zulagen für Unterhaltsberechtigte</v>
      </c>
      <c r="E49" s="33" t="s">
        <v>2892</v>
      </c>
      <c r="F49" s="6" t="s">
        <v>457</v>
      </c>
    </row>
    <row r="50" spans="1:6" ht="145.5">
      <c r="A50" s="17">
        <f>ROW()</f>
        <v>50</v>
      </c>
      <c r="B50" s="18" t="s">
        <v>2780</v>
      </c>
      <c r="C50" s="18" t="s">
        <v>2695</v>
      </c>
      <c r="D50" s="18" t="str">
        <f t="shared" si="1"/>
        <v>7. Besondere Zulagen</v>
      </c>
      <c r="E50" s="33" t="s">
        <v>2793</v>
      </c>
      <c r="F50" s="6" t="s">
        <v>482</v>
      </c>
    </row>
    <row r="51" spans="1:6" ht="360.75">
      <c r="A51" s="17">
        <f>ROW()</f>
        <v>51</v>
      </c>
      <c r="B51" s="18" t="s">
        <v>2780</v>
      </c>
      <c r="C51" s="18" t="s">
        <v>2695</v>
      </c>
      <c r="D51" s="18" t="str">
        <f t="shared" si="1"/>
        <v>8. Mindestrente und bedürftigkeitsabhängige Leistung</v>
      </c>
      <c r="E51" s="33" t="s">
        <v>2794</v>
      </c>
      <c r="F51" s="6" t="s">
        <v>511</v>
      </c>
    </row>
    <row r="52" spans="1:6" ht="101.25">
      <c r="A52" s="17">
        <f>ROW()</f>
        <v>52</v>
      </c>
      <c r="B52" s="18" t="s">
        <v>2780</v>
      </c>
      <c r="C52" s="18" t="s">
        <v>2695</v>
      </c>
      <c r="D52" s="18" t="str">
        <f t="shared" si="1"/>
        <v>9. Höchstrente</v>
      </c>
      <c r="E52" s="33" t="s">
        <v>2795</v>
      </c>
      <c r="F52" s="6" t="s">
        <v>540</v>
      </c>
    </row>
    <row r="53" spans="1:6" ht="150">
      <c r="A53" s="17">
        <f>ROW()</f>
        <v>53</v>
      </c>
      <c r="B53" s="18" t="s">
        <v>2780</v>
      </c>
      <c r="C53" s="18" t="s">
        <v>2695</v>
      </c>
      <c r="D53" s="18" t="str">
        <f t="shared" si="1"/>
        <v>10. Vorruhestand</v>
      </c>
      <c r="E53" s="33" t="s">
        <v>2796</v>
      </c>
      <c r="F53" s="6" t="s">
        <v>568</v>
      </c>
    </row>
    <row r="54" spans="1:6" ht="272.25">
      <c r="A54" s="17">
        <f>ROW()</f>
        <v>54</v>
      </c>
      <c r="B54" s="18" t="s">
        <v>2780</v>
      </c>
      <c r="C54" s="18" t="s">
        <v>2695</v>
      </c>
      <c r="D54" s="18" t="str">
        <f t="shared" si="1"/>
        <v>11. Beschwerliche und gefährliche Arbeit</v>
      </c>
      <c r="E54" s="33" t="s">
        <v>2797</v>
      </c>
      <c r="F54" s="6" t="s">
        <v>595</v>
      </c>
    </row>
    <row r="55" spans="1:6" ht="87.75">
      <c r="A55" s="17">
        <f>ROW()</f>
        <v>55</v>
      </c>
      <c r="B55" s="18" t="s">
        <v>2780</v>
      </c>
      <c r="C55" s="18" t="s">
        <v>2695</v>
      </c>
      <c r="D55" s="18" t="str">
        <f t="shared" si="1"/>
        <v>12. Teilrente</v>
      </c>
      <c r="E55" s="33" t="s">
        <v>2798</v>
      </c>
      <c r="F55" s="6" t="s">
        <v>622</v>
      </c>
    </row>
    <row r="56" spans="1:6" ht="171.75">
      <c r="A56" s="17">
        <f>ROW()</f>
        <v>56</v>
      </c>
      <c r="B56" s="18" t="s">
        <v>2780</v>
      </c>
      <c r="C56" s="18" t="s">
        <v>2695</v>
      </c>
      <c r="D56" s="18" t="str">
        <f t="shared" si="1"/>
        <v>13. Aufgeschobene Rente</v>
      </c>
      <c r="E56" s="33" t="s">
        <v>2893</v>
      </c>
      <c r="F56" s="6" t="s">
        <v>649</v>
      </c>
    </row>
    <row r="57" spans="1:6" ht="330">
      <c r="A57" s="17">
        <f>ROW()</f>
        <v>57</v>
      </c>
      <c r="B57" s="18" t="s">
        <v>2780</v>
      </c>
      <c r="C57" s="18" t="s">
        <v>2799</v>
      </c>
      <c r="D57" s="18" t="s">
        <v>2799</v>
      </c>
      <c r="E57" s="32" t="s">
        <v>2799</v>
      </c>
      <c r="F57" s="6" t="s">
        <v>680</v>
      </c>
    </row>
    <row r="58" spans="1:6" ht="246">
      <c r="A58" s="17">
        <f>ROW()</f>
        <v>58</v>
      </c>
      <c r="B58" s="18" t="s">
        <v>2780</v>
      </c>
      <c r="C58" s="18" t="s">
        <v>2799</v>
      </c>
      <c r="D58" s="18" t="str">
        <f t="shared" si="1"/>
        <v xml:space="preserve">Kumulation mit Erwerbseinkommen </v>
      </c>
      <c r="E58" s="32" t="s">
        <v>2697</v>
      </c>
      <c r="F58" s="6" t="s">
        <v>711</v>
      </c>
    </row>
    <row r="59" spans="1:6" ht="286.5">
      <c r="A59" s="17">
        <f>ROW()</f>
        <v>59</v>
      </c>
      <c r="B59" s="18" t="s">
        <v>2780</v>
      </c>
      <c r="C59" s="18" t="s">
        <v>2799</v>
      </c>
      <c r="D59" s="18" t="s">
        <v>2800</v>
      </c>
      <c r="E59" s="32" t="s">
        <v>2696</v>
      </c>
      <c r="F59" s="6" t="s">
        <v>742</v>
      </c>
    </row>
    <row r="60" spans="1:6" ht="225.75">
      <c r="A60" s="17">
        <f>ROW()</f>
        <v>60</v>
      </c>
      <c r="B60" s="18" t="s">
        <v>2780</v>
      </c>
      <c r="C60" s="18" t="s">
        <v>761</v>
      </c>
      <c r="D60" s="18" t="str">
        <f t="shared" ref="D60:D70" si="2">+E60</f>
        <v>1. Besteuerung von Renten</v>
      </c>
      <c r="E60" s="33" t="s">
        <v>2801</v>
      </c>
      <c r="F60" s="6" t="s">
        <v>773</v>
      </c>
    </row>
    <row r="61" spans="1:6" ht="335.25">
      <c r="A61" s="17">
        <f>ROW()</f>
        <v>61</v>
      </c>
      <c r="B61" s="18" t="s">
        <v>2780</v>
      </c>
      <c r="C61" s="18" t="s">
        <v>761</v>
      </c>
      <c r="D61" s="18" t="str">
        <f t="shared" si="2"/>
        <v>2. Einkommensgrenze für Besteuerung von Renten</v>
      </c>
      <c r="E61" s="33" t="s">
        <v>2802</v>
      </c>
      <c r="F61" s="6" t="s">
        <v>4715</v>
      </c>
    </row>
    <row r="62" spans="1:6" ht="264">
      <c r="A62" s="17">
        <f>ROW()</f>
        <v>62</v>
      </c>
      <c r="B62" s="18" t="s">
        <v>2780</v>
      </c>
      <c r="C62" s="18" t="s">
        <v>761</v>
      </c>
      <c r="D62" s="18" t="str">
        <f t="shared" si="2"/>
        <v>3. Auf Renten anfallende Sozialabgaben</v>
      </c>
      <c r="E62" s="33" t="s">
        <v>2803</v>
      </c>
      <c r="F62" s="6" t="s">
        <v>826</v>
      </c>
    </row>
    <row r="63" spans="1:6" ht="138">
      <c r="A63" s="17">
        <f>ROW()</f>
        <v>63</v>
      </c>
      <c r="B63" s="18" t="s">
        <v>2804</v>
      </c>
      <c r="C63" s="18" t="str">
        <f>+E63</f>
        <v>Anwendungsbereich</v>
      </c>
      <c r="D63" s="18" t="str">
        <f t="shared" si="2"/>
        <v>Anwendungsbereich</v>
      </c>
      <c r="E63" s="33" t="s">
        <v>2708</v>
      </c>
      <c r="F63" s="6" t="s">
        <v>849</v>
      </c>
    </row>
    <row r="64" spans="1:6" ht="132.75">
      <c r="A64" s="17">
        <f>ROW()</f>
        <v>64</v>
      </c>
      <c r="B64" s="18" t="s">
        <v>2804</v>
      </c>
      <c r="C64" s="18" t="s">
        <v>2775</v>
      </c>
      <c r="D64" s="18" t="str">
        <f t="shared" si="2"/>
        <v>Grundprinzipien</v>
      </c>
      <c r="E64" s="33" t="s">
        <v>2709</v>
      </c>
      <c r="F64" s="6" t="s">
        <v>875</v>
      </c>
    </row>
    <row r="65" spans="1:6" ht="224.25">
      <c r="A65" s="17">
        <f>ROW()</f>
        <v>65</v>
      </c>
      <c r="B65" s="18" t="s">
        <v>2804</v>
      </c>
      <c r="C65" s="18" t="s">
        <v>2775</v>
      </c>
      <c r="D65" s="18" t="str">
        <f t="shared" si="2"/>
        <v>Voraussetzungen für die Deckung</v>
      </c>
      <c r="E65" s="33" t="s">
        <v>2710</v>
      </c>
      <c r="F65" s="6" t="s">
        <v>904</v>
      </c>
    </row>
    <row r="66" spans="1:6" ht="409.5">
      <c r="A66" s="17">
        <f>ROW()</f>
        <v>66</v>
      </c>
      <c r="B66" s="18" t="s">
        <v>2804</v>
      </c>
      <c r="C66" s="18" t="s">
        <v>2775</v>
      </c>
      <c r="D66" s="18" t="str">
        <f t="shared" si="2"/>
        <v>Kombination von selbstständiger und unselbstständiger Tätigkeit</v>
      </c>
      <c r="E66" s="33" t="s">
        <v>2698</v>
      </c>
      <c r="F66" s="6" t="s">
        <v>926</v>
      </c>
    </row>
    <row r="67" spans="1:6" ht="376.5">
      <c r="A67" s="17">
        <f>ROW()</f>
        <v>67</v>
      </c>
      <c r="B67" s="18" t="s">
        <v>2804</v>
      </c>
      <c r="C67" s="18" t="s">
        <v>2695</v>
      </c>
      <c r="D67" s="19" t="str">
        <f t="shared" si="2"/>
        <v xml:space="preserve">Voraussetzungen für den Zugang zu Diensten/Leistungen </v>
      </c>
      <c r="E67" s="33" t="s">
        <v>2699</v>
      </c>
      <c r="F67" s="6" t="s">
        <v>940</v>
      </c>
    </row>
    <row r="68" spans="1:6" ht="253.5">
      <c r="A68" s="17">
        <f>ROW()</f>
        <v>68</v>
      </c>
      <c r="B68" s="18" t="s">
        <v>2804</v>
      </c>
      <c r="C68" s="18" t="s">
        <v>2695</v>
      </c>
      <c r="D68" s="19" t="str">
        <f t="shared" si="2"/>
        <v>Beträge, Dauer und Kostenbeteiligung</v>
      </c>
      <c r="E68" s="33" t="s">
        <v>2700</v>
      </c>
      <c r="F68" s="6" t="s">
        <v>940</v>
      </c>
    </row>
    <row r="69" spans="1:6" ht="216">
      <c r="A69" s="17">
        <f>ROW()</f>
        <v>69</v>
      </c>
      <c r="B69" s="18" t="s">
        <v>2804</v>
      </c>
      <c r="C69" s="18" t="s">
        <v>2695</v>
      </c>
      <c r="D69" s="19" t="str">
        <f t="shared" si="2"/>
        <v>Besteuerung von Geldleistungen</v>
      </c>
      <c r="E69" s="33" t="s">
        <v>2681</v>
      </c>
      <c r="F69" s="6" t="s">
        <v>940</v>
      </c>
    </row>
    <row r="70" spans="1:6" ht="272.25">
      <c r="A70" s="17">
        <f>ROW()</f>
        <v>70</v>
      </c>
      <c r="B70" s="18" t="s">
        <v>2804</v>
      </c>
      <c r="C70" s="18" t="s">
        <v>2695</v>
      </c>
      <c r="D70" s="19" t="str">
        <f t="shared" si="2"/>
        <v>Auf Leistungen anfallende Sozialabgaben</v>
      </c>
      <c r="E70" s="33" t="s">
        <v>2683</v>
      </c>
      <c r="F70" s="6" t="s">
        <v>940</v>
      </c>
    </row>
    <row r="71" spans="1:6" ht="177">
      <c r="A71" s="17">
        <f>ROW()</f>
        <v>71</v>
      </c>
      <c r="B71" s="18" t="s">
        <v>2702</v>
      </c>
      <c r="C71" s="18" t="str">
        <f t="shared" ref="C71:D75" si="3">+D71</f>
        <v>Geltende Rechtsgrundlage</v>
      </c>
      <c r="D71" s="19" t="str">
        <f t="shared" si="3"/>
        <v>Geltende Rechtsgrundlage</v>
      </c>
      <c r="E71" s="32" t="s">
        <v>2724</v>
      </c>
      <c r="F71" s="6" t="s">
        <v>1001</v>
      </c>
    </row>
    <row r="72" spans="1:6" ht="110.25">
      <c r="A72" s="17">
        <f>ROW()</f>
        <v>72</v>
      </c>
      <c r="B72" s="18" t="s">
        <v>2702</v>
      </c>
      <c r="C72" s="18" t="str">
        <f t="shared" si="3"/>
        <v>Grundprinzipien</v>
      </c>
      <c r="D72" s="19" t="str">
        <f t="shared" si="3"/>
        <v>Grundprinzipien</v>
      </c>
      <c r="E72" s="32" t="s">
        <v>2709</v>
      </c>
      <c r="F72" s="6" t="s">
        <v>1028</v>
      </c>
    </row>
    <row r="73" spans="1:6" ht="315">
      <c r="A73" s="17">
        <f>ROW()</f>
        <v>73</v>
      </c>
      <c r="B73" s="18" t="s">
        <v>2702</v>
      </c>
      <c r="C73" s="19" t="str">
        <f t="shared" si="3"/>
        <v>Anwendungsbereich (in Bezug auf Verstorbene)</v>
      </c>
      <c r="D73" s="19" t="str">
        <f t="shared" si="3"/>
        <v>Anwendungsbereich (in Bezug auf Verstorbene)</v>
      </c>
      <c r="E73" s="32" t="s">
        <v>2725</v>
      </c>
      <c r="F73" s="6" t="s">
        <v>1058</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125</v>
      </c>
    </row>
    <row r="75" spans="1:6" ht="144.75">
      <c r="A75" s="17">
        <f>ROW()</f>
        <v>75</v>
      </c>
      <c r="B75" s="18" t="s">
        <v>2702</v>
      </c>
      <c r="C75" s="19" t="str">
        <f t="shared" si="3"/>
        <v>Berechtigte Personen</v>
      </c>
      <c r="D75" s="19" t="str">
        <f t="shared" si="3"/>
        <v>Berechtigte Personen</v>
      </c>
      <c r="E75" s="32" t="s">
        <v>2730</v>
      </c>
      <c r="F75" s="6" t="s">
        <v>1103</v>
      </c>
    </row>
    <row r="76" spans="1:6" ht="102">
      <c r="A76" s="17">
        <f>ROW()</f>
        <v>76</v>
      </c>
      <c r="B76" s="18" t="s">
        <v>2702</v>
      </c>
      <c r="C76" s="1"/>
      <c r="D76" s="1"/>
      <c r="E76" s="32" t="s">
        <v>2783</v>
      </c>
      <c r="F76" s="6"/>
    </row>
    <row r="77" spans="1:6" ht="189.75">
      <c r="A77" s="17">
        <f>ROW()</f>
        <v>77</v>
      </c>
      <c r="B77" s="18" t="s">
        <v>2702</v>
      </c>
      <c r="C77" s="18" t="s">
        <v>2805</v>
      </c>
      <c r="D77" s="18" t="str">
        <f t="shared" ref="D77:D90" si="4">+E77</f>
        <v>1. Verstorbener Versicherter</v>
      </c>
      <c r="E77" s="33" t="s">
        <v>2806</v>
      </c>
      <c r="F77" s="6" t="s">
        <v>1134</v>
      </c>
    </row>
    <row r="78" spans="1:6" ht="185.25">
      <c r="A78" s="17">
        <f>ROW()</f>
        <v>78</v>
      </c>
      <c r="B78" s="18" t="s">
        <v>2702</v>
      </c>
      <c r="C78" s="18" t="s">
        <v>2805</v>
      </c>
      <c r="D78" s="18" t="str">
        <f t="shared" si="4"/>
        <v>2. Hinterbliebener Ehegatte</v>
      </c>
      <c r="E78" s="33" t="s">
        <v>2807</v>
      </c>
      <c r="F78" s="6" t="s">
        <v>1165</v>
      </c>
    </row>
    <row r="79" spans="1:6" ht="181.5">
      <c r="A79" s="17">
        <f>ROW()</f>
        <v>79</v>
      </c>
      <c r="B79" s="18" t="s">
        <v>2702</v>
      </c>
      <c r="C79" s="18" t="s">
        <v>2805</v>
      </c>
      <c r="D79" s="18" t="str">
        <f t="shared" si="4"/>
        <v>3. Geschiedener Ehegatte</v>
      </c>
      <c r="E79" s="33" t="s">
        <v>2808</v>
      </c>
      <c r="F79" s="6" t="s">
        <v>1192</v>
      </c>
    </row>
    <row r="80" spans="1:6" ht="216">
      <c r="A80" s="17">
        <f>ROW()</f>
        <v>80</v>
      </c>
      <c r="B80" s="18" t="s">
        <v>2702</v>
      </c>
      <c r="C80" s="18" t="s">
        <v>2805</v>
      </c>
      <c r="D80" s="18" t="str">
        <f t="shared" si="4"/>
        <v>4. Hinterbliebene Lebenspartner</v>
      </c>
      <c r="E80" s="33" t="s">
        <v>2809</v>
      </c>
      <c r="F80" s="6" t="s">
        <v>1192</v>
      </c>
    </row>
    <row r="81" spans="1:6" ht="181.5">
      <c r="A81" s="17">
        <f>ROW()</f>
        <v>81</v>
      </c>
      <c r="B81" s="18" t="s">
        <v>2702</v>
      </c>
      <c r="C81" s="18" t="s">
        <v>2805</v>
      </c>
      <c r="D81" s="18" t="str">
        <f t="shared" si="4"/>
        <v>5. Kinder</v>
      </c>
      <c r="E81" s="33" t="s">
        <v>2810</v>
      </c>
      <c r="F81" s="6" t="s">
        <v>1246</v>
      </c>
    </row>
    <row r="82" spans="1:6" ht="181.5">
      <c r="A82" s="17">
        <f>ROW()</f>
        <v>82</v>
      </c>
      <c r="B82" s="18" t="s">
        <v>2702</v>
      </c>
      <c r="C82" s="18" t="s">
        <v>2805</v>
      </c>
      <c r="D82" s="18" t="str">
        <f t="shared" si="4"/>
        <v>6. Andere Personen</v>
      </c>
      <c r="E82" s="33" t="s">
        <v>2811</v>
      </c>
      <c r="F82" s="6" t="s">
        <v>1271</v>
      </c>
    </row>
    <row r="83" spans="1:6" ht="409.5">
      <c r="A83" s="17">
        <f>ROW()</f>
        <v>83</v>
      </c>
      <c r="B83" s="18" t="s">
        <v>2702</v>
      </c>
      <c r="C83" s="18" t="s">
        <v>2695</v>
      </c>
      <c r="D83" s="19" t="str">
        <f t="shared" si="4"/>
        <v>1. Hinterbliebener Ehegatte, geschiedener Ehegatte, hinterbliebene Lebenspartner</v>
      </c>
      <c r="E83" s="33" t="s">
        <v>2812</v>
      </c>
      <c r="F83" s="6" t="s">
        <v>1294</v>
      </c>
    </row>
    <row r="84" spans="1:6" ht="280.5">
      <c r="A84" s="17">
        <f>ROW()</f>
        <v>84</v>
      </c>
      <c r="B84" s="18" t="s">
        <v>2702</v>
      </c>
      <c r="C84" s="18" t="s">
        <v>2695</v>
      </c>
      <c r="D84" s="19" t="str">
        <f t="shared" si="4"/>
        <v>2. Hinterbliebener Ehegatte: Wiederheirat</v>
      </c>
      <c r="E84" s="33" t="s">
        <v>2813</v>
      </c>
      <c r="F84" s="6" t="s">
        <v>373</v>
      </c>
    </row>
    <row r="85" spans="1:6" ht="195">
      <c r="A85" s="17">
        <f>ROW()</f>
        <v>85</v>
      </c>
      <c r="B85" s="18" t="s">
        <v>2702</v>
      </c>
      <c r="C85" s="18" t="s">
        <v>2695</v>
      </c>
      <c r="D85" s="19" t="str">
        <f t="shared" si="4"/>
        <v>3. Kinder</v>
      </c>
      <c r="E85" s="33" t="s">
        <v>2814</v>
      </c>
      <c r="F85" s="6" t="s">
        <v>4716</v>
      </c>
    </row>
    <row r="86" spans="1:6" ht="147">
      <c r="A86" s="17">
        <f>ROW()</f>
        <v>86</v>
      </c>
      <c r="B86" s="18" t="s">
        <v>2702</v>
      </c>
      <c r="C86" s="18" t="s">
        <v>2695</v>
      </c>
      <c r="D86" s="19" t="str">
        <f t="shared" si="4"/>
        <v>4. Andere Berechtigte</v>
      </c>
      <c r="E86" s="33" t="s">
        <v>2815</v>
      </c>
      <c r="F86" s="6" t="s">
        <v>1377</v>
      </c>
    </row>
    <row r="87" spans="1:6" ht="381">
      <c r="A87" s="17">
        <f>ROW()</f>
        <v>87</v>
      </c>
      <c r="B87" s="18" t="s">
        <v>2702</v>
      </c>
      <c r="C87" s="18" t="s">
        <v>2695</v>
      </c>
      <c r="D87" s="19" t="str">
        <f t="shared" si="4"/>
        <v xml:space="preserve"> 5. Höchster zahlbarer Gesamtbetrag für alle Berechtigten</v>
      </c>
      <c r="E87" s="33" t="s">
        <v>2816</v>
      </c>
      <c r="F87" s="6" t="s">
        <v>1397</v>
      </c>
    </row>
    <row r="88" spans="1:6" ht="151.5">
      <c r="A88" s="17">
        <f>ROW()</f>
        <v>88</v>
      </c>
      <c r="B88" s="18" t="s">
        <v>2702</v>
      </c>
      <c r="C88" s="18" t="s">
        <v>2695</v>
      </c>
      <c r="D88" s="19" t="str">
        <f t="shared" si="4"/>
        <v>6. Sonstige Leistungen</v>
      </c>
      <c r="E88" s="33" t="s">
        <v>2817</v>
      </c>
      <c r="F88" s="6" t="s">
        <v>1424</v>
      </c>
    </row>
    <row r="89" spans="1:6" ht="126.75">
      <c r="A89" s="17">
        <f>ROW()</f>
        <v>89</v>
      </c>
      <c r="B89" s="18" t="s">
        <v>2702</v>
      </c>
      <c r="C89" s="18" t="s">
        <v>2695</v>
      </c>
      <c r="D89" s="19" t="str">
        <f>+E89</f>
        <v>7. Mindestleistung</v>
      </c>
      <c r="E89" s="33" t="s">
        <v>2818</v>
      </c>
      <c r="F89" s="6" t="s">
        <v>1453</v>
      </c>
    </row>
    <row r="90" spans="1:6" ht="122.25">
      <c r="A90" s="17">
        <f>ROW()</f>
        <v>90</v>
      </c>
      <c r="B90" s="18" t="s">
        <v>2702</v>
      </c>
      <c r="C90" s="18" t="s">
        <v>2695</v>
      </c>
      <c r="D90" s="19" t="str">
        <f t="shared" si="4"/>
        <v xml:space="preserve"> 8. Höchstleistung</v>
      </c>
      <c r="E90" s="33" t="s">
        <v>2819</v>
      </c>
      <c r="F90" s="6" t="s">
        <v>545</v>
      </c>
    </row>
    <row r="91" spans="1:6" ht="179.25">
      <c r="A91" s="17">
        <f>ROW()</f>
        <v>91</v>
      </c>
      <c r="B91" s="18" t="s">
        <v>2702</v>
      </c>
      <c r="C91" s="18" t="s">
        <v>2799</v>
      </c>
      <c r="D91" s="19" t="str">
        <f>+C91</f>
        <v>Indexbindung / Anpassung</v>
      </c>
      <c r="E91" s="32" t="s">
        <v>2799</v>
      </c>
      <c r="F91" s="6" t="s">
        <v>1503</v>
      </c>
    </row>
    <row r="92" spans="1:6" ht="242.25">
      <c r="A92" s="17">
        <f>ROW()</f>
        <v>92</v>
      </c>
      <c r="B92" s="18" t="s">
        <v>2702</v>
      </c>
      <c r="C92" s="18" t="s">
        <v>2799</v>
      </c>
      <c r="D92" s="19" t="str">
        <f t="shared" ref="D92:D105" si="5">+E92</f>
        <v>Kumulation mit Erwerbseinkommen</v>
      </c>
      <c r="E92" s="32" t="s">
        <v>2723</v>
      </c>
      <c r="F92" s="6" t="s">
        <v>1533</v>
      </c>
    </row>
    <row r="93" spans="1:6" ht="275.25">
      <c r="A93" s="17">
        <f>ROW()</f>
        <v>93</v>
      </c>
      <c r="B93" s="18" t="s">
        <v>2702</v>
      </c>
      <c r="C93" s="18" t="s">
        <v>2799</v>
      </c>
      <c r="D93" s="19" t="str">
        <f t="shared" si="5"/>
        <v>Kumulation mit anderen Sozialleistungen</v>
      </c>
      <c r="E93" s="32" t="s">
        <v>2696</v>
      </c>
      <c r="F93" s="6" t="s">
        <v>1564</v>
      </c>
    </row>
    <row r="94" spans="1:6" ht="232.5">
      <c r="A94" s="17">
        <f>ROW()</f>
        <v>94</v>
      </c>
      <c r="B94" s="18" t="s">
        <v>2702</v>
      </c>
      <c r="C94" s="19" t="s">
        <v>2701</v>
      </c>
      <c r="D94" s="19" t="str">
        <f t="shared" si="5"/>
        <v>1. Besteuerung von Geldleistungen</v>
      </c>
      <c r="E94" s="33" t="s">
        <v>2770</v>
      </c>
      <c r="F94" s="6" t="s">
        <v>1591</v>
      </c>
    </row>
    <row r="95" spans="1:6" ht="387">
      <c r="A95" s="17">
        <f>ROW()</f>
        <v>95</v>
      </c>
      <c r="B95" s="18" t="s">
        <v>2702</v>
      </c>
      <c r="C95" s="19" t="s">
        <v>2701</v>
      </c>
      <c r="D95" s="19" t="str">
        <f t="shared" si="5"/>
        <v>2. Einkommensgrenze für Besteuerung von Geldleistungen</v>
      </c>
      <c r="E95" s="33" t="s">
        <v>2772</v>
      </c>
      <c r="F95" s="6" t="s">
        <v>4717</v>
      </c>
    </row>
    <row r="96" spans="1:6" ht="288.75">
      <c r="A96" s="17">
        <f>ROW()</f>
        <v>96</v>
      </c>
      <c r="B96" s="18" t="s">
        <v>2702</v>
      </c>
      <c r="C96" s="19" t="s">
        <v>2701</v>
      </c>
      <c r="D96" s="19" t="str">
        <f t="shared" si="5"/>
        <v>3. Auf Leistungen anfallende Sozialabgaben</v>
      </c>
      <c r="E96" s="33" t="s">
        <v>2773</v>
      </c>
      <c r="F96" s="6" t="s">
        <v>1631</v>
      </c>
    </row>
    <row r="97" spans="1:6" ht="138">
      <c r="A97" s="17">
        <f>ROW()</f>
        <v>97</v>
      </c>
      <c r="B97" s="18" t="s">
        <v>2702</v>
      </c>
      <c r="C97" s="19" t="s">
        <v>2775</v>
      </c>
      <c r="D97" s="19" t="str">
        <f t="shared" si="5"/>
        <v>Anwendungsbereich</v>
      </c>
      <c r="E97" s="33" t="s">
        <v>2708</v>
      </c>
      <c r="F97" s="6" t="s">
        <v>849</v>
      </c>
    </row>
    <row r="98" spans="1:6" ht="110.25">
      <c r="A98" s="17">
        <f>ROW()</f>
        <v>98</v>
      </c>
      <c r="B98" s="18" t="s">
        <v>2702</v>
      </c>
      <c r="C98" s="19" t="s">
        <v>2775</v>
      </c>
      <c r="D98" s="19" t="str">
        <f t="shared" si="5"/>
        <v>Grundprinzipien</v>
      </c>
      <c r="E98" s="33" t="s">
        <v>2709</v>
      </c>
      <c r="F98" s="6" t="s">
        <v>875</v>
      </c>
    </row>
    <row r="99" spans="1:6" ht="224.25">
      <c r="A99" s="17">
        <f>ROW()</f>
        <v>99</v>
      </c>
      <c r="B99" s="18" t="s">
        <v>2702</v>
      </c>
      <c r="C99" s="19" t="s">
        <v>2775</v>
      </c>
      <c r="D99" s="19" t="str">
        <f t="shared" si="5"/>
        <v>Voraussetzungen für die Deckung</v>
      </c>
      <c r="E99" s="33" t="s">
        <v>2710</v>
      </c>
      <c r="F99" s="6" t="s">
        <v>1669</v>
      </c>
    </row>
    <row r="100" spans="1:6" ht="409.5">
      <c r="A100" s="17">
        <f>ROW()</f>
        <v>100</v>
      </c>
      <c r="B100" s="18" t="s">
        <v>2702</v>
      </c>
      <c r="C100" s="19" t="s">
        <v>2775</v>
      </c>
      <c r="D100" s="19" t="str">
        <f t="shared" si="5"/>
        <v>Kombination von selbstständiger und unselbstständiger Tätigkeit</v>
      </c>
      <c r="E100" s="33" t="s">
        <v>2698</v>
      </c>
      <c r="F100" s="6" t="s">
        <v>1669</v>
      </c>
    </row>
    <row r="101" spans="1:6" ht="376.5">
      <c r="A101" s="17">
        <f>ROW()</f>
        <v>101</v>
      </c>
      <c r="B101" s="18" t="s">
        <v>2702</v>
      </c>
      <c r="C101" s="19" t="s">
        <v>2775</v>
      </c>
      <c r="D101" s="19" t="str">
        <f t="shared" si="5"/>
        <v xml:space="preserve">Voraussetzungen für den Zugang zu Diensten/Leistungen </v>
      </c>
      <c r="E101" s="33" t="s">
        <v>2699</v>
      </c>
      <c r="F101" s="6" t="s">
        <v>940</v>
      </c>
    </row>
    <row r="102" spans="1:6" ht="253.5">
      <c r="A102" s="17">
        <f>ROW()</f>
        <v>102</v>
      </c>
      <c r="B102" s="18" t="s">
        <v>2702</v>
      </c>
      <c r="C102" s="19" t="s">
        <v>2775</v>
      </c>
      <c r="D102" s="19" t="str">
        <f t="shared" si="5"/>
        <v>Beträge, Dauer und Kostenbeteiligung</v>
      </c>
      <c r="E102" s="33" t="s">
        <v>2700</v>
      </c>
      <c r="F102" s="6" t="s">
        <v>940</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940</v>
      </c>
    </row>
    <row r="105" spans="1:6" ht="272.25">
      <c r="A105" s="17">
        <f>ROW()</f>
        <v>105</v>
      </c>
      <c r="B105" s="18" t="s">
        <v>2702</v>
      </c>
      <c r="C105" s="19" t="s">
        <v>2775</v>
      </c>
      <c r="D105" s="19" t="str">
        <f t="shared" si="5"/>
        <v>Auf Leistungen anfallende Sozialabgaben</v>
      </c>
      <c r="E105" s="33" t="s">
        <v>2683</v>
      </c>
      <c r="F105" s="6" t="s">
        <v>940</v>
      </c>
    </row>
    <row r="106" spans="1:6"/>
    <row r="107" spans="1:6"/>
    <row r="108" spans="1:6"/>
    <row r="109" spans="1:6"/>
    <row r="110" spans="1:6"/>
    <row r="111" spans="1:6"/>
    <row r="112" spans="1:6"/>
    <row r="113"/>
  </sheetData>
  <sheetProtection algorithmName="SHA-512" hashValue="vrvKqxqo8+vWY/sjm8WEqm016bUZnlnV5fe5ArJBOMmi62zvAqqcil+aTiupqXhT+6h2gPqeEkYfPsSzK3AzXA==" saltValue="FF6cING2DsdXtI7+TJSeSg==" spinCount="100000" sheet="1" objects="1" scenarios="1" formatColumns="0" autoFilter="0"/>
  <autoFilter ref="A2:F2" xr:uid="{49348FF0-1380-4035-9754-A6D85FC97BE8}"/>
  <pageMargins left="0.7" right="0.7" top="0.78740157499999996" bottom="0.78740157499999996"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8487C-D273-4E25-BA97-D0BE5F1BF001}">
  <sheetPr codeName="Tabelle15"/>
  <dimension ref="A1:F113"/>
  <sheetViews>
    <sheetView workbookViewId="0">
      <pane xSplit="5" ySplit="2" topLeftCell="F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39" t="s">
        <v>2726</v>
      </c>
      <c r="C1" s="136" t="s">
        <v>2739</v>
      </c>
      <c r="D1" s="136" t="s">
        <v>2728</v>
      </c>
      <c r="E1" s="128" t="s">
        <v>3506</v>
      </c>
      <c r="F1" s="16" t="s">
        <v>13</v>
      </c>
    </row>
    <row r="2" spans="1:6" ht="39.75" customHeight="1">
      <c r="A2" s="138"/>
      <c r="B2" s="139"/>
      <c r="C2" s="136"/>
      <c r="D2" s="136"/>
      <c r="E2" s="134"/>
      <c r="F2" s="173" t="str" cm="1">
        <f t="array" ref="F2">_xlfn.TEXTJOIN("; ", TRUE, IF(Entscheidungen!A2:A100=F1, Entscheidungen!B2:B100, ""))</f>
        <v/>
      </c>
    </row>
    <row r="3" spans="1:6" ht="177">
      <c r="A3" s="17">
        <f>ROW()</f>
        <v>3</v>
      </c>
      <c r="B3" s="18" t="s">
        <v>2740</v>
      </c>
      <c r="C3" s="18"/>
      <c r="D3" s="18" t="str">
        <f>+E3</f>
        <v>Geltende Rechtsgrundlage</v>
      </c>
      <c r="E3" s="31" t="s">
        <v>2724</v>
      </c>
      <c r="F3" s="6" t="s">
        <v>3189</v>
      </c>
    </row>
    <row r="4" spans="1:6" ht="195">
      <c r="A4" s="17">
        <f>ROW()</f>
        <v>4</v>
      </c>
      <c r="B4" s="18" t="s">
        <v>2740</v>
      </c>
      <c r="C4" s="1"/>
      <c r="D4" s="18" t="str">
        <f t="shared" ref="D4:D34" si="0">+E4</f>
        <v>Grundprinzipien</v>
      </c>
      <c r="E4" s="32" t="s">
        <v>2709</v>
      </c>
      <c r="F4" s="6" t="s">
        <v>3190</v>
      </c>
    </row>
    <row r="5" spans="1:6" ht="188.25">
      <c r="A5" s="17">
        <f>ROW()</f>
        <v>5</v>
      </c>
      <c r="B5" s="18" t="s">
        <v>2740</v>
      </c>
      <c r="C5" s="1"/>
      <c r="D5" s="18" t="str">
        <f t="shared" si="0"/>
        <v>Gedecktes Risiko: Definition</v>
      </c>
      <c r="E5" s="32" t="s">
        <v>2891</v>
      </c>
      <c r="F5" s="6" t="s">
        <v>3191</v>
      </c>
    </row>
    <row r="6" spans="1:6" ht="165">
      <c r="A6" s="17">
        <f>ROW()</f>
        <v>6</v>
      </c>
      <c r="B6" s="18" t="s">
        <v>2740</v>
      </c>
      <c r="C6" s="18" t="s">
        <v>2653</v>
      </c>
      <c r="D6" s="18" t="str">
        <f t="shared" si="0"/>
        <v>Versicherte Personen</v>
      </c>
      <c r="E6" s="33" t="s">
        <v>2653</v>
      </c>
      <c r="F6" s="6" t="s">
        <v>3192</v>
      </c>
    </row>
    <row r="7" spans="1:6" ht="273">
      <c r="A7" s="17">
        <f>ROW()</f>
        <v>7</v>
      </c>
      <c r="B7" s="18" t="s">
        <v>2740</v>
      </c>
      <c r="C7" s="18" t="str">
        <f>+E6</f>
        <v>Versicherte Personen</v>
      </c>
      <c r="D7" s="18" t="str">
        <f t="shared" si="0"/>
        <v>Ausnahmen von der Versicherungspflicht</v>
      </c>
      <c r="E7" s="33" t="s">
        <v>2685</v>
      </c>
      <c r="F7" s="6" t="s">
        <v>4718</v>
      </c>
    </row>
    <row r="8" spans="1:6" ht="194.25">
      <c r="A8" s="17">
        <f>ROW()</f>
        <v>8</v>
      </c>
      <c r="B8" s="18" t="s">
        <v>2740</v>
      </c>
      <c r="C8" s="19" t="s">
        <v>149</v>
      </c>
      <c r="D8" s="18" t="str">
        <f t="shared" si="0"/>
        <v>1. Anwartschaftszeit</v>
      </c>
      <c r="E8" s="33" t="s">
        <v>2744</v>
      </c>
      <c r="F8" s="6" t="s">
        <v>3193</v>
      </c>
    </row>
    <row r="9" spans="1:6" ht="409.5">
      <c r="A9" s="17">
        <f>ROW()</f>
        <v>9</v>
      </c>
      <c r="B9" s="18" t="s">
        <v>2740</v>
      </c>
      <c r="C9" s="19" t="s">
        <v>149</v>
      </c>
      <c r="D9" s="18" t="str">
        <f t="shared" si="0"/>
        <v xml:space="preserve">2. Begutachtungskriterien und Kategorien der Arbeitsunfähigkeit/Arbeitsfähigkeit  </v>
      </c>
      <c r="E9" s="33" t="s">
        <v>2745</v>
      </c>
      <c r="F9" s="6" t="s">
        <v>4719</v>
      </c>
    </row>
    <row r="10" spans="1:6" ht="222">
      <c r="A10" s="17">
        <f>ROW()</f>
        <v>10</v>
      </c>
      <c r="B10" s="18" t="s">
        <v>2740</v>
      </c>
      <c r="C10" s="19" t="s">
        <v>149</v>
      </c>
      <c r="D10" s="18" t="str">
        <f t="shared" si="0"/>
        <v>3. Zeitraum der Leistungszahlung</v>
      </c>
      <c r="E10" s="33" t="s">
        <v>2747</v>
      </c>
      <c r="F10" s="6" t="s">
        <v>3194</v>
      </c>
    </row>
    <row r="11" spans="1:6" ht="135">
      <c r="A11" s="17">
        <f>ROW()</f>
        <v>11</v>
      </c>
      <c r="B11" s="18" t="s">
        <v>2740</v>
      </c>
      <c r="C11" s="19" t="s">
        <v>2749</v>
      </c>
      <c r="D11" s="18" t="str">
        <f t="shared" si="0"/>
        <v>1. Gutachter</v>
      </c>
      <c r="E11" s="33" t="s">
        <v>2750</v>
      </c>
      <c r="F11" s="6" t="s">
        <v>3195</v>
      </c>
    </row>
    <row r="12" spans="1:6" ht="111.75">
      <c r="A12" s="17">
        <f>ROW()</f>
        <v>12</v>
      </c>
      <c r="B12" s="18" t="s">
        <v>2740</v>
      </c>
      <c r="C12" s="19" t="s">
        <v>2749</v>
      </c>
      <c r="D12" s="18" t="str">
        <f t="shared" si="0"/>
        <v xml:space="preserve">2. Überprüfung  </v>
      </c>
      <c r="E12" s="33" t="s">
        <v>2751</v>
      </c>
      <c r="F12" s="6" t="s">
        <v>3196</v>
      </c>
    </row>
    <row r="13" spans="1:6" ht="291.75">
      <c r="A13" s="17">
        <f>ROW()</f>
        <v>13</v>
      </c>
      <c r="B13" s="18" t="s">
        <v>2740</v>
      </c>
      <c r="C13" s="18" t="s">
        <v>2695</v>
      </c>
      <c r="D13" s="18" t="str">
        <f t="shared" si="0"/>
        <v>1. Berechnungsmethode bzw. Rentenformel</v>
      </c>
      <c r="E13" s="33" t="s">
        <v>2753</v>
      </c>
      <c r="F13" s="6" t="s">
        <v>4720</v>
      </c>
    </row>
    <row r="14" spans="1:6" ht="343.5">
      <c r="A14" s="17">
        <f>ROW()</f>
        <v>14</v>
      </c>
      <c r="B14" s="18" t="s">
        <v>2740</v>
      </c>
      <c r="C14" s="18" t="s">
        <v>2695</v>
      </c>
      <c r="D14" s="18" t="str">
        <f t="shared" si="0"/>
        <v>2. Referenzeinkommen bzw. Berechnungsgrundlage</v>
      </c>
      <c r="E14" s="33" t="s">
        <v>2754</v>
      </c>
      <c r="F14" s="6" t="s">
        <v>4721</v>
      </c>
    </row>
    <row r="15" spans="1:6" ht="226.5">
      <c r="A15" s="17">
        <f>ROW()</f>
        <v>15</v>
      </c>
      <c r="B15" s="18" t="s">
        <v>2740</v>
      </c>
      <c r="C15" s="18" t="s">
        <v>2695</v>
      </c>
      <c r="D15" s="18" t="str">
        <f t="shared" si="0"/>
        <v>3. Mindest- und Höchstleistungen</v>
      </c>
      <c r="E15" s="33" t="s">
        <v>2756</v>
      </c>
      <c r="F15" s="6" t="s">
        <v>3197</v>
      </c>
    </row>
    <row r="16" spans="1:6" ht="405">
      <c r="A16" s="17">
        <f>ROW()</f>
        <v>16</v>
      </c>
      <c r="B16" s="18" t="s">
        <v>2740</v>
      </c>
      <c r="C16" s="18" t="s">
        <v>2695</v>
      </c>
      <c r="D16" s="18" t="str">
        <f t="shared" si="0"/>
        <v>4. Anrechenbare oder als Beitragszeiten gewertete Zeiträume</v>
      </c>
      <c r="E16" s="33" t="s">
        <v>2757</v>
      </c>
      <c r="F16" s="6" t="s">
        <v>3198</v>
      </c>
    </row>
    <row r="17" spans="1:6" ht="250.5">
      <c r="A17" s="17">
        <f>ROW()</f>
        <v>17</v>
      </c>
      <c r="B17" s="18" t="s">
        <v>2740</v>
      </c>
      <c r="C17" s="18" t="s">
        <v>2695</v>
      </c>
      <c r="D17" s="18" t="str">
        <f t="shared" si="0"/>
        <v xml:space="preserve">5. Zulagen für Unterhaltsberechtigte  </v>
      </c>
      <c r="E17" s="33" t="s">
        <v>2759</v>
      </c>
      <c r="F17" s="6" t="s">
        <v>4722</v>
      </c>
    </row>
    <row r="18" spans="1:6" ht="135">
      <c r="A18" s="17">
        <f>ROW()</f>
        <v>18</v>
      </c>
      <c r="B18" s="18" t="s">
        <v>2740</v>
      </c>
      <c r="C18" s="18" t="str">
        <f>+E18</f>
        <v>Sonstige Leistungen</v>
      </c>
      <c r="D18" s="18" t="str">
        <f>+E18</f>
        <v>Sonstige Leistungen</v>
      </c>
      <c r="E18" s="32" t="s">
        <v>2678</v>
      </c>
      <c r="F18" s="6" t="s">
        <v>3199</v>
      </c>
    </row>
    <row r="19" spans="1:6" ht="300.75">
      <c r="A19" s="17">
        <f>ROW()</f>
        <v>19</v>
      </c>
      <c r="B19" s="18" t="s">
        <v>2740</v>
      </c>
      <c r="C19" s="18" t="s">
        <v>2761</v>
      </c>
      <c r="D19" s="18" t="str">
        <f t="shared" si="0"/>
        <v>Umschulung, berufsbezogene Rehabilitation</v>
      </c>
      <c r="E19" s="33" t="s">
        <v>2762</v>
      </c>
      <c r="F19" s="6" t="s">
        <v>3200</v>
      </c>
    </row>
    <row r="20" spans="1:6" ht="409.5">
      <c r="A20" s="17">
        <f>ROW()</f>
        <v>20</v>
      </c>
      <c r="B20" s="18" t="s">
        <v>2740</v>
      </c>
      <c r="C20" s="18" t="s">
        <v>2761</v>
      </c>
      <c r="D20" s="18" t="str">
        <f t="shared" si="0"/>
        <v xml:space="preserve">Bevorzugte und reservierte Beschäftigung von Menschen mit Behinderungen  </v>
      </c>
      <c r="E20" s="33" t="s">
        <v>2763</v>
      </c>
      <c r="F20" s="6" t="s">
        <v>3201</v>
      </c>
    </row>
    <row r="21" spans="1:6" ht="171.75">
      <c r="A21" s="17">
        <f>ROW()</f>
        <v>21</v>
      </c>
      <c r="B21" s="18" t="s">
        <v>2740</v>
      </c>
      <c r="C21" s="18" t="s">
        <v>2765</v>
      </c>
      <c r="D21" s="18" t="str">
        <f t="shared" si="0"/>
        <v>Indexbindung/Anpassung</v>
      </c>
      <c r="E21" s="32" t="s">
        <v>2766</v>
      </c>
      <c r="F21" s="6" t="s">
        <v>3202</v>
      </c>
    </row>
    <row r="22" spans="1:6" ht="242.25">
      <c r="A22" s="17">
        <f>ROW()</f>
        <v>22</v>
      </c>
      <c r="B22" s="18" t="s">
        <v>2740</v>
      </c>
      <c r="C22" s="18" t="s">
        <v>2765</v>
      </c>
      <c r="D22" s="18" t="str">
        <f>+E22</f>
        <v>Kumulation mit Erwerbseinkommen</v>
      </c>
      <c r="E22" s="32" t="s">
        <v>2723</v>
      </c>
      <c r="F22" s="6" t="s">
        <v>3203</v>
      </c>
    </row>
    <row r="23" spans="1:6" ht="275.25">
      <c r="A23" s="17">
        <f>ROW()</f>
        <v>23</v>
      </c>
      <c r="B23" s="18" t="s">
        <v>2740</v>
      </c>
      <c r="C23" s="18" t="s">
        <v>2765</v>
      </c>
      <c r="D23" s="18" t="str">
        <f t="shared" si="0"/>
        <v>Kumulation mit anderen Sozialleistungen</v>
      </c>
      <c r="E23" s="32" t="s">
        <v>2696</v>
      </c>
      <c r="F23" s="6" t="s">
        <v>4723</v>
      </c>
    </row>
    <row r="24" spans="1:6" ht="232.5">
      <c r="A24" s="17">
        <f>ROW()</f>
        <v>24</v>
      </c>
      <c r="B24" s="18" t="s">
        <v>2740</v>
      </c>
      <c r="C24" s="18" t="s">
        <v>2701</v>
      </c>
      <c r="D24" s="18" t="str">
        <f t="shared" si="0"/>
        <v>1. Besteuerung von Geldleistungen</v>
      </c>
      <c r="E24" s="33" t="s">
        <v>2770</v>
      </c>
      <c r="F24" s="6" t="s">
        <v>3204</v>
      </c>
    </row>
    <row r="25" spans="1:6" ht="387">
      <c r="A25" s="17">
        <f>ROW()</f>
        <v>25</v>
      </c>
      <c r="B25" s="18" t="s">
        <v>2740</v>
      </c>
      <c r="C25" s="18" t="s">
        <v>2701</v>
      </c>
      <c r="D25" s="18" t="str">
        <f t="shared" si="0"/>
        <v>2. Einkommensgrenze für Besteuerung von Geldleistungen</v>
      </c>
      <c r="E25" s="33" t="s">
        <v>2772</v>
      </c>
      <c r="F25" s="6" t="s">
        <v>3205</v>
      </c>
    </row>
    <row r="26" spans="1:6" ht="288.75">
      <c r="A26" s="17">
        <f>ROW()</f>
        <v>26</v>
      </c>
      <c r="B26" s="18" t="s">
        <v>2740</v>
      </c>
      <c r="C26" s="18" t="s">
        <v>2701</v>
      </c>
      <c r="D26" s="18" t="str">
        <f t="shared" si="0"/>
        <v>3. Auf Leistungen anfallende Sozialabgaben</v>
      </c>
      <c r="E26" s="33" t="s">
        <v>2773</v>
      </c>
      <c r="F26" s="6" t="s">
        <v>3206</v>
      </c>
    </row>
    <row r="27" spans="1:6" ht="138">
      <c r="A27" s="17">
        <f>ROW()</f>
        <v>27</v>
      </c>
      <c r="B27" s="18" t="s">
        <v>2740</v>
      </c>
      <c r="C27" s="18" t="s">
        <v>2775</v>
      </c>
      <c r="D27" s="18" t="str">
        <f t="shared" si="0"/>
        <v>Anwendungsbereich</v>
      </c>
      <c r="E27" s="33" t="s">
        <v>2708</v>
      </c>
      <c r="F27" s="6" t="s">
        <v>3207</v>
      </c>
    </row>
    <row r="28" spans="1:6" ht="110.25">
      <c r="A28" s="17">
        <f>ROW()</f>
        <v>28</v>
      </c>
      <c r="B28" s="18" t="s">
        <v>2740</v>
      </c>
      <c r="C28" s="18" t="s">
        <v>2775</v>
      </c>
      <c r="D28" s="18" t="str">
        <f t="shared" si="0"/>
        <v>Grundprinzipien</v>
      </c>
      <c r="E28" s="33" t="s">
        <v>2709</v>
      </c>
      <c r="F28" s="6" t="s">
        <v>876</v>
      </c>
    </row>
    <row r="29" spans="1:6" ht="224.25">
      <c r="A29" s="17">
        <f>ROW()</f>
        <v>29</v>
      </c>
      <c r="B29" s="18" t="s">
        <v>2740</v>
      </c>
      <c r="C29" s="18" t="s">
        <v>2775</v>
      </c>
      <c r="D29" s="18" t="str">
        <f t="shared" si="0"/>
        <v>Voraussetzungen für die Deckung</v>
      </c>
      <c r="E29" s="33" t="s">
        <v>2710</v>
      </c>
      <c r="F29" s="6" t="s">
        <v>899</v>
      </c>
    </row>
    <row r="30" spans="1:6" ht="409.5">
      <c r="A30" s="17">
        <f>ROW()</f>
        <v>30</v>
      </c>
      <c r="B30" s="18" t="s">
        <v>2740</v>
      </c>
      <c r="C30" s="18" t="s">
        <v>2775</v>
      </c>
      <c r="D30" s="19" t="str">
        <f t="shared" si="0"/>
        <v>Kombination von selbstständiger und unselbstständiger Tätigkeit</v>
      </c>
      <c r="E30" s="33" t="s">
        <v>2698</v>
      </c>
      <c r="F30" s="6" t="s">
        <v>2618</v>
      </c>
    </row>
    <row r="31" spans="1:6" ht="376.5">
      <c r="A31" s="17">
        <f>ROW()</f>
        <v>31</v>
      </c>
      <c r="B31" s="18" t="s">
        <v>2740</v>
      </c>
      <c r="C31" s="18" t="s">
        <v>2695</v>
      </c>
      <c r="D31" s="19" t="str">
        <f t="shared" si="0"/>
        <v xml:space="preserve">Voraussetzungen für den Zugang zu Diensten/Leistungen </v>
      </c>
      <c r="E31" s="33" t="s">
        <v>2699</v>
      </c>
      <c r="F31" s="6" t="s">
        <v>3208</v>
      </c>
    </row>
    <row r="32" spans="1:6" ht="253.5">
      <c r="A32" s="17">
        <f>ROW()</f>
        <v>32</v>
      </c>
      <c r="B32" s="18" t="s">
        <v>2740</v>
      </c>
      <c r="C32" s="18" t="s">
        <v>2695</v>
      </c>
      <c r="D32" s="18" t="str">
        <f t="shared" si="0"/>
        <v>Beträge, Dauer und Kostenbeteiligung</v>
      </c>
      <c r="E32" s="33" t="s">
        <v>2700</v>
      </c>
      <c r="F32" s="6" t="s">
        <v>2636</v>
      </c>
    </row>
    <row r="33" spans="1:6" ht="216">
      <c r="A33" s="17">
        <f>ROW()</f>
        <v>33</v>
      </c>
      <c r="B33" s="18" t="s">
        <v>2740</v>
      </c>
      <c r="C33" s="18" t="s">
        <v>2695</v>
      </c>
      <c r="D33" s="18" t="str">
        <f t="shared" si="0"/>
        <v>Besteuerung von Geldleistungen</v>
      </c>
      <c r="E33" s="33" t="s">
        <v>2681</v>
      </c>
      <c r="F33" s="6" t="s">
        <v>3209</v>
      </c>
    </row>
    <row r="34" spans="1:6" ht="276.75">
      <c r="A34" s="17">
        <f>ROW()</f>
        <v>34</v>
      </c>
      <c r="B34" s="18" t="s">
        <v>2740</v>
      </c>
      <c r="C34" s="18" t="s">
        <v>2695</v>
      </c>
      <c r="D34" s="18" t="str">
        <f t="shared" si="0"/>
        <v xml:space="preserve"> Auf Leistungen anfallende Sozialabgaben</v>
      </c>
      <c r="E34" s="33" t="s">
        <v>2779</v>
      </c>
      <c r="F34" s="6" t="s">
        <v>3210</v>
      </c>
    </row>
    <row r="35" spans="1:6" ht="177">
      <c r="A35" s="17">
        <f>ROW()</f>
        <v>35</v>
      </c>
      <c r="B35" s="18" t="s">
        <v>2780</v>
      </c>
      <c r="C35" s="18" t="str">
        <f>+D35</f>
        <v>Geltende Rechtsgrundlage</v>
      </c>
      <c r="D35" s="18" t="str">
        <f>+E35</f>
        <v>Geltende Rechtsgrundlage</v>
      </c>
      <c r="E35" s="32" t="s">
        <v>2724</v>
      </c>
      <c r="F35" s="6" t="s">
        <v>44</v>
      </c>
    </row>
    <row r="36" spans="1:6" ht="225">
      <c r="A36" s="17">
        <f>ROW()</f>
        <v>36</v>
      </c>
      <c r="B36" s="18" t="s">
        <v>2780</v>
      </c>
      <c r="C36" s="18" t="str">
        <f>+D36</f>
        <v>Grundprinzipien</v>
      </c>
      <c r="D36" s="18" t="str">
        <f>+E36</f>
        <v>Grundprinzipien</v>
      </c>
      <c r="E36" s="32" t="s">
        <v>2709</v>
      </c>
      <c r="F36" s="6" t="s">
        <v>75</v>
      </c>
    </row>
    <row r="37" spans="1:6" ht="159.75">
      <c r="A37" s="17">
        <f>ROW()</f>
        <v>37</v>
      </c>
      <c r="B37" s="18" t="s">
        <v>2780</v>
      </c>
      <c r="C37" s="18" t="s">
        <v>2708</v>
      </c>
      <c r="D37" s="18" t="str">
        <f>+E37</f>
        <v>1. Versicherte Personen</v>
      </c>
      <c r="E37" s="33" t="s">
        <v>2781</v>
      </c>
      <c r="F37" s="6" t="s">
        <v>107</v>
      </c>
    </row>
    <row r="38" spans="1:6" ht="371.25">
      <c r="A38" s="17">
        <f>ROW()</f>
        <v>38</v>
      </c>
      <c r="B38" s="18" t="s">
        <v>2780</v>
      </c>
      <c r="C38" s="18" t="s">
        <v>2708</v>
      </c>
      <c r="D38" s="18" t="str">
        <f t="shared" ref="D38:D58" si="1">+E38</f>
        <v>2. Ausnahmen von der Deckung  der Pflichtversicherung</v>
      </c>
      <c r="E38" s="33" t="s">
        <v>2782</v>
      </c>
      <c r="F38" s="6" t="s">
        <v>4724</v>
      </c>
    </row>
    <row r="39" spans="1:6" ht="194.25">
      <c r="A39" s="17">
        <f>ROW()</f>
        <v>39</v>
      </c>
      <c r="B39" s="18" t="s">
        <v>2780</v>
      </c>
      <c r="C39" s="18" t="s">
        <v>149</v>
      </c>
      <c r="D39" s="18" t="str">
        <f t="shared" si="1"/>
        <v>1. Rentenalter</v>
      </c>
      <c r="E39" s="33" t="s">
        <v>2784</v>
      </c>
      <c r="F39" s="6" t="s">
        <v>163</v>
      </c>
    </row>
    <row r="40" spans="1:6" ht="409.5">
      <c r="A40" s="17">
        <f>ROW()</f>
        <v>40</v>
      </c>
      <c r="B40" s="18" t="s">
        <v>2780</v>
      </c>
      <c r="C40" s="18" t="s">
        <v>149</v>
      </c>
      <c r="D40" s="18" t="str">
        <f t="shared" si="1"/>
        <v>2. Anwartschaftszeit und sonstige Anspruchsvoraussetzungen für den Bezug einer Altersrente</v>
      </c>
      <c r="E40" s="33" t="s">
        <v>2785</v>
      </c>
      <c r="F40" s="6" t="s">
        <v>194</v>
      </c>
    </row>
    <row r="41" spans="1:6" ht="194.25">
      <c r="A41" s="17">
        <f>ROW()</f>
        <v>41</v>
      </c>
      <c r="B41" s="18" t="s">
        <v>2780</v>
      </c>
      <c r="C41" s="18" t="s">
        <v>149</v>
      </c>
      <c r="D41" s="18" t="str">
        <f t="shared" si="1"/>
        <v>3. Vorruhestand</v>
      </c>
      <c r="E41" s="33" t="s">
        <v>2786</v>
      </c>
      <c r="F41" s="6" t="s">
        <v>225</v>
      </c>
    </row>
    <row r="42" spans="1:6" ht="264">
      <c r="A42" s="17">
        <f>ROW()</f>
        <v>42</v>
      </c>
      <c r="B42" s="18" t="s">
        <v>2780</v>
      </c>
      <c r="C42" s="18" t="s">
        <v>149</v>
      </c>
      <c r="D42" s="18" t="str">
        <f t="shared" si="1"/>
        <v>4. Beschwerliche und gefährliche Arbeit</v>
      </c>
      <c r="E42" s="33" t="s">
        <v>2787</v>
      </c>
      <c r="F42" s="6" t="s">
        <v>256</v>
      </c>
    </row>
    <row r="43" spans="1:6" ht="194.25">
      <c r="A43" s="17">
        <f>ROW()</f>
        <v>43</v>
      </c>
      <c r="B43" s="18" t="s">
        <v>2780</v>
      </c>
      <c r="C43" s="18" t="s">
        <v>149</v>
      </c>
      <c r="D43" s="18" t="str">
        <f t="shared" si="1"/>
        <v>5. Rentenaufschub</v>
      </c>
      <c r="E43" s="33" t="s">
        <v>2788</v>
      </c>
      <c r="F43" s="6" t="s">
        <v>283</v>
      </c>
    </row>
    <row r="44" spans="1:6" ht="174">
      <c r="A44" s="17">
        <f>ROW()</f>
        <v>44</v>
      </c>
      <c r="B44" s="18" t="s">
        <v>2780</v>
      </c>
      <c r="C44" s="18" t="s">
        <v>2695</v>
      </c>
      <c r="D44" s="18" t="str">
        <f t="shared" si="1"/>
        <v>1. Bestimmende Faktoren</v>
      </c>
      <c r="E44" s="33" t="s">
        <v>2789</v>
      </c>
      <c r="F44" s="6" t="s">
        <v>4725</v>
      </c>
    </row>
    <row r="45" spans="1:6" ht="349.5">
      <c r="A45" s="17">
        <f>ROW()</f>
        <v>45</v>
      </c>
      <c r="B45" s="18" t="s">
        <v>2780</v>
      </c>
      <c r="C45" s="18" t="s">
        <v>2695</v>
      </c>
      <c r="D45" s="18" t="str">
        <f t="shared" si="1"/>
        <v>2. Berechnungsmethode, Rentenformel bzw. Beträge</v>
      </c>
      <c r="E45" s="33" t="s">
        <v>2790</v>
      </c>
      <c r="F45" s="6" t="s">
        <v>4726</v>
      </c>
    </row>
    <row r="46" spans="1:6" ht="343.5">
      <c r="A46" s="17">
        <f>ROW()</f>
        <v>46</v>
      </c>
      <c r="B46" s="18" t="s">
        <v>2780</v>
      </c>
      <c r="C46" s="18" t="s">
        <v>2695</v>
      </c>
      <c r="D46" s="18" t="str">
        <f t="shared" si="1"/>
        <v>3. Referenzeinkommen bzw. Berechnungsgrundlage</v>
      </c>
      <c r="E46" s="33" t="s">
        <v>2791</v>
      </c>
      <c r="F46" s="6" t="s">
        <v>4727</v>
      </c>
    </row>
    <row r="47" spans="1:6" ht="405">
      <c r="A47" s="17">
        <f>ROW()</f>
        <v>47</v>
      </c>
      <c r="B47" s="18" t="s">
        <v>2780</v>
      </c>
      <c r="C47" s="18" t="s">
        <v>2695</v>
      </c>
      <c r="D47" s="18" t="str">
        <f t="shared" si="1"/>
        <v>4. Anrechenbare oder als Beitragszeiten gewertete Zeiträume</v>
      </c>
      <c r="E47" s="33" t="s">
        <v>2757</v>
      </c>
      <c r="F47" s="6" t="s">
        <v>4728</v>
      </c>
    </row>
    <row r="48" spans="1:6" ht="243.75">
      <c r="A48" s="17">
        <f>ROW()</f>
        <v>48</v>
      </c>
      <c r="B48" s="18" t="s">
        <v>2780</v>
      </c>
      <c r="C48" s="18" t="s">
        <v>2695</v>
      </c>
      <c r="D48" s="18" t="str">
        <f t="shared" si="1"/>
        <v>5. Rückkauf von Versicherungszeiten</v>
      </c>
      <c r="E48" s="33" t="s">
        <v>2792</v>
      </c>
      <c r="F48" s="6" t="s">
        <v>433</v>
      </c>
    </row>
    <row r="49" spans="1:6" ht="246">
      <c r="A49" s="17">
        <f>ROW()</f>
        <v>49</v>
      </c>
      <c r="B49" s="18" t="s">
        <v>2780</v>
      </c>
      <c r="C49" s="18" t="s">
        <v>2695</v>
      </c>
      <c r="D49" s="18" t="str">
        <f t="shared" si="1"/>
        <v>6.  Zulagen für Unterhaltsberechtigte</v>
      </c>
      <c r="E49" s="33" t="s">
        <v>2892</v>
      </c>
      <c r="F49" s="6" t="s">
        <v>4729</v>
      </c>
    </row>
    <row r="50" spans="1:6" ht="145.5">
      <c r="A50" s="17">
        <f>ROW()</f>
        <v>50</v>
      </c>
      <c r="B50" s="18" t="s">
        <v>2780</v>
      </c>
      <c r="C50" s="18" t="s">
        <v>2695</v>
      </c>
      <c r="D50" s="18" t="str">
        <f t="shared" si="1"/>
        <v>7. Besondere Zulagen</v>
      </c>
      <c r="E50" s="33" t="s">
        <v>2793</v>
      </c>
      <c r="F50" s="6" t="s">
        <v>474</v>
      </c>
    </row>
    <row r="51" spans="1:6" ht="360.75">
      <c r="A51" s="17">
        <f>ROW()</f>
        <v>51</v>
      </c>
      <c r="B51" s="18" t="s">
        <v>2780</v>
      </c>
      <c r="C51" s="18" t="s">
        <v>2695</v>
      </c>
      <c r="D51" s="18" t="str">
        <f t="shared" si="1"/>
        <v>8. Mindestrente und bedürftigkeitsabhängige Leistung</v>
      </c>
      <c r="E51" s="33" t="s">
        <v>2794</v>
      </c>
      <c r="F51" s="6" t="s">
        <v>512</v>
      </c>
    </row>
    <row r="52" spans="1:6" ht="101.25">
      <c r="A52" s="17">
        <f>ROW()</f>
        <v>52</v>
      </c>
      <c r="B52" s="18" t="s">
        <v>2780</v>
      </c>
      <c r="C52" s="18" t="s">
        <v>2695</v>
      </c>
      <c r="D52" s="18" t="str">
        <f t="shared" si="1"/>
        <v>9. Höchstrente</v>
      </c>
      <c r="E52" s="33" t="s">
        <v>2795</v>
      </c>
      <c r="F52" s="6" t="s">
        <v>541</v>
      </c>
    </row>
    <row r="53" spans="1:6" ht="119.25">
      <c r="A53" s="17">
        <f>ROW()</f>
        <v>53</v>
      </c>
      <c r="B53" s="18" t="s">
        <v>2780</v>
      </c>
      <c r="C53" s="18" t="s">
        <v>2695</v>
      </c>
      <c r="D53" s="18" t="str">
        <f t="shared" si="1"/>
        <v>10. Vorruhestand</v>
      </c>
      <c r="E53" s="33" t="s">
        <v>2796</v>
      </c>
      <c r="F53" s="6" t="s">
        <v>569</v>
      </c>
    </row>
    <row r="54" spans="1:6" ht="272.25">
      <c r="A54" s="17">
        <f>ROW()</f>
        <v>54</v>
      </c>
      <c r="B54" s="18" t="s">
        <v>2780</v>
      </c>
      <c r="C54" s="18" t="s">
        <v>2695</v>
      </c>
      <c r="D54" s="18" t="str">
        <f t="shared" si="1"/>
        <v>11. Beschwerliche und gefährliche Arbeit</v>
      </c>
      <c r="E54" s="33" t="s">
        <v>2797</v>
      </c>
      <c r="F54" s="6" t="s">
        <v>588</v>
      </c>
    </row>
    <row r="55" spans="1:6" ht="90">
      <c r="A55" s="17">
        <f>ROW()</f>
        <v>55</v>
      </c>
      <c r="B55" s="18" t="s">
        <v>2780</v>
      </c>
      <c r="C55" s="18" t="s">
        <v>2695</v>
      </c>
      <c r="D55" s="18" t="str">
        <f t="shared" si="1"/>
        <v>12. Teilrente</v>
      </c>
      <c r="E55" s="33" t="s">
        <v>2798</v>
      </c>
      <c r="F55" s="6" t="s">
        <v>623</v>
      </c>
    </row>
    <row r="56" spans="1:6" ht="171.75">
      <c r="A56" s="17">
        <f>ROW()</f>
        <v>56</v>
      </c>
      <c r="B56" s="18" t="s">
        <v>2780</v>
      </c>
      <c r="C56" s="18" t="s">
        <v>2695</v>
      </c>
      <c r="D56" s="18" t="str">
        <f t="shared" si="1"/>
        <v>13. Aufgeschobene Rente</v>
      </c>
      <c r="E56" s="33" t="s">
        <v>2893</v>
      </c>
      <c r="F56" s="6" t="s">
        <v>650</v>
      </c>
    </row>
    <row r="57" spans="1:6" ht="179.25">
      <c r="A57" s="17">
        <f>ROW()</f>
        <v>57</v>
      </c>
      <c r="B57" s="18" t="s">
        <v>2780</v>
      </c>
      <c r="C57" s="18" t="s">
        <v>2799</v>
      </c>
      <c r="D57" s="18" t="s">
        <v>2799</v>
      </c>
      <c r="E57" s="32" t="s">
        <v>2799</v>
      </c>
      <c r="F57" s="6" t="s">
        <v>681</v>
      </c>
    </row>
    <row r="58" spans="1:6" ht="246">
      <c r="A58" s="17">
        <f>ROW()</f>
        <v>58</v>
      </c>
      <c r="B58" s="18" t="s">
        <v>2780</v>
      </c>
      <c r="C58" s="18" t="s">
        <v>2799</v>
      </c>
      <c r="D58" s="18" t="str">
        <f t="shared" si="1"/>
        <v xml:space="preserve">Kumulation mit Erwerbseinkommen </v>
      </c>
      <c r="E58" s="32" t="s">
        <v>2697</v>
      </c>
      <c r="F58" s="6" t="s">
        <v>712</v>
      </c>
    </row>
    <row r="59" spans="1:6" ht="286.5">
      <c r="A59" s="17">
        <f>ROW()</f>
        <v>59</v>
      </c>
      <c r="B59" s="18" t="s">
        <v>2780</v>
      </c>
      <c r="C59" s="18" t="s">
        <v>2799</v>
      </c>
      <c r="D59" s="18" t="s">
        <v>2800</v>
      </c>
      <c r="E59" s="32" t="s">
        <v>2696</v>
      </c>
      <c r="F59" s="6" t="s">
        <v>743</v>
      </c>
    </row>
    <row r="60" spans="1:6" ht="225.75">
      <c r="A60" s="17">
        <f>ROW()</f>
        <v>60</v>
      </c>
      <c r="B60" s="18" t="s">
        <v>2780</v>
      </c>
      <c r="C60" s="18" t="s">
        <v>761</v>
      </c>
      <c r="D60" s="18" t="str">
        <f t="shared" ref="D60:D70" si="2">+E60</f>
        <v>1. Besteuerung von Renten</v>
      </c>
      <c r="E60" s="33" t="s">
        <v>2801</v>
      </c>
      <c r="F60" s="6" t="s">
        <v>774</v>
      </c>
    </row>
    <row r="61" spans="1:6" ht="335.25">
      <c r="A61" s="17">
        <f>ROW()</f>
        <v>61</v>
      </c>
      <c r="B61" s="18" t="s">
        <v>2780</v>
      </c>
      <c r="C61" s="18" t="s">
        <v>761</v>
      </c>
      <c r="D61" s="18" t="str">
        <f t="shared" si="2"/>
        <v>2. Einkommensgrenze für Besteuerung von Renten</v>
      </c>
      <c r="E61" s="33" t="s">
        <v>2802</v>
      </c>
      <c r="F61" s="6" t="s">
        <v>801</v>
      </c>
    </row>
    <row r="62" spans="1:6" ht="264">
      <c r="A62" s="17">
        <f>ROW()</f>
        <v>62</v>
      </c>
      <c r="B62" s="18" t="s">
        <v>2780</v>
      </c>
      <c r="C62" s="18" t="s">
        <v>761</v>
      </c>
      <c r="D62" s="18" t="str">
        <f t="shared" si="2"/>
        <v>3. Auf Renten anfallende Sozialabgaben</v>
      </c>
      <c r="E62" s="33" t="s">
        <v>2803</v>
      </c>
      <c r="F62" s="6" t="s">
        <v>820</v>
      </c>
    </row>
    <row r="63" spans="1:6" ht="138">
      <c r="A63" s="17">
        <f>ROW()</f>
        <v>63</v>
      </c>
      <c r="B63" s="18" t="s">
        <v>2804</v>
      </c>
      <c r="C63" s="18" t="str">
        <f>+E63</f>
        <v>Anwendungsbereich</v>
      </c>
      <c r="D63" s="18" t="str">
        <f t="shared" si="2"/>
        <v>Anwendungsbereich</v>
      </c>
      <c r="E63" s="33" t="s">
        <v>2708</v>
      </c>
      <c r="F63" s="6" t="s">
        <v>850</v>
      </c>
    </row>
    <row r="64" spans="1:6" ht="132.75">
      <c r="A64" s="17">
        <f>ROW()</f>
        <v>64</v>
      </c>
      <c r="B64" s="18" t="s">
        <v>2804</v>
      </c>
      <c r="C64" s="18" t="s">
        <v>2775</v>
      </c>
      <c r="D64" s="18" t="str">
        <f t="shared" si="2"/>
        <v>Grundprinzipien</v>
      </c>
      <c r="E64" s="33" t="s">
        <v>2709</v>
      </c>
      <c r="F64" s="6" t="s">
        <v>876</v>
      </c>
    </row>
    <row r="65" spans="1:6" ht="224.25">
      <c r="A65" s="17">
        <f>ROW()</f>
        <v>65</v>
      </c>
      <c r="B65" s="18" t="s">
        <v>2804</v>
      </c>
      <c r="C65" s="18" t="s">
        <v>2775</v>
      </c>
      <c r="D65" s="18" t="str">
        <f t="shared" si="2"/>
        <v>Voraussetzungen für die Deckung</v>
      </c>
      <c r="E65" s="33" t="s">
        <v>2710</v>
      </c>
      <c r="F65" s="6" t="s">
        <v>899</v>
      </c>
    </row>
    <row r="66" spans="1:6" ht="409.5">
      <c r="A66" s="17">
        <f>ROW()</f>
        <v>66</v>
      </c>
      <c r="B66" s="18" t="s">
        <v>2804</v>
      </c>
      <c r="C66" s="18" t="s">
        <v>2775</v>
      </c>
      <c r="D66" s="18" t="str">
        <f t="shared" si="2"/>
        <v>Kombination von selbstständiger und unselbstständiger Tätigkeit</v>
      </c>
      <c r="E66" s="33" t="s">
        <v>2698</v>
      </c>
      <c r="F66" s="6" t="s">
        <v>927</v>
      </c>
    </row>
    <row r="67" spans="1:6" ht="376.5">
      <c r="A67" s="17">
        <f>ROW()</f>
        <v>67</v>
      </c>
      <c r="B67" s="18" t="s">
        <v>2804</v>
      </c>
      <c r="C67" s="18" t="s">
        <v>2695</v>
      </c>
      <c r="D67" s="19" t="str">
        <f t="shared" si="2"/>
        <v xml:space="preserve">Voraussetzungen für den Zugang zu Diensten/Leistungen </v>
      </c>
      <c r="E67" s="33" t="s">
        <v>2699</v>
      </c>
      <c r="F67" s="6" t="s">
        <v>940</v>
      </c>
    </row>
    <row r="68" spans="1:6" ht="253.5">
      <c r="A68" s="17">
        <f>ROW()</f>
        <v>68</v>
      </c>
      <c r="B68" s="18" t="s">
        <v>2804</v>
      </c>
      <c r="C68" s="18" t="s">
        <v>2695</v>
      </c>
      <c r="D68" s="19" t="str">
        <f t="shared" si="2"/>
        <v>Beträge, Dauer und Kostenbeteiligung</v>
      </c>
      <c r="E68" s="33" t="s">
        <v>2700</v>
      </c>
      <c r="F68" s="6" t="s">
        <v>957</v>
      </c>
    </row>
    <row r="69" spans="1:6" ht="216">
      <c r="A69" s="17">
        <f>ROW()</f>
        <v>69</v>
      </c>
      <c r="B69" s="18" t="s">
        <v>2804</v>
      </c>
      <c r="C69" s="18" t="s">
        <v>2695</v>
      </c>
      <c r="D69" s="19" t="str">
        <f t="shared" si="2"/>
        <v>Besteuerung von Geldleistungen</v>
      </c>
      <c r="E69" s="33" t="s">
        <v>2681</v>
      </c>
      <c r="F69" s="6" t="s">
        <v>940</v>
      </c>
    </row>
    <row r="70" spans="1:6" ht="272.25">
      <c r="A70" s="17">
        <f>ROW()</f>
        <v>70</v>
      </c>
      <c r="B70" s="18" t="s">
        <v>2804</v>
      </c>
      <c r="C70" s="18" t="s">
        <v>2695</v>
      </c>
      <c r="D70" s="19" t="str">
        <f t="shared" si="2"/>
        <v>Auf Leistungen anfallende Sozialabgaben</v>
      </c>
      <c r="E70" s="33" t="s">
        <v>2683</v>
      </c>
      <c r="F70" s="6" t="s">
        <v>984</v>
      </c>
    </row>
    <row r="71" spans="1:6" ht="177">
      <c r="A71" s="17">
        <f>ROW()</f>
        <v>71</v>
      </c>
      <c r="B71" s="18" t="s">
        <v>2702</v>
      </c>
      <c r="C71" s="18" t="str">
        <f t="shared" ref="C71:D75" si="3">+D71</f>
        <v>Geltende Rechtsgrundlage</v>
      </c>
      <c r="D71" s="19" t="str">
        <f t="shared" si="3"/>
        <v>Geltende Rechtsgrundlage</v>
      </c>
      <c r="E71" s="32" t="s">
        <v>2724</v>
      </c>
      <c r="F71" s="6" t="s">
        <v>1002</v>
      </c>
    </row>
    <row r="72" spans="1:6" ht="165">
      <c r="A72" s="17">
        <f>ROW()</f>
        <v>72</v>
      </c>
      <c r="B72" s="18" t="s">
        <v>2702</v>
      </c>
      <c r="C72" s="18" t="str">
        <f t="shared" si="3"/>
        <v>Grundprinzipien</v>
      </c>
      <c r="D72" s="19" t="str">
        <f t="shared" si="3"/>
        <v>Grundprinzipien</v>
      </c>
      <c r="E72" s="32" t="s">
        <v>2709</v>
      </c>
      <c r="F72" s="6" t="s">
        <v>4730</v>
      </c>
    </row>
    <row r="73" spans="1:6" ht="315">
      <c r="A73" s="17">
        <f>ROW()</f>
        <v>73</v>
      </c>
      <c r="B73" s="18" t="s">
        <v>2702</v>
      </c>
      <c r="C73" s="19" t="str">
        <f t="shared" si="3"/>
        <v>Anwendungsbereich (in Bezug auf Verstorbene)</v>
      </c>
      <c r="D73" s="19" t="str">
        <f t="shared" si="3"/>
        <v>Anwendungsbereich (in Bezug auf Verstorbene)</v>
      </c>
      <c r="E73" s="32" t="s">
        <v>2725</v>
      </c>
      <c r="F73" s="6" t="s">
        <v>4731</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4732</v>
      </c>
    </row>
    <row r="75" spans="1:6" ht="180">
      <c r="A75" s="17">
        <f>ROW()</f>
        <v>75</v>
      </c>
      <c r="B75" s="18" t="s">
        <v>2702</v>
      </c>
      <c r="C75" s="19" t="str">
        <f t="shared" si="3"/>
        <v>Berechtigte Personen</v>
      </c>
      <c r="D75" s="19" t="str">
        <f t="shared" si="3"/>
        <v>Berechtigte Personen</v>
      </c>
      <c r="E75" s="32" t="s">
        <v>2730</v>
      </c>
      <c r="F75" s="6" t="s">
        <v>4733</v>
      </c>
    </row>
    <row r="76" spans="1:6" ht="102">
      <c r="A76" s="17">
        <f>ROW()</f>
        <v>76</v>
      </c>
      <c r="B76" s="18" t="s">
        <v>2702</v>
      </c>
      <c r="C76" s="1"/>
      <c r="D76" s="1"/>
      <c r="E76" s="32" t="s">
        <v>2783</v>
      </c>
      <c r="F76" s="6"/>
    </row>
    <row r="77" spans="1:6" ht="189.75">
      <c r="A77" s="17">
        <f>ROW()</f>
        <v>77</v>
      </c>
      <c r="B77" s="18" t="s">
        <v>2702</v>
      </c>
      <c r="C77" s="18" t="s">
        <v>2805</v>
      </c>
      <c r="D77" s="18" t="str">
        <f t="shared" ref="D77:D90" si="4">+E77</f>
        <v>1. Verstorbener Versicherter</v>
      </c>
      <c r="E77" s="33" t="s">
        <v>2806</v>
      </c>
      <c r="F77" s="6" t="s">
        <v>1135</v>
      </c>
    </row>
    <row r="78" spans="1:6" ht="185.25">
      <c r="A78" s="17">
        <f>ROW()</f>
        <v>78</v>
      </c>
      <c r="B78" s="18" t="s">
        <v>2702</v>
      </c>
      <c r="C78" s="18" t="s">
        <v>2805</v>
      </c>
      <c r="D78" s="18" t="str">
        <f t="shared" si="4"/>
        <v>2. Hinterbliebener Ehegatte</v>
      </c>
      <c r="E78" s="33" t="s">
        <v>2807</v>
      </c>
      <c r="F78" s="6" t="s">
        <v>4734</v>
      </c>
    </row>
    <row r="79" spans="1:6" ht="181.5">
      <c r="A79" s="17">
        <f>ROW()</f>
        <v>79</v>
      </c>
      <c r="B79" s="18" t="s">
        <v>2702</v>
      </c>
      <c r="C79" s="18" t="s">
        <v>2805</v>
      </c>
      <c r="D79" s="18" t="str">
        <f t="shared" si="4"/>
        <v>3. Geschiedener Ehegatte</v>
      </c>
      <c r="E79" s="33" t="s">
        <v>2808</v>
      </c>
      <c r="F79" s="6" t="s">
        <v>1195</v>
      </c>
    </row>
    <row r="80" spans="1:6" ht="216">
      <c r="A80" s="17">
        <f>ROW()</f>
        <v>80</v>
      </c>
      <c r="B80" s="18" t="s">
        <v>2702</v>
      </c>
      <c r="C80" s="18" t="s">
        <v>2805</v>
      </c>
      <c r="D80" s="18" t="str">
        <f t="shared" si="4"/>
        <v>4. Hinterbliebene Lebenspartner</v>
      </c>
      <c r="E80" s="33" t="s">
        <v>2809</v>
      </c>
      <c r="F80" s="6" t="s">
        <v>1220</v>
      </c>
    </row>
    <row r="81" spans="1:6" ht="181.5">
      <c r="A81" s="17">
        <f>ROW()</f>
        <v>81</v>
      </c>
      <c r="B81" s="18" t="s">
        <v>2702</v>
      </c>
      <c r="C81" s="18" t="s">
        <v>2805</v>
      </c>
      <c r="D81" s="18" t="str">
        <f t="shared" si="4"/>
        <v>5. Kinder</v>
      </c>
      <c r="E81" s="33" t="s">
        <v>2810</v>
      </c>
      <c r="F81" s="6" t="s">
        <v>1247</v>
      </c>
    </row>
    <row r="82" spans="1:6" ht="181.5">
      <c r="A82" s="17">
        <f>ROW()</f>
        <v>82</v>
      </c>
      <c r="B82" s="18" t="s">
        <v>2702</v>
      </c>
      <c r="C82" s="18" t="s">
        <v>2805</v>
      </c>
      <c r="D82" s="18" t="str">
        <f t="shared" si="4"/>
        <v>6. Andere Personen</v>
      </c>
      <c r="E82" s="33" t="s">
        <v>2811</v>
      </c>
      <c r="F82" s="6" t="s">
        <v>1272</v>
      </c>
    </row>
    <row r="83" spans="1:6" ht="409.5">
      <c r="A83" s="17">
        <f>ROW()</f>
        <v>83</v>
      </c>
      <c r="B83" s="18" t="s">
        <v>2702</v>
      </c>
      <c r="C83" s="18" t="s">
        <v>2695</v>
      </c>
      <c r="D83" s="19" t="str">
        <f t="shared" si="4"/>
        <v>1. Hinterbliebener Ehegatte, geschiedener Ehegatte, hinterbliebene Lebenspartner</v>
      </c>
      <c r="E83" s="33" t="s">
        <v>2812</v>
      </c>
      <c r="F83" s="6" t="s">
        <v>1295</v>
      </c>
    </row>
    <row r="84" spans="1:6" ht="280.5">
      <c r="A84" s="17">
        <f>ROW()</f>
        <v>84</v>
      </c>
      <c r="B84" s="18" t="s">
        <v>2702</v>
      </c>
      <c r="C84" s="18" t="s">
        <v>2695</v>
      </c>
      <c r="D84" s="19" t="str">
        <f t="shared" si="4"/>
        <v>2. Hinterbliebener Ehegatte: Wiederheirat</v>
      </c>
      <c r="E84" s="33" t="s">
        <v>2813</v>
      </c>
      <c r="F84" s="6" t="s">
        <v>1325</v>
      </c>
    </row>
    <row r="85" spans="1:6" ht="180">
      <c r="A85" s="17">
        <f>ROW()</f>
        <v>85</v>
      </c>
      <c r="B85" s="18" t="s">
        <v>2702</v>
      </c>
      <c r="C85" s="18" t="s">
        <v>2695</v>
      </c>
      <c r="D85" s="19" t="str">
        <f t="shared" si="4"/>
        <v>3. Kinder</v>
      </c>
      <c r="E85" s="33" t="s">
        <v>2814</v>
      </c>
      <c r="F85" s="6" t="s">
        <v>4735</v>
      </c>
    </row>
    <row r="86" spans="1:6" ht="147">
      <c r="A86" s="17">
        <f>ROW()</f>
        <v>86</v>
      </c>
      <c r="B86" s="18" t="s">
        <v>2702</v>
      </c>
      <c r="C86" s="18" t="s">
        <v>2695</v>
      </c>
      <c r="D86" s="19" t="str">
        <f t="shared" si="4"/>
        <v>4. Andere Berechtigte</v>
      </c>
      <c r="E86" s="33" t="s">
        <v>2815</v>
      </c>
      <c r="F86" s="6" t="s">
        <v>1378</v>
      </c>
    </row>
    <row r="87" spans="1:6" ht="381">
      <c r="A87" s="17">
        <f>ROW()</f>
        <v>87</v>
      </c>
      <c r="B87" s="18" t="s">
        <v>2702</v>
      </c>
      <c r="C87" s="18" t="s">
        <v>2695</v>
      </c>
      <c r="D87" s="19" t="str">
        <f t="shared" si="4"/>
        <v xml:space="preserve"> 5. Höchster zahlbarer Gesamtbetrag für alle Berechtigten</v>
      </c>
      <c r="E87" s="33" t="s">
        <v>2816</v>
      </c>
      <c r="F87" s="6" t="s">
        <v>1398</v>
      </c>
    </row>
    <row r="88" spans="1:6" ht="151.5">
      <c r="A88" s="17">
        <f>ROW()</f>
        <v>88</v>
      </c>
      <c r="B88" s="18" t="s">
        <v>2702</v>
      </c>
      <c r="C88" s="18" t="s">
        <v>2695</v>
      </c>
      <c r="D88" s="19" t="str">
        <f t="shared" si="4"/>
        <v>6. Sonstige Leistungen</v>
      </c>
      <c r="E88" s="33" t="s">
        <v>2817</v>
      </c>
      <c r="F88" s="6" t="s">
        <v>1425</v>
      </c>
    </row>
    <row r="89" spans="1:6" ht="150">
      <c r="A89" s="17">
        <f>ROW()</f>
        <v>89</v>
      </c>
      <c r="B89" s="18" t="s">
        <v>2702</v>
      </c>
      <c r="C89" s="18" t="s">
        <v>2695</v>
      </c>
      <c r="D89" s="19" t="str">
        <f>+E89</f>
        <v>7. Mindestleistung</v>
      </c>
      <c r="E89" s="33" t="s">
        <v>2818</v>
      </c>
      <c r="F89" s="6" t="s">
        <v>4736</v>
      </c>
    </row>
    <row r="90" spans="1:6" ht="122.25">
      <c r="A90" s="17">
        <f>ROW()</f>
        <v>90</v>
      </c>
      <c r="B90" s="18" t="s">
        <v>2702</v>
      </c>
      <c r="C90" s="18" t="s">
        <v>2695</v>
      </c>
      <c r="D90" s="19" t="str">
        <f t="shared" si="4"/>
        <v xml:space="preserve"> 8. Höchstleistung</v>
      </c>
      <c r="E90" s="33" t="s">
        <v>2819</v>
      </c>
      <c r="F90" s="6" t="s">
        <v>4737</v>
      </c>
    </row>
    <row r="91" spans="1:6" ht="179.25">
      <c r="A91" s="17">
        <f>ROW()</f>
        <v>91</v>
      </c>
      <c r="B91" s="18" t="s">
        <v>2702</v>
      </c>
      <c r="C91" s="18" t="s">
        <v>2799</v>
      </c>
      <c r="D91" s="19" t="str">
        <f>+C91</f>
        <v>Indexbindung / Anpassung</v>
      </c>
      <c r="E91" s="32" t="s">
        <v>2799</v>
      </c>
      <c r="F91" s="6" t="s">
        <v>1504</v>
      </c>
    </row>
    <row r="92" spans="1:6" ht="242.25">
      <c r="A92" s="17">
        <f>ROW()</f>
        <v>92</v>
      </c>
      <c r="B92" s="18" t="s">
        <v>2702</v>
      </c>
      <c r="C92" s="18" t="s">
        <v>2799</v>
      </c>
      <c r="D92" s="19" t="str">
        <f t="shared" ref="D92:D105" si="5">+E92</f>
        <v>Kumulation mit Erwerbseinkommen</v>
      </c>
      <c r="E92" s="32" t="s">
        <v>2723</v>
      </c>
      <c r="F92" s="6" t="s">
        <v>1534</v>
      </c>
    </row>
    <row r="93" spans="1:6" ht="275.25">
      <c r="A93" s="17">
        <f>ROW()</f>
        <v>93</v>
      </c>
      <c r="B93" s="18" t="s">
        <v>2702</v>
      </c>
      <c r="C93" s="18" t="s">
        <v>2799</v>
      </c>
      <c r="D93" s="19" t="str">
        <f t="shared" si="5"/>
        <v>Kumulation mit anderen Sozialleistungen</v>
      </c>
      <c r="E93" s="32" t="s">
        <v>2696</v>
      </c>
      <c r="F93" s="6" t="s">
        <v>1565</v>
      </c>
    </row>
    <row r="94" spans="1:6" ht="232.5">
      <c r="A94" s="17">
        <f>ROW()</f>
        <v>94</v>
      </c>
      <c r="B94" s="18" t="s">
        <v>2702</v>
      </c>
      <c r="C94" s="19" t="s">
        <v>2701</v>
      </c>
      <c r="D94" s="19" t="str">
        <f t="shared" si="5"/>
        <v>1. Besteuerung von Geldleistungen</v>
      </c>
      <c r="E94" s="33" t="s">
        <v>2770</v>
      </c>
      <c r="F94" s="6" t="s">
        <v>1592</v>
      </c>
    </row>
    <row r="95" spans="1:6" ht="387">
      <c r="A95" s="17">
        <f>ROW()</f>
        <v>95</v>
      </c>
      <c r="B95" s="18" t="s">
        <v>2702</v>
      </c>
      <c r="C95" s="19" t="s">
        <v>2701</v>
      </c>
      <c r="D95" s="19" t="str">
        <f t="shared" si="5"/>
        <v>2. Einkommensgrenze für Besteuerung von Geldleistungen</v>
      </c>
      <c r="E95" s="33" t="s">
        <v>2772</v>
      </c>
      <c r="F95" s="6" t="s">
        <v>1612</v>
      </c>
    </row>
    <row r="96" spans="1:6" ht="288.75">
      <c r="A96" s="17">
        <f>ROW()</f>
        <v>96</v>
      </c>
      <c r="B96" s="18" t="s">
        <v>2702</v>
      </c>
      <c r="C96" s="19" t="s">
        <v>2701</v>
      </c>
      <c r="D96" s="19" t="str">
        <f t="shared" si="5"/>
        <v>3. Auf Leistungen anfallende Sozialabgaben</v>
      </c>
      <c r="E96" s="33" t="s">
        <v>2773</v>
      </c>
      <c r="F96" s="6" t="s">
        <v>820</v>
      </c>
    </row>
    <row r="97" spans="1:6" ht="138">
      <c r="A97" s="17">
        <f>ROW()</f>
        <v>97</v>
      </c>
      <c r="B97" s="18" t="s">
        <v>2702</v>
      </c>
      <c r="C97" s="19" t="s">
        <v>2775</v>
      </c>
      <c r="D97" s="19" t="str">
        <f t="shared" si="5"/>
        <v>Anwendungsbereich</v>
      </c>
      <c r="E97" s="33" t="s">
        <v>2708</v>
      </c>
      <c r="F97" s="6" t="s">
        <v>850</v>
      </c>
    </row>
    <row r="98" spans="1:6" ht="110.25">
      <c r="A98" s="17">
        <f>ROW()</f>
        <v>98</v>
      </c>
      <c r="B98" s="18" t="s">
        <v>2702</v>
      </c>
      <c r="C98" s="19" t="s">
        <v>2775</v>
      </c>
      <c r="D98" s="19" t="str">
        <f t="shared" si="5"/>
        <v>Grundprinzipien</v>
      </c>
      <c r="E98" s="33" t="s">
        <v>2709</v>
      </c>
      <c r="F98" s="6" t="s">
        <v>1665</v>
      </c>
    </row>
    <row r="99" spans="1:6" ht="224.25">
      <c r="A99" s="17">
        <f>ROW()</f>
        <v>99</v>
      </c>
      <c r="B99" s="18" t="s">
        <v>2702</v>
      </c>
      <c r="C99" s="19" t="s">
        <v>2775</v>
      </c>
      <c r="D99" s="19" t="str">
        <f t="shared" si="5"/>
        <v>Voraussetzungen für die Deckung</v>
      </c>
      <c r="E99" s="33" t="s">
        <v>2710</v>
      </c>
      <c r="F99" s="6" t="s">
        <v>899</v>
      </c>
    </row>
    <row r="100" spans="1:6" ht="409.5">
      <c r="A100" s="17">
        <f>ROW()</f>
        <v>100</v>
      </c>
      <c r="B100" s="18" t="s">
        <v>2702</v>
      </c>
      <c r="C100" s="19" t="s">
        <v>2775</v>
      </c>
      <c r="D100" s="19" t="str">
        <f t="shared" si="5"/>
        <v>Kombination von selbstständiger und unselbstständiger Tätigkeit</v>
      </c>
      <c r="E100" s="33" t="s">
        <v>2698</v>
      </c>
      <c r="F100" s="6" t="s">
        <v>927</v>
      </c>
    </row>
    <row r="101" spans="1:6" ht="376.5">
      <c r="A101" s="17">
        <f>ROW()</f>
        <v>101</v>
      </c>
      <c r="B101" s="18" t="s">
        <v>2702</v>
      </c>
      <c r="C101" s="19" t="s">
        <v>2775</v>
      </c>
      <c r="D101" s="19" t="str">
        <f t="shared" si="5"/>
        <v xml:space="preserve">Voraussetzungen für den Zugang zu Diensten/Leistungen </v>
      </c>
      <c r="E101" s="33" t="s">
        <v>2699</v>
      </c>
      <c r="F101" s="6" t="s">
        <v>1697</v>
      </c>
    </row>
    <row r="102" spans="1:6" ht="253.5">
      <c r="A102" s="17">
        <f>ROW()</f>
        <v>102</v>
      </c>
      <c r="B102" s="18" t="s">
        <v>2702</v>
      </c>
      <c r="C102" s="19" t="s">
        <v>2775</v>
      </c>
      <c r="D102" s="19" t="str">
        <f t="shared" si="5"/>
        <v>Beträge, Dauer und Kostenbeteiligung</v>
      </c>
      <c r="E102" s="33" t="s">
        <v>2700</v>
      </c>
      <c r="F102" s="6" t="s">
        <v>940</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940</v>
      </c>
    </row>
    <row r="105" spans="1:6" ht="272.25">
      <c r="A105" s="17">
        <f>ROW()</f>
        <v>105</v>
      </c>
      <c r="B105" s="18" t="s">
        <v>2702</v>
      </c>
      <c r="C105" s="19" t="s">
        <v>2775</v>
      </c>
      <c r="D105" s="19" t="str">
        <f t="shared" si="5"/>
        <v>Auf Leistungen anfallende Sozialabgaben</v>
      </c>
      <c r="E105" s="33" t="s">
        <v>2683</v>
      </c>
      <c r="F105" s="6" t="s">
        <v>940</v>
      </c>
    </row>
    <row r="106" spans="1:6"/>
    <row r="107" spans="1:6"/>
    <row r="108" spans="1:6"/>
    <row r="109" spans="1:6"/>
    <row r="110" spans="1:6"/>
    <row r="111" spans="1:6"/>
    <row r="112" spans="1:6"/>
    <row r="113"/>
  </sheetData>
  <sheetProtection algorithmName="SHA-512" hashValue="1MLVHCeXR+4Gw81YBcbqTTQ70SOpKu6Sp77EoNYrJGnQqImGmNdtaf4rMY9+scgXZdl4orfPs9wTIq0Aa9WDcQ==" saltValue="6S/+df/SEe4LfJmWmtBaQg==" spinCount="100000" sheet="1" objects="1" scenarios="1" formatColumns="0" autoFilter="0"/>
  <autoFilter ref="A2:F2" xr:uid="{62E8487C-D273-4E25-BA97-D0BE5F1BF001}"/>
  <pageMargins left="0.7" right="0.7" top="0.78740157499999996" bottom="0.78740157499999996"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AEBB2-9C2F-43F9-BEDB-BE02755FA6FE}">
  <sheetPr codeName="Tabelle16"/>
  <dimension ref="A1:F113"/>
  <sheetViews>
    <sheetView workbookViewId="0">
      <pane xSplit="5" ySplit="2" topLeftCell="F13" activePane="bottomRight" state="frozen"/>
      <selection activeCell="F2" sqref="F2"/>
      <selection pane="topRight" activeCell="F2" sqref="F2"/>
      <selection pane="bottomLeft" activeCell="F2" sqref="F2"/>
      <selection pane="bottomRight" activeCell="F13" sqref="F13"/>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39" t="s">
        <v>2726</v>
      </c>
      <c r="C1" s="136" t="s">
        <v>2739</v>
      </c>
      <c r="D1" s="136" t="s">
        <v>2728</v>
      </c>
      <c r="E1" s="128" t="s">
        <v>3506</v>
      </c>
      <c r="F1" s="16" t="s">
        <v>14</v>
      </c>
    </row>
    <row r="2" spans="1:6" ht="39.75" customHeight="1">
      <c r="A2" s="138"/>
      <c r="B2" s="139"/>
      <c r="C2" s="136"/>
      <c r="D2" s="136"/>
      <c r="E2" s="134"/>
      <c r="F2" s="173" t="str" cm="1">
        <f t="array" ref="F2">_xlfn.TEXTJOIN("; ", TRUE, IF(Entscheidungen!A2:A100=F1, Entscheidungen!B2:B100, ""))</f>
        <v/>
      </c>
    </row>
    <row r="3" spans="1:6" ht="177">
      <c r="A3" s="17">
        <f>ROW()</f>
        <v>3</v>
      </c>
      <c r="B3" s="18" t="s">
        <v>2740</v>
      </c>
      <c r="C3" s="18"/>
      <c r="D3" s="18" t="str">
        <f>+E3</f>
        <v>Geltende Rechtsgrundlage</v>
      </c>
      <c r="E3" s="31" t="s">
        <v>2724</v>
      </c>
      <c r="F3" s="6" t="s">
        <v>3174</v>
      </c>
    </row>
    <row r="4" spans="1:6" ht="110.25">
      <c r="A4" s="17">
        <f>ROW()</f>
        <v>4</v>
      </c>
      <c r="B4" s="18" t="s">
        <v>2740</v>
      </c>
      <c r="C4" s="1"/>
      <c r="D4" s="18" t="str">
        <f t="shared" ref="D4:D34" si="0">+E4</f>
        <v>Grundprinzipien</v>
      </c>
      <c r="E4" s="32" t="s">
        <v>2709</v>
      </c>
      <c r="F4" s="6" t="s">
        <v>3175</v>
      </c>
    </row>
    <row r="5" spans="1:6" ht="188.25">
      <c r="A5" s="17">
        <f>ROW()</f>
        <v>5</v>
      </c>
      <c r="B5" s="18" t="s">
        <v>2740</v>
      </c>
      <c r="C5" s="1"/>
      <c r="D5" s="18" t="str">
        <f t="shared" si="0"/>
        <v>Gedecktes Risiko: Definition</v>
      </c>
      <c r="E5" s="32" t="s">
        <v>2891</v>
      </c>
      <c r="F5" s="6" t="s">
        <v>3176</v>
      </c>
    </row>
    <row r="6" spans="1:6" ht="144">
      <c r="A6" s="17">
        <f>ROW()</f>
        <v>6</v>
      </c>
      <c r="B6" s="18" t="s">
        <v>2740</v>
      </c>
      <c r="C6" s="18" t="s">
        <v>2653</v>
      </c>
      <c r="D6" s="18" t="str">
        <f t="shared" si="0"/>
        <v>Versicherte Personen</v>
      </c>
      <c r="E6" s="33" t="s">
        <v>2653</v>
      </c>
      <c r="F6" s="6" t="s">
        <v>3177</v>
      </c>
    </row>
    <row r="7" spans="1:6" ht="273">
      <c r="A7" s="17">
        <f>ROW()</f>
        <v>7</v>
      </c>
      <c r="B7" s="18" t="s">
        <v>2740</v>
      </c>
      <c r="C7" s="18" t="str">
        <f>+E6</f>
        <v>Versicherte Personen</v>
      </c>
      <c r="D7" s="18" t="str">
        <f t="shared" si="0"/>
        <v>Ausnahmen von der Versicherungspflicht</v>
      </c>
      <c r="E7" s="33" t="s">
        <v>2685</v>
      </c>
      <c r="F7" s="6" t="s">
        <v>1082</v>
      </c>
    </row>
    <row r="8" spans="1:6" ht="240">
      <c r="A8" s="17">
        <f>ROW()</f>
        <v>8</v>
      </c>
      <c r="B8" s="18" t="s">
        <v>2740</v>
      </c>
      <c r="C8" s="19" t="s">
        <v>149</v>
      </c>
      <c r="D8" s="18" t="str">
        <f t="shared" si="0"/>
        <v>1. Anwartschaftszeit</v>
      </c>
      <c r="E8" s="33" t="s">
        <v>2744</v>
      </c>
      <c r="F8" s="6" t="s">
        <v>4738</v>
      </c>
    </row>
    <row r="9" spans="1:6" ht="409.5">
      <c r="A9" s="17">
        <f>ROW()</f>
        <v>9</v>
      </c>
      <c r="B9" s="18" t="s">
        <v>2740</v>
      </c>
      <c r="C9" s="19" t="s">
        <v>149</v>
      </c>
      <c r="D9" s="18" t="str">
        <f t="shared" si="0"/>
        <v xml:space="preserve">2. Begutachtungskriterien und Kategorien der Arbeitsunfähigkeit/Arbeitsfähigkeit  </v>
      </c>
      <c r="E9" s="33" t="s">
        <v>2745</v>
      </c>
      <c r="F9" s="6" t="s">
        <v>4739</v>
      </c>
    </row>
    <row r="10" spans="1:6" ht="222">
      <c r="A10" s="17">
        <f>ROW()</f>
        <v>10</v>
      </c>
      <c r="B10" s="18" t="s">
        <v>2740</v>
      </c>
      <c r="C10" s="19" t="s">
        <v>149</v>
      </c>
      <c r="D10" s="18" t="str">
        <f t="shared" si="0"/>
        <v>3. Zeitraum der Leistungszahlung</v>
      </c>
      <c r="E10" s="33" t="s">
        <v>2747</v>
      </c>
      <c r="F10" s="6" t="s">
        <v>3178</v>
      </c>
    </row>
    <row r="11" spans="1:6" ht="135">
      <c r="A11" s="17">
        <f>ROW()</f>
        <v>11</v>
      </c>
      <c r="B11" s="18" t="s">
        <v>2740</v>
      </c>
      <c r="C11" s="19" t="s">
        <v>2749</v>
      </c>
      <c r="D11" s="18" t="str">
        <f t="shared" si="0"/>
        <v>1. Gutachter</v>
      </c>
      <c r="E11" s="33" t="s">
        <v>2750</v>
      </c>
      <c r="F11" s="6" t="s">
        <v>3179</v>
      </c>
    </row>
    <row r="12" spans="1:6" ht="111.75">
      <c r="A12" s="17">
        <f>ROW()</f>
        <v>12</v>
      </c>
      <c r="B12" s="18" t="s">
        <v>2740</v>
      </c>
      <c r="C12" s="19" t="s">
        <v>2749</v>
      </c>
      <c r="D12" s="18" t="str">
        <f t="shared" si="0"/>
        <v xml:space="preserve">2. Überprüfung  </v>
      </c>
      <c r="E12" s="33" t="s">
        <v>2751</v>
      </c>
      <c r="F12" s="6" t="s">
        <v>4740</v>
      </c>
    </row>
    <row r="13" spans="1:6" ht="360">
      <c r="A13" s="17">
        <f>ROW()</f>
        <v>13</v>
      </c>
      <c r="B13" s="18" t="s">
        <v>2740</v>
      </c>
      <c r="C13" s="18" t="s">
        <v>2695</v>
      </c>
      <c r="D13" s="18" t="str">
        <f t="shared" si="0"/>
        <v>1. Berechnungsmethode bzw. Rentenformel</v>
      </c>
      <c r="E13" s="33" t="s">
        <v>2753</v>
      </c>
      <c r="F13" s="13" t="s">
        <v>4751</v>
      </c>
    </row>
    <row r="14" spans="1:6" ht="343.5">
      <c r="A14" s="17">
        <f>ROW()</f>
        <v>14</v>
      </c>
      <c r="B14" s="18" t="s">
        <v>2740</v>
      </c>
      <c r="C14" s="18" t="s">
        <v>2695</v>
      </c>
      <c r="D14" s="18" t="str">
        <f t="shared" si="0"/>
        <v>2. Referenzeinkommen bzw. Berechnungsgrundlage</v>
      </c>
      <c r="E14" s="33" t="s">
        <v>2754</v>
      </c>
      <c r="F14" s="6" t="s">
        <v>3180</v>
      </c>
    </row>
    <row r="15" spans="1:6" ht="226.5">
      <c r="A15" s="17">
        <f>ROW()</f>
        <v>15</v>
      </c>
      <c r="B15" s="18" t="s">
        <v>2740</v>
      </c>
      <c r="C15" s="18" t="s">
        <v>2695</v>
      </c>
      <c r="D15" s="18" t="str">
        <f t="shared" si="0"/>
        <v>3. Mindest- und Höchstleistungen</v>
      </c>
      <c r="E15" s="33" t="s">
        <v>2756</v>
      </c>
      <c r="F15" s="6" t="s">
        <v>3181</v>
      </c>
    </row>
    <row r="16" spans="1:6" ht="405">
      <c r="A16" s="17">
        <f>ROW()</f>
        <v>16</v>
      </c>
      <c r="B16" s="18" t="s">
        <v>2740</v>
      </c>
      <c r="C16" s="18" t="s">
        <v>2695</v>
      </c>
      <c r="D16" s="18" t="str">
        <f t="shared" si="0"/>
        <v>4. Anrechenbare oder als Beitragszeiten gewertete Zeiträume</v>
      </c>
      <c r="E16" s="33" t="s">
        <v>2757</v>
      </c>
      <c r="F16" s="6" t="s">
        <v>4741</v>
      </c>
    </row>
    <row r="17" spans="1:6" ht="250.5">
      <c r="A17" s="17">
        <f>ROW()</f>
        <v>17</v>
      </c>
      <c r="B17" s="18" t="s">
        <v>2740</v>
      </c>
      <c r="C17" s="18" t="s">
        <v>2695</v>
      </c>
      <c r="D17" s="18" t="str">
        <f t="shared" si="0"/>
        <v xml:space="preserve">5. Zulagen für Unterhaltsberechtigte  </v>
      </c>
      <c r="E17" s="33" t="s">
        <v>2759</v>
      </c>
      <c r="F17" s="6" t="s">
        <v>2247</v>
      </c>
    </row>
    <row r="18" spans="1:6" ht="135">
      <c r="A18" s="17">
        <f>ROW()</f>
        <v>18</v>
      </c>
      <c r="B18" s="18" t="s">
        <v>2740</v>
      </c>
      <c r="C18" s="18" t="str">
        <f>+E18</f>
        <v>Sonstige Leistungen</v>
      </c>
      <c r="D18" s="18" t="str">
        <f>+E18</f>
        <v>Sonstige Leistungen</v>
      </c>
      <c r="E18" s="32" t="s">
        <v>2678</v>
      </c>
      <c r="F18" s="6" t="s">
        <v>3182</v>
      </c>
    </row>
    <row r="19" spans="1:6" ht="300.75">
      <c r="A19" s="17">
        <f>ROW()</f>
        <v>19</v>
      </c>
      <c r="B19" s="18" t="s">
        <v>2740</v>
      </c>
      <c r="C19" s="18" t="s">
        <v>2761</v>
      </c>
      <c r="D19" s="18" t="str">
        <f t="shared" si="0"/>
        <v>Umschulung, berufsbezogene Rehabilitation</v>
      </c>
      <c r="E19" s="33" t="s">
        <v>2762</v>
      </c>
      <c r="F19" s="6" t="s">
        <v>3183</v>
      </c>
    </row>
    <row r="20" spans="1:6" ht="409.5">
      <c r="A20" s="17">
        <f>ROW()</f>
        <v>20</v>
      </c>
      <c r="B20" s="18" t="s">
        <v>2740</v>
      </c>
      <c r="C20" s="18" t="s">
        <v>2761</v>
      </c>
      <c r="D20" s="18" t="str">
        <f t="shared" si="0"/>
        <v xml:space="preserve">Bevorzugte und reservierte Beschäftigung von Menschen mit Behinderungen  </v>
      </c>
      <c r="E20" s="33" t="s">
        <v>2763</v>
      </c>
      <c r="F20" s="6" t="s">
        <v>4742</v>
      </c>
    </row>
    <row r="21" spans="1:6" ht="270">
      <c r="A21" s="17">
        <f>ROW()</f>
        <v>21</v>
      </c>
      <c r="B21" s="18" t="s">
        <v>2740</v>
      </c>
      <c r="C21" s="18" t="s">
        <v>2765</v>
      </c>
      <c r="D21" s="18" t="str">
        <f t="shared" si="0"/>
        <v>Indexbindung/Anpassung</v>
      </c>
      <c r="E21" s="32" t="s">
        <v>2766</v>
      </c>
      <c r="F21" s="6" t="s">
        <v>3184</v>
      </c>
    </row>
    <row r="22" spans="1:6" ht="242.25">
      <c r="A22" s="17">
        <f>ROW()</f>
        <v>22</v>
      </c>
      <c r="B22" s="18" t="s">
        <v>2740</v>
      </c>
      <c r="C22" s="18" t="s">
        <v>2765</v>
      </c>
      <c r="D22" s="18" t="str">
        <f>+E22</f>
        <v>Kumulation mit Erwerbseinkommen</v>
      </c>
      <c r="E22" s="32" t="s">
        <v>2723</v>
      </c>
      <c r="F22" s="6" t="s">
        <v>3185</v>
      </c>
    </row>
    <row r="23" spans="1:6" ht="275.25">
      <c r="A23" s="17">
        <f>ROW()</f>
        <v>23</v>
      </c>
      <c r="B23" s="18" t="s">
        <v>2740</v>
      </c>
      <c r="C23" s="18" t="s">
        <v>2765</v>
      </c>
      <c r="D23" s="18" t="str">
        <f t="shared" si="0"/>
        <v>Kumulation mit anderen Sozialleistungen</v>
      </c>
      <c r="E23" s="32" t="s">
        <v>2696</v>
      </c>
      <c r="F23" s="6" t="s">
        <v>3186</v>
      </c>
    </row>
    <row r="24" spans="1:6" ht="232.5">
      <c r="A24" s="17">
        <f>ROW()</f>
        <v>24</v>
      </c>
      <c r="B24" s="18" t="s">
        <v>2740</v>
      </c>
      <c r="C24" s="18" t="s">
        <v>2701</v>
      </c>
      <c r="D24" s="18" t="str">
        <f t="shared" si="0"/>
        <v>1. Besteuerung von Geldleistungen</v>
      </c>
      <c r="E24" s="33" t="s">
        <v>2770</v>
      </c>
      <c r="F24" s="6" t="s">
        <v>2516</v>
      </c>
    </row>
    <row r="25" spans="1:6" ht="387">
      <c r="A25" s="17">
        <f>ROW()</f>
        <v>25</v>
      </c>
      <c r="B25" s="18" t="s">
        <v>2740</v>
      </c>
      <c r="C25" s="18" t="s">
        <v>2701</v>
      </c>
      <c r="D25" s="18" t="str">
        <f t="shared" si="0"/>
        <v>2. Einkommensgrenze für Besteuerung von Geldleistungen</v>
      </c>
      <c r="E25" s="33" t="s">
        <v>2772</v>
      </c>
      <c r="F25" s="6" t="s">
        <v>811</v>
      </c>
    </row>
    <row r="26" spans="1:6" ht="288.75">
      <c r="A26" s="17">
        <f>ROW()</f>
        <v>26</v>
      </c>
      <c r="B26" s="18" t="s">
        <v>2740</v>
      </c>
      <c r="C26" s="18" t="s">
        <v>2701</v>
      </c>
      <c r="D26" s="18" t="str">
        <f t="shared" si="0"/>
        <v>3. Auf Leistungen anfallende Sozialabgaben</v>
      </c>
      <c r="E26" s="33" t="s">
        <v>2773</v>
      </c>
      <c r="F26" s="6" t="s">
        <v>825</v>
      </c>
    </row>
    <row r="27" spans="1:6" ht="138">
      <c r="A27" s="17">
        <f>ROW()</f>
        <v>27</v>
      </c>
      <c r="B27" s="18" t="s">
        <v>2740</v>
      </c>
      <c r="C27" s="18" t="s">
        <v>2775</v>
      </c>
      <c r="D27" s="18" t="str">
        <f t="shared" si="0"/>
        <v>Anwendungsbereich</v>
      </c>
      <c r="E27" s="33" t="s">
        <v>2708</v>
      </c>
      <c r="F27" s="6" t="s">
        <v>860</v>
      </c>
    </row>
    <row r="28" spans="1:6" ht="110.25">
      <c r="A28" s="17">
        <f>ROW()</f>
        <v>28</v>
      </c>
      <c r="B28" s="18" t="s">
        <v>2740</v>
      </c>
      <c r="C28" s="18" t="s">
        <v>2775</v>
      </c>
      <c r="D28" s="18" t="str">
        <f t="shared" si="0"/>
        <v>Grundprinzipien</v>
      </c>
      <c r="E28" s="33" t="s">
        <v>2709</v>
      </c>
      <c r="F28" s="6" t="s">
        <v>1666</v>
      </c>
    </row>
    <row r="29" spans="1:6" ht="224.25">
      <c r="A29" s="17">
        <f>ROW()</f>
        <v>29</v>
      </c>
      <c r="B29" s="18" t="s">
        <v>2740</v>
      </c>
      <c r="C29" s="18" t="s">
        <v>2775</v>
      </c>
      <c r="D29" s="18" t="str">
        <f t="shared" si="0"/>
        <v>Voraussetzungen für die Deckung</v>
      </c>
      <c r="E29" s="33" t="s">
        <v>2710</v>
      </c>
      <c r="F29" s="6" t="s">
        <v>905</v>
      </c>
    </row>
    <row r="30" spans="1:6" ht="409.5">
      <c r="A30" s="17">
        <f>ROW()</f>
        <v>30</v>
      </c>
      <c r="B30" s="18" t="s">
        <v>2740</v>
      </c>
      <c r="C30" s="18" t="s">
        <v>2775</v>
      </c>
      <c r="D30" s="19" t="str">
        <f t="shared" si="0"/>
        <v>Kombination von selbstständiger und unselbstständiger Tätigkeit</v>
      </c>
      <c r="E30" s="33" t="s">
        <v>2698</v>
      </c>
      <c r="F30" s="6" t="s">
        <v>3187</v>
      </c>
    </row>
    <row r="31" spans="1:6" ht="376.5">
      <c r="A31" s="17">
        <f>ROW()</f>
        <v>31</v>
      </c>
      <c r="B31" s="18" t="s">
        <v>2740</v>
      </c>
      <c r="C31" s="18" t="s">
        <v>2695</v>
      </c>
      <c r="D31" s="19" t="str">
        <f t="shared" si="0"/>
        <v xml:space="preserve">Voraussetzungen für den Zugang zu Diensten/Leistungen </v>
      </c>
      <c r="E31" s="33" t="s">
        <v>2699</v>
      </c>
      <c r="F31" s="6" t="s">
        <v>917</v>
      </c>
    </row>
    <row r="32" spans="1:6" ht="253.5">
      <c r="A32" s="17">
        <f>ROW()</f>
        <v>32</v>
      </c>
      <c r="B32" s="18" t="s">
        <v>2740</v>
      </c>
      <c r="C32" s="18" t="s">
        <v>2695</v>
      </c>
      <c r="D32" s="18" t="str">
        <f t="shared" si="0"/>
        <v>Beträge, Dauer und Kostenbeteiligung</v>
      </c>
      <c r="E32" s="33" t="s">
        <v>2700</v>
      </c>
      <c r="F32" s="6" t="s">
        <v>917</v>
      </c>
    </row>
    <row r="33" spans="1:6" ht="216">
      <c r="A33" s="17">
        <f>ROW()</f>
        <v>33</v>
      </c>
      <c r="B33" s="18" t="s">
        <v>2740</v>
      </c>
      <c r="C33" s="18" t="s">
        <v>2695</v>
      </c>
      <c r="D33" s="18" t="str">
        <f t="shared" si="0"/>
        <v>Besteuerung von Geldleistungen</v>
      </c>
      <c r="E33" s="33" t="s">
        <v>2681</v>
      </c>
      <c r="F33" s="6" t="s">
        <v>3188</v>
      </c>
    </row>
    <row r="34" spans="1:6" ht="276.75">
      <c r="A34" s="17">
        <f>ROW()</f>
        <v>34</v>
      </c>
      <c r="B34" s="18" t="s">
        <v>2740</v>
      </c>
      <c r="C34" s="18" t="s">
        <v>2695</v>
      </c>
      <c r="D34" s="18" t="str">
        <f t="shared" si="0"/>
        <v xml:space="preserve"> Auf Leistungen anfallende Sozialabgaben</v>
      </c>
      <c r="E34" s="33" t="s">
        <v>2779</v>
      </c>
      <c r="F34" s="6" t="s">
        <v>1708</v>
      </c>
    </row>
    <row r="35" spans="1:6" ht="177">
      <c r="A35" s="17">
        <f>ROW()</f>
        <v>35</v>
      </c>
      <c r="B35" s="18" t="s">
        <v>2780</v>
      </c>
      <c r="C35" s="18" t="str">
        <f>+D35</f>
        <v>Geltende Rechtsgrundlage</v>
      </c>
      <c r="D35" s="18" t="str">
        <f>+E35</f>
        <v>Geltende Rechtsgrundlage</v>
      </c>
      <c r="E35" s="32" t="s">
        <v>2724</v>
      </c>
      <c r="F35" s="6" t="s">
        <v>45</v>
      </c>
    </row>
    <row r="36" spans="1:6" ht="210">
      <c r="A36" s="17">
        <f>ROW()</f>
        <v>36</v>
      </c>
      <c r="B36" s="18" t="s">
        <v>2780</v>
      </c>
      <c r="C36" s="18" t="str">
        <f>+D36</f>
        <v>Grundprinzipien</v>
      </c>
      <c r="D36" s="18" t="str">
        <f>+E36</f>
        <v>Grundprinzipien</v>
      </c>
      <c r="E36" s="32" t="s">
        <v>2709</v>
      </c>
      <c r="F36" s="6" t="s">
        <v>76</v>
      </c>
    </row>
    <row r="37" spans="1:6" ht="159.75">
      <c r="A37" s="17">
        <f>ROW()</f>
        <v>37</v>
      </c>
      <c r="B37" s="18" t="s">
        <v>2780</v>
      </c>
      <c r="C37" s="18" t="s">
        <v>2708</v>
      </c>
      <c r="D37" s="18" t="str">
        <f>+E37</f>
        <v>1. Versicherte Personen</v>
      </c>
      <c r="E37" s="33" t="s">
        <v>2781</v>
      </c>
      <c r="F37" s="6" t="s">
        <v>108</v>
      </c>
    </row>
    <row r="38" spans="1:6" ht="371.25">
      <c r="A38" s="17">
        <f>ROW()</f>
        <v>38</v>
      </c>
      <c r="B38" s="18" t="s">
        <v>2780</v>
      </c>
      <c r="C38" s="18" t="s">
        <v>2708</v>
      </c>
      <c r="D38" s="18" t="str">
        <f t="shared" ref="D38:D58" si="1">+E38</f>
        <v>2. Ausnahmen von der Deckung  der Pflichtversicherung</v>
      </c>
      <c r="E38" s="33" t="s">
        <v>2782</v>
      </c>
      <c r="F38" s="6" t="s">
        <v>125</v>
      </c>
    </row>
    <row r="39" spans="1:6" ht="194.25">
      <c r="A39" s="17">
        <f>ROW()</f>
        <v>39</v>
      </c>
      <c r="B39" s="18" t="s">
        <v>2780</v>
      </c>
      <c r="C39" s="18" t="s">
        <v>149</v>
      </c>
      <c r="D39" s="18" t="str">
        <f t="shared" si="1"/>
        <v>1. Rentenalter</v>
      </c>
      <c r="E39" s="33" t="s">
        <v>2784</v>
      </c>
      <c r="F39" s="6" t="s">
        <v>4743</v>
      </c>
    </row>
    <row r="40" spans="1:6" ht="409.5">
      <c r="A40" s="17">
        <f>ROW()</f>
        <v>40</v>
      </c>
      <c r="B40" s="18" t="s">
        <v>2780</v>
      </c>
      <c r="C40" s="18" t="s">
        <v>149</v>
      </c>
      <c r="D40" s="18" t="str">
        <f t="shared" si="1"/>
        <v>2. Anwartschaftszeit und sonstige Anspruchsvoraussetzungen für den Bezug einer Altersrente</v>
      </c>
      <c r="E40" s="33" t="s">
        <v>2785</v>
      </c>
      <c r="F40" s="6" t="s">
        <v>195</v>
      </c>
    </row>
    <row r="41" spans="1:6" ht="195">
      <c r="A41" s="17">
        <f>ROW()</f>
        <v>41</v>
      </c>
      <c r="B41" s="18" t="s">
        <v>2780</v>
      </c>
      <c r="C41" s="18" t="s">
        <v>149</v>
      </c>
      <c r="D41" s="18" t="str">
        <f t="shared" si="1"/>
        <v>3. Vorruhestand</v>
      </c>
      <c r="E41" s="33" t="s">
        <v>2786</v>
      </c>
      <c r="F41" s="6" t="s">
        <v>4744</v>
      </c>
    </row>
    <row r="42" spans="1:6" ht="264">
      <c r="A42" s="17">
        <f>ROW()</f>
        <v>42</v>
      </c>
      <c r="B42" s="18" t="s">
        <v>2780</v>
      </c>
      <c r="C42" s="18" t="s">
        <v>149</v>
      </c>
      <c r="D42" s="18" t="str">
        <f t="shared" si="1"/>
        <v>4. Beschwerliche und gefährliche Arbeit</v>
      </c>
      <c r="E42" s="33" t="s">
        <v>2787</v>
      </c>
      <c r="F42" s="6" t="s">
        <v>257</v>
      </c>
    </row>
    <row r="43" spans="1:6" ht="194.25">
      <c r="A43" s="17">
        <f>ROW()</f>
        <v>43</v>
      </c>
      <c r="B43" s="18" t="s">
        <v>2780</v>
      </c>
      <c r="C43" s="18" t="s">
        <v>149</v>
      </c>
      <c r="D43" s="18" t="str">
        <f t="shared" si="1"/>
        <v>5. Rentenaufschub</v>
      </c>
      <c r="E43" s="33" t="s">
        <v>2788</v>
      </c>
      <c r="F43" s="6" t="s">
        <v>284</v>
      </c>
    </row>
    <row r="44" spans="1:6" ht="174">
      <c r="A44" s="17">
        <f>ROW()</f>
        <v>44</v>
      </c>
      <c r="B44" s="18" t="s">
        <v>2780</v>
      </c>
      <c r="C44" s="18" t="s">
        <v>2695</v>
      </c>
      <c r="D44" s="18" t="str">
        <f t="shared" si="1"/>
        <v>1. Bestimmende Faktoren</v>
      </c>
      <c r="E44" s="33" t="s">
        <v>2789</v>
      </c>
      <c r="F44" s="6" t="s">
        <v>311</v>
      </c>
    </row>
    <row r="45" spans="1:6" ht="349.5">
      <c r="A45" s="17">
        <f>ROW()</f>
        <v>45</v>
      </c>
      <c r="B45" s="18" t="s">
        <v>2780</v>
      </c>
      <c r="C45" s="18" t="s">
        <v>2695</v>
      </c>
      <c r="D45" s="18" t="str">
        <f t="shared" si="1"/>
        <v>2. Berechnungsmethode, Rentenformel bzw. Beträge</v>
      </c>
      <c r="E45" s="33" t="s">
        <v>2790</v>
      </c>
      <c r="F45" s="6" t="s">
        <v>4745</v>
      </c>
    </row>
    <row r="46" spans="1:6" ht="343.5">
      <c r="A46" s="17">
        <f>ROW()</f>
        <v>46</v>
      </c>
      <c r="B46" s="18" t="s">
        <v>2780</v>
      </c>
      <c r="C46" s="18" t="s">
        <v>2695</v>
      </c>
      <c r="D46" s="18" t="str">
        <f t="shared" si="1"/>
        <v>3. Referenzeinkommen bzw. Berechnungsgrundlage</v>
      </c>
      <c r="E46" s="33" t="s">
        <v>2791</v>
      </c>
      <c r="F46" s="6" t="s">
        <v>373</v>
      </c>
    </row>
    <row r="47" spans="1:6" ht="405">
      <c r="A47" s="17">
        <f>ROW()</f>
        <v>47</v>
      </c>
      <c r="B47" s="18" t="s">
        <v>2780</v>
      </c>
      <c r="C47" s="18" t="s">
        <v>2695</v>
      </c>
      <c r="D47" s="18" t="str">
        <f t="shared" si="1"/>
        <v>4. Anrechenbare oder als Beitragszeiten gewertete Zeiträume</v>
      </c>
      <c r="E47" s="33" t="s">
        <v>2757</v>
      </c>
      <c r="F47" s="6" t="s">
        <v>404</v>
      </c>
    </row>
    <row r="48" spans="1:6" ht="243.75">
      <c r="A48" s="17">
        <f>ROW()</f>
        <v>48</v>
      </c>
      <c r="B48" s="18" t="s">
        <v>2780</v>
      </c>
      <c r="C48" s="18" t="s">
        <v>2695</v>
      </c>
      <c r="D48" s="18" t="str">
        <f t="shared" si="1"/>
        <v>5. Rückkauf von Versicherungszeiten</v>
      </c>
      <c r="E48" s="33" t="s">
        <v>2792</v>
      </c>
      <c r="F48" s="6" t="s">
        <v>434</v>
      </c>
    </row>
    <row r="49" spans="1:6" ht="246">
      <c r="A49" s="17">
        <f>ROW()</f>
        <v>49</v>
      </c>
      <c r="B49" s="18" t="s">
        <v>2780</v>
      </c>
      <c r="C49" s="18" t="s">
        <v>2695</v>
      </c>
      <c r="D49" s="18" t="str">
        <f t="shared" si="1"/>
        <v>6.  Zulagen für Unterhaltsberechtigte</v>
      </c>
      <c r="E49" s="33" t="s">
        <v>2892</v>
      </c>
      <c r="F49" s="6" t="s">
        <v>447</v>
      </c>
    </row>
    <row r="50" spans="1:6" ht="145.5">
      <c r="A50" s="17">
        <f>ROW()</f>
        <v>50</v>
      </c>
      <c r="B50" s="18" t="s">
        <v>2780</v>
      </c>
      <c r="C50" s="18" t="s">
        <v>2695</v>
      </c>
      <c r="D50" s="18" t="str">
        <f t="shared" si="1"/>
        <v>7. Besondere Zulagen</v>
      </c>
      <c r="E50" s="33" t="s">
        <v>2793</v>
      </c>
      <c r="F50" s="6" t="s">
        <v>483</v>
      </c>
    </row>
    <row r="51" spans="1:6" ht="360.75">
      <c r="A51" s="17">
        <f>ROW()</f>
        <v>51</v>
      </c>
      <c r="B51" s="18" t="s">
        <v>2780</v>
      </c>
      <c r="C51" s="18" t="s">
        <v>2695</v>
      </c>
      <c r="D51" s="18" t="str">
        <f t="shared" si="1"/>
        <v>8. Mindestrente und bedürftigkeitsabhängige Leistung</v>
      </c>
      <c r="E51" s="33" t="s">
        <v>2794</v>
      </c>
      <c r="F51" s="6" t="s">
        <v>513</v>
      </c>
    </row>
    <row r="52" spans="1:6" ht="101.25">
      <c r="A52" s="17">
        <f>ROW()</f>
        <v>52</v>
      </c>
      <c r="B52" s="18" t="s">
        <v>2780</v>
      </c>
      <c r="C52" s="18" t="s">
        <v>2695</v>
      </c>
      <c r="D52" s="18" t="str">
        <f t="shared" si="1"/>
        <v>9. Höchstrente</v>
      </c>
      <c r="E52" s="33" t="s">
        <v>2795</v>
      </c>
      <c r="F52" s="6" t="s">
        <v>542</v>
      </c>
    </row>
    <row r="53" spans="1:6" ht="119.25">
      <c r="A53" s="17">
        <f>ROW()</f>
        <v>53</v>
      </c>
      <c r="B53" s="18" t="s">
        <v>2780</v>
      </c>
      <c r="C53" s="18" t="s">
        <v>2695</v>
      </c>
      <c r="D53" s="18" t="str">
        <f t="shared" si="1"/>
        <v>10. Vorruhestand</v>
      </c>
      <c r="E53" s="33" t="s">
        <v>2796</v>
      </c>
      <c r="F53" s="6" t="s">
        <v>570</v>
      </c>
    </row>
    <row r="54" spans="1:6" ht="272.25">
      <c r="A54" s="17">
        <f>ROW()</f>
        <v>54</v>
      </c>
      <c r="B54" s="18" t="s">
        <v>2780</v>
      </c>
      <c r="C54" s="18" t="s">
        <v>2695</v>
      </c>
      <c r="D54" s="18" t="str">
        <f t="shared" si="1"/>
        <v>11. Beschwerliche und gefährliche Arbeit</v>
      </c>
      <c r="E54" s="33" t="s">
        <v>2797</v>
      </c>
      <c r="F54" s="6" t="s">
        <v>596</v>
      </c>
    </row>
    <row r="55" spans="1:6" ht="87.75">
      <c r="A55" s="17">
        <f>ROW()</f>
        <v>55</v>
      </c>
      <c r="B55" s="18" t="s">
        <v>2780</v>
      </c>
      <c r="C55" s="18" t="s">
        <v>2695</v>
      </c>
      <c r="D55" s="18" t="str">
        <f t="shared" si="1"/>
        <v>12. Teilrente</v>
      </c>
      <c r="E55" s="33" t="s">
        <v>2798</v>
      </c>
      <c r="F55" s="6" t="s">
        <v>618</v>
      </c>
    </row>
    <row r="56" spans="1:6" ht="171.75">
      <c r="A56" s="17">
        <f>ROW()</f>
        <v>56</v>
      </c>
      <c r="B56" s="18" t="s">
        <v>2780</v>
      </c>
      <c r="C56" s="18" t="s">
        <v>2695</v>
      </c>
      <c r="D56" s="18" t="str">
        <f t="shared" si="1"/>
        <v>13. Aufgeschobene Rente</v>
      </c>
      <c r="E56" s="33" t="s">
        <v>2893</v>
      </c>
      <c r="F56" s="6" t="s">
        <v>651</v>
      </c>
    </row>
    <row r="57" spans="1:6" ht="285">
      <c r="A57" s="17">
        <f>ROW()</f>
        <v>57</v>
      </c>
      <c r="B57" s="18" t="s">
        <v>2780</v>
      </c>
      <c r="C57" s="18" t="s">
        <v>2799</v>
      </c>
      <c r="D57" s="18" t="s">
        <v>2799</v>
      </c>
      <c r="E57" s="32" t="s">
        <v>2799</v>
      </c>
      <c r="F57" s="6" t="s">
        <v>682</v>
      </c>
    </row>
    <row r="58" spans="1:6" ht="246">
      <c r="A58" s="17">
        <f>ROW()</f>
        <v>58</v>
      </c>
      <c r="B58" s="18" t="s">
        <v>2780</v>
      </c>
      <c r="C58" s="18" t="s">
        <v>2799</v>
      </c>
      <c r="D58" s="18" t="str">
        <f t="shared" si="1"/>
        <v xml:space="preserve">Kumulation mit Erwerbseinkommen </v>
      </c>
      <c r="E58" s="32" t="s">
        <v>2697</v>
      </c>
      <c r="F58" s="6" t="s">
        <v>713</v>
      </c>
    </row>
    <row r="59" spans="1:6" ht="286.5">
      <c r="A59" s="17">
        <f>ROW()</f>
        <v>59</v>
      </c>
      <c r="B59" s="18" t="s">
        <v>2780</v>
      </c>
      <c r="C59" s="18" t="s">
        <v>2799</v>
      </c>
      <c r="D59" s="18" t="s">
        <v>2800</v>
      </c>
      <c r="E59" s="32" t="s">
        <v>2696</v>
      </c>
      <c r="F59" s="6" t="s">
        <v>744</v>
      </c>
    </row>
    <row r="60" spans="1:6" ht="225.75">
      <c r="A60" s="17">
        <f>ROW()</f>
        <v>60</v>
      </c>
      <c r="B60" s="18" t="s">
        <v>2780</v>
      </c>
      <c r="C60" s="18" t="s">
        <v>761</v>
      </c>
      <c r="D60" s="18" t="str">
        <f t="shared" ref="D60:D70" si="2">+E60</f>
        <v>1. Besteuerung von Renten</v>
      </c>
      <c r="E60" s="33" t="s">
        <v>2801</v>
      </c>
      <c r="F60" s="6" t="s">
        <v>775</v>
      </c>
    </row>
    <row r="61" spans="1:6" ht="335.25">
      <c r="A61" s="17">
        <f>ROW()</f>
        <v>61</v>
      </c>
      <c r="B61" s="18" t="s">
        <v>2780</v>
      </c>
      <c r="C61" s="18" t="s">
        <v>761</v>
      </c>
      <c r="D61" s="18" t="str">
        <f t="shared" si="2"/>
        <v>2. Einkommensgrenze für Besteuerung von Renten</v>
      </c>
      <c r="E61" s="33" t="s">
        <v>2802</v>
      </c>
      <c r="F61" s="6" t="s">
        <v>789</v>
      </c>
    </row>
    <row r="62" spans="1:6" ht="264">
      <c r="A62" s="17">
        <f>ROW()</f>
        <v>62</v>
      </c>
      <c r="B62" s="18" t="s">
        <v>2780</v>
      </c>
      <c r="C62" s="18" t="s">
        <v>761</v>
      </c>
      <c r="D62" s="18" t="str">
        <f t="shared" si="2"/>
        <v>3. Auf Renten anfallende Sozialabgaben</v>
      </c>
      <c r="E62" s="33" t="s">
        <v>2803</v>
      </c>
      <c r="F62" s="6" t="s">
        <v>827</v>
      </c>
    </row>
    <row r="63" spans="1:6" ht="138">
      <c r="A63" s="17">
        <f>ROW()</f>
        <v>63</v>
      </c>
      <c r="B63" s="18" t="s">
        <v>2804</v>
      </c>
      <c r="C63" s="18" t="str">
        <f>+E63</f>
        <v>Anwendungsbereich</v>
      </c>
      <c r="D63" s="18" t="str">
        <f t="shared" si="2"/>
        <v>Anwendungsbereich</v>
      </c>
      <c r="E63" s="33" t="s">
        <v>2708</v>
      </c>
      <c r="F63" s="6" t="s">
        <v>851</v>
      </c>
    </row>
    <row r="64" spans="1:6" ht="132.75">
      <c r="A64" s="17">
        <f>ROW()</f>
        <v>64</v>
      </c>
      <c r="B64" s="18" t="s">
        <v>2804</v>
      </c>
      <c r="C64" s="18" t="s">
        <v>2775</v>
      </c>
      <c r="D64" s="18" t="str">
        <f t="shared" si="2"/>
        <v>Grundprinzipien</v>
      </c>
      <c r="E64" s="33" t="s">
        <v>2709</v>
      </c>
      <c r="F64" s="6" t="s">
        <v>877</v>
      </c>
    </row>
    <row r="65" spans="1:6" ht="224.25">
      <c r="A65" s="17">
        <f>ROW()</f>
        <v>65</v>
      </c>
      <c r="B65" s="18" t="s">
        <v>2804</v>
      </c>
      <c r="C65" s="18" t="s">
        <v>2775</v>
      </c>
      <c r="D65" s="18" t="str">
        <f t="shared" si="2"/>
        <v>Voraussetzungen für die Deckung</v>
      </c>
      <c r="E65" s="33" t="s">
        <v>2710</v>
      </c>
      <c r="F65" s="6" t="s">
        <v>905</v>
      </c>
    </row>
    <row r="66" spans="1:6" ht="409.5">
      <c r="A66" s="17">
        <f>ROW()</f>
        <v>66</v>
      </c>
      <c r="B66" s="18" t="s">
        <v>2804</v>
      </c>
      <c r="C66" s="18" t="s">
        <v>2775</v>
      </c>
      <c r="D66" s="18" t="str">
        <f t="shared" si="2"/>
        <v>Kombination von selbstständiger und unselbstständiger Tätigkeit</v>
      </c>
      <c r="E66" s="33" t="s">
        <v>2698</v>
      </c>
      <c r="F66" s="6" t="s">
        <v>920</v>
      </c>
    </row>
    <row r="67" spans="1:6" ht="376.5">
      <c r="A67" s="17">
        <f>ROW()</f>
        <v>67</v>
      </c>
      <c r="B67" s="18" t="s">
        <v>2804</v>
      </c>
      <c r="C67" s="18" t="s">
        <v>2695</v>
      </c>
      <c r="D67" s="19" t="str">
        <f t="shared" si="2"/>
        <v xml:space="preserve">Voraussetzungen für den Zugang zu Diensten/Leistungen </v>
      </c>
      <c r="E67" s="33" t="s">
        <v>2699</v>
      </c>
      <c r="F67" s="6" t="s">
        <v>917</v>
      </c>
    </row>
    <row r="68" spans="1:6" ht="253.5">
      <c r="A68" s="17">
        <f>ROW()</f>
        <v>68</v>
      </c>
      <c r="B68" s="18" t="s">
        <v>2804</v>
      </c>
      <c r="C68" s="18" t="s">
        <v>2695</v>
      </c>
      <c r="D68" s="19" t="str">
        <f t="shared" si="2"/>
        <v>Beträge, Dauer und Kostenbeteiligung</v>
      </c>
      <c r="E68" s="33" t="s">
        <v>2700</v>
      </c>
      <c r="F68" s="6" t="s">
        <v>917</v>
      </c>
    </row>
    <row r="69" spans="1:6" ht="216">
      <c r="A69" s="17">
        <f>ROW()</f>
        <v>69</v>
      </c>
      <c r="B69" s="18" t="s">
        <v>2804</v>
      </c>
      <c r="C69" s="18" t="s">
        <v>2695</v>
      </c>
      <c r="D69" s="19" t="str">
        <f t="shared" si="2"/>
        <v>Besteuerung von Geldleistungen</v>
      </c>
      <c r="E69" s="33" t="s">
        <v>2681</v>
      </c>
      <c r="F69" s="6" t="s">
        <v>971</v>
      </c>
    </row>
    <row r="70" spans="1:6" ht="272.25">
      <c r="A70" s="17">
        <f>ROW()</f>
        <v>70</v>
      </c>
      <c r="B70" s="18" t="s">
        <v>2804</v>
      </c>
      <c r="C70" s="18" t="s">
        <v>2695</v>
      </c>
      <c r="D70" s="19" t="str">
        <f t="shared" si="2"/>
        <v>Auf Leistungen anfallende Sozialabgaben</v>
      </c>
      <c r="E70" s="33" t="s">
        <v>2683</v>
      </c>
      <c r="F70" s="6" t="s">
        <v>985</v>
      </c>
    </row>
    <row r="71" spans="1:6" ht="177">
      <c r="A71" s="17">
        <f>ROW()</f>
        <v>71</v>
      </c>
      <c r="B71" s="18" t="s">
        <v>2702</v>
      </c>
      <c r="C71" s="18" t="str">
        <f t="shared" ref="C71:D75" si="3">+D71</f>
        <v>Geltende Rechtsgrundlage</v>
      </c>
      <c r="D71" s="19" t="str">
        <f t="shared" si="3"/>
        <v>Geltende Rechtsgrundlage</v>
      </c>
      <c r="E71" s="32" t="s">
        <v>2724</v>
      </c>
      <c r="F71" s="6" t="s">
        <v>1003</v>
      </c>
    </row>
    <row r="72" spans="1:6" ht="110.25">
      <c r="A72" s="17">
        <f>ROW()</f>
        <v>72</v>
      </c>
      <c r="B72" s="18" t="s">
        <v>2702</v>
      </c>
      <c r="C72" s="18" t="str">
        <f t="shared" si="3"/>
        <v>Grundprinzipien</v>
      </c>
      <c r="D72" s="19" t="str">
        <f t="shared" si="3"/>
        <v>Grundprinzipien</v>
      </c>
      <c r="E72" s="32" t="s">
        <v>2709</v>
      </c>
      <c r="F72" s="6" t="s">
        <v>1030</v>
      </c>
    </row>
    <row r="73" spans="1:6" ht="315">
      <c r="A73" s="17">
        <f>ROW()</f>
        <v>73</v>
      </c>
      <c r="B73" s="18" t="s">
        <v>2702</v>
      </c>
      <c r="C73" s="19" t="str">
        <f t="shared" si="3"/>
        <v>Anwendungsbereich (in Bezug auf Verstorbene)</v>
      </c>
      <c r="D73" s="19" t="str">
        <f t="shared" si="3"/>
        <v>Anwendungsbereich (in Bezug auf Verstorbene)</v>
      </c>
      <c r="E73" s="32" t="s">
        <v>2725</v>
      </c>
      <c r="F73" s="6" t="s">
        <v>1060</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1082</v>
      </c>
    </row>
    <row r="75" spans="1:6" ht="144.75">
      <c r="A75" s="17">
        <f>ROW()</f>
        <v>75</v>
      </c>
      <c r="B75" s="18" t="s">
        <v>2702</v>
      </c>
      <c r="C75" s="19" t="str">
        <f t="shared" si="3"/>
        <v>Berechtigte Personen</v>
      </c>
      <c r="D75" s="19" t="str">
        <f t="shared" si="3"/>
        <v>Berechtigte Personen</v>
      </c>
      <c r="E75" s="32" t="s">
        <v>2730</v>
      </c>
      <c r="F75" s="6" t="s">
        <v>4746</v>
      </c>
    </row>
    <row r="76" spans="1:6" ht="102">
      <c r="A76" s="17">
        <f>ROW()</f>
        <v>76</v>
      </c>
      <c r="B76" s="18" t="s">
        <v>2702</v>
      </c>
      <c r="C76" s="1"/>
      <c r="D76" s="1"/>
      <c r="E76" s="32" t="s">
        <v>2783</v>
      </c>
      <c r="F76" s="6"/>
    </row>
    <row r="77" spans="1:6" ht="189.75">
      <c r="A77" s="17">
        <f>ROW()</f>
        <v>77</v>
      </c>
      <c r="B77" s="18" t="s">
        <v>2702</v>
      </c>
      <c r="C77" s="18" t="s">
        <v>2805</v>
      </c>
      <c r="D77" s="18" t="str">
        <f t="shared" ref="D77:D90" si="4">+E77</f>
        <v>1. Verstorbener Versicherter</v>
      </c>
      <c r="E77" s="33" t="s">
        <v>2806</v>
      </c>
      <c r="F77" s="6" t="s">
        <v>1136</v>
      </c>
    </row>
    <row r="78" spans="1:6" ht="185.25">
      <c r="A78" s="17">
        <f>ROW()</f>
        <v>78</v>
      </c>
      <c r="B78" s="18" t="s">
        <v>2702</v>
      </c>
      <c r="C78" s="18" t="s">
        <v>2805</v>
      </c>
      <c r="D78" s="18" t="str">
        <f t="shared" si="4"/>
        <v>2. Hinterbliebener Ehegatte</v>
      </c>
      <c r="E78" s="33" t="s">
        <v>2807</v>
      </c>
      <c r="F78" s="6" t="s">
        <v>4747</v>
      </c>
    </row>
    <row r="79" spans="1:6" ht="181.5">
      <c r="A79" s="17">
        <f>ROW()</f>
        <v>79</v>
      </c>
      <c r="B79" s="18" t="s">
        <v>2702</v>
      </c>
      <c r="C79" s="18" t="s">
        <v>2805</v>
      </c>
      <c r="D79" s="18" t="str">
        <f t="shared" si="4"/>
        <v>3. Geschiedener Ehegatte</v>
      </c>
      <c r="E79" s="33" t="s">
        <v>2808</v>
      </c>
      <c r="F79" s="6" t="s">
        <v>4748</v>
      </c>
    </row>
    <row r="80" spans="1:6" ht="216">
      <c r="A80" s="17">
        <f>ROW()</f>
        <v>80</v>
      </c>
      <c r="B80" s="18" t="s">
        <v>2702</v>
      </c>
      <c r="C80" s="18" t="s">
        <v>2805</v>
      </c>
      <c r="D80" s="18" t="str">
        <f t="shared" si="4"/>
        <v>4. Hinterbliebene Lebenspartner</v>
      </c>
      <c r="E80" s="33" t="s">
        <v>2809</v>
      </c>
      <c r="F80" s="6" t="s">
        <v>1221</v>
      </c>
    </row>
    <row r="81" spans="1:6" ht="181.5">
      <c r="A81" s="17">
        <f>ROW()</f>
        <v>81</v>
      </c>
      <c r="B81" s="18" t="s">
        <v>2702</v>
      </c>
      <c r="C81" s="18" t="s">
        <v>2805</v>
      </c>
      <c r="D81" s="18" t="str">
        <f t="shared" si="4"/>
        <v>5. Kinder</v>
      </c>
      <c r="E81" s="33" t="s">
        <v>2810</v>
      </c>
      <c r="F81" s="6" t="s">
        <v>4749</v>
      </c>
    </row>
    <row r="82" spans="1:6" ht="181.5">
      <c r="A82" s="17">
        <f>ROW()</f>
        <v>82</v>
      </c>
      <c r="B82" s="18" t="s">
        <v>2702</v>
      </c>
      <c r="C82" s="18" t="s">
        <v>2805</v>
      </c>
      <c r="D82" s="18" t="str">
        <f t="shared" si="4"/>
        <v>6. Andere Personen</v>
      </c>
      <c r="E82" s="33" t="s">
        <v>2811</v>
      </c>
      <c r="F82" s="6" t="s">
        <v>373</v>
      </c>
    </row>
    <row r="83" spans="1:6" ht="409.5">
      <c r="A83" s="17">
        <f>ROW()</f>
        <v>83</v>
      </c>
      <c r="B83" s="18" t="s">
        <v>2702</v>
      </c>
      <c r="C83" s="18" t="s">
        <v>2695</v>
      </c>
      <c r="D83" s="19" t="str">
        <f t="shared" si="4"/>
        <v>1. Hinterbliebener Ehegatte, geschiedener Ehegatte, hinterbliebene Lebenspartner</v>
      </c>
      <c r="E83" s="33" t="s">
        <v>2812</v>
      </c>
      <c r="F83" s="6" t="s">
        <v>1296</v>
      </c>
    </row>
    <row r="84" spans="1:6" ht="280.5">
      <c r="A84" s="17">
        <f>ROW()</f>
        <v>84</v>
      </c>
      <c r="B84" s="18" t="s">
        <v>2702</v>
      </c>
      <c r="C84" s="18" t="s">
        <v>2695</v>
      </c>
      <c r="D84" s="19" t="str">
        <f t="shared" si="4"/>
        <v>2. Hinterbliebener Ehegatte: Wiederheirat</v>
      </c>
      <c r="E84" s="33" t="s">
        <v>2813</v>
      </c>
      <c r="F84" s="6" t="s">
        <v>373</v>
      </c>
    </row>
    <row r="85" spans="1:6" ht="135">
      <c r="A85" s="17">
        <f>ROW()</f>
        <v>85</v>
      </c>
      <c r="B85" s="18" t="s">
        <v>2702</v>
      </c>
      <c r="C85" s="18" t="s">
        <v>2695</v>
      </c>
      <c r="D85" s="19" t="str">
        <f t="shared" si="4"/>
        <v>3. Kinder</v>
      </c>
      <c r="E85" s="33" t="s">
        <v>2814</v>
      </c>
      <c r="F85" s="6" t="s">
        <v>1356</v>
      </c>
    </row>
    <row r="86" spans="1:6" ht="147">
      <c r="A86" s="17">
        <f>ROW()</f>
        <v>86</v>
      </c>
      <c r="B86" s="18" t="s">
        <v>2702</v>
      </c>
      <c r="C86" s="18" t="s">
        <v>2695</v>
      </c>
      <c r="D86" s="19" t="str">
        <f t="shared" si="4"/>
        <v>4. Andere Berechtigte</v>
      </c>
      <c r="E86" s="33" t="s">
        <v>2815</v>
      </c>
      <c r="F86" s="6" t="s">
        <v>373</v>
      </c>
    </row>
    <row r="87" spans="1:6" ht="381">
      <c r="A87" s="17">
        <f>ROW()</f>
        <v>87</v>
      </c>
      <c r="B87" s="18" t="s">
        <v>2702</v>
      </c>
      <c r="C87" s="18" t="s">
        <v>2695</v>
      </c>
      <c r="D87" s="19" t="str">
        <f t="shared" si="4"/>
        <v xml:space="preserve"> 5. Höchster zahlbarer Gesamtbetrag für alle Berechtigten</v>
      </c>
      <c r="E87" s="33" t="s">
        <v>2816</v>
      </c>
      <c r="F87" s="6" t="s">
        <v>1399</v>
      </c>
    </row>
    <row r="88" spans="1:6" ht="180">
      <c r="A88" s="17">
        <f>ROW()</f>
        <v>88</v>
      </c>
      <c r="B88" s="18" t="s">
        <v>2702</v>
      </c>
      <c r="C88" s="18" t="s">
        <v>2695</v>
      </c>
      <c r="D88" s="19" t="str">
        <f t="shared" si="4"/>
        <v>6. Sonstige Leistungen</v>
      </c>
      <c r="E88" s="33" t="s">
        <v>2817</v>
      </c>
      <c r="F88" s="6" t="s">
        <v>4750</v>
      </c>
    </row>
    <row r="89" spans="1:6" ht="126.75">
      <c r="A89" s="17">
        <f>ROW()</f>
        <v>89</v>
      </c>
      <c r="B89" s="18" t="s">
        <v>2702</v>
      </c>
      <c r="C89" s="18" t="s">
        <v>2695</v>
      </c>
      <c r="D89" s="19" t="str">
        <f>+E89</f>
        <v>7. Mindestleistung</v>
      </c>
      <c r="E89" s="33" t="s">
        <v>2818</v>
      </c>
      <c r="F89" s="6" t="s">
        <v>502</v>
      </c>
    </row>
    <row r="90" spans="1:6" ht="122.25">
      <c r="A90" s="17">
        <f>ROW()</f>
        <v>90</v>
      </c>
      <c r="B90" s="18" t="s">
        <v>2702</v>
      </c>
      <c r="C90" s="18" t="s">
        <v>2695</v>
      </c>
      <c r="D90" s="19" t="str">
        <f t="shared" si="4"/>
        <v xml:space="preserve"> 8. Höchstleistung</v>
      </c>
      <c r="E90" s="33" t="s">
        <v>2819</v>
      </c>
      <c r="F90" s="6" t="s">
        <v>532</v>
      </c>
    </row>
    <row r="91" spans="1:6" ht="179.25">
      <c r="A91" s="17">
        <f>ROW()</f>
        <v>91</v>
      </c>
      <c r="B91" s="18" t="s">
        <v>2702</v>
      </c>
      <c r="C91" s="18" t="s">
        <v>2799</v>
      </c>
      <c r="D91" s="19" t="str">
        <f>+C91</f>
        <v>Indexbindung / Anpassung</v>
      </c>
      <c r="E91" s="32" t="s">
        <v>2799</v>
      </c>
      <c r="F91" s="6" t="s">
        <v>1505</v>
      </c>
    </row>
    <row r="92" spans="1:6" ht="242.25">
      <c r="A92" s="17">
        <f>ROW()</f>
        <v>92</v>
      </c>
      <c r="B92" s="18" t="s">
        <v>2702</v>
      </c>
      <c r="C92" s="18" t="s">
        <v>2799</v>
      </c>
      <c r="D92" s="19" t="str">
        <f t="shared" ref="D92:D105" si="5">+E92</f>
        <v>Kumulation mit Erwerbseinkommen</v>
      </c>
      <c r="E92" s="32" t="s">
        <v>2723</v>
      </c>
      <c r="F92" s="6" t="s">
        <v>1535</v>
      </c>
    </row>
    <row r="93" spans="1:6" ht="275.25">
      <c r="A93" s="17">
        <f>ROW()</f>
        <v>93</v>
      </c>
      <c r="B93" s="18" t="s">
        <v>2702</v>
      </c>
      <c r="C93" s="18" t="s">
        <v>2799</v>
      </c>
      <c r="D93" s="19" t="str">
        <f t="shared" si="5"/>
        <v>Kumulation mit anderen Sozialleistungen</v>
      </c>
      <c r="E93" s="32" t="s">
        <v>2696</v>
      </c>
      <c r="F93" s="6" t="s">
        <v>1566</v>
      </c>
    </row>
    <row r="94" spans="1:6" ht="232.5">
      <c r="A94" s="17">
        <f>ROW()</f>
        <v>94</v>
      </c>
      <c r="B94" s="18" t="s">
        <v>2702</v>
      </c>
      <c r="C94" s="19" t="s">
        <v>2701</v>
      </c>
      <c r="D94" s="19" t="str">
        <f t="shared" si="5"/>
        <v>1. Besteuerung von Geldleistungen</v>
      </c>
      <c r="E94" s="33" t="s">
        <v>2770</v>
      </c>
      <c r="F94" s="6" t="s">
        <v>1584</v>
      </c>
    </row>
    <row r="95" spans="1:6" ht="387">
      <c r="A95" s="17">
        <f>ROW()</f>
        <v>95</v>
      </c>
      <c r="B95" s="18" t="s">
        <v>2702</v>
      </c>
      <c r="C95" s="19" t="s">
        <v>2701</v>
      </c>
      <c r="D95" s="19" t="str">
        <f t="shared" si="5"/>
        <v>2. Einkommensgrenze für Besteuerung von Geldleistungen</v>
      </c>
      <c r="E95" s="33" t="s">
        <v>2772</v>
      </c>
      <c r="F95" s="6" t="s">
        <v>789</v>
      </c>
    </row>
    <row r="96" spans="1:6" ht="288.75">
      <c r="A96" s="17">
        <f>ROW()</f>
        <v>96</v>
      </c>
      <c r="B96" s="18" t="s">
        <v>2702</v>
      </c>
      <c r="C96" s="19" t="s">
        <v>2701</v>
      </c>
      <c r="D96" s="19" t="str">
        <f t="shared" si="5"/>
        <v>3. Auf Leistungen anfallende Sozialabgaben</v>
      </c>
      <c r="E96" s="33" t="s">
        <v>2773</v>
      </c>
      <c r="F96" s="6" t="s">
        <v>1632</v>
      </c>
    </row>
    <row r="97" spans="1:6" ht="138">
      <c r="A97" s="17">
        <f>ROW()</f>
        <v>97</v>
      </c>
      <c r="B97" s="18" t="s">
        <v>2702</v>
      </c>
      <c r="C97" s="19" t="s">
        <v>2775</v>
      </c>
      <c r="D97" s="19" t="str">
        <f t="shared" si="5"/>
        <v>Anwendungsbereich</v>
      </c>
      <c r="E97" s="33" t="s">
        <v>2708</v>
      </c>
      <c r="F97" s="6" t="s">
        <v>860</v>
      </c>
    </row>
    <row r="98" spans="1:6" ht="110.25">
      <c r="A98" s="17">
        <f>ROW()</f>
        <v>98</v>
      </c>
      <c r="B98" s="18" t="s">
        <v>2702</v>
      </c>
      <c r="C98" s="19" t="s">
        <v>2775</v>
      </c>
      <c r="D98" s="19" t="str">
        <f t="shared" si="5"/>
        <v>Grundprinzipien</v>
      </c>
      <c r="E98" s="33" t="s">
        <v>2709</v>
      </c>
      <c r="F98" s="6" t="s">
        <v>1666</v>
      </c>
    </row>
    <row r="99" spans="1:6" ht="224.25">
      <c r="A99" s="17">
        <f>ROW()</f>
        <v>99</v>
      </c>
      <c r="B99" s="18" t="s">
        <v>2702</v>
      </c>
      <c r="C99" s="19" t="s">
        <v>2775</v>
      </c>
      <c r="D99" s="19" t="str">
        <f t="shared" si="5"/>
        <v>Voraussetzungen für die Deckung</v>
      </c>
      <c r="E99" s="33" t="s">
        <v>2710</v>
      </c>
      <c r="F99" s="6" t="s">
        <v>899</v>
      </c>
    </row>
    <row r="100" spans="1:6" ht="409.5">
      <c r="A100" s="17">
        <f>ROW()</f>
        <v>100</v>
      </c>
      <c r="B100" s="18" t="s">
        <v>2702</v>
      </c>
      <c r="C100" s="19" t="s">
        <v>2775</v>
      </c>
      <c r="D100" s="19" t="str">
        <f t="shared" si="5"/>
        <v>Kombination von selbstständiger und unselbstständiger Tätigkeit</v>
      </c>
      <c r="E100" s="33" t="s">
        <v>2698</v>
      </c>
      <c r="F100" s="6" t="s">
        <v>920</v>
      </c>
    </row>
    <row r="101" spans="1:6" ht="376.5">
      <c r="A101" s="17">
        <f>ROW()</f>
        <v>101</v>
      </c>
      <c r="B101" s="18" t="s">
        <v>2702</v>
      </c>
      <c r="C101" s="19" t="s">
        <v>2775</v>
      </c>
      <c r="D101" s="19" t="str">
        <f t="shared" si="5"/>
        <v xml:space="preserve">Voraussetzungen für den Zugang zu Diensten/Leistungen </v>
      </c>
      <c r="E101" s="33" t="s">
        <v>2699</v>
      </c>
      <c r="F101" s="6" t="s">
        <v>917</v>
      </c>
    </row>
    <row r="102" spans="1:6" ht="253.5">
      <c r="A102" s="17">
        <f>ROW()</f>
        <v>102</v>
      </c>
      <c r="B102" s="18" t="s">
        <v>2702</v>
      </c>
      <c r="C102" s="19" t="s">
        <v>2775</v>
      </c>
      <c r="D102" s="19" t="str">
        <f t="shared" si="5"/>
        <v>Beträge, Dauer und Kostenbeteiligung</v>
      </c>
      <c r="E102" s="33" t="s">
        <v>2700</v>
      </c>
      <c r="F102" s="6" t="s">
        <v>917</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971</v>
      </c>
    </row>
    <row r="105" spans="1:6" ht="272.25">
      <c r="A105" s="17">
        <f>ROW()</f>
        <v>105</v>
      </c>
      <c r="B105" s="18" t="s">
        <v>2702</v>
      </c>
      <c r="C105" s="19" t="s">
        <v>2775</v>
      </c>
      <c r="D105" s="19" t="str">
        <f t="shared" si="5"/>
        <v>Auf Leistungen anfallende Sozialabgaben</v>
      </c>
      <c r="E105" s="33" t="s">
        <v>2683</v>
      </c>
      <c r="F105" s="6" t="s">
        <v>1708</v>
      </c>
    </row>
    <row r="106" spans="1:6"/>
    <row r="107" spans="1:6"/>
    <row r="108" spans="1:6"/>
    <row r="109" spans="1:6"/>
    <row r="110" spans="1:6"/>
    <row r="111" spans="1:6"/>
    <row r="112" spans="1:6"/>
    <row r="113"/>
  </sheetData>
  <sheetProtection algorithmName="SHA-512" hashValue="uztIuOCVPy+e4+DQ5jLZlTniGuQLSi+9aXEhjBXjtyPk7+ajTfZWoY23+qPkEAOHJQ717T7ypULZKrE05TVokQ==" saltValue="0J93xoQ4DKVMLSfqnHhW4g==" spinCount="100000" sheet="1" objects="1" scenarios="1" formatColumns="0" autoFilter="0"/>
  <autoFilter ref="A2:F2" xr:uid="{34CAEBB2-9C2F-43F9-BEDB-BE02755FA6FE}"/>
  <pageMargins left="0.7" right="0.7" top="0.78740157499999996" bottom="0.78740157499999996"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4751D-3FC5-444A-887D-2A020C8CE173}">
  <sheetPr codeName="Tabelle17" filterMode="1"/>
  <dimension ref="A1:F113"/>
  <sheetViews>
    <sheetView workbookViewId="0">
      <pane xSplit="5" ySplit="2" topLeftCell="F49" activePane="bottomRight" state="frozen"/>
      <selection activeCell="F2" sqref="F2"/>
      <selection pane="topRight" activeCell="F2" sqref="F2"/>
      <selection pane="bottomLeft" activeCell="F2" sqref="F2"/>
      <selection pane="bottomRight" sqref="A1:F113"/>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39" t="s">
        <v>2726</v>
      </c>
      <c r="C1" s="136" t="s">
        <v>2739</v>
      </c>
      <c r="D1" s="136" t="s">
        <v>2728</v>
      </c>
      <c r="E1" s="128" t="s">
        <v>3506</v>
      </c>
      <c r="F1" s="16" t="s">
        <v>15</v>
      </c>
    </row>
    <row r="2" spans="1:6" ht="39.75" customHeight="1">
      <c r="A2" s="138"/>
      <c r="B2" s="139"/>
      <c r="C2" s="136"/>
      <c r="D2" s="136"/>
      <c r="E2" s="134"/>
      <c r="F2" s="173" t="str" cm="1">
        <f t="array" ref="F2">_xlfn.TEXTJOIN("; ", TRUE, IF(Entscheidungen!A2:A100=F1, Entscheidungen!B2:B100, ""))</f>
        <v>OLG Saarbrücken, 17.05.2011 – 6 UF 60/11; OLG Koblenz, 29.05.2015 – 9 UF 386/14 (Juris)</v>
      </c>
    </row>
    <row r="3" spans="1:6" ht="177" hidden="1">
      <c r="A3" s="17">
        <f>ROW()</f>
        <v>3</v>
      </c>
      <c r="B3" s="18" t="s">
        <v>2740</v>
      </c>
      <c r="C3" s="18"/>
      <c r="D3" s="18" t="str">
        <f>+E3</f>
        <v>Geltende Rechtsgrundlage</v>
      </c>
      <c r="E3" s="31" t="s">
        <v>2724</v>
      </c>
      <c r="F3" s="6" t="s">
        <v>3152</v>
      </c>
    </row>
    <row r="4" spans="1:6" ht="120" hidden="1">
      <c r="A4" s="17">
        <f>ROW()</f>
        <v>4</v>
      </c>
      <c r="B4" s="18" t="s">
        <v>2740</v>
      </c>
      <c r="C4" s="1"/>
      <c r="D4" s="18" t="str">
        <f t="shared" ref="D4:D34" si="0">+E4</f>
        <v>Grundprinzipien</v>
      </c>
      <c r="E4" s="32" t="s">
        <v>2709</v>
      </c>
      <c r="F4" s="6" t="s">
        <v>3153</v>
      </c>
    </row>
    <row r="5" spans="1:6" ht="188.25" hidden="1">
      <c r="A5" s="17">
        <f>ROW()</f>
        <v>5</v>
      </c>
      <c r="B5" s="18" t="s">
        <v>2740</v>
      </c>
      <c r="C5" s="1"/>
      <c r="D5" s="18" t="str">
        <f t="shared" si="0"/>
        <v>Gedecktes Risiko: Definition</v>
      </c>
      <c r="E5" s="32" t="s">
        <v>2891</v>
      </c>
      <c r="F5" s="6" t="s">
        <v>3154</v>
      </c>
    </row>
    <row r="6" spans="1:6" ht="165" hidden="1">
      <c r="A6" s="17">
        <f>ROW()</f>
        <v>6</v>
      </c>
      <c r="B6" s="18" t="s">
        <v>2740</v>
      </c>
      <c r="C6" s="18" t="s">
        <v>2653</v>
      </c>
      <c r="D6" s="18" t="str">
        <f t="shared" si="0"/>
        <v>Versicherte Personen</v>
      </c>
      <c r="E6" s="33" t="s">
        <v>2653</v>
      </c>
      <c r="F6" s="6" t="s">
        <v>3155</v>
      </c>
    </row>
    <row r="7" spans="1:6" ht="273" hidden="1">
      <c r="A7" s="17">
        <f>ROW()</f>
        <v>7</v>
      </c>
      <c r="B7" s="18" t="s">
        <v>2740</v>
      </c>
      <c r="C7" s="18" t="str">
        <f>+E6</f>
        <v>Versicherte Personen</v>
      </c>
      <c r="D7" s="18" t="str">
        <f t="shared" si="0"/>
        <v>Ausnahmen von der Versicherungspflicht</v>
      </c>
      <c r="E7" s="33" t="s">
        <v>2685</v>
      </c>
      <c r="F7" s="6" t="s">
        <v>3156</v>
      </c>
    </row>
    <row r="8" spans="1:6" ht="194.25" hidden="1">
      <c r="A8" s="17">
        <f>ROW()</f>
        <v>8</v>
      </c>
      <c r="B8" s="18" t="s">
        <v>2740</v>
      </c>
      <c r="C8" s="19" t="s">
        <v>149</v>
      </c>
      <c r="D8" s="18" t="str">
        <f t="shared" si="0"/>
        <v>1. Anwartschaftszeit</v>
      </c>
      <c r="E8" s="33" t="s">
        <v>2744</v>
      </c>
      <c r="F8" s="6" t="s">
        <v>3157</v>
      </c>
    </row>
    <row r="9" spans="1:6" ht="409.5" hidden="1">
      <c r="A9" s="17">
        <f>ROW()</f>
        <v>9</v>
      </c>
      <c r="B9" s="18" t="s">
        <v>2740</v>
      </c>
      <c r="C9" s="19" t="s">
        <v>149</v>
      </c>
      <c r="D9" s="18" t="str">
        <f t="shared" si="0"/>
        <v xml:space="preserve">2. Begutachtungskriterien und Kategorien der Arbeitsunfähigkeit/Arbeitsfähigkeit  </v>
      </c>
      <c r="E9" s="33" t="s">
        <v>2745</v>
      </c>
      <c r="F9" s="6" t="s">
        <v>3158</v>
      </c>
    </row>
    <row r="10" spans="1:6" ht="285" hidden="1">
      <c r="A10" s="17">
        <f>ROW()</f>
        <v>10</v>
      </c>
      <c r="B10" s="18" t="s">
        <v>2740</v>
      </c>
      <c r="C10" s="19" t="s">
        <v>149</v>
      </c>
      <c r="D10" s="18" t="str">
        <f t="shared" si="0"/>
        <v>3. Zeitraum der Leistungszahlung</v>
      </c>
      <c r="E10" s="33" t="s">
        <v>2747</v>
      </c>
      <c r="F10" s="6" t="s">
        <v>3159</v>
      </c>
    </row>
    <row r="11" spans="1:6" ht="195" hidden="1">
      <c r="A11" s="17">
        <f>ROW()</f>
        <v>11</v>
      </c>
      <c r="B11" s="18" t="s">
        <v>2740</v>
      </c>
      <c r="C11" s="19" t="s">
        <v>2749</v>
      </c>
      <c r="D11" s="18" t="str">
        <f t="shared" si="0"/>
        <v>1. Gutachter</v>
      </c>
      <c r="E11" s="33" t="s">
        <v>2750</v>
      </c>
      <c r="F11" s="6" t="s">
        <v>3160</v>
      </c>
    </row>
    <row r="12" spans="1:6" ht="111.75" hidden="1">
      <c r="A12" s="17">
        <f>ROW()</f>
        <v>12</v>
      </c>
      <c r="B12" s="18" t="s">
        <v>2740</v>
      </c>
      <c r="C12" s="19" t="s">
        <v>2749</v>
      </c>
      <c r="D12" s="18" t="str">
        <f t="shared" si="0"/>
        <v xml:space="preserve">2. Überprüfung  </v>
      </c>
      <c r="E12" s="33" t="s">
        <v>2751</v>
      </c>
      <c r="F12" s="6" t="s">
        <v>3161</v>
      </c>
    </row>
    <row r="13" spans="1:6" ht="330" hidden="1">
      <c r="A13" s="17">
        <f>ROW()</f>
        <v>13</v>
      </c>
      <c r="B13" s="18" t="s">
        <v>2740</v>
      </c>
      <c r="C13" s="18" t="s">
        <v>2695</v>
      </c>
      <c r="D13" s="18" t="str">
        <f t="shared" si="0"/>
        <v>1. Berechnungsmethode bzw. Rentenformel</v>
      </c>
      <c r="E13" s="33" t="s">
        <v>2753</v>
      </c>
      <c r="F13" s="6" t="s">
        <v>3162</v>
      </c>
    </row>
    <row r="14" spans="1:6" ht="343.5" hidden="1">
      <c r="A14" s="17">
        <f>ROW()</f>
        <v>14</v>
      </c>
      <c r="B14" s="18" t="s">
        <v>2740</v>
      </c>
      <c r="C14" s="18" t="s">
        <v>2695</v>
      </c>
      <c r="D14" s="18" t="str">
        <f t="shared" si="0"/>
        <v>2. Referenzeinkommen bzw. Berechnungsgrundlage</v>
      </c>
      <c r="E14" s="33" t="s">
        <v>2754</v>
      </c>
      <c r="F14" s="6" t="s">
        <v>3163</v>
      </c>
    </row>
    <row r="15" spans="1:6" ht="226.5" hidden="1">
      <c r="A15" s="17">
        <f>ROW()</f>
        <v>15</v>
      </c>
      <c r="B15" s="18" t="s">
        <v>2740</v>
      </c>
      <c r="C15" s="18" t="s">
        <v>2695</v>
      </c>
      <c r="D15" s="18" t="str">
        <f t="shared" si="0"/>
        <v>3. Mindest- und Höchstleistungen</v>
      </c>
      <c r="E15" s="33" t="s">
        <v>2756</v>
      </c>
      <c r="F15" s="6" t="s">
        <v>3164</v>
      </c>
    </row>
    <row r="16" spans="1:6" ht="405" hidden="1">
      <c r="A16" s="17">
        <f>ROW()</f>
        <v>16</v>
      </c>
      <c r="B16" s="18" t="s">
        <v>2740</v>
      </c>
      <c r="C16" s="18" t="s">
        <v>2695</v>
      </c>
      <c r="D16" s="18" t="str">
        <f t="shared" si="0"/>
        <v>4. Anrechenbare oder als Beitragszeiten gewertete Zeiträume</v>
      </c>
      <c r="E16" s="33" t="s">
        <v>2757</v>
      </c>
      <c r="F16" s="6" t="s">
        <v>3165</v>
      </c>
    </row>
    <row r="17" spans="1:6" ht="250.5" hidden="1">
      <c r="A17" s="17">
        <f>ROW()</f>
        <v>17</v>
      </c>
      <c r="B17" s="18" t="s">
        <v>2740</v>
      </c>
      <c r="C17" s="18" t="s">
        <v>2695</v>
      </c>
      <c r="D17" s="18" t="str">
        <f t="shared" si="0"/>
        <v xml:space="preserve">5. Zulagen für Unterhaltsberechtigte  </v>
      </c>
      <c r="E17" s="33" t="s">
        <v>2759</v>
      </c>
      <c r="F17" s="6" t="s">
        <v>2240</v>
      </c>
    </row>
    <row r="18" spans="1:6" ht="135" hidden="1">
      <c r="A18" s="17">
        <f>ROW()</f>
        <v>18</v>
      </c>
      <c r="B18" s="18" t="s">
        <v>2740</v>
      </c>
      <c r="C18" s="18" t="str">
        <f>+E18</f>
        <v>Sonstige Leistungen</v>
      </c>
      <c r="D18" s="18" t="str">
        <f>+E18</f>
        <v>Sonstige Leistungen</v>
      </c>
      <c r="E18" s="32" t="s">
        <v>2678</v>
      </c>
      <c r="F18" s="6" t="s">
        <v>3166</v>
      </c>
    </row>
    <row r="19" spans="1:6" ht="300.75" hidden="1">
      <c r="A19" s="17">
        <f>ROW()</f>
        <v>19</v>
      </c>
      <c r="B19" s="18" t="s">
        <v>2740</v>
      </c>
      <c r="C19" s="18" t="s">
        <v>2761</v>
      </c>
      <c r="D19" s="18" t="str">
        <f t="shared" si="0"/>
        <v>Umschulung, berufsbezogene Rehabilitation</v>
      </c>
      <c r="E19" s="33" t="s">
        <v>2762</v>
      </c>
      <c r="F19" s="6" t="s">
        <v>3167</v>
      </c>
    </row>
    <row r="20" spans="1:6" ht="409.5" hidden="1">
      <c r="A20" s="17">
        <f>ROW()</f>
        <v>20</v>
      </c>
      <c r="B20" s="18" t="s">
        <v>2740</v>
      </c>
      <c r="C20" s="18" t="s">
        <v>2761</v>
      </c>
      <c r="D20" s="18" t="str">
        <f t="shared" si="0"/>
        <v xml:space="preserve">Bevorzugte und reservierte Beschäftigung von Menschen mit Behinderungen  </v>
      </c>
      <c r="E20" s="33" t="s">
        <v>2763</v>
      </c>
      <c r="F20" s="6" t="s">
        <v>3168</v>
      </c>
    </row>
    <row r="21" spans="1:6" ht="171.75" hidden="1">
      <c r="A21" s="17">
        <f>ROW()</f>
        <v>21</v>
      </c>
      <c r="B21" s="18" t="s">
        <v>2740</v>
      </c>
      <c r="C21" s="18" t="s">
        <v>2765</v>
      </c>
      <c r="D21" s="18" t="str">
        <f t="shared" si="0"/>
        <v>Indexbindung/Anpassung</v>
      </c>
      <c r="E21" s="32" t="s">
        <v>2766</v>
      </c>
      <c r="F21" s="6" t="s">
        <v>3169</v>
      </c>
    </row>
    <row r="22" spans="1:6" ht="242.25" hidden="1">
      <c r="A22" s="17">
        <f>ROW()</f>
        <v>22</v>
      </c>
      <c r="B22" s="18" t="s">
        <v>2740</v>
      </c>
      <c r="C22" s="18" t="s">
        <v>2765</v>
      </c>
      <c r="D22" s="18" t="str">
        <f>+E22</f>
        <v>Kumulation mit Erwerbseinkommen</v>
      </c>
      <c r="E22" s="32" t="s">
        <v>2723</v>
      </c>
      <c r="F22" s="6" t="s">
        <v>3170</v>
      </c>
    </row>
    <row r="23" spans="1:6" ht="275.25" hidden="1">
      <c r="A23" s="17">
        <f>ROW()</f>
        <v>23</v>
      </c>
      <c r="B23" s="18" t="s">
        <v>2740</v>
      </c>
      <c r="C23" s="18" t="s">
        <v>2765</v>
      </c>
      <c r="D23" s="18" t="str">
        <f t="shared" si="0"/>
        <v>Kumulation mit anderen Sozialleistungen</v>
      </c>
      <c r="E23" s="32" t="s">
        <v>2696</v>
      </c>
      <c r="F23" s="6" t="s">
        <v>3171</v>
      </c>
    </row>
    <row r="24" spans="1:6" ht="232.5" hidden="1">
      <c r="A24" s="17">
        <f>ROW()</f>
        <v>24</v>
      </c>
      <c r="B24" s="18" t="s">
        <v>2740</v>
      </c>
      <c r="C24" s="18" t="s">
        <v>2701</v>
      </c>
      <c r="D24" s="18" t="str">
        <f t="shared" si="0"/>
        <v>1. Besteuerung von Geldleistungen</v>
      </c>
      <c r="E24" s="33" t="s">
        <v>2770</v>
      </c>
      <c r="F24" s="6" t="s">
        <v>762</v>
      </c>
    </row>
    <row r="25" spans="1:6" ht="387" hidden="1">
      <c r="A25" s="17">
        <f>ROW()</f>
        <v>25</v>
      </c>
      <c r="B25" s="18" t="s">
        <v>2740</v>
      </c>
      <c r="C25" s="18" t="s">
        <v>2701</v>
      </c>
      <c r="D25" s="18" t="str">
        <f t="shared" si="0"/>
        <v>2. Einkommensgrenze für Besteuerung von Geldleistungen</v>
      </c>
      <c r="E25" s="33" t="s">
        <v>2772</v>
      </c>
      <c r="F25" s="6" t="s">
        <v>3172</v>
      </c>
    </row>
    <row r="26" spans="1:6" ht="288.75" hidden="1">
      <c r="A26" s="17">
        <f>ROW()</f>
        <v>26</v>
      </c>
      <c r="B26" s="18" t="s">
        <v>2740</v>
      </c>
      <c r="C26" s="18" t="s">
        <v>2701</v>
      </c>
      <c r="D26" s="18" t="str">
        <f t="shared" si="0"/>
        <v>3. Auf Leistungen anfallende Sozialabgaben</v>
      </c>
      <c r="E26" s="33" t="s">
        <v>2773</v>
      </c>
      <c r="F26" s="6" t="s">
        <v>3173</v>
      </c>
    </row>
    <row r="27" spans="1:6" ht="138" hidden="1">
      <c r="A27" s="17">
        <f>ROW()</f>
        <v>27</v>
      </c>
      <c r="B27" s="18" t="s">
        <v>2740</v>
      </c>
      <c r="C27" s="18" t="s">
        <v>2775</v>
      </c>
      <c r="D27" s="18" t="str">
        <f t="shared" si="0"/>
        <v>Anwendungsbereich</v>
      </c>
      <c r="E27" s="33" t="s">
        <v>2708</v>
      </c>
      <c r="F27" s="6" t="s">
        <v>852</v>
      </c>
    </row>
    <row r="28" spans="1:6" ht="110.25" hidden="1">
      <c r="A28" s="17">
        <f>ROW()</f>
        <v>28</v>
      </c>
      <c r="B28" s="18" t="s">
        <v>2740</v>
      </c>
      <c r="C28" s="18" t="s">
        <v>2775</v>
      </c>
      <c r="D28" s="18" t="str">
        <f t="shared" si="0"/>
        <v>Grundprinzipien</v>
      </c>
      <c r="E28" s="33" t="s">
        <v>2709</v>
      </c>
      <c r="F28" s="6" t="s">
        <v>878</v>
      </c>
    </row>
    <row r="29" spans="1:6" ht="224.25" hidden="1">
      <c r="A29" s="17">
        <f>ROW()</f>
        <v>29</v>
      </c>
      <c r="B29" s="18" t="s">
        <v>2740</v>
      </c>
      <c r="C29" s="18" t="s">
        <v>2775</v>
      </c>
      <c r="D29" s="18" t="str">
        <f t="shared" si="0"/>
        <v>Voraussetzungen für die Deckung</v>
      </c>
      <c r="E29" s="33" t="s">
        <v>2710</v>
      </c>
      <c r="F29" s="6" t="s">
        <v>899</v>
      </c>
    </row>
    <row r="30" spans="1:6" ht="409.5" hidden="1">
      <c r="A30" s="17">
        <f>ROW()</f>
        <v>30</v>
      </c>
      <c r="B30" s="18" t="s">
        <v>2740</v>
      </c>
      <c r="C30" s="18" t="s">
        <v>2775</v>
      </c>
      <c r="D30" s="19" t="str">
        <f t="shared" si="0"/>
        <v>Kombination von selbstständiger und unselbstständiger Tätigkeit</v>
      </c>
      <c r="E30" s="33" t="s">
        <v>2698</v>
      </c>
      <c r="F30" s="6" t="s">
        <v>920</v>
      </c>
    </row>
    <row r="31" spans="1:6" ht="376.5" hidden="1">
      <c r="A31" s="17">
        <f>ROW()</f>
        <v>31</v>
      </c>
      <c r="B31" s="18" t="s">
        <v>2740</v>
      </c>
      <c r="C31" s="18" t="s">
        <v>2695</v>
      </c>
      <c r="D31" s="19" t="str">
        <f t="shared" si="0"/>
        <v xml:space="preserve">Voraussetzungen für den Zugang zu Diensten/Leistungen </v>
      </c>
      <c r="E31" s="33" t="s">
        <v>2699</v>
      </c>
      <c r="F31" s="6" t="s">
        <v>940</v>
      </c>
    </row>
    <row r="32" spans="1:6" ht="253.5" hidden="1">
      <c r="A32" s="17">
        <f>ROW()</f>
        <v>32</v>
      </c>
      <c r="B32" s="18" t="s">
        <v>2740</v>
      </c>
      <c r="C32" s="18" t="s">
        <v>2695</v>
      </c>
      <c r="D32" s="18" t="str">
        <f t="shared" si="0"/>
        <v>Beträge, Dauer und Kostenbeteiligung</v>
      </c>
      <c r="E32" s="33" t="s">
        <v>2700</v>
      </c>
      <c r="F32" s="6" t="s">
        <v>940</v>
      </c>
    </row>
    <row r="33" spans="1:6" ht="216" hidden="1">
      <c r="A33" s="17">
        <f>ROW()</f>
        <v>33</v>
      </c>
      <c r="B33" s="18" t="s">
        <v>2740</v>
      </c>
      <c r="C33" s="18" t="s">
        <v>2695</v>
      </c>
      <c r="D33" s="18" t="str">
        <f t="shared" si="0"/>
        <v>Besteuerung von Geldleistungen</v>
      </c>
      <c r="E33" s="33" t="s">
        <v>2681</v>
      </c>
      <c r="F33" s="6" t="s">
        <v>940</v>
      </c>
    </row>
    <row r="34" spans="1:6" ht="276.75" hidden="1">
      <c r="A34" s="17">
        <f>ROW()</f>
        <v>34</v>
      </c>
      <c r="B34" s="18" t="s">
        <v>2740</v>
      </c>
      <c r="C34" s="18" t="s">
        <v>2695</v>
      </c>
      <c r="D34" s="18" t="str">
        <f t="shared" si="0"/>
        <v xml:space="preserve"> Auf Leistungen anfallende Sozialabgaben</v>
      </c>
      <c r="E34" s="33" t="s">
        <v>2779</v>
      </c>
      <c r="F34" s="6" t="s">
        <v>940</v>
      </c>
    </row>
    <row r="35" spans="1:6" ht="177" hidden="1">
      <c r="A35" s="17">
        <f>ROW()</f>
        <v>35</v>
      </c>
      <c r="B35" s="18" t="s">
        <v>2780</v>
      </c>
      <c r="C35" s="18" t="str">
        <f>+D35</f>
        <v>Geltende Rechtsgrundlage</v>
      </c>
      <c r="D35" s="18" t="str">
        <f>+E35</f>
        <v>Geltende Rechtsgrundlage</v>
      </c>
      <c r="E35" s="32" t="s">
        <v>2724</v>
      </c>
      <c r="F35" s="6" t="s">
        <v>46</v>
      </c>
    </row>
    <row r="36" spans="1:6" ht="225" hidden="1">
      <c r="A36" s="17">
        <f>ROW()</f>
        <v>36</v>
      </c>
      <c r="B36" s="18" t="s">
        <v>2780</v>
      </c>
      <c r="C36" s="18" t="str">
        <f>+D36</f>
        <v>Grundprinzipien</v>
      </c>
      <c r="D36" s="18" t="str">
        <f>+E36</f>
        <v>Grundprinzipien</v>
      </c>
      <c r="E36" s="32" t="s">
        <v>2709</v>
      </c>
      <c r="F36" s="6" t="s">
        <v>77</v>
      </c>
    </row>
    <row r="37" spans="1:6" ht="159.75" hidden="1">
      <c r="A37" s="17">
        <f>ROW()</f>
        <v>37</v>
      </c>
      <c r="B37" s="18" t="s">
        <v>2780</v>
      </c>
      <c r="C37" s="18" t="s">
        <v>2708</v>
      </c>
      <c r="D37" s="18" t="str">
        <f>+E37</f>
        <v>1. Versicherte Personen</v>
      </c>
      <c r="E37" s="33" t="s">
        <v>2781</v>
      </c>
      <c r="F37" s="6" t="s">
        <v>109</v>
      </c>
    </row>
    <row r="38" spans="1:6" ht="371.25" hidden="1">
      <c r="A38" s="17">
        <f>ROW()</f>
        <v>38</v>
      </c>
      <c r="B38" s="18" t="s">
        <v>2780</v>
      </c>
      <c r="C38" s="18" t="s">
        <v>2708</v>
      </c>
      <c r="D38" s="18" t="str">
        <f t="shared" ref="D38:D58" si="1">+E38</f>
        <v>2. Ausnahmen von der Deckung  der Pflichtversicherung</v>
      </c>
      <c r="E38" s="33" t="s">
        <v>2782</v>
      </c>
      <c r="F38" s="6" t="s">
        <v>137</v>
      </c>
    </row>
    <row r="39" spans="1:6" ht="194.25" hidden="1">
      <c r="A39" s="17">
        <f>ROW()</f>
        <v>39</v>
      </c>
      <c r="B39" s="18" t="s">
        <v>2780</v>
      </c>
      <c r="C39" s="18" t="s">
        <v>149</v>
      </c>
      <c r="D39" s="18" t="str">
        <f t="shared" si="1"/>
        <v>1. Rentenalter</v>
      </c>
      <c r="E39" s="33" t="s">
        <v>2784</v>
      </c>
      <c r="F39" s="6" t="s">
        <v>165</v>
      </c>
    </row>
    <row r="40" spans="1:6" ht="409.5" hidden="1">
      <c r="A40" s="17">
        <f>ROW()</f>
        <v>40</v>
      </c>
      <c r="B40" s="18" t="s">
        <v>2780</v>
      </c>
      <c r="C40" s="18" t="s">
        <v>149</v>
      </c>
      <c r="D40" s="18" t="str">
        <f t="shared" si="1"/>
        <v>2. Anwartschaftszeit und sonstige Anspruchsvoraussetzungen für den Bezug einer Altersrente</v>
      </c>
      <c r="E40" s="33" t="s">
        <v>2785</v>
      </c>
      <c r="F40" s="6" t="s">
        <v>196</v>
      </c>
    </row>
    <row r="41" spans="1:6" ht="194.25" hidden="1">
      <c r="A41" s="17">
        <f>ROW()</f>
        <v>41</v>
      </c>
      <c r="B41" s="18" t="s">
        <v>2780</v>
      </c>
      <c r="C41" s="18" t="s">
        <v>149</v>
      </c>
      <c r="D41" s="18" t="str">
        <f t="shared" si="1"/>
        <v>3. Vorruhestand</v>
      </c>
      <c r="E41" s="33" t="s">
        <v>2786</v>
      </c>
      <c r="F41" s="6" t="s">
        <v>227</v>
      </c>
    </row>
    <row r="42" spans="1:6" ht="264" hidden="1">
      <c r="A42" s="17">
        <f>ROW()</f>
        <v>42</v>
      </c>
      <c r="B42" s="18" t="s">
        <v>2780</v>
      </c>
      <c r="C42" s="18" t="s">
        <v>149</v>
      </c>
      <c r="D42" s="18" t="str">
        <f t="shared" si="1"/>
        <v>4. Beschwerliche und gefährliche Arbeit</v>
      </c>
      <c r="E42" s="33" t="s">
        <v>2787</v>
      </c>
      <c r="F42" s="6" t="s">
        <v>258</v>
      </c>
    </row>
    <row r="43" spans="1:6" ht="194.25" hidden="1">
      <c r="A43" s="17">
        <f>ROW()</f>
        <v>43</v>
      </c>
      <c r="B43" s="18" t="s">
        <v>2780</v>
      </c>
      <c r="C43" s="18" t="s">
        <v>149</v>
      </c>
      <c r="D43" s="18" t="str">
        <f t="shared" si="1"/>
        <v>5. Rentenaufschub</v>
      </c>
      <c r="E43" s="33" t="s">
        <v>2788</v>
      </c>
      <c r="F43" s="6" t="s">
        <v>285</v>
      </c>
    </row>
    <row r="44" spans="1:6" ht="174">
      <c r="A44" s="17">
        <f>ROW()</f>
        <v>44</v>
      </c>
      <c r="B44" s="18" t="s">
        <v>2780</v>
      </c>
      <c r="C44" s="18" t="s">
        <v>2695</v>
      </c>
      <c r="D44" s="18" t="str">
        <f t="shared" si="1"/>
        <v>1. Bestimmende Faktoren</v>
      </c>
      <c r="E44" s="33" t="s">
        <v>2789</v>
      </c>
      <c r="F44" s="6" t="s">
        <v>312</v>
      </c>
    </row>
    <row r="45" spans="1:6" ht="349.5">
      <c r="A45" s="17">
        <f>ROW()</f>
        <v>45</v>
      </c>
      <c r="B45" s="18" t="s">
        <v>2780</v>
      </c>
      <c r="C45" s="18" t="s">
        <v>2695</v>
      </c>
      <c r="D45" s="18" t="str">
        <f t="shared" si="1"/>
        <v>2. Berechnungsmethode, Rentenformel bzw. Beträge</v>
      </c>
      <c r="E45" s="33" t="s">
        <v>2790</v>
      </c>
      <c r="F45" s="6" t="s">
        <v>4752</v>
      </c>
    </row>
    <row r="46" spans="1:6" ht="343.5">
      <c r="A46" s="17">
        <f>ROW()</f>
        <v>46</v>
      </c>
      <c r="B46" s="18" t="s">
        <v>2780</v>
      </c>
      <c r="C46" s="18" t="s">
        <v>2695</v>
      </c>
      <c r="D46" s="18" t="str">
        <f t="shared" si="1"/>
        <v>3. Referenzeinkommen bzw. Berechnungsgrundlage</v>
      </c>
      <c r="E46" s="33" t="s">
        <v>2791</v>
      </c>
      <c r="F46" s="6" t="s">
        <v>374</v>
      </c>
    </row>
    <row r="47" spans="1:6" ht="405">
      <c r="A47" s="17">
        <f>ROW()</f>
        <v>47</v>
      </c>
      <c r="B47" s="18" t="s">
        <v>2780</v>
      </c>
      <c r="C47" s="18" t="s">
        <v>2695</v>
      </c>
      <c r="D47" s="18" t="str">
        <f t="shared" si="1"/>
        <v>4. Anrechenbare oder als Beitragszeiten gewertete Zeiträume</v>
      </c>
      <c r="E47" s="33" t="s">
        <v>2757</v>
      </c>
      <c r="F47" s="6" t="s">
        <v>4753</v>
      </c>
    </row>
    <row r="48" spans="1:6" ht="243.75">
      <c r="A48" s="17">
        <f>ROW()</f>
        <v>48</v>
      </c>
      <c r="B48" s="18" t="s">
        <v>2780</v>
      </c>
      <c r="C48" s="18" t="s">
        <v>2695</v>
      </c>
      <c r="D48" s="18" t="str">
        <f t="shared" si="1"/>
        <v>5. Rückkauf von Versicherungszeiten</v>
      </c>
      <c r="E48" s="33" t="s">
        <v>2792</v>
      </c>
      <c r="F48" s="6" t="s">
        <v>435</v>
      </c>
    </row>
    <row r="49" spans="1:6" ht="246">
      <c r="A49" s="17">
        <f>ROW()</f>
        <v>49</v>
      </c>
      <c r="B49" s="18" t="s">
        <v>2780</v>
      </c>
      <c r="C49" s="18" t="s">
        <v>2695</v>
      </c>
      <c r="D49" s="18" t="str">
        <f t="shared" si="1"/>
        <v>6.  Zulagen für Unterhaltsberechtigte</v>
      </c>
      <c r="E49" s="33" t="s">
        <v>2892</v>
      </c>
      <c r="F49" s="6" t="s">
        <v>459</v>
      </c>
    </row>
    <row r="50" spans="1:6" ht="145.5">
      <c r="A50" s="17">
        <f>ROW()</f>
        <v>50</v>
      </c>
      <c r="B50" s="18" t="s">
        <v>2780</v>
      </c>
      <c r="C50" s="18" t="s">
        <v>2695</v>
      </c>
      <c r="D50" s="18" t="str">
        <f t="shared" si="1"/>
        <v>7. Besondere Zulagen</v>
      </c>
      <c r="E50" s="33" t="s">
        <v>2793</v>
      </c>
      <c r="F50" s="6" t="s">
        <v>484</v>
      </c>
    </row>
    <row r="51" spans="1:6" ht="360.75">
      <c r="A51" s="17">
        <f>ROW()</f>
        <v>51</v>
      </c>
      <c r="B51" s="18" t="s">
        <v>2780</v>
      </c>
      <c r="C51" s="18" t="s">
        <v>2695</v>
      </c>
      <c r="D51" s="18" t="str">
        <f t="shared" si="1"/>
        <v>8. Mindestrente und bedürftigkeitsabhängige Leistung</v>
      </c>
      <c r="E51" s="33" t="s">
        <v>2794</v>
      </c>
      <c r="F51" s="6" t="s">
        <v>514</v>
      </c>
    </row>
    <row r="52" spans="1:6" ht="101.25">
      <c r="A52" s="17">
        <f>ROW()</f>
        <v>52</v>
      </c>
      <c r="B52" s="18" t="s">
        <v>2780</v>
      </c>
      <c r="C52" s="18" t="s">
        <v>2695</v>
      </c>
      <c r="D52" s="18" t="str">
        <f t="shared" si="1"/>
        <v>9. Höchstrente</v>
      </c>
      <c r="E52" s="33" t="s">
        <v>2795</v>
      </c>
      <c r="F52" s="6" t="s">
        <v>543</v>
      </c>
    </row>
    <row r="53" spans="1:6" ht="119.25">
      <c r="A53" s="17">
        <f>ROW()</f>
        <v>53</v>
      </c>
      <c r="B53" s="18" t="s">
        <v>2780</v>
      </c>
      <c r="C53" s="18" t="s">
        <v>2695</v>
      </c>
      <c r="D53" s="18" t="str">
        <f t="shared" si="1"/>
        <v>10. Vorruhestand</v>
      </c>
      <c r="E53" s="33" t="s">
        <v>2796</v>
      </c>
      <c r="F53" s="6" t="s">
        <v>571</v>
      </c>
    </row>
    <row r="54" spans="1:6" ht="272.25">
      <c r="A54" s="17">
        <f>ROW()</f>
        <v>54</v>
      </c>
      <c r="B54" s="18" t="s">
        <v>2780</v>
      </c>
      <c r="C54" s="18" t="s">
        <v>2695</v>
      </c>
      <c r="D54" s="18" t="str">
        <f t="shared" si="1"/>
        <v>11. Beschwerliche und gefährliche Arbeit</v>
      </c>
      <c r="E54" s="33" t="s">
        <v>2797</v>
      </c>
      <c r="F54" s="6" t="s">
        <v>597</v>
      </c>
    </row>
    <row r="55" spans="1:6" ht="87.75">
      <c r="A55" s="17">
        <f>ROW()</f>
        <v>55</v>
      </c>
      <c r="B55" s="18" t="s">
        <v>2780</v>
      </c>
      <c r="C55" s="18" t="s">
        <v>2695</v>
      </c>
      <c r="D55" s="18" t="str">
        <f t="shared" si="1"/>
        <v>12. Teilrente</v>
      </c>
      <c r="E55" s="33" t="s">
        <v>2798</v>
      </c>
      <c r="F55" s="6" t="s">
        <v>624</v>
      </c>
    </row>
    <row r="56" spans="1:6" ht="171.75">
      <c r="A56" s="17">
        <f>ROW()</f>
        <v>56</v>
      </c>
      <c r="B56" s="18" t="s">
        <v>2780</v>
      </c>
      <c r="C56" s="18" t="s">
        <v>2695</v>
      </c>
      <c r="D56" s="18" t="str">
        <f t="shared" si="1"/>
        <v>13. Aufgeschobene Rente</v>
      </c>
      <c r="E56" s="33" t="s">
        <v>2893</v>
      </c>
      <c r="F56" s="6" t="s">
        <v>652</v>
      </c>
    </row>
    <row r="57" spans="1:6" ht="179.25">
      <c r="A57" s="17">
        <f>ROW()</f>
        <v>57</v>
      </c>
      <c r="B57" s="18" t="s">
        <v>2780</v>
      </c>
      <c r="C57" s="18" t="s">
        <v>2799</v>
      </c>
      <c r="D57" s="18" t="s">
        <v>2799</v>
      </c>
      <c r="E57" s="32" t="s">
        <v>2799</v>
      </c>
      <c r="F57" s="6" t="s">
        <v>683</v>
      </c>
    </row>
    <row r="58" spans="1:6" ht="246">
      <c r="A58" s="17">
        <f>ROW()</f>
        <v>58</v>
      </c>
      <c r="B58" s="18" t="s">
        <v>2780</v>
      </c>
      <c r="C58" s="18" t="s">
        <v>2799</v>
      </c>
      <c r="D58" s="18" t="str">
        <f t="shared" si="1"/>
        <v xml:space="preserve">Kumulation mit Erwerbseinkommen </v>
      </c>
      <c r="E58" s="32" t="s">
        <v>2697</v>
      </c>
      <c r="F58" s="6" t="s">
        <v>714</v>
      </c>
    </row>
    <row r="59" spans="1:6" ht="286.5">
      <c r="A59" s="17">
        <f>ROW()</f>
        <v>59</v>
      </c>
      <c r="B59" s="18" t="s">
        <v>2780</v>
      </c>
      <c r="C59" s="18" t="s">
        <v>2799</v>
      </c>
      <c r="D59" s="18" t="s">
        <v>2800</v>
      </c>
      <c r="E59" s="32" t="s">
        <v>2696</v>
      </c>
      <c r="F59" s="6" t="s">
        <v>745</v>
      </c>
    </row>
    <row r="60" spans="1:6" ht="225.75">
      <c r="A60" s="17">
        <f>ROW()</f>
        <v>60</v>
      </c>
      <c r="B60" s="18" t="s">
        <v>2780</v>
      </c>
      <c r="C60" s="18" t="s">
        <v>761</v>
      </c>
      <c r="D60" s="18" t="str">
        <f t="shared" ref="D60:D70" si="2">+E60</f>
        <v>1. Besteuerung von Renten</v>
      </c>
      <c r="E60" s="33" t="s">
        <v>2801</v>
      </c>
      <c r="F60" s="6" t="s">
        <v>776</v>
      </c>
    </row>
    <row r="61" spans="1:6" ht="335.25">
      <c r="A61" s="17">
        <f>ROW()</f>
        <v>61</v>
      </c>
      <c r="B61" s="18" t="s">
        <v>2780</v>
      </c>
      <c r="C61" s="18" t="s">
        <v>761</v>
      </c>
      <c r="D61" s="18" t="str">
        <f t="shared" si="2"/>
        <v>2. Einkommensgrenze für Besteuerung von Renten</v>
      </c>
      <c r="E61" s="33" t="s">
        <v>2802</v>
      </c>
      <c r="F61" s="6" t="s">
        <v>802</v>
      </c>
    </row>
    <row r="62" spans="1:6" ht="264">
      <c r="A62" s="17">
        <f>ROW()</f>
        <v>62</v>
      </c>
      <c r="B62" s="18" t="s">
        <v>2780</v>
      </c>
      <c r="C62" s="18" t="s">
        <v>761</v>
      </c>
      <c r="D62" s="18" t="str">
        <f t="shared" si="2"/>
        <v>3. Auf Renten anfallende Sozialabgaben</v>
      </c>
      <c r="E62" s="33" t="s">
        <v>2803</v>
      </c>
      <c r="F62" s="6" t="s">
        <v>828</v>
      </c>
    </row>
    <row r="63" spans="1:6" ht="138" hidden="1">
      <c r="A63" s="17">
        <f>ROW()</f>
        <v>63</v>
      </c>
      <c r="B63" s="18" t="s">
        <v>2804</v>
      </c>
      <c r="C63" s="18" t="str">
        <f>+E63</f>
        <v>Anwendungsbereich</v>
      </c>
      <c r="D63" s="18" t="str">
        <f t="shared" si="2"/>
        <v>Anwendungsbereich</v>
      </c>
      <c r="E63" s="33" t="s">
        <v>2708</v>
      </c>
      <c r="F63" s="6" t="s">
        <v>852</v>
      </c>
    </row>
    <row r="64" spans="1:6" ht="132.75" hidden="1">
      <c r="A64" s="17">
        <f>ROW()</f>
        <v>64</v>
      </c>
      <c r="B64" s="18" t="s">
        <v>2804</v>
      </c>
      <c r="C64" s="18" t="s">
        <v>2775</v>
      </c>
      <c r="D64" s="18" t="str">
        <f t="shared" si="2"/>
        <v>Grundprinzipien</v>
      </c>
      <c r="E64" s="33" t="s">
        <v>2709</v>
      </c>
      <c r="F64" s="6" t="s">
        <v>878</v>
      </c>
    </row>
    <row r="65" spans="1:6" ht="224.25" hidden="1">
      <c r="A65" s="17">
        <f>ROW()</f>
        <v>65</v>
      </c>
      <c r="B65" s="18" t="s">
        <v>2804</v>
      </c>
      <c r="C65" s="18" t="s">
        <v>2775</v>
      </c>
      <c r="D65" s="18" t="str">
        <f t="shared" si="2"/>
        <v>Voraussetzungen für die Deckung</v>
      </c>
      <c r="E65" s="33" t="s">
        <v>2710</v>
      </c>
      <c r="F65" s="6" t="s">
        <v>899</v>
      </c>
    </row>
    <row r="66" spans="1:6" ht="409.5" hidden="1">
      <c r="A66" s="17">
        <f>ROW()</f>
        <v>66</v>
      </c>
      <c r="B66" s="18" t="s">
        <v>2804</v>
      </c>
      <c r="C66" s="18" t="s">
        <v>2775</v>
      </c>
      <c r="D66" s="18" t="str">
        <f t="shared" si="2"/>
        <v>Kombination von selbstständiger und unselbstständiger Tätigkeit</v>
      </c>
      <c r="E66" s="33" t="s">
        <v>2698</v>
      </c>
      <c r="F66" s="6" t="s">
        <v>920</v>
      </c>
    </row>
    <row r="67" spans="1:6" ht="376.5" hidden="1">
      <c r="A67" s="17">
        <f>ROW()</f>
        <v>67</v>
      </c>
      <c r="B67" s="18" t="s">
        <v>2804</v>
      </c>
      <c r="C67" s="18" t="s">
        <v>2695</v>
      </c>
      <c r="D67" s="19" t="str">
        <f t="shared" si="2"/>
        <v xml:space="preserve">Voraussetzungen für den Zugang zu Diensten/Leistungen </v>
      </c>
      <c r="E67" s="33" t="s">
        <v>2699</v>
      </c>
      <c r="F67" s="6" t="s">
        <v>946</v>
      </c>
    </row>
    <row r="68" spans="1:6" ht="253.5" hidden="1">
      <c r="A68" s="17">
        <f>ROW()</f>
        <v>68</v>
      </c>
      <c r="B68" s="18" t="s">
        <v>2804</v>
      </c>
      <c r="C68" s="18" t="s">
        <v>2695</v>
      </c>
      <c r="D68" s="19" t="str">
        <f t="shared" si="2"/>
        <v>Beträge, Dauer und Kostenbeteiligung</v>
      </c>
      <c r="E68" s="33" t="s">
        <v>2700</v>
      </c>
      <c r="F68" s="6" t="s">
        <v>940</v>
      </c>
    </row>
    <row r="69" spans="1:6" ht="216" hidden="1">
      <c r="A69" s="17">
        <f>ROW()</f>
        <v>69</v>
      </c>
      <c r="B69" s="18" t="s">
        <v>2804</v>
      </c>
      <c r="C69" s="18" t="s">
        <v>2695</v>
      </c>
      <c r="D69" s="19" t="str">
        <f t="shared" si="2"/>
        <v>Besteuerung von Geldleistungen</v>
      </c>
      <c r="E69" s="33" t="s">
        <v>2681</v>
      </c>
      <c r="F69" s="6" t="s">
        <v>940</v>
      </c>
    </row>
    <row r="70" spans="1:6" ht="272.25" hidden="1">
      <c r="A70" s="17">
        <f>ROW()</f>
        <v>70</v>
      </c>
      <c r="B70" s="18" t="s">
        <v>2804</v>
      </c>
      <c r="C70" s="18" t="s">
        <v>2695</v>
      </c>
      <c r="D70" s="19" t="str">
        <f t="shared" si="2"/>
        <v>Auf Leistungen anfallende Sozialabgaben</v>
      </c>
      <c r="E70" s="33" t="s">
        <v>2683</v>
      </c>
      <c r="F70" s="6" t="s">
        <v>940</v>
      </c>
    </row>
    <row r="71" spans="1:6" ht="177" hidden="1">
      <c r="A71" s="17">
        <f>ROW()</f>
        <v>71</v>
      </c>
      <c r="B71" s="18" t="s">
        <v>2702</v>
      </c>
      <c r="C71" s="18" t="str">
        <f t="shared" ref="C71:D75" si="3">+D71</f>
        <v>Geltende Rechtsgrundlage</v>
      </c>
      <c r="D71" s="19" t="str">
        <f t="shared" si="3"/>
        <v>Geltende Rechtsgrundlage</v>
      </c>
      <c r="E71" s="32" t="s">
        <v>2724</v>
      </c>
      <c r="F71" s="6" t="s">
        <v>46</v>
      </c>
    </row>
    <row r="72" spans="1:6" ht="110.25" hidden="1">
      <c r="A72" s="17">
        <f>ROW()</f>
        <v>72</v>
      </c>
      <c r="B72" s="18" t="s">
        <v>2702</v>
      </c>
      <c r="C72" s="18" t="str">
        <f t="shared" si="3"/>
        <v>Grundprinzipien</v>
      </c>
      <c r="D72" s="19" t="str">
        <f t="shared" si="3"/>
        <v>Grundprinzipien</v>
      </c>
      <c r="E72" s="32" t="s">
        <v>2709</v>
      </c>
      <c r="F72" s="6" t="s">
        <v>1031</v>
      </c>
    </row>
    <row r="73" spans="1:6" ht="315" hidden="1">
      <c r="A73" s="17">
        <f>ROW()</f>
        <v>73</v>
      </c>
      <c r="B73" s="18" t="s">
        <v>2702</v>
      </c>
      <c r="C73" s="19" t="str">
        <f t="shared" si="3"/>
        <v>Anwendungsbereich (in Bezug auf Verstorbene)</v>
      </c>
      <c r="D73" s="19" t="str">
        <f t="shared" si="3"/>
        <v>Anwendungsbereich (in Bezug auf Verstorbene)</v>
      </c>
      <c r="E73" s="32" t="s">
        <v>2725</v>
      </c>
      <c r="F73" s="6" t="s">
        <v>1061</v>
      </c>
    </row>
    <row r="74" spans="1:6" ht="409.5" hidden="1">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1083</v>
      </c>
    </row>
    <row r="75" spans="1:6" ht="144.75" hidden="1">
      <c r="A75" s="17">
        <f>ROW()</f>
        <v>75</v>
      </c>
      <c r="B75" s="18" t="s">
        <v>2702</v>
      </c>
      <c r="C75" s="19" t="str">
        <f t="shared" si="3"/>
        <v>Berechtigte Personen</v>
      </c>
      <c r="D75" s="19" t="str">
        <f t="shared" si="3"/>
        <v>Berechtigte Personen</v>
      </c>
      <c r="E75" s="32" t="s">
        <v>2730</v>
      </c>
      <c r="F75" s="6" t="s">
        <v>1106</v>
      </c>
    </row>
    <row r="76" spans="1:6" ht="102" hidden="1">
      <c r="A76" s="17">
        <f>ROW()</f>
        <v>76</v>
      </c>
      <c r="B76" s="18" t="s">
        <v>2702</v>
      </c>
      <c r="C76" s="1"/>
      <c r="D76" s="1"/>
      <c r="E76" s="32" t="s">
        <v>2783</v>
      </c>
      <c r="F76" s="6"/>
    </row>
    <row r="77" spans="1:6" ht="189.75" hidden="1">
      <c r="A77" s="17">
        <f>ROW()</f>
        <v>77</v>
      </c>
      <c r="B77" s="18" t="s">
        <v>2702</v>
      </c>
      <c r="C77" s="18" t="s">
        <v>2805</v>
      </c>
      <c r="D77" s="18" t="str">
        <f t="shared" ref="D77:D90" si="4">+E77</f>
        <v>1. Verstorbener Versicherter</v>
      </c>
      <c r="E77" s="33" t="s">
        <v>2806</v>
      </c>
      <c r="F77" s="6" t="s">
        <v>1137</v>
      </c>
    </row>
    <row r="78" spans="1:6" ht="185.25" hidden="1">
      <c r="A78" s="17">
        <f>ROW()</f>
        <v>78</v>
      </c>
      <c r="B78" s="18" t="s">
        <v>2702</v>
      </c>
      <c r="C78" s="18" t="s">
        <v>2805</v>
      </c>
      <c r="D78" s="18" t="str">
        <f t="shared" si="4"/>
        <v>2. Hinterbliebener Ehegatte</v>
      </c>
      <c r="E78" s="33" t="s">
        <v>2807</v>
      </c>
      <c r="F78" s="6" t="s">
        <v>1168</v>
      </c>
    </row>
    <row r="79" spans="1:6" ht="181.5" hidden="1">
      <c r="A79" s="17">
        <f>ROW()</f>
        <v>79</v>
      </c>
      <c r="B79" s="18" t="s">
        <v>2702</v>
      </c>
      <c r="C79" s="18" t="s">
        <v>2805</v>
      </c>
      <c r="D79" s="18" t="str">
        <f t="shared" si="4"/>
        <v>3. Geschiedener Ehegatte</v>
      </c>
      <c r="E79" s="33" t="s">
        <v>2808</v>
      </c>
      <c r="F79" s="6" t="s">
        <v>1197</v>
      </c>
    </row>
    <row r="80" spans="1:6" ht="216" hidden="1">
      <c r="A80" s="17">
        <f>ROW()</f>
        <v>80</v>
      </c>
      <c r="B80" s="18" t="s">
        <v>2702</v>
      </c>
      <c r="C80" s="18" t="s">
        <v>2805</v>
      </c>
      <c r="D80" s="18" t="str">
        <f t="shared" si="4"/>
        <v>4. Hinterbliebene Lebenspartner</v>
      </c>
      <c r="E80" s="33" t="s">
        <v>2809</v>
      </c>
      <c r="F80" s="6" t="s">
        <v>1222</v>
      </c>
    </row>
    <row r="81" spans="1:6" ht="181.5" hidden="1">
      <c r="A81" s="17">
        <f>ROW()</f>
        <v>81</v>
      </c>
      <c r="B81" s="18" t="s">
        <v>2702</v>
      </c>
      <c r="C81" s="18" t="s">
        <v>2805</v>
      </c>
      <c r="D81" s="18" t="str">
        <f t="shared" si="4"/>
        <v>5. Kinder</v>
      </c>
      <c r="E81" s="33" t="s">
        <v>2810</v>
      </c>
      <c r="F81" s="6" t="s">
        <v>1249</v>
      </c>
    </row>
    <row r="82" spans="1:6" ht="181.5" hidden="1">
      <c r="A82" s="17">
        <f>ROW()</f>
        <v>82</v>
      </c>
      <c r="B82" s="18" t="s">
        <v>2702</v>
      </c>
      <c r="C82" s="18" t="s">
        <v>2805</v>
      </c>
      <c r="D82" s="18" t="str">
        <f t="shared" si="4"/>
        <v>6. Andere Personen</v>
      </c>
      <c r="E82" s="33" t="s">
        <v>2811</v>
      </c>
      <c r="F82" s="6" t="s">
        <v>1273</v>
      </c>
    </row>
    <row r="83" spans="1:6" ht="409.5" hidden="1">
      <c r="A83" s="17">
        <f>ROW()</f>
        <v>83</v>
      </c>
      <c r="B83" s="18" t="s">
        <v>2702</v>
      </c>
      <c r="C83" s="18" t="s">
        <v>2695</v>
      </c>
      <c r="D83" s="19" t="str">
        <f t="shared" si="4"/>
        <v>1. Hinterbliebener Ehegatte, geschiedener Ehegatte, hinterbliebene Lebenspartner</v>
      </c>
      <c r="E83" s="33" t="s">
        <v>2812</v>
      </c>
      <c r="F83" s="6" t="s">
        <v>1297</v>
      </c>
    </row>
    <row r="84" spans="1:6" ht="280.5" hidden="1">
      <c r="A84" s="17">
        <f>ROW()</f>
        <v>84</v>
      </c>
      <c r="B84" s="18" t="s">
        <v>2702</v>
      </c>
      <c r="C84" s="18" t="s">
        <v>2695</v>
      </c>
      <c r="D84" s="19" t="str">
        <f t="shared" si="4"/>
        <v>2. Hinterbliebener Ehegatte: Wiederheirat</v>
      </c>
      <c r="E84" s="33" t="s">
        <v>2813</v>
      </c>
      <c r="F84" s="6" t="s">
        <v>1326</v>
      </c>
    </row>
    <row r="85" spans="1:6" ht="195" hidden="1">
      <c r="A85" s="17">
        <f>ROW()</f>
        <v>85</v>
      </c>
      <c r="B85" s="18" t="s">
        <v>2702</v>
      </c>
      <c r="C85" s="18" t="s">
        <v>2695</v>
      </c>
      <c r="D85" s="19" t="str">
        <f t="shared" si="4"/>
        <v>3. Kinder</v>
      </c>
      <c r="E85" s="33" t="s">
        <v>2814</v>
      </c>
      <c r="F85" s="6" t="s">
        <v>1357</v>
      </c>
    </row>
    <row r="86" spans="1:6" ht="147" hidden="1">
      <c r="A86" s="17">
        <f>ROW()</f>
        <v>86</v>
      </c>
      <c r="B86" s="18" t="s">
        <v>2702</v>
      </c>
      <c r="C86" s="18" t="s">
        <v>2695</v>
      </c>
      <c r="D86" s="19" t="str">
        <f t="shared" si="4"/>
        <v>4. Andere Berechtigte</v>
      </c>
      <c r="E86" s="33" t="s">
        <v>2815</v>
      </c>
      <c r="F86" s="6" t="s">
        <v>1379</v>
      </c>
    </row>
    <row r="87" spans="1:6" ht="381" hidden="1">
      <c r="A87" s="17">
        <f>ROW()</f>
        <v>87</v>
      </c>
      <c r="B87" s="18" t="s">
        <v>2702</v>
      </c>
      <c r="C87" s="18" t="s">
        <v>2695</v>
      </c>
      <c r="D87" s="19" t="str">
        <f t="shared" si="4"/>
        <v xml:space="preserve"> 5. Höchster zahlbarer Gesamtbetrag für alle Berechtigten</v>
      </c>
      <c r="E87" s="33" t="s">
        <v>2816</v>
      </c>
      <c r="F87" s="6" t="s">
        <v>1400</v>
      </c>
    </row>
    <row r="88" spans="1:6" ht="151.5" hidden="1">
      <c r="A88" s="17">
        <f>ROW()</f>
        <v>88</v>
      </c>
      <c r="B88" s="18" t="s">
        <v>2702</v>
      </c>
      <c r="C88" s="18" t="s">
        <v>2695</v>
      </c>
      <c r="D88" s="19" t="str">
        <f t="shared" si="4"/>
        <v>6. Sonstige Leistungen</v>
      </c>
      <c r="E88" s="33" t="s">
        <v>2817</v>
      </c>
      <c r="F88" s="6" t="s">
        <v>1427</v>
      </c>
    </row>
    <row r="89" spans="1:6" ht="126.75" hidden="1">
      <c r="A89" s="17">
        <f>ROW()</f>
        <v>89</v>
      </c>
      <c r="B89" s="18" t="s">
        <v>2702</v>
      </c>
      <c r="C89" s="18" t="s">
        <v>2695</v>
      </c>
      <c r="D89" s="19" t="str">
        <f>+E89</f>
        <v>7. Mindestleistung</v>
      </c>
      <c r="E89" s="33" t="s">
        <v>2818</v>
      </c>
      <c r="F89" s="6" t="s">
        <v>1455</v>
      </c>
    </row>
    <row r="90" spans="1:6" ht="122.25" hidden="1">
      <c r="A90" s="17">
        <f>ROW()</f>
        <v>90</v>
      </c>
      <c r="B90" s="18" t="s">
        <v>2702</v>
      </c>
      <c r="C90" s="18" t="s">
        <v>2695</v>
      </c>
      <c r="D90" s="19" t="str">
        <f t="shared" si="4"/>
        <v xml:space="preserve"> 8. Höchstleistung</v>
      </c>
      <c r="E90" s="33" t="s">
        <v>2819</v>
      </c>
      <c r="F90" s="6" t="s">
        <v>1479</v>
      </c>
    </row>
    <row r="91" spans="1:6" ht="179.25" hidden="1">
      <c r="A91" s="17">
        <f>ROW()</f>
        <v>91</v>
      </c>
      <c r="B91" s="18" t="s">
        <v>2702</v>
      </c>
      <c r="C91" s="18" t="s">
        <v>2799</v>
      </c>
      <c r="D91" s="19" t="str">
        <f>+C91</f>
        <v>Indexbindung / Anpassung</v>
      </c>
      <c r="E91" s="32" t="s">
        <v>2799</v>
      </c>
      <c r="F91" s="6" t="s">
        <v>1506</v>
      </c>
    </row>
    <row r="92" spans="1:6" ht="242.25" hidden="1">
      <c r="A92" s="17">
        <f>ROW()</f>
        <v>92</v>
      </c>
      <c r="B92" s="18" t="s">
        <v>2702</v>
      </c>
      <c r="C92" s="18" t="s">
        <v>2799</v>
      </c>
      <c r="D92" s="19" t="str">
        <f t="shared" ref="D92:D105" si="5">+E92</f>
        <v>Kumulation mit Erwerbseinkommen</v>
      </c>
      <c r="E92" s="32" t="s">
        <v>2723</v>
      </c>
      <c r="F92" s="6" t="s">
        <v>1536</v>
      </c>
    </row>
    <row r="93" spans="1:6" ht="275.25" hidden="1">
      <c r="A93" s="17">
        <f>ROW()</f>
        <v>93</v>
      </c>
      <c r="B93" s="18" t="s">
        <v>2702</v>
      </c>
      <c r="C93" s="18" t="s">
        <v>2799</v>
      </c>
      <c r="D93" s="19" t="str">
        <f t="shared" si="5"/>
        <v>Kumulation mit anderen Sozialleistungen</v>
      </c>
      <c r="E93" s="32" t="s">
        <v>2696</v>
      </c>
      <c r="F93" s="6" t="s">
        <v>1567</v>
      </c>
    </row>
    <row r="94" spans="1:6" ht="232.5" hidden="1">
      <c r="A94" s="17">
        <f>ROW()</f>
        <v>94</v>
      </c>
      <c r="B94" s="18" t="s">
        <v>2702</v>
      </c>
      <c r="C94" s="19" t="s">
        <v>2701</v>
      </c>
      <c r="D94" s="19" t="str">
        <f t="shared" si="5"/>
        <v>1. Besteuerung von Geldleistungen</v>
      </c>
      <c r="E94" s="33" t="s">
        <v>2770</v>
      </c>
      <c r="F94" s="6" t="s">
        <v>1583</v>
      </c>
    </row>
    <row r="95" spans="1:6" ht="387" hidden="1">
      <c r="A95" s="17">
        <f>ROW()</f>
        <v>95</v>
      </c>
      <c r="B95" s="18" t="s">
        <v>2702</v>
      </c>
      <c r="C95" s="19" t="s">
        <v>2701</v>
      </c>
      <c r="D95" s="19" t="str">
        <f t="shared" si="5"/>
        <v>2. Einkommensgrenze für Besteuerung von Geldleistungen</v>
      </c>
      <c r="E95" s="33" t="s">
        <v>2772</v>
      </c>
      <c r="F95" s="6" t="s">
        <v>1613</v>
      </c>
    </row>
    <row r="96" spans="1:6" ht="288.75" hidden="1">
      <c r="A96" s="17">
        <f>ROW()</f>
        <v>96</v>
      </c>
      <c r="B96" s="18" t="s">
        <v>2702</v>
      </c>
      <c r="C96" s="19" t="s">
        <v>2701</v>
      </c>
      <c r="D96" s="19" t="str">
        <f t="shared" si="5"/>
        <v>3. Auf Leistungen anfallende Sozialabgaben</v>
      </c>
      <c r="E96" s="33" t="s">
        <v>2773</v>
      </c>
      <c r="F96" s="6" t="s">
        <v>1633</v>
      </c>
    </row>
    <row r="97" spans="1:6" ht="138" hidden="1">
      <c r="A97" s="17">
        <f>ROW()</f>
        <v>97</v>
      </c>
      <c r="B97" s="18" t="s">
        <v>2702</v>
      </c>
      <c r="C97" s="19" t="s">
        <v>2775</v>
      </c>
      <c r="D97" s="19" t="str">
        <f t="shared" si="5"/>
        <v>Anwendungsbereich</v>
      </c>
      <c r="E97" s="33" t="s">
        <v>2708</v>
      </c>
      <c r="F97" s="6" t="s">
        <v>852</v>
      </c>
    </row>
    <row r="98" spans="1:6" ht="110.25" hidden="1">
      <c r="A98" s="17">
        <f>ROW()</f>
        <v>98</v>
      </c>
      <c r="B98" s="18" t="s">
        <v>2702</v>
      </c>
      <c r="C98" s="19" t="s">
        <v>2775</v>
      </c>
      <c r="D98" s="19" t="str">
        <f t="shared" si="5"/>
        <v>Grundprinzipien</v>
      </c>
      <c r="E98" s="33" t="s">
        <v>2709</v>
      </c>
      <c r="F98" s="6" t="s">
        <v>878</v>
      </c>
    </row>
    <row r="99" spans="1:6" ht="224.25" hidden="1">
      <c r="A99" s="17">
        <f>ROW()</f>
        <v>99</v>
      </c>
      <c r="B99" s="18" t="s">
        <v>2702</v>
      </c>
      <c r="C99" s="19" t="s">
        <v>2775</v>
      </c>
      <c r="D99" s="19" t="str">
        <f t="shared" si="5"/>
        <v>Voraussetzungen für die Deckung</v>
      </c>
      <c r="E99" s="33" t="s">
        <v>2710</v>
      </c>
      <c r="F99" s="6" t="s">
        <v>899</v>
      </c>
    </row>
    <row r="100" spans="1:6" ht="409.5" hidden="1">
      <c r="A100" s="17">
        <f>ROW()</f>
        <v>100</v>
      </c>
      <c r="B100" s="18" t="s">
        <v>2702</v>
      </c>
      <c r="C100" s="19" t="s">
        <v>2775</v>
      </c>
      <c r="D100" s="19" t="str">
        <f t="shared" si="5"/>
        <v>Kombination von selbstständiger und unselbstständiger Tätigkeit</v>
      </c>
      <c r="E100" s="33" t="s">
        <v>2698</v>
      </c>
      <c r="F100" s="6" t="s">
        <v>920</v>
      </c>
    </row>
    <row r="101" spans="1:6" ht="376.5" hidden="1">
      <c r="A101" s="17">
        <f>ROW()</f>
        <v>101</v>
      </c>
      <c r="B101" s="18" t="s">
        <v>2702</v>
      </c>
      <c r="C101" s="19" t="s">
        <v>2775</v>
      </c>
      <c r="D101" s="19" t="str">
        <f t="shared" si="5"/>
        <v xml:space="preserve">Voraussetzungen für den Zugang zu Diensten/Leistungen </v>
      </c>
      <c r="E101" s="33" t="s">
        <v>2699</v>
      </c>
      <c r="F101" s="6" t="s">
        <v>940</v>
      </c>
    </row>
    <row r="102" spans="1:6" ht="253.5" hidden="1">
      <c r="A102" s="17">
        <f>ROW()</f>
        <v>102</v>
      </c>
      <c r="B102" s="18" t="s">
        <v>2702</v>
      </c>
      <c r="C102" s="19" t="s">
        <v>2775</v>
      </c>
      <c r="D102" s="19" t="str">
        <f t="shared" si="5"/>
        <v>Beträge, Dauer und Kostenbeteiligung</v>
      </c>
      <c r="E102" s="33" t="s">
        <v>2700</v>
      </c>
      <c r="F102" s="6" t="s">
        <v>940</v>
      </c>
    </row>
    <row r="103" spans="1:6" ht="213.75" hidden="1">
      <c r="A103" s="17">
        <f>ROW()</f>
        <v>103</v>
      </c>
      <c r="B103" s="18" t="s">
        <v>2702</v>
      </c>
      <c r="C103" s="19" t="s">
        <v>2775</v>
      </c>
      <c r="D103" s="19" t="str">
        <f t="shared" si="5"/>
        <v>Besteuerung und Sozialabgaben</v>
      </c>
      <c r="E103" s="33" t="s">
        <v>2701</v>
      </c>
      <c r="F103" s="6"/>
    </row>
    <row r="104" spans="1:6" ht="216" hidden="1">
      <c r="A104" s="17">
        <f>ROW()</f>
        <v>104</v>
      </c>
      <c r="B104" s="18" t="s">
        <v>2702</v>
      </c>
      <c r="C104" s="19" t="s">
        <v>2775</v>
      </c>
      <c r="D104" s="19" t="str">
        <f t="shared" si="5"/>
        <v>Besteuerung von Geldleistungen</v>
      </c>
      <c r="E104" s="33" t="s">
        <v>2681</v>
      </c>
      <c r="F104" s="6" t="s">
        <v>940</v>
      </c>
    </row>
    <row r="105" spans="1:6" ht="272.25" hidden="1">
      <c r="A105" s="17">
        <f>ROW()</f>
        <v>105</v>
      </c>
      <c r="B105" s="18" t="s">
        <v>2702</v>
      </c>
      <c r="C105" s="19" t="s">
        <v>2775</v>
      </c>
      <c r="D105" s="19" t="str">
        <f t="shared" si="5"/>
        <v>Auf Leistungen anfallende Sozialabgaben</v>
      </c>
      <c r="E105" s="33" t="s">
        <v>2683</v>
      </c>
      <c r="F105" s="6" t="s">
        <v>940</v>
      </c>
    </row>
    <row r="106" spans="1:6"/>
    <row r="107" spans="1:6"/>
    <row r="108" spans="1:6"/>
    <row r="109" spans="1:6"/>
    <row r="110" spans="1:6"/>
    <row r="111" spans="1:6"/>
    <row r="112" spans="1:6"/>
    <row r="113"/>
  </sheetData>
  <sheetProtection algorithmName="SHA-512" hashValue="WXspcn2z6GRaZBM3akC8hBR4yZkG29wOiJNAgvf++naGrdgdXxuBgTFH1+b1X471SJmCMjEKaB3YOu6CmBi19g==" saltValue="JKfJBRWsFK24ppPUR/RRjQ==" spinCount="100000" sheet="1" objects="1" scenarios="1" formatColumns="0" autoFilter="0"/>
  <autoFilter ref="A2:F105" xr:uid="{A224751D-3FC5-444A-887D-2A020C8CE173}">
    <filterColumn colId="1">
      <filters>
        <filter val="Alter"/>
      </filters>
    </filterColumn>
    <filterColumn colId="2">
      <filters>
        <filter val="Besteuerung und Sozialabgaben"/>
        <filter val="Indexbindung / Anpassung"/>
        <filter val="Leistungen"/>
      </filters>
    </filterColumn>
  </autoFilter>
  <pageMargins left="0.7" right="0.7" top="0.78740157499999996" bottom="0.78740157499999996"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80AE3-7F45-4BD3-B5E6-2EC852A95D97}">
  <sheetPr codeName="Tabelle18"/>
  <dimension ref="A1:F113"/>
  <sheetViews>
    <sheetView workbookViewId="0">
      <pane xSplit="5" ySplit="2" topLeftCell="F1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39" t="s">
        <v>2726</v>
      </c>
      <c r="C1" s="136" t="s">
        <v>2739</v>
      </c>
      <c r="D1" s="136" t="s">
        <v>2728</v>
      </c>
      <c r="E1" s="128" t="s">
        <v>3506</v>
      </c>
      <c r="F1" s="16" t="s">
        <v>16</v>
      </c>
    </row>
    <row r="2" spans="1:6" ht="39.75" customHeight="1">
      <c r="A2" s="138"/>
      <c r="B2" s="139"/>
      <c r="C2" s="136"/>
      <c r="D2" s="136"/>
      <c r="E2" s="134"/>
      <c r="F2" s="173" t="str" cm="1">
        <f t="array" ref="F2">_xlfn.TEXTJOIN("; ", TRUE, IF(Entscheidungen!A2:A100=F1, Entscheidungen!B2:B100, ""))</f>
        <v/>
      </c>
    </row>
    <row r="3" spans="1:6" ht="177">
      <c r="A3" s="17">
        <f>ROW()</f>
        <v>3</v>
      </c>
      <c r="B3" s="18" t="s">
        <v>2740</v>
      </c>
      <c r="C3" s="18"/>
      <c r="D3" s="18" t="str">
        <f>+E3</f>
        <v>Geltende Rechtsgrundlage</v>
      </c>
      <c r="E3" s="31" t="s">
        <v>2724</v>
      </c>
      <c r="F3" s="6" t="s">
        <v>3133</v>
      </c>
    </row>
    <row r="4" spans="1:6" ht="110.25">
      <c r="A4" s="17">
        <f>ROW()</f>
        <v>4</v>
      </c>
      <c r="B4" s="18" t="s">
        <v>2740</v>
      </c>
      <c r="C4" s="1"/>
      <c r="D4" s="18" t="str">
        <f t="shared" ref="D4:D34" si="0">+E4</f>
        <v>Grundprinzipien</v>
      </c>
      <c r="E4" s="32" t="s">
        <v>2709</v>
      </c>
      <c r="F4" s="6" t="s">
        <v>3134</v>
      </c>
    </row>
    <row r="5" spans="1:6" ht="188.25">
      <c r="A5" s="17">
        <f>ROW()</f>
        <v>5</v>
      </c>
      <c r="B5" s="18" t="s">
        <v>2740</v>
      </c>
      <c r="C5" s="1"/>
      <c r="D5" s="18" t="str">
        <f t="shared" si="0"/>
        <v>Gedecktes Risiko: Definition</v>
      </c>
      <c r="E5" s="32" t="s">
        <v>2891</v>
      </c>
      <c r="F5" s="6" t="s">
        <v>4754</v>
      </c>
    </row>
    <row r="6" spans="1:6" ht="144">
      <c r="A6" s="17">
        <f>ROW()</f>
        <v>6</v>
      </c>
      <c r="B6" s="18" t="s">
        <v>2740</v>
      </c>
      <c r="C6" s="18" t="s">
        <v>2653</v>
      </c>
      <c r="D6" s="18" t="str">
        <f t="shared" si="0"/>
        <v>Versicherte Personen</v>
      </c>
      <c r="E6" s="33" t="s">
        <v>2653</v>
      </c>
      <c r="F6" s="6" t="s">
        <v>3135</v>
      </c>
    </row>
    <row r="7" spans="1:6" ht="273">
      <c r="A7" s="17">
        <f>ROW()</f>
        <v>7</v>
      </c>
      <c r="B7" s="18" t="s">
        <v>2740</v>
      </c>
      <c r="C7" s="18" t="str">
        <f>+E6</f>
        <v>Versicherte Personen</v>
      </c>
      <c r="D7" s="18" t="str">
        <f t="shared" si="0"/>
        <v>Ausnahmen von der Versicherungspflicht</v>
      </c>
      <c r="E7" s="33" t="s">
        <v>2685</v>
      </c>
      <c r="F7" s="6" t="s">
        <v>4755</v>
      </c>
    </row>
    <row r="8" spans="1:6" ht="194.25">
      <c r="A8" s="17">
        <f>ROW()</f>
        <v>8</v>
      </c>
      <c r="B8" s="18" t="s">
        <v>2740</v>
      </c>
      <c r="C8" s="19" t="s">
        <v>149</v>
      </c>
      <c r="D8" s="18" t="str">
        <f t="shared" si="0"/>
        <v>1. Anwartschaftszeit</v>
      </c>
      <c r="E8" s="33" t="s">
        <v>2744</v>
      </c>
      <c r="F8" s="6" t="s">
        <v>3136</v>
      </c>
    </row>
    <row r="9" spans="1:6" ht="409.5">
      <c r="A9" s="17">
        <f>ROW()</f>
        <v>9</v>
      </c>
      <c r="B9" s="18" t="s">
        <v>2740</v>
      </c>
      <c r="C9" s="19" t="s">
        <v>149</v>
      </c>
      <c r="D9" s="18" t="str">
        <f t="shared" si="0"/>
        <v xml:space="preserve">2. Begutachtungskriterien und Kategorien der Arbeitsunfähigkeit/Arbeitsfähigkeit  </v>
      </c>
      <c r="E9" s="33" t="s">
        <v>2745</v>
      </c>
      <c r="F9" s="6" t="s">
        <v>4756</v>
      </c>
    </row>
    <row r="10" spans="1:6" ht="222">
      <c r="A10" s="17">
        <f>ROW()</f>
        <v>10</v>
      </c>
      <c r="B10" s="18" t="s">
        <v>2740</v>
      </c>
      <c r="C10" s="19" t="s">
        <v>149</v>
      </c>
      <c r="D10" s="18" t="str">
        <f t="shared" si="0"/>
        <v>3. Zeitraum der Leistungszahlung</v>
      </c>
      <c r="E10" s="33" t="s">
        <v>2747</v>
      </c>
      <c r="F10" s="6" t="s">
        <v>3137</v>
      </c>
    </row>
    <row r="11" spans="1:6" ht="120">
      <c r="A11" s="17">
        <f>ROW()</f>
        <v>11</v>
      </c>
      <c r="B11" s="18" t="s">
        <v>2740</v>
      </c>
      <c r="C11" s="19" t="s">
        <v>2749</v>
      </c>
      <c r="D11" s="18" t="str">
        <f t="shared" si="0"/>
        <v>1. Gutachter</v>
      </c>
      <c r="E11" s="33" t="s">
        <v>2750</v>
      </c>
      <c r="F11" s="6" t="s">
        <v>3138</v>
      </c>
    </row>
    <row r="12" spans="1:6" ht="111.75">
      <c r="A12" s="17">
        <f>ROW()</f>
        <v>12</v>
      </c>
      <c r="B12" s="18" t="s">
        <v>2740</v>
      </c>
      <c r="C12" s="19" t="s">
        <v>2749</v>
      </c>
      <c r="D12" s="18" t="str">
        <f t="shared" si="0"/>
        <v xml:space="preserve">2. Überprüfung  </v>
      </c>
      <c r="E12" s="33" t="s">
        <v>2751</v>
      </c>
      <c r="F12" s="6" t="s">
        <v>3139</v>
      </c>
    </row>
    <row r="13" spans="1:6" ht="291.75">
      <c r="A13" s="17">
        <f>ROW()</f>
        <v>13</v>
      </c>
      <c r="B13" s="18" t="s">
        <v>2740</v>
      </c>
      <c r="C13" s="18" t="s">
        <v>2695</v>
      </c>
      <c r="D13" s="18" t="str">
        <f t="shared" si="0"/>
        <v>1. Berechnungsmethode bzw. Rentenformel</v>
      </c>
      <c r="E13" s="33" t="s">
        <v>2753</v>
      </c>
      <c r="F13" s="6" t="s">
        <v>4757</v>
      </c>
    </row>
    <row r="14" spans="1:6" ht="343.5">
      <c r="A14" s="17">
        <f>ROW()</f>
        <v>14</v>
      </c>
      <c r="B14" s="18" t="s">
        <v>2740</v>
      </c>
      <c r="C14" s="18" t="s">
        <v>2695</v>
      </c>
      <c r="D14" s="18" t="str">
        <f t="shared" si="0"/>
        <v>2. Referenzeinkommen bzw. Berechnungsgrundlage</v>
      </c>
      <c r="E14" s="33" t="s">
        <v>2754</v>
      </c>
      <c r="F14" s="6" t="s">
        <v>3140</v>
      </c>
    </row>
    <row r="15" spans="1:6" ht="226.5">
      <c r="A15" s="17">
        <f>ROW()</f>
        <v>15</v>
      </c>
      <c r="B15" s="18" t="s">
        <v>2740</v>
      </c>
      <c r="C15" s="18" t="s">
        <v>2695</v>
      </c>
      <c r="D15" s="18" t="str">
        <f t="shared" si="0"/>
        <v>3. Mindest- und Höchstleistungen</v>
      </c>
      <c r="E15" s="33" t="s">
        <v>2756</v>
      </c>
      <c r="F15" s="6" t="s">
        <v>4758</v>
      </c>
    </row>
    <row r="16" spans="1:6" ht="405">
      <c r="A16" s="17">
        <f>ROW()</f>
        <v>16</v>
      </c>
      <c r="B16" s="18" t="s">
        <v>2740</v>
      </c>
      <c r="C16" s="18" t="s">
        <v>2695</v>
      </c>
      <c r="D16" s="18" t="str">
        <f t="shared" si="0"/>
        <v>4. Anrechenbare oder als Beitragszeiten gewertete Zeiträume</v>
      </c>
      <c r="E16" s="33" t="s">
        <v>2757</v>
      </c>
      <c r="F16" s="6" t="s">
        <v>4759</v>
      </c>
    </row>
    <row r="17" spans="1:6" ht="250.5">
      <c r="A17" s="17">
        <f>ROW()</f>
        <v>17</v>
      </c>
      <c r="B17" s="18" t="s">
        <v>2740</v>
      </c>
      <c r="C17" s="18" t="s">
        <v>2695</v>
      </c>
      <c r="D17" s="18" t="str">
        <f t="shared" si="0"/>
        <v xml:space="preserve">5. Zulagen für Unterhaltsberechtigte  </v>
      </c>
      <c r="E17" s="33" t="s">
        <v>2759</v>
      </c>
      <c r="F17" s="6" t="s">
        <v>3141</v>
      </c>
    </row>
    <row r="18" spans="1:6" ht="135">
      <c r="A18" s="17">
        <f>ROW()</f>
        <v>18</v>
      </c>
      <c r="B18" s="18" t="s">
        <v>2740</v>
      </c>
      <c r="C18" s="18" t="str">
        <f>+E18</f>
        <v>Sonstige Leistungen</v>
      </c>
      <c r="D18" s="18" t="str">
        <f>+E18</f>
        <v>Sonstige Leistungen</v>
      </c>
      <c r="E18" s="32" t="s">
        <v>2678</v>
      </c>
      <c r="F18" s="6" t="s">
        <v>3142</v>
      </c>
    </row>
    <row r="19" spans="1:6" ht="300.75">
      <c r="A19" s="17">
        <f>ROW()</f>
        <v>19</v>
      </c>
      <c r="B19" s="18" t="s">
        <v>2740</v>
      </c>
      <c r="C19" s="18" t="s">
        <v>2761</v>
      </c>
      <c r="D19" s="18" t="str">
        <f t="shared" si="0"/>
        <v>Umschulung, berufsbezogene Rehabilitation</v>
      </c>
      <c r="E19" s="33" t="s">
        <v>2762</v>
      </c>
      <c r="F19" s="6" t="s">
        <v>3143</v>
      </c>
    </row>
    <row r="20" spans="1:6" ht="409.5">
      <c r="A20" s="17">
        <f>ROW()</f>
        <v>20</v>
      </c>
      <c r="B20" s="18" t="s">
        <v>2740</v>
      </c>
      <c r="C20" s="18" t="s">
        <v>2761</v>
      </c>
      <c r="D20" s="18" t="str">
        <f t="shared" si="0"/>
        <v xml:space="preserve">Bevorzugte und reservierte Beschäftigung von Menschen mit Behinderungen  </v>
      </c>
      <c r="E20" s="33" t="s">
        <v>2763</v>
      </c>
      <c r="F20" s="6" t="s">
        <v>3144</v>
      </c>
    </row>
    <row r="21" spans="1:6" ht="171.75">
      <c r="A21" s="17">
        <f>ROW()</f>
        <v>21</v>
      </c>
      <c r="B21" s="18" t="s">
        <v>2740</v>
      </c>
      <c r="C21" s="18" t="s">
        <v>2765</v>
      </c>
      <c r="D21" s="18" t="str">
        <f t="shared" si="0"/>
        <v>Indexbindung/Anpassung</v>
      </c>
      <c r="E21" s="32" t="s">
        <v>2766</v>
      </c>
      <c r="F21" s="6" t="s">
        <v>3145</v>
      </c>
    </row>
    <row r="22" spans="1:6" ht="242.25">
      <c r="A22" s="17">
        <f>ROW()</f>
        <v>22</v>
      </c>
      <c r="B22" s="18" t="s">
        <v>2740</v>
      </c>
      <c r="C22" s="18" t="s">
        <v>2765</v>
      </c>
      <c r="D22" s="18" t="str">
        <f>+E22</f>
        <v>Kumulation mit Erwerbseinkommen</v>
      </c>
      <c r="E22" s="32" t="s">
        <v>2723</v>
      </c>
      <c r="F22" s="6" t="s">
        <v>3146</v>
      </c>
    </row>
    <row r="23" spans="1:6" ht="275.25">
      <c r="A23" s="17">
        <f>ROW()</f>
        <v>23</v>
      </c>
      <c r="B23" s="18" t="s">
        <v>2740</v>
      </c>
      <c r="C23" s="18" t="s">
        <v>2765</v>
      </c>
      <c r="D23" s="18" t="str">
        <f t="shared" si="0"/>
        <v>Kumulation mit anderen Sozialleistungen</v>
      </c>
      <c r="E23" s="32" t="s">
        <v>2696</v>
      </c>
      <c r="F23" s="6" t="s">
        <v>3147</v>
      </c>
    </row>
    <row r="24" spans="1:6" ht="232.5">
      <c r="A24" s="17">
        <f>ROW()</f>
        <v>24</v>
      </c>
      <c r="B24" s="18" t="s">
        <v>2740</v>
      </c>
      <c r="C24" s="18" t="s">
        <v>2701</v>
      </c>
      <c r="D24" s="18" t="str">
        <f t="shared" si="0"/>
        <v>1. Besteuerung von Geldleistungen</v>
      </c>
      <c r="E24" s="33" t="s">
        <v>2770</v>
      </c>
      <c r="F24" s="6" t="s">
        <v>1584</v>
      </c>
    </row>
    <row r="25" spans="1:6" ht="387">
      <c r="A25" s="17">
        <f>ROW()</f>
        <v>25</v>
      </c>
      <c r="B25" s="18" t="s">
        <v>2740</v>
      </c>
      <c r="C25" s="18" t="s">
        <v>2701</v>
      </c>
      <c r="D25" s="18" t="str">
        <f t="shared" si="0"/>
        <v>2. Einkommensgrenze für Besteuerung von Geldleistungen</v>
      </c>
      <c r="E25" s="33" t="s">
        <v>2772</v>
      </c>
      <c r="F25" s="6" t="s">
        <v>3148</v>
      </c>
    </row>
    <row r="26" spans="1:6" ht="288.75">
      <c r="A26" s="17">
        <f>ROW()</f>
        <v>26</v>
      </c>
      <c r="B26" s="18" t="s">
        <v>2740</v>
      </c>
      <c r="C26" s="18" t="s">
        <v>2701</v>
      </c>
      <c r="D26" s="18" t="str">
        <f t="shared" si="0"/>
        <v>3. Auf Leistungen anfallende Sozialabgaben</v>
      </c>
      <c r="E26" s="33" t="s">
        <v>2773</v>
      </c>
      <c r="F26" s="6" t="s">
        <v>825</v>
      </c>
    </row>
    <row r="27" spans="1:6" ht="138">
      <c r="A27" s="17">
        <f>ROW()</f>
        <v>27</v>
      </c>
      <c r="B27" s="18" t="s">
        <v>2740</v>
      </c>
      <c r="C27" s="18" t="s">
        <v>2775</v>
      </c>
      <c r="D27" s="18" t="str">
        <f t="shared" si="0"/>
        <v>Anwendungsbereich</v>
      </c>
      <c r="E27" s="33" t="s">
        <v>2708</v>
      </c>
      <c r="F27" s="6" t="s">
        <v>3149</v>
      </c>
    </row>
    <row r="28" spans="1:6" ht="110.25">
      <c r="A28" s="17">
        <f>ROW()</f>
        <v>28</v>
      </c>
      <c r="B28" s="18" t="s">
        <v>2740</v>
      </c>
      <c r="C28" s="18" t="s">
        <v>2775</v>
      </c>
      <c r="D28" s="18" t="str">
        <f t="shared" si="0"/>
        <v>Grundprinzipien</v>
      </c>
      <c r="E28" s="33" t="s">
        <v>2709</v>
      </c>
      <c r="F28" s="6" t="s">
        <v>3150</v>
      </c>
    </row>
    <row r="29" spans="1:6" ht="224.25">
      <c r="A29" s="17">
        <f>ROW()</f>
        <v>29</v>
      </c>
      <c r="B29" s="18" t="s">
        <v>2740</v>
      </c>
      <c r="C29" s="18" t="s">
        <v>2775</v>
      </c>
      <c r="D29" s="18" t="str">
        <f t="shared" si="0"/>
        <v>Voraussetzungen für die Deckung</v>
      </c>
      <c r="E29" s="33" t="s">
        <v>2710</v>
      </c>
      <c r="F29" s="6" t="s">
        <v>2608</v>
      </c>
    </row>
    <row r="30" spans="1:6" ht="409.5">
      <c r="A30" s="17">
        <f>ROW()</f>
        <v>30</v>
      </c>
      <c r="B30" s="18" t="s">
        <v>2740</v>
      </c>
      <c r="C30" s="18" t="s">
        <v>2775</v>
      </c>
      <c r="D30" s="19" t="str">
        <f t="shared" si="0"/>
        <v>Kombination von selbstständiger und unselbstständiger Tätigkeit</v>
      </c>
      <c r="E30" s="33" t="s">
        <v>2698</v>
      </c>
      <c r="F30" s="6" t="s">
        <v>3151</v>
      </c>
    </row>
    <row r="31" spans="1:6" ht="376.5">
      <c r="A31" s="17">
        <f>ROW()</f>
        <v>31</v>
      </c>
      <c r="B31" s="18" t="s">
        <v>2740</v>
      </c>
      <c r="C31" s="18" t="s">
        <v>2695</v>
      </c>
      <c r="D31" s="19" t="str">
        <f t="shared" si="0"/>
        <v xml:space="preserve">Voraussetzungen für den Zugang zu Diensten/Leistungen </v>
      </c>
      <c r="E31" s="33" t="s">
        <v>2699</v>
      </c>
      <c r="F31" s="6" t="s">
        <v>942</v>
      </c>
    </row>
    <row r="32" spans="1:6" ht="253.5">
      <c r="A32" s="17">
        <f>ROW()</f>
        <v>32</v>
      </c>
      <c r="B32" s="18" t="s">
        <v>2740</v>
      </c>
      <c r="C32" s="18" t="s">
        <v>2695</v>
      </c>
      <c r="D32" s="18" t="str">
        <f t="shared" si="0"/>
        <v>Beträge, Dauer und Kostenbeteiligung</v>
      </c>
      <c r="E32" s="33" t="s">
        <v>2700</v>
      </c>
      <c r="F32" s="6" t="s">
        <v>942</v>
      </c>
    </row>
    <row r="33" spans="1:6" ht="216">
      <c r="A33" s="17">
        <f>ROW()</f>
        <v>33</v>
      </c>
      <c r="B33" s="18" t="s">
        <v>2740</v>
      </c>
      <c r="C33" s="18" t="s">
        <v>2695</v>
      </c>
      <c r="D33" s="18" t="str">
        <f t="shared" si="0"/>
        <v>Besteuerung von Geldleistungen</v>
      </c>
      <c r="E33" s="33" t="s">
        <v>2681</v>
      </c>
      <c r="F33" s="6" t="s">
        <v>942</v>
      </c>
    </row>
    <row r="34" spans="1:6" ht="276.75">
      <c r="A34" s="17">
        <f>ROW()</f>
        <v>34</v>
      </c>
      <c r="B34" s="18" t="s">
        <v>2740</v>
      </c>
      <c r="C34" s="18" t="s">
        <v>2695</v>
      </c>
      <c r="D34" s="18" t="str">
        <f t="shared" si="0"/>
        <v xml:space="preserve"> Auf Leistungen anfallende Sozialabgaben</v>
      </c>
      <c r="E34" s="33" t="s">
        <v>2779</v>
      </c>
      <c r="F34" s="6" t="s">
        <v>942</v>
      </c>
    </row>
    <row r="35" spans="1:6" ht="177">
      <c r="A35" s="17">
        <f>ROW()</f>
        <v>35</v>
      </c>
      <c r="B35" s="18" t="s">
        <v>2780</v>
      </c>
      <c r="C35" s="18" t="str">
        <f>+D35</f>
        <v>Geltende Rechtsgrundlage</v>
      </c>
      <c r="D35" s="18" t="str">
        <f>+E35</f>
        <v>Geltende Rechtsgrundlage</v>
      </c>
      <c r="E35" s="32" t="s">
        <v>2724</v>
      </c>
      <c r="F35" s="6" t="s">
        <v>47</v>
      </c>
    </row>
    <row r="36" spans="1:6" ht="180">
      <c r="A36" s="17">
        <f>ROW()</f>
        <v>36</v>
      </c>
      <c r="B36" s="18" t="s">
        <v>2780</v>
      </c>
      <c r="C36" s="18" t="str">
        <f>+D36</f>
        <v>Grundprinzipien</v>
      </c>
      <c r="D36" s="18" t="str">
        <f>+E36</f>
        <v>Grundprinzipien</v>
      </c>
      <c r="E36" s="32" t="s">
        <v>2709</v>
      </c>
      <c r="F36" s="6" t="s">
        <v>78</v>
      </c>
    </row>
    <row r="37" spans="1:6" ht="159.75">
      <c r="A37" s="17">
        <f>ROW()</f>
        <v>37</v>
      </c>
      <c r="B37" s="18" t="s">
        <v>2780</v>
      </c>
      <c r="C37" s="18" t="s">
        <v>2708</v>
      </c>
      <c r="D37" s="18" t="str">
        <f>+E37</f>
        <v>1. Versicherte Personen</v>
      </c>
      <c r="E37" s="33" t="s">
        <v>2781</v>
      </c>
      <c r="F37" s="6" t="s">
        <v>110</v>
      </c>
    </row>
    <row r="38" spans="1:6" ht="371.25">
      <c r="A38" s="17">
        <f>ROW()</f>
        <v>38</v>
      </c>
      <c r="B38" s="18" t="s">
        <v>2780</v>
      </c>
      <c r="C38" s="18" t="s">
        <v>2708</v>
      </c>
      <c r="D38" s="18" t="str">
        <f t="shared" ref="D38:D58" si="1">+E38</f>
        <v>2. Ausnahmen von der Deckung  der Pflichtversicherung</v>
      </c>
      <c r="E38" s="33" t="s">
        <v>2782</v>
      </c>
      <c r="F38" s="6" t="s">
        <v>4760</v>
      </c>
    </row>
    <row r="39" spans="1:6" ht="194.25">
      <c r="A39" s="17">
        <f>ROW()</f>
        <v>39</v>
      </c>
      <c r="B39" s="18" t="s">
        <v>2780</v>
      </c>
      <c r="C39" s="18" t="s">
        <v>149</v>
      </c>
      <c r="D39" s="18" t="str">
        <f t="shared" si="1"/>
        <v>1. Rentenalter</v>
      </c>
      <c r="E39" s="33" t="s">
        <v>2784</v>
      </c>
      <c r="F39" s="6" t="s">
        <v>4761</v>
      </c>
    </row>
    <row r="40" spans="1:6" ht="409.5">
      <c r="A40" s="17">
        <f>ROW()</f>
        <v>40</v>
      </c>
      <c r="B40" s="18" t="s">
        <v>2780</v>
      </c>
      <c r="C40" s="18" t="s">
        <v>149</v>
      </c>
      <c r="D40" s="18" t="str">
        <f t="shared" si="1"/>
        <v>2. Anwartschaftszeit und sonstige Anspruchsvoraussetzungen für den Bezug einer Altersrente</v>
      </c>
      <c r="E40" s="33" t="s">
        <v>2785</v>
      </c>
      <c r="F40" s="6" t="s">
        <v>4762</v>
      </c>
    </row>
    <row r="41" spans="1:6" ht="194.25">
      <c r="A41" s="17">
        <f>ROW()</f>
        <v>41</v>
      </c>
      <c r="B41" s="18" t="s">
        <v>2780</v>
      </c>
      <c r="C41" s="18" t="s">
        <v>149</v>
      </c>
      <c r="D41" s="18" t="str">
        <f t="shared" si="1"/>
        <v>3. Vorruhestand</v>
      </c>
      <c r="E41" s="33" t="s">
        <v>2786</v>
      </c>
      <c r="F41" s="6" t="s">
        <v>228</v>
      </c>
    </row>
    <row r="42" spans="1:6" ht="264">
      <c r="A42" s="17">
        <f>ROW()</f>
        <v>42</v>
      </c>
      <c r="B42" s="18" t="s">
        <v>2780</v>
      </c>
      <c r="C42" s="18" t="s">
        <v>149</v>
      </c>
      <c r="D42" s="18" t="str">
        <f t="shared" si="1"/>
        <v>4. Beschwerliche und gefährliche Arbeit</v>
      </c>
      <c r="E42" s="33" t="s">
        <v>2787</v>
      </c>
      <c r="F42" s="6" t="s">
        <v>259</v>
      </c>
    </row>
    <row r="43" spans="1:6" ht="194.25">
      <c r="A43" s="17">
        <f>ROW()</f>
        <v>43</v>
      </c>
      <c r="B43" s="18" t="s">
        <v>2780</v>
      </c>
      <c r="C43" s="18" t="s">
        <v>149</v>
      </c>
      <c r="D43" s="18" t="str">
        <f t="shared" si="1"/>
        <v>5. Rentenaufschub</v>
      </c>
      <c r="E43" s="33" t="s">
        <v>2788</v>
      </c>
      <c r="F43" s="6" t="s">
        <v>286</v>
      </c>
    </row>
    <row r="44" spans="1:6" ht="174">
      <c r="A44" s="17">
        <f>ROW()</f>
        <v>44</v>
      </c>
      <c r="B44" s="18" t="s">
        <v>2780</v>
      </c>
      <c r="C44" s="18" t="s">
        <v>2695</v>
      </c>
      <c r="D44" s="18" t="str">
        <f t="shared" si="1"/>
        <v>1. Bestimmende Faktoren</v>
      </c>
      <c r="E44" s="33" t="s">
        <v>2789</v>
      </c>
      <c r="F44" s="6" t="s">
        <v>313</v>
      </c>
    </row>
    <row r="45" spans="1:6" ht="409.5">
      <c r="A45" s="17">
        <f>ROW()</f>
        <v>45</v>
      </c>
      <c r="B45" s="18" t="s">
        <v>2780</v>
      </c>
      <c r="C45" s="18" t="s">
        <v>2695</v>
      </c>
      <c r="D45" s="18" t="str">
        <f t="shared" si="1"/>
        <v>2. Berechnungsmethode, Rentenformel bzw. Beträge</v>
      </c>
      <c r="E45" s="33" t="s">
        <v>2790</v>
      </c>
      <c r="F45" s="6" t="s">
        <v>4763</v>
      </c>
    </row>
    <row r="46" spans="1:6" ht="343.5">
      <c r="A46" s="17">
        <f>ROW()</f>
        <v>46</v>
      </c>
      <c r="B46" s="18" t="s">
        <v>2780</v>
      </c>
      <c r="C46" s="18" t="s">
        <v>2695</v>
      </c>
      <c r="D46" s="18" t="str">
        <f t="shared" si="1"/>
        <v>3. Referenzeinkommen bzw. Berechnungsgrundlage</v>
      </c>
      <c r="E46" s="33" t="s">
        <v>2791</v>
      </c>
      <c r="F46" s="6" t="s">
        <v>375</v>
      </c>
    </row>
    <row r="47" spans="1:6" ht="405">
      <c r="A47" s="17">
        <f>ROW()</f>
        <v>47</v>
      </c>
      <c r="B47" s="18" t="s">
        <v>2780</v>
      </c>
      <c r="C47" s="18" t="s">
        <v>2695</v>
      </c>
      <c r="D47" s="18" t="str">
        <f t="shared" si="1"/>
        <v>4. Anrechenbare oder als Beitragszeiten gewertete Zeiträume</v>
      </c>
      <c r="E47" s="33" t="s">
        <v>2757</v>
      </c>
      <c r="F47" s="6" t="s">
        <v>4764</v>
      </c>
    </row>
    <row r="48" spans="1:6" ht="345">
      <c r="A48" s="17">
        <f>ROW()</f>
        <v>48</v>
      </c>
      <c r="B48" s="18" t="s">
        <v>2780</v>
      </c>
      <c r="C48" s="18" t="s">
        <v>2695</v>
      </c>
      <c r="D48" s="18" t="str">
        <f t="shared" si="1"/>
        <v>5. Rückkauf von Versicherungszeiten</v>
      </c>
      <c r="E48" s="33" t="s">
        <v>2792</v>
      </c>
      <c r="F48" s="6" t="s">
        <v>4765</v>
      </c>
    </row>
    <row r="49" spans="1:6" ht="246">
      <c r="A49" s="17">
        <f>ROW()</f>
        <v>49</v>
      </c>
      <c r="B49" s="18" t="s">
        <v>2780</v>
      </c>
      <c r="C49" s="18" t="s">
        <v>2695</v>
      </c>
      <c r="D49" s="18" t="str">
        <f t="shared" si="1"/>
        <v>6.  Zulagen für Unterhaltsberechtigte</v>
      </c>
      <c r="E49" s="33" t="s">
        <v>2892</v>
      </c>
      <c r="F49" s="6" t="s">
        <v>460</v>
      </c>
    </row>
    <row r="50" spans="1:6" ht="145.5">
      <c r="A50" s="17">
        <f>ROW()</f>
        <v>50</v>
      </c>
      <c r="B50" s="18" t="s">
        <v>2780</v>
      </c>
      <c r="C50" s="18" t="s">
        <v>2695</v>
      </c>
      <c r="D50" s="18" t="str">
        <f t="shared" si="1"/>
        <v>7. Besondere Zulagen</v>
      </c>
      <c r="E50" s="33" t="s">
        <v>2793</v>
      </c>
      <c r="F50" s="6" t="s">
        <v>485</v>
      </c>
    </row>
    <row r="51" spans="1:6" ht="360.75">
      <c r="A51" s="17">
        <f>ROW()</f>
        <v>51</v>
      </c>
      <c r="B51" s="18" t="s">
        <v>2780</v>
      </c>
      <c r="C51" s="18" t="s">
        <v>2695</v>
      </c>
      <c r="D51" s="18" t="str">
        <f t="shared" si="1"/>
        <v>8. Mindestrente und bedürftigkeitsabhängige Leistung</v>
      </c>
      <c r="E51" s="33" t="s">
        <v>2794</v>
      </c>
      <c r="F51" s="6" t="s">
        <v>515</v>
      </c>
    </row>
    <row r="52" spans="1:6" ht="101.25">
      <c r="A52" s="17">
        <f>ROW()</f>
        <v>52</v>
      </c>
      <c r="B52" s="18" t="s">
        <v>2780</v>
      </c>
      <c r="C52" s="18" t="s">
        <v>2695</v>
      </c>
      <c r="D52" s="18" t="str">
        <f t="shared" si="1"/>
        <v>9. Höchstrente</v>
      </c>
      <c r="E52" s="33" t="s">
        <v>2795</v>
      </c>
      <c r="F52" s="6" t="s">
        <v>544</v>
      </c>
    </row>
    <row r="53" spans="1:6" ht="119.25">
      <c r="A53" s="17">
        <f>ROW()</f>
        <v>53</v>
      </c>
      <c r="B53" s="18" t="s">
        <v>2780</v>
      </c>
      <c r="C53" s="18" t="s">
        <v>2695</v>
      </c>
      <c r="D53" s="18" t="str">
        <f t="shared" si="1"/>
        <v>10. Vorruhestand</v>
      </c>
      <c r="E53" s="33" t="s">
        <v>2796</v>
      </c>
      <c r="F53" s="6" t="s">
        <v>572</v>
      </c>
    </row>
    <row r="54" spans="1:6" ht="272.25">
      <c r="A54" s="17">
        <f>ROW()</f>
        <v>54</v>
      </c>
      <c r="B54" s="18" t="s">
        <v>2780</v>
      </c>
      <c r="C54" s="18" t="s">
        <v>2695</v>
      </c>
      <c r="D54" s="18" t="str">
        <f t="shared" si="1"/>
        <v>11. Beschwerliche und gefährliche Arbeit</v>
      </c>
      <c r="E54" s="33" t="s">
        <v>2797</v>
      </c>
      <c r="F54" s="6" t="s">
        <v>598</v>
      </c>
    </row>
    <row r="55" spans="1:6" ht="87.75">
      <c r="A55" s="17">
        <f>ROW()</f>
        <v>55</v>
      </c>
      <c r="B55" s="18" t="s">
        <v>2780</v>
      </c>
      <c r="C55" s="18" t="s">
        <v>2695</v>
      </c>
      <c r="D55" s="18" t="str">
        <f t="shared" si="1"/>
        <v>12. Teilrente</v>
      </c>
      <c r="E55" s="33" t="s">
        <v>2798</v>
      </c>
      <c r="F55" s="6" t="s">
        <v>625</v>
      </c>
    </row>
    <row r="56" spans="1:6" ht="171.75">
      <c r="A56" s="17">
        <f>ROW()</f>
        <v>56</v>
      </c>
      <c r="B56" s="18" t="s">
        <v>2780</v>
      </c>
      <c r="C56" s="18" t="s">
        <v>2695</v>
      </c>
      <c r="D56" s="18" t="str">
        <f t="shared" si="1"/>
        <v>13. Aufgeschobene Rente</v>
      </c>
      <c r="E56" s="33" t="s">
        <v>2893</v>
      </c>
      <c r="F56" s="6" t="s">
        <v>653</v>
      </c>
    </row>
    <row r="57" spans="1:6" ht="179.25">
      <c r="A57" s="17">
        <f>ROW()</f>
        <v>57</v>
      </c>
      <c r="B57" s="18" t="s">
        <v>2780</v>
      </c>
      <c r="C57" s="18" t="s">
        <v>2799</v>
      </c>
      <c r="D57" s="18" t="s">
        <v>2799</v>
      </c>
      <c r="E57" s="32" t="s">
        <v>2799</v>
      </c>
      <c r="F57" s="6" t="s">
        <v>684</v>
      </c>
    </row>
    <row r="58" spans="1:6" ht="246">
      <c r="A58" s="17">
        <f>ROW()</f>
        <v>58</v>
      </c>
      <c r="B58" s="18" t="s">
        <v>2780</v>
      </c>
      <c r="C58" s="18" t="s">
        <v>2799</v>
      </c>
      <c r="D58" s="18" t="str">
        <f t="shared" si="1"/>
        <v xml:space="preserve">Kumulation mit Erwerbseinkommen </v>
      </c>
      <c r="E58" s="32" t="s">
        <v>2697</v>
      </c>
      <c r="F58" s="6" t="s">
        <v>715</v>
      </c>
    </row>
    <row r="59" spans="1:6" ht="286.5">
      <c r="A59" s="17">
        <f>ROW()</f>
        <v>59</v>
      </c>
      <c r="B59" s="18" t="s">
        <v>2780</v>
      </c>
      <c r="C59" s="18" t="s">
        <v>2799</v>
      </c>
      <c r="D59" s="18" t="s">
        <v>2800</v>
      </c>
      <c r="E59" s="32" t="s">
        <v>2696</v>
      </c>
      <c r="F59" s="6" t="s">
        <v>746</v>
      </c>
    </row>
    <row r="60" spans="1:6" ht="225.75">
      <c r="A60" s="17">
        <f>ROW()</f>
        <v>60</v>
      </c>
      <c r="B60" s="18" t="s">
        <v>2780</v>
      </c>
      <c r="C60" s="18" t="s">
        <v>761</v>
      </c>
      <c r="D60" s="18" t="str">
        <f t="shared" ref="D60:D70" si="2">+E60</f>
        <v>1. Besteuerung von Renten</v>
      </c>
      <c r="E60" s="33" t="s">
        <v>2801</v>
      </c>
      <c r="F60" s="6" t="s">
        <v>777</v>
      </c>
    </row>
    <row r="61" spans="1:6" ht="335.25">
      <c r="A61" s="17">
        <f>ROW()</f>
        <v>61</v>
      </c>
      <c r="B61" s="18" t="s">
        <v>2780</v>
      </c>
      <c r="C61" s="18" t="s">
        <v>761</v>
      </c>
      <c r="D61" s="18" t="str">
        <f t="shared" si="2"/>
        <v>2. Einkommensgrenze für Besteuerung von Renten</v>
      </c>
      <c r="E61" s="33" t="s">
        <v>2802</v>
      </c>
      <c r="F61" s="6" t="s">
        <v>803</v>
      </c>
    </row>
    <row r="62" spans="1:6" ht="264">
      <c r="A62" s="17">
        <f>ROW()</f>
        <v>62</v>
      </c>
      <c r="B62" s="18" t="s">
        <v>2780</v>
      </c>
      <c r="C62" s="18" t="s">
        <v>761</v>
      </c>
      <c r="D62" s="18" t="str">
        <f t="shared" si="2"/>
        <v>3. Auf Renten anfallende Sozialabgaben</v>
      </c>
      <c r="E62" s="33" t="s">
        <v>2803</v>
      </c>
      <c r="F62" s="6" t="s">
        <v>825</v>
      </c>
    </row>
    <row r="63" spans="1:6" ht="138">
      <c r="A63" s="17">
        <f>ROW()</f>
        <v>63</v>
      </c>
      <c r="B63" s="18" t="s">
        <v>2804</v>
      </c>
      <c r="C63" s="18" t="str">
        <f>+E63</f>
        <v>Anwendungsbereich</v>
      </c>
      <c r="D63" s="18" t="str">
        <f t="shared" si="2"/>
        <v>Anwendungsbereich</v>
      </c>
      <c r="E63" s="33" t="s">
        <v>2708</v>
      </c>
      <c r="F63" s="6" t="s">
        <v>853</v>
      </c>
    </row>
    <row r="64" spans="1:6" ht="132.75">
      <c r="A64" s="17">
        <f>ROW()</f>
        <v>64</v>
      </c>
      <c r="B64" s="18" t="s">
        <v>2804</v>
      </c>
      <c r="C64" s="18" t="s">
        <v>2775</v>
      </c>
      <c r="D64" s="18" t="str">
        <f t="shared" si="2"/>
        <v>Grundprinzipien</v>
      </c>
      <c r="E64" s="33" t="s">
        <v>2709</v>
      </c>
      <c r="F64" s="6" t="s">
        <v>879</v>
      </c>
    </row>
    <row r="65" spans="1:6" ht="224.25">
      <c r="A65" s="17">
        <f>ROW()</f>
        <v>65</v>
      </c>
      <c r="B65" s="18" t="s">
        <v>2804</v>
      </c>
      <c r="C65" s="18" t="s">
        <v>2775</v>
      </c>
      <c r="D65" s="18" t="str">
        <f t="shared" si="2"/>
        <v>Voraussetzungen für die Deckung</v>
      </c>
      <c r="E65" s="33" t="s">
        <v>2710</v>
      </c>
      <c r="F65" s="6" t="s">
        <v>906</v>
      </c>
    </row>
    <row r="66" spans="1:6" ht="409.5">
      <c r="A66" s="17">
        <f>ROW()</f>
        <v>66</v>
      </c>
      <c r="B66" s="18" t="s">
        <v>2804</v>
      </c>
      <c r="C66" s="18" t="s">
        <v>2775</v>
      </c>
      <c r="D66" s="18" t="str">
        <f t="shared" si="2"/>
        <v>Kombination von selbstständiger und unselbstständiger Tätigkeit</v>
      </c>
      <c r="E66" s="33" t="s">
        <v>2698</v>
      </c>
      <c r="F66" s="6" t="s">
        <v>928</v>
      </c>
    </row>
    <row r="67" spans="1:6" ht="376.5">
      <c r="A67" s="17">
        <f>ROW()</f>
        <v>67</v>
      </c>
      <c r="B67" s="18" t="s">
        <v>2804</v>
      </c>
      <c r="C67" s="18" t="s">
        <v>2695</v>
      </c>
      <c r="D67" s="19" t="str">
        <f t="shared" si="2"/>
        <v xml:space="preserve">Voraussetzungen für den Zugang zu Diensten/Leistungen </v>
      </c>
      <c r="E67" s="33" t="s">
        <v>2699</v>
      </c>
      <c r="F67" s="6" t="s">
        <v>942</v>
      </c>
    </row>
    <row r="68" spans="1:6" ht="253.5">
      <c r="A68" s="17">
        <f>ROW()</f>
        <v>68</v>
      </c>
      <c r="B68" s="18" t="s">
        <v>2804</v>
      </c>
      <c r="C68" s="18" t="s">
        <v>2695</v>
      </c>
      <c r="D68" s="19" t="str">
        <f t="shared" si="2"/>
        <v>Beträge, Dauer und Kostenbeteiligung</v>
      </c>
      <c r="E68" s="33" t="s">
        <v>2700</v>
      </c>
      <c r="F68" s="6" t="s">
        <v>958</v>
      </c>
    </row>
    <row r="69" spans="1:6" ht="216">
      <c r="A69" s="17">
        <f>ROW()</f>
        <v>69</v>
      </c>
      <c r="B69" s="18" t="s">
        <v>2804</v>
      </c>
      <c r="C69" s="18" t="s">
        <v>2695</v>
      </c>
      <c r="D69" s="19" t="str">
        <f t="shared" si="2"/>
        <v>Besteuerung von Geldleistungen</v>
      </c>
      <c r="E69" s="33" t="s">
        <v>2681</v>
      </c>
      <c r="F69" s="6" t="s">
        <v>942</v>
      </c>
    </row>
    <row r="70" spans="1:6" ht="272.25">
      <c r="A70" s="17">
        <f>ROW()</f>
        <v>70</v>
      </c>
      <c r="B70" s="18" t="s">
        <v>2804</v>
      </c>
      <c r="C70" s="18" t="s">
        <v>2695</v>
      </c>
      <c r="D70" s="19" t="str">
        <f t="shared" si="2"/>
        <v>Auf Leistungen anfallende Sozialabgaben</v>
      </c>
      <c r="E70" s="33" t="s">
        <v>2683</v>
      </c>
      <c r="F70" s="6" t="s">
        <v>942</v>
      </c>
    </row>
    <row r="71" spans="1:6" ht="177">
      <c r="A71" s="17">
        <f>ROW()</f>
        <v>71</v>
      </c>
      <c r="B71" s="18" t="s">
        <v>2702</v>
      </c>
      <c r="C71" s="18" t="str">
        <f t="shared" ref="C71:D75" si="3">+D71</f>
        <v>Geltende Rechtsgrundlage</v>
      </c>
      <c r="D71" s="19" t="str">
        <f t="shared" si="3"/>
        <v>Geltende Rechtsgrundlage</v>
      </c>
      <c r="E71" s="32" t="s">
        <v>2724</v>
      </c>
      <c r="F71" s="6" t="s">
        <v>1004</v>
      </c>
    </row>
    <row r="72" spans="1:6" ht="110.25">
      <c r="A72" s="17">
        <f>ROW()</f>
        <v>72</v>
      </c>
      <c r="B72" s="18" t="s">
        <v>2702</v>
      </c>
      <c r="C72" s="18" t="str">
        <f t="shared" si="3"/>
        <v>Grundprinzipien</v>
      </c>
      <c r="D72" s="19" t="str">
        <f t="shared" si="3"/>
        <v>Grundprinzipien</v>
      </c>
      <c r="E72" s="32" t="s">
        <v>2709</v>
      </c>
      <c r="F72" s="6" t="s">
        <v>1032</v>
      </c>
    </row>
    <row r="73" spans="1:6" ht="315">
      <c r="A73" s="17">
        <f>ROW()</f>
        <v>73</v>
      </c>
      <c r="B73" s="18" t="s">
        <v>2702</v>
      </c>
      <c r="C73" s="19" t="str">
        <f t="shared" si="3"/>
        <v>Anwendungsbereich (in Bezug auf Verstorbene)</v>
      </c>
      <c r="D73" s="19" t="str">
        <f t="shared" si="3"/>
        <v>Anwendungsbereich (in Bezug auf Verstorbene)</v>
      </c>
      <c r="E73" s="32" t="s">
        <v>2725</v>
      </c>
      <c r="F73" s="6" t="s">
        <v>1062</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4766</v>
      </c>
    </row>
    <row r="75" spans="1:6" ht="144.75">
      <c r="A75" s="17">
        <f>ROW()</f>
        <v>75</v>
      </c>
      <c r="B75" s="18" t="s">
        <v>2702</v>
      </c>
      <c r="C75" s="19" t="str">
        <f t="shared" si="3"/>
        <v>Berechtigte Personen</v>
      </c>
      <c r="D75" s="19" t="str">
        <f t="shared" si="3"/>
        <v>Berechtigte Personen</v>
      </c>
      <c r="E75" s="32" t="s">
        <v>2730</v>
      </c>
      <c r="F75" s="6" t="s">
        <v>1107</v>
      </c>
    </row>
    <row r="76" spans="1:6" ht="102">
      <c r="A76" s="17">
        <f>ROW()</f>
        <v>76</v>
      </c>
      <c r="B76" s="18" t="s">
        <v>2702</v>
      </c>
      <c r="C76" s="1"/>
      <c r="D76" s="1"/>
      <c r="E76" s="32" t="s">
        <v>2783</v>
      </c>
      <c r="F76" s="6"/>
    </row>
    <row r="77" spans="1:6" ht="189.75">
      <c r="A77" s="17">
        <f>ROW()</f>
        <v>77</v>
      </c>
      <c r="B77" s="18" t="s">
        <v>2702</v>
      </c>
      <c r="C77" s="18" t="s">
        <v>2805</v>
      </c>
      <c r="D77" s="18" t="str">
        <f t="shared" ref="D77:D90" si="4">+E77</f>
        <v>1. Verstorbener Versicherter</v>
      </c>
      <c r="E77" s="33" t="s">
        <v>2806</v>
      </c>
      <c r="F77" s="6" t="s">
        <v>1138</v>
      </c>
    </row>
    <row r="78" spans="1:6" ht="185.25">
      <c r="A78" s="17">
        <f>ROW()</f>
        <v>78</v>
      </c>
      <c r="B78" s="18" t="s">
        <v>2702</v>
      </c>
      <c r="C78" s="18" t="s">
        <v>2805</v>
      </c>
      <c r="D78" s="18" t="str">
        <f t="shared" si="4"/>
        <v>2. Hinterbliebener Ehegatte</v>
      </c>
      <c r="E78" s="33" t="s">
        <v>2807</v>
      </c>
      <c r="F78" s="6" t="s">
        <v>1169</v>
      </c>
    </row>
    <row r="79" spans="1:6" ht="181.5">
      <c r="A79" s="17">
        <f>ROW()</f>
        <v>79</v>
      </c>
      <c r="B79" s="18" t="s">
        <v>2702</v>
      </c>
      <c r="C79" s="18" t="s">
        <v>2805</v>
      </c>
      <c r="D79" s="18" t="str">
        <f t="shared" si="4"/>
        <v>3. Geschiedener Ehegatte</v>
      </c>
      <c r="E79" s="33" t="s">
        <v>2808</v>
      </c>
      <c r="F79" s="6" t="s">
        <v>1198</v>
      </c>
    </row>
    <row r="80" spans="1:6" ht="216">
      <c r="A80" s="17">
        <f>ROW()</f>
        <v>80</v>
      </c>
      <c r="B80" s="18" t="s">
        <v>2702</v>
      </c>
      <c r="C80" s="18" t="s">
        <v>2805</v>
      </c>
      <c r="D80" s="18" t="str">
        <f t="shared" si="4"/>
        <v>4. Hinterbliebene Lebenspartner</v>
      </c>
      <c r="E80" s="33" t="s">
        <v>2809</v>
      </c>
      <c r="F80" s="6" t="s">
        <v>1223</v>
      </c>
    </row>
    <row r="81" spans="1:6" ht="181.5">
      <c r="A81" s="17">
        <f>ROW()</f>
        <v>81</v>
      </c>
      <c r="B81" s="18" t="s">
        <v>2702</v>
      </c>
      <c r="C81" s="18" t="s">
        <v>2805</v>
      </c>
      <c r="D81" s="18" t="str">
        <f t="shared" si="4"/>
        <v>5. Kinder</v>
      </c>
      <c r="E81" s="33" t="s">
        <v>2810</v>
      </c>
      <c r="F81" s="6" t="s">
        <v>1250</v>
      </c>
    </row>
    <row r="82" spans="1:6" ht="181.5">
      <c r="A82" s="17">
        <f>ROW()</f>
        <v>82</v>
      </c>
      <c r="B82" s="18" t="s">
        <v>2702</v>
      </c>
      <c r="C82" s="18" t="s">
        <v>2805</v>
      </c>
      <c r="D82" s="18" t="str">
        <f t="shared" si="4"/>
        <v>6. Andere Personen</v>
      </c>
      <c r="E82" s="33" t="s">
        <v>2811</v>
      </c>
      <c r="F82" s="6" t="s">
        <v>1274</v>
      </c>
    </row>
    <row r="83" spans="1:6" ht="409.5">
      <c r="A83" s="17">
        <f>ROW()</f>
        <v>83</v>
      </c>
      <c r="B83" s="18" t="s">
        <v>2702</v>
      </c>
      <c r="C83" s="18" t="s">
        <v>2695</v>
      </c>
      <c r="D83" s="19" t="str">
        <f t="shared" si="4"/>
        <v>1. Hinterbliebener Ehegatte, geschiedener Ehegatte, hinterbliebene Lebenspartner</v>
      </c>
      <c r="E83" s="33" t="s">
        <v>2812</v>
      </c>
      <c r="F83" s="6" t="s">
        <v>1298</v>
      </c>
    </row>
    <row r="84" spans="1:6" ht="280.5">
      <c r="A84" s="17">
        <f>ROW()</f>
        <v>84</v>
      </c>
      <c r="B84" s="18" t="s">
        <v>2702</v>
      </c>
      <c r="C84" s="18" t="s">
        <v>2695</v>
      </c>
      <c r="D84" s="19" t="str">
        <f t="shared" si="4"/>
        <v>2. Hinterbliebener Ehegatte: Wiederheirat</v>
      </c>
      <c r="E84" s="33" t="s">
        <v>2813</v>
      </c>
      <c r="F84" s="6" t="s">
        <v>1327</v>
      </c>
    </row>
    <row r="85" spans="1:6" ht="180">
      <c r="A85" s="17">
        <f>ROW()</f>
        <v>85</v>
      </c>
      <c r="B85" s="18" t="s">
        <v>2702</v>
      </c>
      <c r="C85" s="18" t="s">
        <v>2695</v>
      </c>
      <c r="D85" s="19" t="str">
        <f t="shared" si="4"/>
        <v>3. Kinder</v>
      </c>
      <c r="E85" s="33" t="s">
        <v>2814</v>
      </c>
      <c r="F85" s="6" t="s">
        <v>1358</v>
      </c>
    </row>
    <row r="86" spans="1:6" ht="147">
      <c r="A86" s="17">
        <f>ROW()</f>
        <v>86</v>
      </c>
      <c r="B86" s="18" t="s">
        <v>2702</v>
      </c>
      <c r="C86" s="18" t="s">
        <v>2695</v>
      </c>
      <c r="D86" s="19" t="str">
        <f t="shared" si="4"/>
        <v>4. Andere Berechtigte</v>
      </c>
      <c r="E86" s="33" t="s">
        <v>2815</v>
      </c>
      <c r="F86" s="6" t="s">
        <v>1380</v>
      </c>
    </row>
    <row r="87" spans="1:6" ht="381">
      <c r="A87" s="17">
        <f>ROW()</f>
        <v>87</v>
      </c>
      <c r="B87" s="18" t="s">
        <v>2702</v>
      </c>
      <c r="C87" s="18" t="s">
        <v>2695</v>
      </c>
      <c r="D87" s="19" t="str">
        <f t="shared" si="4"/>
        <v xml:space="preserve"> 5. Höchster zahlbarer Gesamtbetrag für alle Berechtigten</v>
      </c>
      <c r="E87" s="33" t="s">
        <v>2816</v>
      </c>
      <c r="F87" s="6" t="s">
        <v>1401</v>
      </c>
    </row>
    <row r="88" spans="1:6" ht="151.5">
      <c r="A88" s="17">
        <f>ROW()</f>
        <v>88</v>
      </c>
      <c r="B88" s="18" t="s">
        <v>2702</v>
      </c>
      <c r="C88" s="18" t="s">
        <v>2695</v>
      </c>
      <c r="D88" s="19" t="str">
        <f t="shared" si="4"/>
        <v>6. Sonstige Leistungen</v>
      </c>
      <c r="E88" s="33" t="s">
        <v>2817</v>
      </c>
      <c r="F88" s="6" t="s">
        <v>1428</v>
      </c>
    </row>
    <row r="89" spans="1:6" ht="126.75">
      <c r="A89" s="17">
        <f>ROW()</f>
        <v>89</v>
      </c>
      <c r="B89" s="18" t="s">
        <v>2702</v>
      </c>
      <c r="C89" s="18" t="s">
        <v>2695</v>
      </c>
      <c r="D89" s="19" t="str">
        <f>+E89</f>
        <v>7. Mindestleistung</v>
      </c>
      <c r="E89" s="33" t="s">
        <v>2818</v>
      </c>
      <c r="F89" s="6" t="s">
        <v>1456</v>
      </c>
    </row>
    <row r="90" spans="1:6" ht="122.25">
      <c r="A90" s="17">
        <f>ROW()</f>
        <v>90</v>
      </c>
      <c r="B90" s="18" t="s">
        <v>2702</v>
      </c>
      <c r="C90" s="18" t="s">
        <v>2695</v>
      </c>
      <c r="D90" s="19" t="str">
        <f t="shared" si="4"/>
        <v xml:space="preserve"> 8. Höchstleistung</v>
      </c>
      <c r="E90" s="33" t="s">
        <v>2819</v>
      </c>
      <c r="F90" s="6" t="s">
        <v>1480</v>
      </c>
    </row>
    <row r="91" spans="1:6" ht="179.25">
      <c r="A91" s="17">
        <f>ROW()</f>
        <v>91</v>
      </c>
      <c r="B91" s="18" t="s">
        <v>2702</v>
      </c>
      <c r="C91" s="18" t="s">
        <v>2799</v>
      </c>
      <c r="D91" s="19" t="str">
        <f>+C91</f>
        <v>Indexbindung / Anpassung</v>
      </c>
      <c r="E91" s="32" t="s">
        <v>2799</v>
      </c>
      <c r="F91" s="6" t="s">
        <v>1507</v>
      </c>
    </row>
    <row r="92" spans="1:6" ht="242.25">
      <c r="A92" s="17">
        <f>ROW()</f>
        <v>92</v>
      </c>
      <c r="B92" s="18" t="s">
        <v>2702</v>
      </c>
      <c r="C92" s="18" t="s">
        <v>2799</v>
      </c>
      <c r="D92" s="19" t="str">
        <f t="shared" ref="D92:D105" si="5">+E92</f>
        <v>Kumulation mit Erwerbseinkommen</v>
      </c>
      <c r="E92" s="32" t="s">
        <v>2723</v>
      </c>
      <c r="F92" s="6" t="s">
        <v>1537</v>
      </c>
    </row>
    <row r="93" spans="1:6" ht="275.25">
      <c r="A93" s="17">
        <f>ROW()</f>
        <v>93</v>
      </c>
      <c r="B93" s="18" t="s">
        <v>2702</v>
      </c>
      <c r="C93" s="18" t="s">
        <v>2799</v>
      </c>
      <c r="D93" s="19" t="str">
        <f t="shared" si="5"/>
        <v>Kumulation mit anderen Sozialleistungen</v>
      </c>
      <c r="E93" s="32" t="s">
        <v>2696</v>
      </c>
      <c r="F93" s="6" t="s">
        <v>1568</v>
      </c>
    </row>
    <row r="94" spans="1:6" ht="232.5">
      <c r="A94" s="17">
        <f>ROW()</f>
        <v>94</v>
      </c>
      <c r="B94" s="18" t="s">
        <v>2702</v>
      </c>
      <c r="C94" s="19" t="s">
        <v>2701</v>
      </c>
      <c r="D94" s="19" t="str">
        <f t="shared" si="5"/>
        <v>1. Besteuerung von Geldleistungen</v>
      </c>
      <c r="E94" s="33" t="s">
        <v>2770</v>
      </c>
      <c r="F94" s="6" t="s">
        <v>1583</v>
      </c>
    </row>
    <row r="95" spans="1:6" ht="387">
      <c r="A95" s="17">
        <f>ROW()</f>
        <v>95</v>
      </c>
      <c r="B95" s="18" t="s">
        <v>2702</v>
      </c>
      <c r="C95" s="19" t="s">
        <v>2701</v>
      </c>
      <c r="D95" s="19" t="str">
        <f t="shared" si="5"/>
        <v>2. Einkommensgrenze für Besteuerung von Geldleistungen</v>
      </c>
      <c r="E95" s="33" t="s">
        <v>2772</v>
      </c>
      <c r="F95" s="6" t="s">
        <v>1614</v>
      </c>
    </row>
    <row r="96" spans="1:6" ht="288.75">
      <c r="A96" s="17">
        <f>ROW()</f>
        <v>96</v>
      </c>
      <c r="B96" s="18" t="s">
        <v>2702</v>
      </c>
      <c r="C96" s="19" t="s">
        <v>2701</v>
      </c>
      <c r="D96" s="19" t="str">
        <f t="shared" si="5"/>
        <v>3. Auf Leistungen anfallende Sozialabgaben</v>
      </c>
      <c r="E96" s="33" t="s">
        <v>2773</v>
      </c>
      <c r="F96" s="6" t="s">
        <v>825</v>
      </c>
    </row>
    <row r="97" spans="1:6" ht="138">
      <c r="A97" s="17">
        <f>ROW()</f>
        <v>97</v>
      </c>
      <c r="B97" s="18" t="s">
        <v>2702</v>
      </c>
      <c r="C97" s="19" t="s">
        <v>2775</v>
      </c>
      <c r="D97" s="19" t="str">
        <f t="shared" si="5"/>
        <v>Anwendungsbereich</v>
      </c>
      <c r="E97" s="33" t="s">
        <v>2708</v>
      </c>
      <c r="F97" s="6" t="s">
        <v>1650</v>
      </c>
    </row>
    <row r="98" spans="1:6" ht="110.25">
      <c r="A98" s="17">
        <f>ROW()</f>
        <v>98</v>
      </c>
      <c r="B98" s="18" t="s">
        <v>2702</v>
      </c>
      <c r="C98" s="19" t="s">
        <v>2775</v>
      </c>
      <c r="D98" s="19" t="str">
        <f t="shared" si="5"/>
        <v>Grundprinzipien</v>
      </c>
      <c r="E98" s="33" t="s">
        <v>2709</v>
      </c>
      <c r="F98" s="6" t="s">
        <v>879</v>
      </c>
    </row>
    <row r="99" spans="1:6" ht="224.25">
      <c r="A99" s="17">
        <f>ROW()</f>
        <v>99</v>
      </c>
      <c r="B99" s="18" t="s">
        <v>2702</v>
      </c>
      <c r="C99" s="19" t="s">
        <v>2775</v>
      </c>
      <c r="D99" s="19" t="str">
        <f t="shared" si="5"/>
        <v>Voraussetzungen für die Deckung</v>
      </c>
      <c r="E99" s="33" t="s">
        <v>2710</v>
      </c>
      <c r="F99" s="6" t="s">
        <v>906</v>
      </c>
    </row>
    <row r="100" spans="1:6" ht="409.5">
      <c r="A100" s="17">
        <f>ROW()</f>
        <v>100</v>
      </c>
      <c r="B100" s="18" t="s">
        <v>2702</v>
      </c>
      <c r="C100" s="19" t="s">
        <v>2775</v>
      </c>
      <c r="D100" s="19" t="str">
        <f t="shared" si="5"/>
        <v>Kombination von selbstständiger und unselbstständiger Tätigkeit</v>
      </c>
      <c r="E100" s="33" t="s">
        <v>2698</v>
      </c>
      <c r="F100" s="6" t="s">
        <v>928</v>
      </c>
    </row>
    <row r="101" spans="1:6" ht="376.5">
      <c r="A101" s="17">
        <f>ROW()</f>
        <v>101</v>
      </c>
      <c r="B101" s="18" t="s">
        <v>2702</v>
      </c>
      <c r="C101" s="19" t="s">
        <v>2775</v>
      </c>
      <c r="D101" s="19" t="str">
        <f t="shared" si="5"/>
        <v xml:space="preserve">Voraussetzungen für den Zugang zu Diensten/Leistungen </v>
      </c>
      <c r="E101" s="33" t="s">
        <v>2699</v>
      </c>
      <c r="F101" s="6" t="s">
        <v>942</v>
      </c>
    </row>
    <row r="102" spans="1:6" ht="253.5">
      <c r="A102" s="17">
        <f>ROW()</f>
        <v>102</v>
      </c>
      <c r="B102" s="18" t="s">
        <v>2702</v>
      </c>
      <c r="C102" s="19" t="s">
        <v>2775</v>
      </c>
      <c r="D102" s="19" t="str">
        <f t="shared" si="5"/>
        <v>Beträge, Dauer und Kostenbeteiligung</v>
      </c>
      <c r="E102" s="33" t="s">
        <v>2700</v>
      </c>
      <c r="F102" s="6" t="s">
        <v>942</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942</v>
      </c>
    </row>
    <row r="105" spans="1:6" ht="272.25">
      <c r="A105" s="17">
        <f>ROW()</f>
        <v>105</v>
      </c>
      <c r="B105" s="18" t="s">
        <v>2702</v>
      </c>
      <c r="C105" s="19" t="s">
        <v>2775</v>
      </c>
      <c r="D105" s="19" t="str">
        <f t="shared" si="5"/>
        <v>Auf Leistungen anfallende Sozialabgaben</v>
      </c>
      <c r="E105" s="33" t="s">
        <v>2683</v>
      </c>
      <c r="F105" s="6" t="s">
        <v>942</v>
      </c>
    </row>
    <row r="106" spans="1:6"/>
    <row r="107" spans="1:6"/>
    <row r="108" spans="1:6"/>
    <row r="109" spans="1:6"/>
    <row r="110" spans="1:6"/>
    <row r="111" spans="1:6"/>
    <row r="112" spans="1:6"/>
    <row r="113"/>
  </sheetData>
  <sheetProtection algorithmName="SHA-512" hashValue="79w1V08cehfeE/RPNHyMFafy5MLd2/mqUj8vutoamgFo4bc4YDnzHOGph4bA+Nc8iT8LQaBNYYPuRHJCY/5Z0g==" saltValue="ZLMlZkgqtMpWuW19tPxIvQ==" spinCount="100000" sheet="1" objects="1" scenarios="1" formatColumns="0" autoFilter="0"/>
  <autoFilter ref="A2:F2" xr:uid="{73180AE3-7F45-4BD3-B5E6-2EC852A95D97}"/>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08A87-B786-4828-9725-D59FE1F624D4}">
  <sheetPr codeName="Tabelle35"/>
  <dimension ref="A1:DR104"/>
  <sheetViews>
    <sheetView workbookViewId="0">
      <pane xSplit="1" ySplit="1" topLeftCell="BY54" activePane="bottomRight" state="frozen"/>
      <selection pane="topRight" activeCell="B1" sqref="B1"/>
      <selection pane="bottomLeft" activeCell="A2" sqref="A2"/>
      <selection pane="bottomRight" activeCell="CI67" sqref="CI67"/>
    </sheetView>
  </sheetViews>
  <sheetFormatPr baseColWidth="10" defaultColWidth="12.5703125" defaultRowHeight="15"/>
  <cols>
    <col min="1" max="1" width="5.28515625" style="36" customWidth="1"/>
    <col min="2" max="71" width="7" customWidth="1"/>
    <col min="72" max="72" width="7" style="43" customWidth="1"/>
    <col min="73" max="119" width="7" customWidth="1"/>
    <col min="120" max="122" width="6.28515625" customWidth="1"/>
  </cols>
  <sheetData>
    <row r="1" spans="1:122" s="36" customFormat="1">
      <c r="A1" s="34" t="s">
        <v>3387</v>
      </c>
      <c r="B1" s="35">
        <v>1900</v>
      </c>
      <c r="C1" s="35">
        <v>1901</v>
      </c>
      <c r="D1" s="35">
        <v>1902</v>
      </c>
      <c r="E1" s="35">
        <v>1903</v>
      </c>
      <c r="F1" s="35">
        <v>1904</v>
      </c>
      <c r="G1" s="35">
        <v>1905</v>
      </c>
      <c r="H1" s="35">
        <v>1906</v>
      </c>
      <c r="I1" s="35">
        <v>1907</v>
      </c>
      <c r="J1" s="35">
        <v>1908</v>
      </c>
      <c r="K1" s="35">
        <v>1909</v>
      </c>
      <c r="L1" s="35">
        <v>1910</v>
      </c>
      <c r="M1" s="35">
        <v>1911</v>
      </c>
      <c r="N1" s="35">
        <v>1912</v>
      </c>
      <c r="O1" s="35">
        <v>1913</v>
      </c>
      <c r="P1" s="35">
        <v>1914</v>
      </c>
      <c r="Q1" s="35">
        <v>1915</v>
      </c>
      <c r="R1" s="35">
        <v>1916</v>
      </c>
      <c r="S1" s="35">
        <v>1917</v>
      </c>
      <c r="T1" s="35">
        <v>1918</v>
      </c>
      <c r="U1" s="35">
        <v>1919</v>
      </c>
      <c r="V1" s="35">
        <v>1920</v>
      </c>
      <c r="W1" s="35">
        <v>1921</v>
      </c>
      <c r="X1" s="35">
        <v>1922</v>
      </c>
      <c r="Y1" s="35">
        <v>1923</v>
      </c>
      <c r="Z1" s="35">
        <v>1924</v>
      </c>
      <c r="AA1" s="35">
        <v>1925</v>
      </c>
      <c r="AB1" s="35">
        <v>1926</v>
      </c>
      <c r="AC1" s="35">
        <v>1927</v>
      </c>
      <c r="AD1" s="35">
        <v>1928</v>
      </c>
      <c r="AE1" s="35">
        <v>1929</v>
      </c>
      <c r="AF1" s="35">
        <v>1930</v>
      </c>
      <c r="AG1" s="35">
        <v>1931</v>
      </c>
      <c r="AH1" s="35">
        <v>1932</v>
      </c>
      <c r="AI1" s="35">
        <v>1933</v>
      </c>
      <c r="AJ1" s="35">
        <v>1934</v>
      </c>
      <c r="AK1" s="35">
        <v>1935</v>
      </c>
      <c r="AL1" s="35">
        <v>1936</v>
      </c>
      <c r="AM1" s="35">
        <v>1937</v>
      </c>
      <c r="AN1" s="35">
        <v>1938</v>
      </c>
      <c r="AO1" s="35">
        <v>1939</v>
      </c>
      <c r="AP1" s="35">
        <v>1940</v>
      </c>
      <c r="AQ1" s="35">
        <v>1941</v>
      </c>
      <c r="AR1" s="35">
        <v>1942</v>
      </c>
      <c r="AS1" s="35">
        <v>1943</v>
      </c>
      <c r="AT1" s="35">
        <v>1944</v>
      </c>
      <c r="AU1" s="35">
        <v>1945</v>
      </c>
      <c r="AV1" s="35">
        <v>1946</v>
      </c>
      <c r="AW1" s="35">
        <v>1947</v>
      </c>
      <c r="AX1" s="35">
        <v>1948</v>
      </c>
      <c r="AY1" s="35">
        <v>1949</v>
      </c>
      <c r="AZ1" s="35">
        <v>1950</v>
      </c>
      <c r="BA1" s="35">
        <v>1951</v>
      </c>
      <c r="BB1" s="35">
        <v>1952</v>
      </c>
      <c r="BC1" s="35">
        <v>1953</v>
      </c>
      <c r="BD1" s="35">
        <v>1954</v>
      </c>
      <c r="BE1" s="35">
        <v>1955</v>
      </c>
      <c r="BF1" s="35">
        <v>1956</v>
      </c>
      <c r="BG1" s="35">
        <v>1957</v>
      </c>
      <c r="BH1" s="35">
        <v>1958</v>
      </c>
      <c r="BI1" s="35">
        <v>1959</v>
      </c>
      <c r="BJ1" s="35">
        <v>1960</v>
      </c>
      <c r="BK1" s="35">
        <v>1961</v>
      </c>
      <c r="BL1" s="35">
        <v>1962</v>
      </c>
      <c r="BM1" s="35">
        <v>1963</v>
      </c>
      <c r="BN1" s="35">
        <v>1964</v>
      </c>
      <c r="BO1" s="35">
        <v>1965</v>
      </c>
      <c r="BP1" s="35">
        <v>1966</v>
      </c>
      <c r="BQ1" s="35">
        <v>1967</v>
      </c>
      <c r="BR1" s="35">
        <v>1968</v>
      </c>
      <c r="BS1" s="35">
        <v>1969</v>
      </c>
      <c r="BT1" s="35">
        <v>1970</v>
      </c>
      <c r="BU1" s="35">
        <v>1971</v>
      </c>
      <c r="BV1" s="35">
        <v>1972</v>
      </c>
      <c r="BW1" s="35">
        <v>1973</v>
      </c>
      <c r="BX1" s="35">
        <v>1974</v>
      </c>
      <c r="BY1" s="35">
        <v>1975</v>
      </c>
      <c r="BZ1" s="35">
        <v>1976</v>
      </c>
      <c r="CA1" s="35">
        <v>1977</v>
      </c>
      <c r="CB1" s="35">
        <v>1978</v>
      </c>
      <c r="CC1" s="35">
        <v>1979</v>
      </c>
      <c r="CD1" s="35">
        <v>1980</v>
      </c>
      <c r="CE1" s="35">
        <v>1981</v>
      </c>
      <c r="CF1" s="35">
        <v>1982</v>
      </c>
      <c r="CG1" s="35">
        <v>1983</v>
      </c>
      <c r="CH1" s="35">
        <v>1984</v>
      </c>
      <c r="CI1" s="35">
        <v>1985</v>
      </c>
      <c r="CJ1" s="35">
        <v>1986</v>
      </c>
      <c r="CK1" s="35">
        <v>1987</v>
      </c>
      <c r="CL1" s="35">
        <v>1988</v>
      </c>
      <c r="CM1" s="35">
        <v>1989</v>
      </c>
      <c r="CN1" s="35">
        <v>1990</v>
      </c>
      <c r="CO1" s="35">
        <v>1991</v>
      </c>
      <c r="CP1" s="35">
        <v>1992</v>
      </c>
      <c r="CQ1" s="35">
        <v>1993</v>
      </c>
      <c r="CR1" s="35">
        <v>1994</v>
      </c>
      <c r="CS1" s="35">
        <v>1995</v>
      </c>
      <c r="CT1" s="35">
        <v>1996</v>
      </c>
      <c r="CU1" s="35">
        <v>1997</v>
      </c>
      <c r="CV1" s="35">
        <v>1998</v>
      </c>
      <c r="CW1" s="35">
        <v>1999</v>
      </c>
      <c r="CX1" s="35">
        <v>2000</v>
      </c>
      <c r="CY1" s="35">
        <v>2001</v>
      </c>
      <c r="CZ1" s="35">
        <v>2002</v>
      </c>
      <c r="DA1" s="35">
        <v>2003</v>
      </c>
      <c r="DB1" s="35">
        <v>2004</v>
      </c>
      <c r="DC1" s="35">
        <v>2005</v>
      </c>
      <c r="DD1" s="35">
        <v>2006</v>
      </c>
      <c r="DE1" s="35">
        <v>2007</v>
      </c>
      <c r="DF1" s="35">
        <v>2008</v>
      </c>
      <c r="DG1" s="35">
        <v>2009</v>
      </c>
      <c r="DH1" s="35">
        <v>2010</v>
      </c>
      <c r="DI1" s="35">
        <v>2011</v>
      </c>
      <c r="DJ1" s="35">
        <v>2012</v>
      </c>
      <c r="DK1" s="35">
        <v>2013</v>
      </c>
      <c r="DL1" s="35">
        <v>2014</v>
      </c>
      <c r="DM1" s="35">
        <v>2015</v>
      </c>
      <c r="DN1" s="35">
        <v>2016</v>
      </c>
      <c r="DO1" s="35">
        <v>2017</v>
      </c>
      <c r="DP1" s="35">
        <v>2018</v>
      </c>
      <c r="DQ1" s="35">
        <v>2019</v>
      </c>
      <c r="DR1" s="35">
        <v>2020</v>
      </c>
    </row>
    <row r="2" spans="1:122">
      <c r="A2" s="37">
        <v>0</v>
      </c>
      <c r="B2" s="38"/>
      <c r="C2" s="38"/>
      <c r="D2" s="38"/>
      <c r="E2" s="38"/>
      <c r="F2" s="38"/>
      <c r="G2" s="38"/>
      <c r="H2" s="38"/>
      <c r="I2" s="38"/>
      <c r="J2" s="38"/>
      <c r="K2" s="38"/>
      <c r="L2" s="38"/>
      <c r="M2" s="38"/>
      <c r="N2" s="38"/>
      <c r="O2" s="38"/>
      <c r="P2" s="38"/>
      <c r="Q2" s="38"/>
      <c r="R2" s="38"/>
      <c r="S2" s="38"/>
      <c r="T2" s="38"/>
      <c r="U2" s="38"/>
      <c r="V2" s="39"/>
      <c r="W2" s="39">
        <v>57.84</v>
      </c>
      <c r="X2" s="39">
        <v>58.59</v>
      </c>
      <c r="Y2" s="39">
        <v>58.73</v>
      </c>
      <c r="Z2" s="39">
        <v>60.62</v>
      </c>
      <c r="AA2" s="39">
        <v>61.01</v>
      </c>
      <c r="AB2" s="39">
        <v>61.62</v>
      </c>
      <c r="AC2" s="39">
        <v>62.22</v>
      </c>
      <c r="AD2" s="39">
        <v>62.92</v>
      </c>
      <c r="AE2" s="39">
        <v>62.92</v>
      </c>
      <c r="AF2" s="39">
        <v>64.08</v>
      </c>
      <c r="AG2" s="39">
        <v>64.59</v>
      </c>
      <c r="AH2" s="39">
        <v>65.16</v>
      </c>
      <c r="AI2" s="39">
        <v>65.56</v>
      </c>
      <c r="AJ2" s="39">
        <v>66.77</v>
      </c>
      <c r="AK2" s="39">
        <v>66.94</v>
      </c>
      <c r="AL2" s="39">
        <v>67.459999999999994</v>
      </c>
      <c r="AM2" s="39">
        <v>67.97</v>
      </c>
      <c r="AN2" s="39">
        <v>68.510000000000005</v>
      </c>
      <c r="AO2" s="39">
        <v>68.59</v>
      </c>
      <c r="AP2" s="39">
        <v>68.849999999999994</v>
      </c>
      <c r="AQ2" s="39">
        <v>69.06</v>
      </c>
      <c r="AR2" s="39">
        <v>69.349999999999994</v>
      </c>
      <c r="AS2" s="39">
        <v>68.91</v>
      </c>
      <c r="AT2" s="39">
        <v>68.36</v>
      </c>
      <c r="AU2" s="39">
        <v>67.33</v>
      </c>
      <c r="AV2" s="39">
        <v>67.84</v>
      </c>
      <c r="AW2" s="39">
        <v>68.400000000000006</v>
      </c>
      <c r="AX2" s="39">
        <v>70.38</v>
      </c>
      <c r="AY2" s="39">
        <v>72.03</v>
      </c>
      <c r="AZ2" s="39">
        <v>72.09</v>
      </c>
      <c r="BA2" s="39">
        <v>72.2</v>
      </c>
      <c r="BB2" s="39">
        <v>72.930000000000007</v>
      </c>
      <c r="BC2" s="39">
        <v>73.23</v>
      </c>
      <c r="BD2" s="39">
        <v>73.77</v>
      </c>
      <c r="BE2" s="39">
        <v>74.010000000000005</v>
      </c>
      <c r="BF2" s="39">
        <v>74.52</v>
      </c>
      <c r="BG2" s="39">
        <v>74.7</v>
      </c>
      <c r="BH2" s="39">
        <v>75.25</v>
      </c>
      <c r="BI2" s="39">
        <v>75.64</v>
      </c>
      <c r="BJ2" s="39">
        <v>75.98</v>
      </c>
      <c r="BK2" s="39">
        <v>76.47</v>
      </c>
      <c r="BL2" s="39">
        <v>76.989999999999995</v>
      </c>
      <c r="BM2" s="39">
        <v>77.489999999999995</v>
      </c>
      <c r="BN2" s="39">
        <v>77.95</v>
      </c>
      <c r="BO2" s="39">
        <v>78.37</v>
      </c>
      <c r="BP2" s="39">
        <v>78.66</v>
      </c>
      <c r="BQ2" s="39">
        <v>78.959999999999994</v>
      </c>
      <c r="BR2" s="39">
        <v>79.239999999999995</v>
      </c>
      <c r="BS2" s="39">
        <v>79.400000000000006</v>
      </c>
      <c r="BT2" s="40">
        <v>79.67</v>
      </c>
      <c r="BU2" s="39">
        <v>79.89</v>
      </c>
      <c r="BV2" s="39">
        <v>80.17</v>
      </c>
      <c r="BW2" s="39">
        <v>80.39</v>
      </c>
      <c r="BX2" s="39">
        <v>80.7</v>
      </c>
      <c r="BY2" s="39">
        <v>81.03</v>
      </c>
      <c r="BZ2" s="39">
        <v>81.459999999999994</v>
      </c>
      <c r="CA2" s="39">
        <v>81.78</v>
      </c>
      <c r="CB2" s="39">
        <v>82</v>
      </c>
      <c r="CC2" s="39">
        <v>82.33</v>
      </c>
      <c r="CD2" s="39">
        <v>82.61</v>
      </c>
      <c r="CE2" s="39">
        <v>82.85</v>
      </c>
      <c r="CF2" s="39">
        <v>83.18</v>
      </c>
      <c r="CG2" s="39">
        <v>83.44</v>
      </c>
      <c r="CH2" s="39">
        <v>83.69</v>
      </c>
      <c r="CI2" s="39">
        <v>83.98</v>
      </c>
      <c r="CJ2" s="39">
        <v>84.18</v>
      </c>
      <c r="CK2" s="39">
        <v>84.39</v>
      </c>
      <c r="CL2" s="39">
        <v>84.67</v>
      </c>
      <c r="CM2" s="39">
        <v>84.87</v>
      </c>
      <c r="CN2" s="39">
        <v>85.11</v>
      </c>
      <c r="CO2" s="39">
        <v>85.36</v>
      </c>
      <c r="CP2" s="39">
        <v>85.57</v>
      </c>
      <c r="CQ2" s="39">
        <v>85.8</v>
      </c>
      <c r="CR2" s="39">
        <v>85.97</v>
      </c>
      <c r="CS2" s="39">
        <v>86.19</v>
      </c>
      <c r="CT2" s="39">
        <v>86.37</v>
      </c>
      <c r="CU2" s="39">
        <v>86.55</v>
      </c>
      <c r="CV2" s="39">
        <v>86.73</v>
      </c>
      <c r="CW2" s="39">
        <v>86.89</v>
      </c>
      <c r="CX2" s="39">
        <v>87.1</v>
      </c>
      <c r="CY2" s="39">
        <v>87.25</v>
      </c>
      <c r="CZ2" s="39">
        <v>87.43</v>
      </c>
      <c r="DA2" s="39">
        <v>87.57</v>
      </c>
      <c r="DB2" s="39">
        <v>87.76</v>
      </c>
      <c r="DC2" s="39">
        <v>87.91</v>
      </c>
      <c r="DD2" s="39">
        <v>88.07</v>
      </c>
      <c r="DE2" s="39">
        <v>88.21</v>
      </c>
      <c r="DF2" s="39">
        <v>88.39</v>
      </c>
      <c r="DG2" s="39">
        <v>88.54</v>
      </c>
      <c r="DH2" s="39">
        <v>88.69</v>
      </c>
      <c r="DI2" s="39">
        <v>88.84</v>
      </c>
      <c r="DJ2" s="39">
        <v>89.02</v>
      </c>
      <c r="DK2" s="39">
        <v>89.16</v>
      </c>
      <c r="DL2" s="39">
        <v>89.29</v>
      </c>
      <c r="DM2" s="39">
        <v>89.44</v>
      </c>
      <c r="DN2" s="39">
        <v>89.56</v>
      </c>
      <c r="DO2" s="39">
        <v>89.71</v>
      </c>
      <c r="DP2" s="39">
        <v>89.85</v>
      </c>
      <c r="DQ2" s="39">
        <v>90</v>
      </c>
      <c r="DR2" s="39">
        <v>90.15</v>
      </c>
    </row>
    <row r="3" spans="1:122">
      <c r="A3" s="37">
        <v>1</v>
      </c>
      <c r="B3" s="38"/>
      <c r="C3" s="38"/>
      <c r="D3" s="38"/>
      <c r="E3" s="38"/>
      <c r="F3" s="38"/>
      <c r="G3" s="38"/>
      <c r="H3" s="38"/>
      <c r="I3" s="38"/>
      <c r="J3" s="38"/>
      <c r="K3" s="38"/>
      <c r="L3" s="38"/>
      <c r="M3" s="38"/>
      <c r="N3" s="38"/>
      <c r="O3" s="38"/>
      <c r="P3" s="38"/>
      <c r="Q3" s="38"/>
      <c r="R3" s="38"/>
      <c r="S3" s="38"/>
      <c r="T3" s="38"/>
      <c r="U3" s="38"/>
      <c r="V3" s="39"/>
      <c r="W3" s="39">
        <v>66.709999999999994</v>
      </c>
      <c r="X3" s="39">
        <v>67.239999999999995</v>
      </c>
      <c r="Y3" s="39">
        <v>67.569999999999993</v>
      </c>
      <c r="Z3" s="39">
        <v>67.77</v>
      </c>
      <c r="AA3" s="39">
        <v>67.989999999999995</v>
      </c>
      <c r="AB3" s="39">
        <v>68.36</v>
      </c>
      <c r="AC3" s="39">
        <v>68.64</v>
      </c>
      <c r="AD3" s="39">
        <v>68.81</v>
      </c>
      <c r="AE3" s="39">
        <v>69.31</v>
      </c>
      <c r="AF3" s="39">
        <v>69.650000000000006</v>
      </c>
      <c r="AG3" s="39">
        <v>70</v>
      </c>
      <c r="AH3" s="39">
        <v>70.34</v>
      </c>
      <c r="AI3" s="39">
        <v>70.63</v>
      </c>
      <c r="AJ3" s="39">
        <v>71.09</v>
      </c>
      <c r="AK3" s="39">
        <v>71.45</v>
      </c>
      <c r="AL3" s="39">
        <v>71.84</v>
      </c>
      <c r="AM3" s="39">
        <v>72.23</v>
      </c>
      <c r="AN3" s="39">
        <v>72.510000000000005</v>
      </c>
      <c r="AO3" s="39">
        <v>72.709999999999994</v>
      </c>
      <c r="AP3" s="39">
        <v>72.989999999999995</v>
      </c>
      <c r="AQ3" s="39">
        <v>73.22</v>
      </c>
      <c r="AR3" s="39">
        <v>73.53</v>
      </c>
      <c r="AS3" s="39">
        <v>73.62</v>
      </c>
      <c r="AT3" s="39">
        <v>73.86</v>
      </c>
      <c r="AU3" s="39">
        <v>74.17</v>
      </c>
      <c r="AV3" s="39">
        <v>74.489999999999995</v>
      </c>
      <c r="AW3" s="39">
        <v>75.11</v>
      </c>
      <c r="AX3" s="39">
        <v>75.63</v>
      </c>
      <c r="AY3" s="39">
        <v>75.760000000000005</v>
      </c>
      <c r="AZ3" s="39">
        <v>75.83</v>
      </c>
      <c r="BA3" s="39">
        <v>75.95</v>
      </c>
      <c r="BB3" s="39">
        <v>76.14</v>
      </c>
      <c r="BC3" s="39">
        <v>76.31</v>
      </c>
      <c r="BD3" s="39">
        <v>76.5</v>
      </c>
      <c r="BE3" s="39">
        <v>76.709999999999994</v>
      </c>
      <c r="BF3" s="39">
        <v>76.959999999999994</v>
      </c>
      <c r="BG3" s="39">
        <v>77.14</v>
      </c>
      <c r="BH3" s="39">
        <v>77.48</v>
      </c>
      <c r="BI3" s="39">
        <v>77.739999999999995</v>
      </c>
      <c r="BJ3" s="39">
        <v>78.03</v>
      </c>
      <c r="BK3" s="39">
        <v>78.290000000000006</v>
      </c>
      <c r="BL3" s="39">
        <v>78.61</v>
      </c>
      <c r="BM3" s="39">
        <v>78.95</v>
      </c>
      <c r="BN3" s="39">
        <v>79.209999999999994</v>
      </c>
      <c r="BO3" s="39">
        <v>79.510000000000005</v>
      </c>
      <c r="BP3" s="39">
        <v>79.760000000000005</v>
      </c>
      <c r="BQ3" s="39">
        <v>80.02</v>
      </c>
      <c r="BR3" s="39">
        <v>80.25</v>
      </c>
      <c r="BS3" s="39">
        <v>80.48</v>
      </c>
      <c r="BT3" s="40">
        <v>80.73</v>
      </c>
      <c r="BU3" s="39">
        <v>80.91</v>
      </c>
      <c r="BV3" s="39">
        <v>81.150000000000006</v>
      </c>
      <c r="BW3" s="39">
        <v>81.36</v>
      </c>
      <c r="BX3" s="39">
        <v>81.58</v>
      </c>
      <c r="BY3" s="39">
        <v>81.78</v>
      </c>
      <c r="BZ3" s="39">
        <v>81.98</v>
      </c>
      <c r="CA3" s="39">
        <v>82.17</v>
      </c>
      <c r="CB3" s="39">
        <v>82.35</v>
      </c>
      <c r="CC3" s="39">
        <v>82.57</v>
      </c>
      <c r="CD3" s="39">
        <v>82.79</v>
      </c>
      <c r="CE3" s="39">
        <v>82.98</v>
      </c>
      <c r="CF3" s="39">
        <v>83.2</v>
      </c>
      <c r="CG3" s="39">
        <v>83.42</v>
      </c>
      <c r="CH3" s="39">
        <v>83.6</v>
      </c>
      <c r="CI3" s="39">
        <v>83.84</v>
      </c>
      <c r="CJ3" s="39">
        <v>84.01</v>
      </c>
      <c r="CK3" s="39">
        <v>84.2</v>
      </c>
      <c r="CL3" s="39">
        <v>84.42</v>
      </c>
      <c r="CM3" s="39">
        <v>84.6</v>
      </c>
      <c r="CN3" s="39">
        <v>84.8</v>
      </c>
      <c r="CO3" s="39">
        <v>84.98</v>
      </c>
      <c r="CP3" s="39">
        <v>85.15</v>
      </c>
      <c r="CQ3" s="39">
        <v>85.34</v>
      </c>
      <c r="CR3" s="39">
        <v>85.5</v>
      </c>
      <c r="CS3" s="39">
        <v>85.69</v>
      </c>
      <c r="CT3" s="39">
        <v>85.85</v>
      </c>
      <c r="CU3" s="39">
        <v>86.02</v>
      </c>
      <c r="CV3" s="39">
        <v>86.17</v>
      </c>
      <c r="CW3" s="39">
        <v>86.33</v>
      </c>
      <c r="CX3" s="39">
        <v>86.51</v>
      </c>
      <c r="CY3" s="39">
        <v>86.67</v>
      </c>
      <c r="CZ3" s="39">
        <v>86.82</v>
      </c>
      <c r="DA3" s="39">
        <v>86.98</v>
      </c>
      <c r="DB3" s="39">
        <v>87.15</v>
      </c>
      <c r="DC3" s="39">
        <v>87.28</v>
      </c>
      <c r="DD3" s="39">
        <v>87.44</v>
      </c>
      <c r="DE3" s="39">
        <v>87.59</v>
      </c>
      <c r="DF3" s="39">
        <v>87.74</v>
      </c>
      <c r="DG3" s="39">
        <v>87.89</v>
      </c>
      <c r="DH3" s="39">
        <v>88.03</v>
      </c>
      <c r="DI3" s="39">
        <v>88.18</v>
      </c>
      <c r="DJ3" s="39">
        <v>88.33</v>
      </c>
      <c r="DK3" s="39">
        <v>88.47</v>
      </c>
      <c r="DL3" s="39">
        <v>88.6</v>
      </c>
      <c r="DM3" s="39">
        <v>88.75</v>
      </c>
      <c r="DN3" s="39">
        <v>88.89</v>
      </c>
      <c r="DO3" s="39">
        <v>89.02</v>
      </c>
      <c r="DP3" s="39">
        <v>89.16</v>
      </c>
      <c r="DQ3" s="39">
        <v>89.3</v>
      </c>
      <c r="DR3" s="39">
        <v>89.43</v>
      </c>
    </row>
    <row r="4" spans="1:122">
      <c r="A4" s="37">
        <v>2</v>
      </c>
      <c r="B4" s="38"/>
      <c r="C4" s="38"/>
      <c r="D4" s="38"/>
      <c r="E4" s="38"/>
      <c r="F4" s="38"/>
      <c r="G4" s="38"/>
      <c r="H4" s="38"/>
      <c r="I4" s="38"/>
      <c r="J4" s="38"/>
      <c r="K4" s="38"/>
      <c r="L4" s="38"/>
      <c r="M4" s="38"/>
      <c r="N4" s="38"/>
      <c r="O4" s="38"/>
      <c r="P4" s="38"/>
      <c r="Q4" s="38"/>
      <c r="R4" s="38"/>
      <c r="S4" s="38"/>
      <c r="T4" s="38"/>
      <c r="U4" s="38"/>
      <c r="V4" s="39"/>
      <c r="W4" s="39">
        <v>67.06</v>
      </c>
      <c r="X4" s="39">
        <v>67.61</v>
      </c>
      <c r="Y4" s="39">
        <v>67.67</v>
      </c>
      <c r="Z4" s="39">
        <v>67.88</v>
      </c>
      <c r="AA4" s="39">
        <v>68.099999999999994</v>
      </c>
      <c r="AB4" s="39">
        <v>68.400000000000006</v>
      </c>
      <c r="AC4" s="39">
        <v>68.489999999999995</v>
      </c>
      <c r="AD4" s="39">
        <v>68.72</v>
      </c>
      <c r="AE4" s="39">
        <v>69.010000000000005</v>
      </c>
      <c r="AF4" s="39">
        <v>69.34</v>
      </c>
      <c r="AG4" s="39">
        <v>69.650000000000006</v>
      </c>
      <c r="AH4" s="39">
        <v>70</v>
      </c>
      <c r="AI4" s="39">
        <v>70.28</v>
      </c>
      <c r="AJ4" s="39">
        <v>70.680000000000007</v>
      </c>
      <c r="AK4" s="39">
        <v>71.02</v>
      </c>
      <c r="AL4" s="39">
        <v>71.400000000000006</v>
      </c>
      <c r="AM4" s="39">
        <v>71.77</v>
      </c>
      <c r="AN4" s="39">
        <v>72.06</v>
      </c>
      <c r="AO4" s="39">
        <v>72.260000000000005</v>
      </c>
      <c r="AP4" s="39">
        <v>72.55</v>
      </c>
      <c r="AQ4" s="39">
        <v>72.77</v>
      </c>
      <c r="AR4" s="39">
        <v>73.14</v>
      </c>
      <c r="AS4" s="39">
        <v>73.319999999999993</v>
      </c>
      <c r="AT4" s="39">
        <v>73.7</v>
      </c>
      <c r="AU4" s="39">
        <v>73.930000000000007</v>
      </c>
      <c r="AV4" s="39">
        <v>74.260000000000005</v>
      </c>
      <c r="AW4" s="39">
        <v>74.73</v>
      </c>
      <c r="AX4" s="39">
        <v>74.94</v>
      </c>
      <c r="AY4" s="39">
        <v>75.069999999999993</v>
      </c>
      <c r="AZ4" s="39">
        <v>75.14</v>
      </c>
      <c r="BA4" s="39">
        <v>75.239999999999995</v>
      </c>
      <c r="BB4" s="39">
        <v>75.42</v>
      </c>
      <c r="BC4" s="39">
        <v>75.56</v>
      </c>
      <c r="BD4" s="39">
        <v>75.75</v>
      </c>
      <c r="BE4" s="39">
        <v>75.959999999999994</v>
      </c>
      <c r="BF4" s="39">
        <v>76.209999999999994</v>
      </c>
      <c r="BG4" s="39">
        <v>76.37</v>
      </c>
      <c r="BH4" s="39">
        <v>76.709999999999994</v>
      </c>
      <c r="BI4" s="39">
        <v>76.94</v>
      </c>
      <c r="BJ4" s="39">
        <v>77.22</v>
      </c>
      <c r="BK4" s="39">
        <v>77.48</v>
      </c>
      <c r="BL4" s="39">
        <v>77.790000000000006</v>
      </c>
      <c r="BM4" s="39">
        <v>78.099999999999994</v>
      </c>
      <c r="BN4" s="39">
        <v>78.37</v>
      </c>
      <c r="BO4" s="39">
        <v>78.66</v>
      </c>
      <c r="BP4" s="39">
        <v>78.91</v>
      </c>
      <c r="BQ4" s="39">
        <v>79.150000000000006</v>
      </c>
      <c r="BR4" s="39">
        <v>79.41</v>
      </c>
      <c r="BS4" s="39">
        <v>79.62</v>
      </c>
      <c r="BT4" s="40">
        <v>79.849999999999994</v>
      </c>
      <c r="BU4" s="39">
        <v>80.02</v>
      </c>
      <c r="BV4" s="39">
        <v>80.25</v>
      </c>
      <c r="BW4" s="39">
        <v>80.47</v>
      </c>
      <c r="BX4" s="39">
        <v>80.680000000000007</v>
      </c>
      <c r="BY4" s="39">
        <v>80.87</v>
      </c>
      <c r="BZ4" s="39">
        <v>81.069999999999993</v>
      </c>
      <c r="CA4" s="39">
        <v>81.260000000000005</v>
      </c>
      <c r="CB4" s="39">
        <v>81.44</v>
      </c>
      <c r="CC4" s="39">
        <v>81.64</v>
      </c>
      <c r="CD4" s="39">
        <v>81.87</v>
      </c>
      <c r="CE4" s="39">
        <v>82.06</v>
      </c>
      <c r="CF4" s="39">
        <v>82.28</v>
      </c>
      <c r="CG4" s="39">
        <v>82.49</v>
      </c>
      <c r="CH4" s="39">
        <v>82.67</v>
      </c>
      <c r="CI4" s="39">
        <v>82.9</v>
      </c>
      <c r="CJ4" s="39">
        <v>83.08</v>
      </c>
      <c r="CK4" s="39">
        <v>83.26</v>
      </c>
      <c r="CL4" s="39">
        <v>83.47</v>
      </c>
      <c r="CM4" s="39">
        <v>83.66</v>
      </c>
      <c r="CN4" s="39">
        <v>83.85</v>
      </c>
      <c r="CO4" s="39">
        <v>84.03</v>
      </c>
      <c r="CP4" s="39">
        <v>84.2</v>
      </c>
      <c r="CQ4" s="39">
        <v>84.39</v>
      </c>
      <c r="CR4" s="39">
        <v>84.55</v>
      </c>
      <c r="CS4" s="39">
        <v>84.73</v>
      </c>
      <c r="CT4" s="39">
        <v>84.89</v>
      </c>
      <c r="CU4" s="39">
        <v>85.06</v>
      </c>
      <c r="CV4" s="39">
        <v>85.21</v>
      </c>
      <c r="CW4" s="39">
        <v>85.37</v>
      </c>
      <c r="CX4" s="39">
        <v>85.55</v>
      </c>
      <c r="CY4" s="39">
        <v>85.7</v>
      </c>
      <c r="CZ4" s="39">
        <v>85.86</v>
      </c>
      <c r="DA4" s="39">
        <v>86.01</v>
      </c>
      <c r="DB4" s="39">
        <v>86.17</v>
      </c>
      <c r="DC4" s="39">
        <v>86.32</v>
      </c>
      <c r="DD4" s="39">
        <v>86.47</v>
      </c>
      <c r="DE4" s="39">
        <v>86.62</v>
      </c>
      <c r="DF4" s="39">
        <v>86.77</v>
      </c>
      <c r="DG4" s="39">
        <v>86.92</v>
      </c>
      <c r="DH4" s="39">
        <v>87.06</v>
      </c>
      <c r="DI4" s="39">
        <v>87.21</v>
      </c>
      <c r="DJ4" s="39">
        <v>87.35</v>
      </c>
      <c r="DK4" s="39">
        <v>87.5</v>
      </c>
      <c r="DL4" s="39">
        <v>87.63</v>
      </c>
      <c r="DM4" s="39">
        <v>87.77</v>
      </c>
      <c r="DN4" s="39">
        <v>87.91</v>
      </c>
      <c r="DO4" s="39">
        <v>88.05</v>
      </c>
      <c r="DP4" s="39">
        <v>88.18</v>
      </c>
      <c r="DQ4" s="39">
        <v>88.32</v>
      </c>
      <c r="DR4" s="39">
        <v>88.45</v>
      </c>
    </row>
    <row r="5" spans="1:122">
      <c r="A5" s="37">
        <v>3</v>
      </c>
      <c r="B5" s="38"/>
      <c r="C5" s="38"/>
      <c r="D5" s="38"/>
      <c r="E5" s="38"/>
      <c r="F5" s="38"/>
      <c r="G5" s="38"/>
      <c r="H5" s="38"/>
      <c r="I5" s="38"/>
      <c r="J5" s="38"/>
      <c r="K5" s="38"/>
      <c r="L5" s="38"/>
      <c r="M5" s="38"/>
      <c r="N5" s="38"/>
      <c r="O5" s="38"/>
      <c r="P5" s="38"/>
      <c r="Q5" s="38"/>
      <c r="R5" s="38"/>
      <c r="S5" s="38"/>
      <c r="T5" s="38"/>
      <c r="U5" s="38"/>
      <c r="V5" s="39"/>
      <c r="W5" s="39">
        <v>66.819999999999993</v>
      </c>
      <c r="X5" s="39">
        <v>67.040000000000006</v>
      </c>
      <c r="Y5" s="39">
        <v>67.099999999999994</v>
      </c>
      <c r="Z5" s="39">
        <v>67.31</v>
      </c>
      <c r="AA5" s="39">
        <v>67.56</v>
      </c>
      <c r="AB5" s="39">
        <v>67.8</v>
      </c>
      <c r="AC5" s="39">
        <v>67.97</v>
      </c>
      <c r="AD5" s="39">
        <v>68.11</v>
      </c>
      <c r="AE5" s="39">
        <v>68.349999999999994</v>
      </c>
      <c r="AF5" s="39">
        <v>68.650000000000006</v>
      </c>
      <c r="AG5" s="39">
        <v>68.959999999999994</v>
      </c>
      <c r="AH5" s="39">
        <v>69.31</v>
      </c>
      <c r="AI5" s="39">
        <v>69.650000000000006</v>
      </c>
      <c r="AJ5" s="39">
        <v>70.06</v>
      </c>
      <c r="AK5" s="39">
        <v>70.38</v>
      </c>
      <c r="AL5" s="39">
        <v>70.73</v>
      </c>
      <c r="AM5" s="39">
        <v>71.13</v>
      </c>
      <c r="AN5" s="39">
        <v>71.42</v>
      </c>
      <c r="AO5" s="39">
        <v>71.63</v>
      </c>
      <c r="AP5" s="39">
        <v>71.91</v>
      </c>
      <c r="AQ5" s="39">
        <v>72.180000000000007</v>
      </c>
      <c r="AR5" s="39">
        <v>72.61</v>
      </c>
      <c r="AS5" s="39">
        <v>72.88</v>
      </c>
      <c r="AT5" s="39">
        <v>73.13</v>
      </c>
      <c r="AU5" s="39">
        <v>73.36</v>
      </c>
      <c r="AV5" s="39">
        <v>73.53</v>
      </c>
      <c r="AW5" s="39">
        <v>73.91</v>
      </c>
      <c r="AX5" s="39">
        <v>74.12</v>
      </c>
      <c r="AY5" s="39">
        <v>74.25</v>
      </c>
      <c r="AZ5" s="39">
        <v>74.3</v>
      </c>
      <c r="BA5" s="39">
        <v>74.38</v>
      </c>
      <c r="BB5" s="39">
        <v>74.55</v>
      </c>
      <c r="BC5" s="39">
        <v>74.69</v>
      </c>
      <c r="BD5" s="39">
        <v>74.87</v>
      </c>
      <c r="BE5" s="39">
        <v>75.09</v>
      </c>
      <c r="BF5" s="39">
        <v>75.319999999999993</v>
      </c>
      <c r="BG5" s="39">
        <v>75.489999999999995</v>
      </c>
      <c r="BH5" s="39">
        <v>75.819999999999993</v>
      </c>
      <c r="BI5" s="39">
        <v>76.040000000000006</v>
      </c>
      <c r="BJ5" s="39">
        <v>76.33</v>
      </c>
      <c r="BK5" s="39">
        <v>76.58</v>
      </c>
      <c r="BL5" s="39">
        <v>76.88</v>
      </c>
      <c r="BM5" s="39">
        <v>77.19</v>
      </c>
      <c r="BN5" s="39">
        <v>77.45</v>
      </c>
      <c r="BO5" s="39">
        <v>77.73</v>
      </c>
      <c r="BP5" s="39">
        <v>77.989999999999995</v>
      </c>
      <c r="BQ5" s="39">
        <v>78.23</v>
      </c>
      <c r="BR5" s="39">
        <v>78.48</v>
      </c>
      <c r="BS5" s="39">
        <v>78.7</v>
      </c>
      <c r="BT5" s="40">
        <v>78.92</v>
      </c>
      <c r="BU5" s="39">
        <v>79.09</v>
      </c>
      <c r="BV5" s="39">
        <v>79.319999999999993</v>
      </c>
      <c r="BW5" s="39">
        <v>79.53</v>
      </c>
      <c r="BX5" s="39">
        <v>79.75</v>
      </c>
      <c r="BY5" s="39">
        <v>79.930000000000007</v>
      </c>
      <c r="BZ5" s="39">
        <v>80.13</v>
      </c>
      <c r="CA5" s="39">
        <v>80.319999999999993</v>
      </c>
      <c r="CB5" s="39">
        <v>80.489999999999995</v>
      </c>
      <c r="CC5" s="39">
        <v>80.69</v>
      </c>
      <c r="CD5" s="39">
        <v>80.92</v>
      </c>
      <c r="CE5" s="39">
        <v>81.11</v>
      </c>
      <c r="CF5" s="39">
        <v>81.319999999999993</v>
      </c>
      <c r="CG5" s="39">
        <v>81.53</v>
      </c>
      <c r="CH5" s="39">
        <v>81.709999999999994</v>
      </c>
      <c r="CI5" s="39">
        <v>81.94</v>
      </c>
      <c r="CJ5" s="39">
        <v>82.12</v>
      </c>
      <c r="CK5" s="39">
        <v>82.3</v>
      </c>
      <c r="CL5" s="39">
        <v>82.51</v>
      </c>
      <c r="CM5" s="39">
        <v>82.7</v>
      </c>
      <c r="CN5" s="39">
        <v>82.88</v>
      </c>
      <c r="CO5" s="39">
        <v>83.06</v>
      </c>
      <c r="CP5" s="39">
        <v>83.23</v>
      </c>
      <c r="CQ5" s="39">
        <v>83.42</v>
      </c>
      <c r="CR5" s="39">
        <v>83.57</v>
      </c>
      <c r="CS5" s="39">
        <v>83.75</v>
      </c>
      <c r="CT5" s="39">
        <v>83.92</v>
      </c>
      <c r="CU5" s="39">
        <v>84.08</v>
      </c>
      <c r="CV5" s="39">
        <v>84.23</v>
      </c>
      <c r="CW5" s="39">
        <v>84.39</v>
      </c>
      <c r="CX5" s="39">
        <v>84.56</v>
      </c>
      <c r="CY5" s="39">
        <v>84.72</v>
      </c>
      <c r="CZ5" s="39">
        <v>84.88</v>
      </c>
      <c r="DA5" s="39">
        <v>85.03</v>
      </c>
      <c r="DB5" s="39">
        <v>85.19</v>
      </c>
      <c r="DC5" s="39">
        <v>85.33</v>
      </c>
      <c r="DD5" s="39">
        <v>85.49</v>
      </c>
      <c r="DE5" s="39">
        <v>85.64</v>
      </c>
      <c r="DF5" s="39">
        <v>85.78</v>
      </c>
      <c r="DG5" s="39">
        <v>85.93</v>
      </c>
      <c r="DH5" s="39">
        <v>86.07</v>
      </c>
      <c r="DI5" s="39">
        <v>86.21</v>
      </c>
      <c r="DJ5" s="39">
        <v>86.36</v>
      </c>
      <c r="DK5" s="39">
        <v>86.51</v>
      </c>
      <c r="DL5" s="39">
        <v>86.65</v>
      </c>
      <c r="DM5" s="39">
        <v>86.79</v>
      </c>
      <c r="DN5" s="39">
        <v>86.92</v>
      </c>
      <c r="DO5" s="39">
        <v>87.06</v>
      </c>
      <c r="DP5" s="39">
        <v>87.2</v>
      </c>
      <c r="DQ5" s="39">
        <v>87.33</v>
      </c>
      <c r="DR5" s="39">
        <v>87.47</v>
      </c>
    </row>
    <row r="6" spans="1:122">
      <c r="A6" s="37">
        <v>4</v>
      </c>
      <c r="B6" s="38"/>
      <c r="C6" s="38"/>
      <c r="D6" s="38"/>
      <c r="E6" s="38"/>
      <c r="F6" s="38"/>
      <c r="G6" s="38"/>
      <c r="H6" s="38"/>
      <c r="I6" s="38"/>
      <c r="J6" s="38"/>
      <c r="K6" s="38"/>
      <c r="L6" s="38"/>
      <c r="M6" s="38"/>
      <c r="N6" s="38"/>
      <c r="O6" s="38"/>
      <c r="P6" s="38"/>
      <c r="Q6" s="38"/>
      <c r="R6" s="38"/>
      <c r="S6" s="38"/>
      <c r="T6" s="38"/>
      <c r="U6" s="38"/>
      <c r="V6" s="39"/>
      <c r="W6" s="39">
        <v>66.09</v>
      </c>
      <c r="X6" s="39">
        <v>66.31</v>
      </c>
      <c r="Y6" s="39">
        <v>66.37</v>
      </c>
      <c r="Z6" s="39">
        <v>66.599999999999994</v>
      </c>
      <c r="AA6" s="39">
        <v>66.84</v>
      </c>
      <c r="AB6" s="39">
        <v>67.12</v>
      </c>
      <c r="AC6" s="39">
        <v>67.260000000000005</v>
      </c>
      <c r="AD6" s="39">
        <v>67.36</v>
      </c>
      <c r="AE6" s="39">
        <v>67.58</v>
      </c>
      <c r="AF6" s="39">
        <v>67.88</v>
      </c>
      <c r="AG6" s="39">
        <v>68.2</v>
      </c>
      <c r="AH6" s="39">
        <v>68.59</v>
      </c>
      <c r="AI6" s="39">
        <v>68.94</v>
      </c>
      <c r="AJ6" s="39">
        <v>69.33</v>
      </c>
      <c r="AK6" s="39">
        <v>69.63</v>
      </c>
      <c r="AL6" s="39">
        <v>70.010000000000005</v>
      </c>
      <c r="AM6" s="39">
        <v>70.41</v>
      </c>
      <c r="AN6" s="39">
        <v>70.7</v>
      </c>
      <c r="AO6" s="39">
        <v>70.91</v>
      </c>
      <c r="AP6" s="39">
        <v>71.22</v>
      </c>
      <c r="AQ6" s="39">
        <v>71.53</v>
      </c>
      <c r="AR6" s="39">
        <v>72.03</v>
      </c>
      <c r="AS6" s="39">
        <v>72.180000000000007</v>
      </c>
      <c r="AT6" s="39">
        <v>72.44</v>
      </c>
      <c r="AU6" s="39">
        <v>72.56</v>
      </c>
      <c r="AV6" s="39">
        <v>72.680000000000007</v>
      </c>
      <c r="AW6" s="39">
        <v>73.06</v>
      </c>
      <c r="AX6" s="39">
        <v>73.27</v>
      </c>
      <c r="AY6" s="39">
        <v>73.36</v>
      </c>
      <c r="AZ6" s="39">
        <v>73.41</v>
      </c>
      <c r="BA6" s="39">
        <v>73.48</v>
      </c>
      <c r="BB6" s="39">
        <v>73.650000000000006</v>
      </c>
      <c r="BC6" s="39">
        <v>73.790000000000006</v>
      </c>
      <c r="BD6" s="39">
        <v>73.959999999999994</v>
      </c>
      <c r="BE6" s="39">
        <v>74.17</v>
      </c>
      <c r="BF6" s="39">
        <v>74.400000000000006</v>
      </c>
      <c r="BG6" s="39">
        <v>74.569999999999993</v>
      </c>
      <c r="BH6" s="39">
        <v>74.900000000000006</v>
      </c>
      <c r="BI6" s="39">
        <v>75.12</v>
      </c>
      <c r="BJ6" s="39">
        <v>75.400000000000006</v>
      </c>
      <c r="BK6" s="39">
        <v>75.650000000000006</v>
      </c>
      <c r="BL6" s="39">
        <v>75.95</v>
      </c>
      <c r="BM6" s="39">
        <v>76.260000000000005</v>
      </c>
      <c r="BN6" s="39">
        <v>76.52</v>
      </c>
      <c r="BO6" s="39">
        <v>76.8</v>
      </c>
      <c r="BP6" s="39">
        <v>77.05</v>
      </c>
      <c r="BQ6" s="39">
        <v>77.3</v>
      </c>
      <c r="BR6" s="39">
        <v>77.55</v>
      </c>
      <c r="BS6" s="39">
        <v>77.760000000000005</v>
      </c>
      <c r="BT6" s="40">
        <v>77.98</v>
      </c>
      <c r="BU6" s="39">
        <v>78.150000000000006</v>
      </c>
      <c r="BV6" s="39">
        <v>78.37</v>
      </c>
      <c r="BW6" s="39">
        <v>78.58</v>
      </c>
      <c r="BX6" s="39">
        <v>78.790000000000006</v>
      </c>
      <c r="BY6" s="39">
        <v>78.98</v>
      </c>
      <c r="BZ6" s="39">
        <v>79.180000000000007</v>
      </c>
      <c r="CA6" s="39">
        <v>79.36</v>
      </c>
      <c r="CB6" s="39">
        <v>79.53</v>
      </c>
      <c r="CC6" s="39">
        <v>79.739999999999995</v>
      </c>
      <c r="CD6" s="39">
        <v>79.95</v>
      </c>
      <c r="CE6" s="39">
        <v>80.14</v>
      </c>
      <c r="CF6" s="39">
        <v>80.349999999999994</v>
      </c>
      <c r="CG6" s="39">
        <v>80.56</v>
      </c>
      <c r="CH6" s="39">
        <v>80.739999999999995</v>
      </c>
      <c r="CI6" s="39">
        <v>80.97</v>
      </c>
      <c r="CJ6" s="39">
        <v>81.150000000000006</v>
      </c>
      <c r="CK6" s="39">
        <v>81.33</v>
      </c>
      <c r="CL6" s="39">
        <v>81.540000000000006</v>
      </c>
      <c r="CM6" s="39">
        <v>81.72</v>
      </c>
      <c r="CN6" s="39">
        <v>81.91</v>
      </c>
      <c r="CO6" s="39">
        <v>82.08</v>
      </c>
      <c r="CP6" s="39">
        <v>82.26</v>
      </c>
      <c r="CQ6" s="39">
        <v>82.44</v>
      </c>
      <c r="CR6" s="39">
        <v>82.59</v>
      </c>
      <c r="CS6" s="39">
        <v>82.77</v>
      </c>
      <c r="CT6" s="39">
        <v>82.94</v>
      </c>
      <c r="CU6" s="39">
        <v>83.1</v>
      </c>
      <c r="CV6" s="39">
        <v>83.25</v>
      </c>
      <c r="CW6" s="39">
        <v>83.41</v>
      </c>
      <c r="CX6" s="39">
        <v>83.58</v>
      </c>
      <c r="CY6" s="39">
        <v>83.74</v>
      </c>
      <c r="CZ6" s="39">
        <v>83.89</v>
      </c>
      <c r="DA6" s="39">
        <v>84.04</v>
      </c>
      <c r="DB6" s="39">
        <v>84.2</v>
      </c>
      <c r="DC6" s="39">
        <v>84.35</v>
      </c>
      <c r="DD6" s="39">
        <v>84.5</v>
      </c>
      <c r="DE6" s="39">
        <v>84.65</v>
      </c>
      <c r="DF6" s="39">
        <v>84.79</v>
      </c>
      <c r="DG6" s="39">
        <v>84.94</v>
      </c>
      <c r="DH6" s="39">
        <v>85.08</v>
      </c>
      <c r="DI6" s="39">
        <v>85.23</v>
      </c>
      <c r="DJ6" s="39">
        <v>85.37</v>
      </c>
      <c r="DK6" s="39">
        <v>85.52</v>
      </c>
      <c r="DL6" s="39">
        <v>85.66</v>
      </c>
      <c r="DM6" s="39">
        <v>85.8</v>
      </c>
      <c r="DN6" s="39">
        <v>85.94</v>
      </c>
      <c r="DO6" s="39">
        <v>86.07</v>
      </c>
      <c r="DP6" s="39">
        <v>86.21</v>
      </c>
      <c r="DQ6" s="39">
        <v>86.34</v>
      </c>
      <c r="DR6" s="39">
        <v>86.48</v>
      </c>
    </row>
    <row r="7" spans="1:122">
      <c r="A7" s="37">
        <v>5</v>
      </c>
      <c r="B7" s="38"/>
      <c r="C7" s="38"/>
      <c r="D7" s="38"/>
      <c r="E7" s="38"/>
      <c r="F7" s="38"/>
      <c r="G7" s="38"/>
      <c r="H7" s="38"/>
      <c r="I7" s="38"/>
      <c r="J7" s="38"/>
      <c r="K7" s="38"/>
      <c r="L7" s="38"/>
      <c r="M7" s="38"/>
      <c r="N7" s="38"/>
      <c r="O7" s="38"/>
      <c r="P7" s="38"/>
      <c r="Q7" s="38"/>
      <c r="R7" s="38"/>
      <c r="S7" s="38"/>
      <c r="T7" s="38"/>
      <c r="U7" s="38"/>
      <c r="V7" s="39"/>
      <c r="W7" s="39">
        <v>65.3</v>
      </c>
      <c r="X7" s="39">
        <v>65.52</v>
      </c>
      <c r="Y7" s="39">
        <v>65.59</v>
      </c>
      <c r="Z7" s="39">
        <v>65.81</v>
      </c>
      <c r="AA7" s="39">
        <v>66.09</v>
      </c>
      <c r="AB7" s="39">
        <v>66.349999999999994</v>
      </c>
      <c r="AC7" s="39">
        <v>66.459999999999994</v>
      </c>
      <c r="AD7" s="39">
        <v>66.540000000000006</v>
      </c>
      <c r="AE7" s="39">
        <v>66.77</v>
      </c>
      <c r="AF7" s="39">
        <v>67.069999999999993</v>
      </c>
      <c r="AG7" s="39">
        <v>67.42</v>
      </c>
      <c r="AH7" s="39">
        <v>67.81</v>
      </c>
      <c r="AI7" s="39">
        <v>68.150000000000006</v>
      </c>
      <c r="AJ7" s="39">
        <v>68.52</v>
      </c>
      <c r="AK7" s="39">
        <v>68.84</v>
      </c>
      <c r="AL7" s="39">
        <v>69.23</v>
      </c>
      <c r="AM7" s="39">
        <v>69.63</v>
      </c>
      <c r="AN7" s="39">
        <v>69.92</v>
      </c>
      <c r="AO7" s="39">
        <v>70.150000000000006</v>
      </c>
      <c r="AP7" s="39">
        <v>70.5</v>
      </c>
      <c r="AQ7" s="39">
        <v>70.86</v>
      </c>
      <c r="AR7" s="39">
        <v>71.239999999999995</v>
      </c>
      <c r="AS7" s="39">
        <v>71.39</v>
      </c>
      <c r="AT7" s="39">
        <v>71.569999999999993</v>
      </c>
      <c r="AU7" s="39">
        <v>71.67</v>
      </c>
      <c r="AV7" s="39">
        <v>71.790000000000006</v>
      </c>
      <c r="AW7" s="39">
        <v>72.17</v>
      </c>
      <c r="AX7" s="39">
        <v>72.36</v>
      </c>
      <c r="AY7" s="39">
        <v>72.45</v>
      </c>
      <c r="AZ7" s="39">
        <v>72.48</v>
      </c>
      <c r="BA7" s="39">
        <v>72.55</v>
      </c>
      <c r="BB7" s="39">
        <v>72.72</v>
      </c>
      <c r="BC7" s="39">
        <v>72.849999999999994</v>
      </c>
      <c r="BD7" s="39">
        <v>73.040000000000006</v>
      </c>
      <c r="BE7" s="39">
        <v>73.23</v>
      </c>
      <c r="BF7" s="39">
        <v>73.47</v>
      </c>
      <c r="BG7" s="39">
        <v>73.64</v>
      </c>
      <c r="BH7" s="39">
        <v>73.959999999999994</v>
      </c>
      <c r="BI7" s="39">
        <v>74.180000000000007</v>
      </c>
      <c r="BJ7" s="39">
        <v>74.459999999999994</v>
      </c>
      <c r="BK7" s="39">
        <v>74.709999999999994</v>
      </c>
      <c r="BL7" s="39">
        <v>75.010000000000005</v>
      </c>
      <c r="BM7" s="39">
        <v>75.319999999999993</v>
      </c>
      <c r="BN7" s="39">
        <v>75.58</v>
      </c>
      <c r="BO7" s="39">
        <v>75.86</v>
      </c>
      <c r="BP7" s="39">
        <v>76.11</v>
      </c>
      <c r="BQ7" s="39">
        <v>76.349999999999994</v>
      </c>
      <c r="BR7" s="39">
        <v>76.599999999999994</v>
      </c>
      <c r="BS7" s="39">
        <v>76.81</v>
      </c>
      <c r="BT7" s="40">
        <v>77.02</v>
      </c>
      <c r="BU7" s="39">
        <v>77.2</v>
      </c>
      <c r="BV7" s="39">
        <v>77.42</v>
      </c>
      <c r="BW7" s="39">
        <v>77.63</v>
      </c>
      <c r="BX7" s="39">
        <v>77.83</v>
      </c>
      <c r="BY7" s="39">
        <v>78.02</v>
      </c>
      <c r="BZ7" s="39">
        <v>78.209999999999994</v>
      </c>
      <c r="CA7" s="39">
        <v>78.39</v>
      </c>
      <c r="CB7" s="39">
        <v>78.56</v>
      </c>
      <c r="CC7" s="39">
        <v>78.77</v>
      </c>
      <c r="CD7" s="39">
        <v>78.98</v>
      </c>
      <c r="CE7" s="39">
        <v>79.17</v>
      </c>
      <c r="CF7" s="39">
        <v>79.37</v>
      </c>
      <c r="CG7" s="39">
        <v>79.59</v>
      </c>
      <c r="CH7" s="39">
        <v>79.77</v>
      </c>
      <c r="CI7" s="39">
        <v>79.989999999999995</v>
      </c>
      <c r="CJ7" s="39">
        <v>80.17</v>
      </c>
      <c r="CK7" s="39">
        <v>80.349999999999994</v>
      </c>
      <c r="CL7" s="39">
        <v>80.56</v>
      </c>
      <c r="CM7" s="39">
        <v>80.739999999999995</v>
      </c>
      <c r="CN7" s="39">
        <v>80.92</v>
      </c>
      <c r="CO7" s="39">
        <v>81.099999999999994</v>
      </c>
      <c r="CP7" s="39">
        <v>81.27</v>
      </c>
      <c r="CQ7" s="39">
        <v>81.45</v>
      </c>
      <c r="CR7" s="39">
        <v>81.61</v>
      </c>
      <c r="CS7" s="39">
        <v>81.78</v>
      </c>
      <c r="CT7" s="39">
        <v>81.95</v>
      </c>
      <c r="CU7" s="39">
        <v>82.11</v>
      </c>
      <c r="CV7" s="39">
        <v>82.26</v>
      </c>
      <c r="CW7" s="39">
        <v>82.42</v>
      </c>
      <c r="CX7" s="39">
        <v>82.59</v>
      </c>
      <c r="CY7" s="39">
        <v>82.75</v>
      </c>
      <c r="CZ7" s="39">
        <v>82.9</v>
      </c>
      <c r="DA7" s="39">
        <v>83.06</v>
      </c>
      <c r="DB7" s="39">
        <v>83.21</v>
      </c>
      <c r="DC7" s="39">
        <v>83.36</v>
      </c>
      <c r="DD7" s="39">
        <v>83.51</v>
      </c>
      <c r="DE7" s="39">
        <v>83.66</v>
      </c>
      <c r="DF7" s="39">
        <v>83.8</v>
      </c>
      <c r="DG7" s="39">
        <v>83.95</v>
      </c>
      <c r="DH7" s="39">
        <v>84.09</v>
      </c>
      <c r="DI7" s="39">
        <v>84.24</v>
      </c>
      <c r="DJ7" s="39">
        <v>84.38</v>
      </c>
      <c r="DK7" s="39">
        <v>84.53</v>
      </c>
      <c r="DL7" s="39">
        <v>84.67</v>
      </c>
      <c r="DM7" s="39">
        <v>84.81</v>
      </c>
      <c r="DN7" s="39">
        <v>84.94</v>
      </c>
      <c r="DO7" s="39">
        <v>85.08</v>
      </c>
      <c r="DP7" s="39">
        <v>85.22</v>
      </c>
      <c r="DQ7" s="39">
        <v>85.35</v>
      </c>
      <c r="DR7" s="39">
        <v>85.48</v>
      </c>
    </row>
    <row r="8" spans="1:122">
      <c r="A8" s="37">
        <v>6</v>
      </c>
      <c r="B8" s="38"/>
      <c r="C8" s="38"/>
      <c r="D8" s="38"/>
      <c r="E8" s="38"/>
      <c r="F8" s="38"/>
      <c r="G8" s="38"/>
      <c r="H8" s="38"/>
      <c r="I8" s="38"/>
      <c r="J8" s="38"/>
      <c r="K8" s="38"/>
      <c r="L8" s="38"/>
      <c r="M8" s="38"/>
      <c r="N8" s="38"/>
      <c r="O8" s="38"/>
      <c r="P8" s="38"/>
      <c r="Q8" s="38"/>
      <c r="R8" s="38"/>
      <c r="S8" s="38"/>
      <c r="T8" s="38"/>
      <c r="U8" s="38"/>
      <c r="V8" s="39"/>
      <c r="W8" s="39">
        <v>64.459999999999994</v>
      </c>
      <c r="X8" s="39">
        <v>64.69</v>
      </c>
      <c r="Y8" s="39">
        <v>64.760000000000005</v>
      </c>
      <c r="Z8" s="39">
        <v>65.010000000000005</v>
      </c>
      <c r="AA8" s="39">
        <v>65.28</v>
      </c>
      <c r="AB8" s="39">
        <v>65.52</v>
      </c>
      <c r="AC8" s="39">
        <v>65.61</v>
      </c>
      <c r="AD8" s="39">
        <v>65.7</v>
      </c>
      <c r="AE8" s="39">
        <v>65.92</v>
      </c>
      <c r="AF8" s="39">
        <v>66.25</v>
      </c>
      <c r="AG8" s="39">
        <v>66.599999999999994</v>
      </c>
      <c r="AH8" s="39">
        <v>66.989999999999995</v>
      </c>
      <c r="AI8" s="39">
        <v>67.31</v>
      </c>
      <c r="AJ8" s="39">
        <v>67.7</v>
      </c>
      <c r="AK8" s="39">
        <v>68.02</v>
      </c>
      <c r="AL8" s="39">
        <v>68.41</v>
      </c>
      <c r="AM8" s="39">
        <v>68.81</v>
      </c>
      <c r="AN8" s="39">
        <v>69.12</v>
      </c>
      <c r="AO8" s="39">
        <v>69.38</v>
      </c>
      <c r="AP8" s="39">
        <v>69.77</v>
      </c>
      <c r="AQ8" s="39">
        <v>70.02</v>
      </c>
      <c r="AR8" s="39">
        <v>70.400000000000006</v>
      </c>
      <c r="AS8" s="39">
        <v>70.5</v>
      </c>
      <c r="AT8" s="39">
        <v>70.66</v>
      </c>
      <c r="AU8" s="39">
        <v>70.760000000000005</v>
      </c>
      <c r="AV8" s="39">
        <v>70.87</v>
      </c>
      <c r="AW8" s="39">
        <v>71.239999999999995</v>
      </c>
      <c r="AX8" s="39">
        <v>71.42</v>
      </c>
      <c r="AY8" s="39">
        <v>71.52</v>
      </c>
      <c r="AZ8" s="39">
        <v>71.55</v>
      </c>
      <c r="BA8" s="39">
        <v>71.61</v>
      </c>
      <c r="BB8" s="39">
        <v>71.78</v>
      </c>
      <c r="BC8" s="39">
        <v>71.91</v>
      </c>
      <c r="BD8" s="39">
        <v>72.09</v>
      </c>
      <c r="BE8" s="39">
        <v>72.290000000000006</v>
      </c>
      <c r="BF8" s="39">
        <v>72.52</v>
      </c>
      <c r="BG8" s="39">
        <v>72.69</v>
      </c>
      <c r="BH8" s="39">
        <v>73.010000000000005</v>
      </c>
      <c r="BI8" s="39">
        <v>73.22</v>
      </c>
      <c r="BJ8" s="39">
        <v>73.510000000000005</v>
      </c>
      <c r="BK8" s="39">
        <v>73.760000000000005</v>
      </c>
      <c r="BL8" s="39">
        <v>74.069999999999993</v>
      </c>
      <c r="BM8" s="39">
        <v>74.37</v>
      </c>
      <c r="BN8" s="39">
        <v>74.64</v>
      </c>
      <c r="BO8" s="39">
        <v>74.91</v>
      </c>
      <c r="BP8" s="39">
        <v>75.17</v>
      </c>
      <c r="BQ8" s="39">
        <v>75.400000000000006</v>
      </c>
      <c r="BR8" s="39">
        <v>75.650000000000006</v>
      </c>
      <c r="BS8" s="39">
        <v>75.86</v>
      </c>
      <c r="BT8" s="40">
        <v>76.06</v>
      </c>
      <c r="BU8" s="39">
        <v>76.239999999999995</v>
      </c>
      <c r="BV8" s="39">
        <v>76.45</v>
      </c>
      <c r="BW8" s="39">
        <v>76.66</v>
      </c>
      <c r="BX8" s="39">
        <v>76.87</v>
      </c>
      <c r="BY8" s="39">
        <v>77.06</v>
      </c>
      <c r="BZ8" s="39">
        <v>77.239999999999995</v>
      </c>
      <c r="CA8" s="39">
        <v>77.430000000000007</v>
      </c>
      <c r="CB8" s="39">
        <v>77.59</v>
      </c>
      <c r="CC8" s="39">
        <v>77.790000000000006</v>
      </c>
      <c r="CD8" s="39">
        <v>78</v>
      </c>
      <c r="CE8" s="39">
        <v>78.19</v>
      </c>
      <c r="CF8" s="39">
        <v>78.400000000000006</v>
      </c>
      <c r="CG8" s="39">
        <v>78.61</v>
      </c>
      <c r="CH8" s="39">
        <v>78.790000000000006</v>
      </c>
      <c r="CI8" s="39">
        <v>79.02</v>
      </c>
      <c r="CJ8" s="39">
        <v>79.2</v>
      </c>
      <c r="CK8" s="39">
        <v>79.37</v>
      </c>
      <c r="CL8" s="39">
        <v>79.569999999999993</v>
      </c>
      <c r="CM8" s="39">
        <v>79.760000000000005</v>
      </c>
      <c r="CN8" s="39">
        <v>79.94</v>
      </c>
      <c r="CO8" s="39">
        <v>80.11</v>
      </c>
      <c r="CP8" s="39">
        <v>80.290000000000006</v>
      </c>
      <c r="CQ8" s="39">
        <v>80.459999999999994</v>
      </c>
      <c r="CR8" s="39">
        <v>80.62</v>
      </c>
      <c r="CS8" s="39">
        <v>80.790000000000006</v>
      </c>
      <c r="CT8" s="39">
        <v>80.959999999999994</v>
      </c>
      <c r="CU8" s="39">
        <v>81.12</v>
      </c>
      <c r="CV8" s="39">
        <v>81.27</v>
      </c>
      <c r="CW8" s="39">
        <v>81.44</v>
      </c>
      <c r="CX8" s="39">
        <v>81.599999999999994</v>
      </c>
      <c r="CY8" s="39">
        <v>81.760000000000005</v>
      </c>
      <c r="CZ8" s="39">
        <v>81.91</v>
      </c>
      <c r="DA8" s="39">
        <v>82.06</v>
      </c>
      <c r="DB8" s="39">
        <v>82.22</v>
      </c>
      <c r="DC8" s="39">
        <v>82.37</v>
      </c>
      <c r="DD8" s="39">
        <v>82.52</v>
      </c>
      <c r="DE8" s="39">
        <v>82.67</v>
      </c>
      <c r="DF8" s="39">
        <v>82.81</v>
      </c>
      <c r="DG8" s="39">
        <v>82.96</v>
      </c>
      <c r="DH8" s="39">
        <v>83.1</v>
      </c>
      <c r="DI8" s="39">
        <v>83.25</v>
      </c>
      <c r="DJ8" s="39">
        <v>83.39</v>
      </c>
      <c r="DK8" s="39">
        <v>83.53</v>
      </c>
      <c r="DL8" s="39">
        <v>83.67</v>
      </c>
      <c r="DM8" s="39">
        <v>83.81</v>
      </c>
      <c r="DN8" s="39">
        <v>83.95</v>
      </c>
      <c r="DO8" s="39">
        <v>84.09</v>
      </c>
      <c r="DP8" s="39">
        <v>84.22</v>
      </c>
      <c r="DQ8" s="39">
        <v>84.36</v>
      </c>
      <c r="DR8" s="39">
        <v>84.49</v>
      </c>
    </row>
    <row r="9" spans="1:122">
      <c r="A9" s="37">
        <v>7</v>
      </c>
      <c r="B9" s="38"/>
      <c r="C9" s="38"/>
      <c r="D9" s="38"/>
      <c r="E9" s="38"/>
      <c r="F9" s="38"/>
      <c r="G9" s="38"/>
      <c r="H9" s="38"/>
      <c r="I9" s="38"/>
      <c r="J9" s="38"/>
      <c r="K9" s="38"/>
      <c r="L9" s="38"/>
      <c r="M9" s="38"/>
      <c r="N9" s="38"/>
      <c r="O9" s="38"/>
      <c r="P9" s="38"/>
      <c r="Q9" s="38"/>
      <c r="R9" s="38"/>
      <c r="S9" s="38"/>
      <c r="T9" s="38"/>
      <c r="U9" s="38"/>
      <c r="V9" s="39"/>
      <c r="W9" s="39">
        <v>63.59</v>
      </c>
      <c r="X9" s="39">
        <v>63.84</v>
      </c>
      <c r="Y9" s="39">
        <v>63.93</v>
      </c>
      <c r="Z9" s="39">
        <v>64.19</v>
      </c>
      <c r="AA9" s="39">
        <v>64.430000000000007</v>
      </c>
      <c r="AB9" s="39">
        <v>64.66</v>
      </c>
      <c r="AC9" s="39">
        <v>64.75</v>
      </c>
      <c r="AD9" s="39">
        <v>64.84</v>
      </c>
      <c r="AE9" s="39">
        <v>65.09</v>
      </c>
      <c r="AF9" s="39">
        <v>65.42</v>
      </c>
      <c r="AG9" s="39">
        <v>65.760000000000005</v>
      </c>
      <c r="AH9" s="39">
        <v>66.14</v>
      </c>
      <c r="AI9" s="39">
        <v>66.47</v>
      </c>
      <c r="AJ9" s="39">
        <v>66.86</v>
      </c>
      <c r="AK9" s="39">
        <v>67.19</v>
      </c>
      <c r="AL9" s="39">
        <v>67.569999999999993</v>
      </c>
      <c r="AM9" s="39">
        <v>67.989999999999995</v>
      </c>
      <c r="AN9" s="39">
        <v>68.319999999999993</v>
      </c>
      <c r="AO9" s="39">
        <v>68.63</v>
      </c>
      <c r="AP9" s="39">
        <v>68.900000000000006</v>
      </c>
      <c r="AQ9" s="39">
        <v>69.150000000000006</v>
      </c>
      <c r="AR9" s="39">
        <v>69.489999999999995</v>
      </c>
      <c r="AS9" s="39">
        <v>69.569999999999993</v>
      </c>
      <c r="AT9" s="39">
        <v>69.73</v>
      </c>
      <c r="AU9" s="39">
        <v>69.83</v>
      </c>
      <c r="AV9" s="39">
        <v>69.930000000000007</v>
      </c>
      <c r="AW9" s="39">
        <v>70.290000000000006</v>
      </c>
      <c r="AX9" s="39">
        <v>70.48</v>
      </c>
      <c r="AY9" s="39">
        <v>70.58</v>
      </c>
      <c r="AZ9" s="39">
        <v>70.61</v>
      </c>
      <c r="BA9" s="39">
        <v>70.67</v>
      </c>
      <c r="BB9" s="39">
        <v>70.83</v>
      </c>
      <c r="BC9" s="39">
        <v>70.95</v>
      </c>
      <c r="BD9" s="39">
        <v>71.150000000000006</v>
      </c>
      <c r="BE9" s="39">
        <v>71.34</v>
      </c>
      <c r="BF9" s="39">
        <v>71.569999999999993</v>
      </c>
      <c r="BG9" s="39">
        <v>71.73</v>
      </c>
      <c r="BH9" s="39">
        <v>72.06</v>
      </c>
      <c r="BI9" s="39">
        <v>72.27</v>
      </c>
      <c r="BJ9" s="39">
        <v>72.56</v>
      </c>
      <c r="BK9" s="39">
        <v>72.81</v>
      </c>
      <c r="BL9" s="39">
        <v>73.12</v>
      </c>
      <c r="BM9" s="39">
        <v>73.42</v>
      </c>
      <c r="BN9" s="39">
        <v>73.69</v>
      </c>
      <c r="BO9" s="39">
        <v>73.959999999999994</v>
      </c>
      <c r="BP9" s="39">
        <v>74.209999999999994</v>
      </c>
      <c r="BQ9" s="39">
        <v>74.44</v>
      </c>
      <c r="BR9" s="39">
        <v>74.69</v>
      </c>
      <c r="BS9" s="39">
        <v>74.900000000000006</v>
      </c>
      <c r="BT9" s="40">
        <v>75.099999999999994</v>
      </c>
      <c r="BU9" s="39">
        <v>75.27</v>
      </c>
      <c r="BV9" s="39">
        <v>75.489999999999995</v>
      </c>
      <c r="BW9" s="39">
        <v>75.69</v>
      </c>
      <c r="BX9" s="39">
        <v>75.900000000000006</v>
      </c>
      <c r="BY9" s="39">
        <v>76.09</v>
      </c>
      <c r="BZ9" s="39">
        <v>76.27</v>
      </c>
      <c r="CA9" s="39">
        <v>76.45</v>
      </c>
      <c r="CB9" s="39">
        <v>76.61</v>
      </c>
      <c r="CC9" s="39">
        <v>76.819999999999993</v>
      </c>
      <c r="CD9" s="39">
        <v>77.02</v>
      </c>
      <c r="CE9" s="39">
        <v>77.22</v>
      </c>
      <c r="CF9" s="39">
        <v>77.42</v>
      </c>
      <c r="CG9" s="39">
        <v>77.62</v>
      </c>
      <c r="CH9" s="39">
        <v>77.81</v>
      </c>
      <c r="CI9" s="39">
        <v>78.03</v>
      </c>
      <c r="CJ9" s="39">
        <v>78.209999999999994</v>
      </c>
      <c r="CK9" s="39">
        <v>78.39</v>
      </c>
      <c r="CL9" s="39">
        <v>78.58</v>
      </c>
      <c r="CM9" s="39">
        <v>78.78</v>
      </c>
      <c r="CN9" s="39">
        <v>78.95</v>
      </c>
      <c r="CO9" s="39">
        <v>79.12</v>
      </c>
      <c r="CP9" s="39">
        <v>79.3</v>
      </c>
      <c r="CQ9" s="39">
        <v>79.47</v>
      </c>
      <c r="CR9" s="39">
        <v>79.63</v>
      </c>
      <c r="CS9" s="39">
        <v>79.8</v>
      </c>
      <c r="CT9" s="39">
        <v>79.98</v>
      </c>
      <c r="CU9" s="39">
        <v>80.13</v>
      </c>
      <c r="CV9" s="39">
        <v>80.28</v>
      </c>
      <c r="CW9" s="39">
        <v>80.44</v>
      </c>
      <c r="CX9" s="39">
        <v>80.599999999999994</v>
      </c>
      <c r="CY9" s="39">
        <v>80.77</v>
      </c>
      <c r="CZ9" s="39">
        <v>80.92</v>
      </c>
      <c r="DA9" s="39">
        <v>81.069999999999993</v>
      </c>
      <c r="DB9" s="39">
        <v>81.23</v>
      </c>
      <c r="DC9" s="39">
        <v>81.37</v>
      </c>
      <c r="DD9" s="39">
        <v>81.53</v>
      </c>
      <c r="DE9" s="39">
        <v>81.680000000000007</v>
      </c>
      <c r="DF9" s="39">
        <v>81.819999999999993</v>
      </c>
      <c r="DG9" s="39">
        <v>81.97</v>
      </c>
      <c r="DH9" s="39">
        <v>82.11</v>
      </c>
      <c r="DI9" s="39">
        <v>82.25</v>
      </c>
      <c r="DJ9" s="39">
        <v>82.4</v>
      </c>
      <c r="DK9" s="39">
        <v>82.54</v>
      </c>
      <c r="DL9" s="39">
        <v>82.68</v>
      </c>
      <c r="DM9" s="39">
        <v>82.82</v>
      </c>
      <c r="DN9" s="39">
        <v>82.96</v>
      </c>
      <c r="DO9" s="39">
        <v>83.09</v>
      </c>
      <c r="DP9" s="39">
        <v>83.23</v>
      </c>
      <c r="DQ9" s="39">
        <v>83.36</v>
      </c>
      <c r="DR9" s="39">
        <v>83.5</v>
      </c>
    </row>
    <row r="10" spans="1:122">
      <c r="A10" s="37">
        <v>8</v>
      </c>
      <c r="B10" s="38"/>
      <c r="C10" s="38"/>
      <c r="D10" s="38"/>
      <c r="E10" s="38"/>
      <c r="F10" s="38"/>
      <c r="G10" s="38"/>
      <c r="H10" s="38"/>
      <c r="I10" s="38"/>
      <c r="J10" s="38"/>
      <c r="K10" s="38"/>
      <c r="L10" s="38"/>
      <c r="M10" s="38"/>
      <c r="N10" s="38"/>
      <c r="O10" s="38"/>
      <c r="P10" s="38"/>
      <c r="Q10" s="38"/>
      <c r="R10" s="38"/>
      <c r="S10" s="38"/>
      <c r="T10" s="38"/>
      <c r="U10" s="38"/>
      <c r="V10" s="39"/>
      <c r="W10" s="39">
        <v>62.72</v>
      </c>
      <c r="X10" s="39">
        <v>62.98</v>
      </c>
      <c r="Y10" s="39">
        <v>63.07</v>
      </c>
      <c r="Z10" s="39">
        <v>63.3</v>
      </c>
      <c r="AA10" s="39">
        <v>63.56</v>
      </c>
      <c r="AB10" s="39">
        <v>63.79</v>
      </c>
      <c r="AC10" s="39">
        <v>63.88</v>
      </c>
      <c r="AD10" s="39">
        <v>63.98</v>
      </c>
      <c r="AE10" s="39">
        <v>64.23</v>
      </c>
      <c r="AF10" s="39">
        <v>64.55</v>
      </c>
      <c r="AG10" s="39">
        <v>64.89</v>
      </c>
      <c r="AH10" s="39">
        <v>65.27</v>
      </c>
      <c r="AI10" s="39">
        <v>65.61</v>
      </c>
      <c r="AJ10" s="39">
        <v>66</v>
      </c>
      <c r="AK10" s="39">
        <v>66.33</v>
      </c>
      <c r="AL10" s="39">
        <v>66.72</v>
      </c>
      <c r="AM10" s="39">
        <v>67.17</v>
      </c>
      <c r="AN10" s="39">
        <v>67.540000000000006</v>
      </c>
      <c r="AO10" s="39">
        <v>67.739999999999995</v>
      </c>
      <c r="AP10" s="39">
        <v>68.02</v>
      </c>
      <c r="AQ10" s="39">
        <v>68.239999999999995</v>
      </c>
      <c r="AR10" s="39">
        <v>68.55</v>
      </c>
      <c r="AS10" s="39">
        <v>68.63</v>
      </c>
      <c r="AT10" s="39">
        <v>68.8</v>
      </c>
      <c r="AU10" s="39">
        <v>68.88</v>
      </c>
      <c r="AV10" s="39">
        <v>68.989999999999995</v>
      </c>
      <c r="AW10" s="39">
        <v>69.34</v>
      </c>
      <c r="AX10" s="39">
        <v>69.53</v>
      </c>
      <c r="AY10" s="39">
        <v>69.63</v>
      </c>
      <c r="AZ10" s="39">
        <v>69.66</v>
      </c>
      <c r="BA10" s="39">
        <v>69.709999999999994</v>
      </c>
      <c r="BB10" s="39">
        <v>69.88</v>
      </c>
      <c r="BC10" s="39">
        <v>69.989999999999995</v>
      </c>
      <c r="BD10" s="39">
        <v>70.19</v>
      </c>
      <c r="BE10" s="39">
        <v>70.38</v>
      </c>
      <c r="BF10" s="39">
        <v>70.62</v>
      </c>
      <c r="BG10" s="39">
        <v>70.77</v>
      </c>
      <c r="BH10" s="39">
        <v>71.099999999999994</v>
      </c>
      <c r="BI10" s="39">
        <v>71.31</v>
      </c>
      <c r="BJ10" s="39">
        <v>71.61</v>
      </c>
      <c r="BK10" s="39">
        <v>71.849999999999994</v>
      </c>
      <c r="BL10" s="39">
        <v>72.16</v>
      </c>
      <c r="BM10" s="39">
        <v>72.459999999999994</v>
      </c>
      <c r="BN10" s="39">
        <v>72.73</v>
      </c>
      <c r="BO10" s="39">
        <v>73.010000000000005</v>
      </c>
      <c r="BP10" s="39">
        <v>73.25</v>
      </c>
      <c r="BQ10" s="39">
        <v>73.48</v>
      </c>
      <c r="BR10" s="39">
        <v>73.72</v>
      </c>
      <c r="BS10" s="39">
        <v>73.930000000000007</v>
      </c>
      <c r="BT10" s="40">
        <v>74.14</v>
      </c>
      <c r="BU10" s="39">
        <v>74.31</v>
      </c>
      <c r="BV10" s="39">
        <v>74.52</v>
      </c>
      <c r="BW10" s="39">
        <v>74.72</v>
      </c>
      <c r="BX10" s="39">
        <v>74.930000000000007</v>
      </c>
      <c r="BY10" s="39">
        <v>75.11</v>
      </c>
      <c r="BZ10" s="39">
        <v>75.290000000000006</v>
      </c>
      <c r="CA10" s="39">
        <v>75.47</v>
      </c>
      <c r="CB10" s="39">
        <v>75.64</v>
      </c>
      <c r="CC10" s="39">
        <v>75.83</v>
      </c>
      <c r="CD10" s="39">
        <v>76.040000000000006</v>
      </c>
      <c r="CE10" s="39">
        <v>76.239999999999995</v>
      </c>
      <c r="CF10" s="39">
        <v>76.44</v>
      </c>
      <c r="CG10" s="39">
        <v>76.650000000000006</v>
      </c>
      <c r="CH10" s="39">
        <v>76.819999999999993</v>
      </c>
      <c r="CI10" s="39">
        <v>77.05</v>
      </c>
      <c r="CJ10" s="39">
        <v>77.23</v>
      </c>
      <c r="CK10" s="39">
        <v>77.400000000000006</v>
      </c>
      <c r="CL10" s="39">
        <v>77.599999999999994</v>
      </c>
      <c r="CM10" s="39">
        <v>77.78</v>
      </c>
      <c r="CN10" s="39">
        <v>77.97</v>
      </c>
      <c r="CO10" s="39">
        <v>78.13</v>
      </c>
      <c r="CP10" s="39">
        <v>78.31</v>
      </c>
      <c r="CQ10" s="39">
        <v>78.48</v>
      </c>
      <c r="CR10" s="39">
        <v>78.64</v>
      </c>
      <c r="CS10" s="39">
        <v>78.81</v>
      </c>
      <c r="CT10" s="39">
        <v>78.989999999999995</v>
      </c>
      <c r="CU10" s="39">
        <v>79.13</v>
      </c>
      <c r="CV10" s="39">
        <v>79.290000000000006</v>
      </c>
      <c r="CW10" s="39">
        <v>79.45</v>
      </c>
      <c r="CX10" s="39">
        <v>79.61</v>
      </c>
      <c r="CY10" s="39">
        <v>79.78</v>
      </c>
      <c r="CZ10" s="39">
        <v>79.930000000000007</v>
      </c>
      <c r="DA10" s="39">
        <v>80.08</v>
      </c>
      <c r="DB10" s="39">
        <v>80.239999999999995</v>
      </c>
      <c r="DC10" s="39">
        <v>80.38</v>
      </c>
      <c r="DD10" s="39">
        <v>80.53</v>
      </c>
      <c r="DE10" s="39">
        <v>80.680000000000007</v>
      </c>
      <c r="DF10" s="39">
        <v>80.819999999999993</v>
      </c>
      <c r="DG10" s="39">
        <v>80.97</v>
      </c>
      <c r="DH10" s="39">
        <v>81.12</v>
      </c>
      <c r="DI10" s="39">
        <v>81.260000000000005</v>
      </c>
      <c r="DJ10" s="39">
        <v>81.41</v>
      </c>
      <c r="DK10" s="39">
        <v>81.55</v>
      </c>
      <c r="DL10" s="39">
        <v>81.69</v>
      </c>
      <c r="DM10" s="39">
        <v>81.83</v>
      </c>
      <c r="DN10" s="39">
        <v>81.96</v>
      </c>
      <c r="DO10" s="39">
        <v>82.1</v>
      </c>
      <c r="DP10" s="39">
        <v>82.23</v>
      </c>
      <c r="DQ10" s="39">
        <v>82.37</v>
      </c>
      <c r="DR10" s="39">
        <v>82.5</v>
      </c>
    </row>
    <row r="11" spans="1:122">
      <c r="A11" s="37">
        <v>9</v>
      </c>
      <c r="B11" s="38"/>
      <c r="C11" s="38"/>
      <c r="D11" s="38"/>
      <c r="E11" s="38"/>
      <c r="F11" s="38"/>
      <c r="G11" s="38"/>
      <c r="H11" s="38"/>
      <c r="I11" s="38"/>
      <c r="J11" s="38"/>
      <c r="K11" s="38"/>
      <c r="L11" s="38"/>
      <c r="M11" s="38"/>
      <c r="N11" s="38"/>
      <c r="O11" s="38"/>
      <c r="P11" s="38"/>
      <c r="Q11" s="38"/>
      <c r="R11" s="38"/>
      <c r="S11" s="38"/>
      <c r="T11" s="38"/>
      <c r="U11" s="38"/>
      <c r="V11" s="39"/>
      <c r="W11" s="39">
        <v>61.84</v>
      </c>
      <c r="X11" s="39">
        <v>62.09</v>
      </c>
      <c r="Y11" s="39">
        <v>62.17</v>
      </c>
      <c r="Z11" s="39">
        <v>62.41</v>
      </c>
      <c r="AA11" s="39">
        <v>62.67</v>
      </c>
      <c r="AB11" s="39">
        <v>62.9</v>
      </c>
      <c r="AC11" s="39">
        <v>63.01</v>
      </c>
      <c r="AD11" s="39">
        <v>63.11</v>
      </c>
      <c r="AE11" s="39">
        <v>63.34</v>
      </c>
      <c r="AF11" s="39">
        <v>63.66</v>
      </c>
      <c r="AG11" s="39">
        <v>64.010000000000005</v>
      </c>
      <c r="AH11" s="39">
        <v>64.39</v>
      </c>
      <c r="AI11" s="39">
        <v>64.73</v>
      </c>
      <c r="AJ11" s="39">
        <v>65.13</v>
      </c>
      <c r="AK11" s="39">
        <v>65.459999999999994</v>
      </c>
      <c r="AL11" s="39">
        <v>65.88</v>
      </c>
      <c r="AM11" s="39">
        <v>66.349999999999994</v>
      </c>
      <c r="AN11" s="39">
        <v>66.64</v>
      </c>
      <c r="AO11" s="39">
        <v>66.84</v>
      </c>
      <c r="AP11" s="39">
        <v>67.099999999999994</v>
      </c>
      <c r="AQ11" s="39">
        <v>67.290000000000006</v>
      </c>
      <c r="AR11" s="39">
        <v>67.61</v>
      </c>
      <c r="AS11" s="39">
        <v>67.69</v>
      </c>
      <c r="AT11" s="39">
        <v>67.84</v>
      </c>
      <c r="AU11" s="39">
        <v>67.930000000000007</v>
      </c>
      <c r="AV11" s="39">
        <v>68.03</v>
      </c>
      <c r="AW11" s="39">
        <v>68.38</v>
      </c>
      <c r="AX11" s="39">
        <v>68.569999999999993</v>
      </c>
      <c r="AY11" s="39">
        <v>68.67</v>
      </c>
      <c r="AZ11" s="39">
        <v>68.7</v>
      </c>
      <c r="BA11" s="39">
        <v>68.75</v>
      </c>
      <c r="BB11" s="39">
        <v>68.92</v>
      </c>
      <c r="BC11" s="39">
        <v>69.040000000000006</v>
      </c>
      <c r="BD11" s="39">
        <v>69.23</v>
      </c>
      <c r="BE11" s="39">
        <v>69.42</v>
      </c>
      <c r="BF11" s="39">
        <v>69.66</v>
      </c>
      <c r="BG11" s="39">
        <v>69.819999999999993</v>
      </c>
      <c r="BH11" s="39">
        <v>70.150000000000006</v>
      </c>
      <c r="BI11" s="39">
        <v>70.36</v>
      </c>
      <c r="BJ11" s="39">
        <v>70.650000000000006</v>
      </c>
      <c r="BK11" s="39">
        <v>70.89</v>
      </c>
      <c r="BL11" s="39">
        <v>71.2</v>
      </c>
      <c r="BM11" s="39">
        <v>71.5</v>
      </c>
      <c r="BN11" s="39">
        <v>71.77</v>
      </c>
      <c r="BO11" s="39">
        <v>72.040000000000006</v>
      </c>
      <c r="BP11" s="39">
        <v>72.28</v>
      </c>
      <c r="BQ11" s="39">
        <v>72.510000000000005</v>
      </c>
      <c r="BR11" s="39">
        <v>72.75</v>
      </c>
      <c r="BS11" s="39">
        <v>72.959999999999994</v>
      </c>
      <c r="BT11" s="40">
        <v>73.17</v>
      </c>
      <c r="BU11" s="39">
        <v>73.33</v>
      </c>
      <c r="BV11" s="39">
        <v>73.55</v>
      </c>
      <c r="BW11" s="39">
        <v>73.75</v>
      </c>
      <c r="BX11" s="39">
        <v>73.95</v>
      </c>
      <c r="BY11" s="39">
        <v>74.13</v>
      </c>
      <c r="BZ11" s="39">
        <v>74.31</v>
      </c>
      <c r="CA11" s="39">
        <v>74.489999999999995</v>
      </c>
      <c r="CB11" s="39">
        <v>74.66</v>
      </c>
      <c r="CC11" s="39">
        <v>74.849999999999994</v>
      </c>
      <c r="CD11" s="39">
        <v>75.06</v>
      </c>
      <c r="CE11" s="39">
        <v>75.260000000000005</v>
      </c>
      <c r="CF11" s="39">
        <v>75.459999999999994</v>
      </c>
      <c r="CG11" s="39">
        <v>75.66</v>
      </c>
      <c r="CH11" s="39">
        <v>75.83</v>
      </c>
      <c r="CI11" s="39">
        <v>76.06</v>
      </c>
      <c r="CJ11" s="39">
        <v>76.239999999999995</v>
      </c>
      <c r="CK11" s="39">
        <v>76.41</v>
      </c>
      <c r="CL11" s="39">
        <v>76.61</v>
      </c>
      <c r="CM11" s="39">
        <v>76.8</v>
      </c>
      <c r="CN11" s="39">
        <v>76.98</v>
      </c>
      <c r="CO11" s="39">
        <v>77.150000000000006</v>
      </c>
      <c r="CP11" s="39">
        <v>77.319999999999993</v>
      </c>
      <c r="CQ11" s="39">
        <v>77.489999999999995</v>
      </c>
      <c r="CR11" s="39">
        <v>77.650000000000006</v>
      </c>
      <c r="CS11" s="39">
        <v>77.83</v>
      </c>
      <c r="CT11" s="39">
        <v>77.989999999999995</v>
      </c>
      <c r="CU11" s="39">
        <v>78.14</v>
      </c>
      <c r="CV11" s="39">
        <v>78.3</v>
      </c>
      <c r="CW11" s="39">
        <v>78.459999999999994</v>
      </c>
      <c r="CX11" s="39">
        <v>78.62</v>
      </c>
      <c r="CY11" s="39">
        <v>78.78</v>
      </c>
      <c r="CZ11" s="39">
        <v>78.94</v>
      </c>
      <c r="DA11" s="39">
        <v>79.08</v>
      </c>
      <c r="DB11" s="39">
        <v>79.239999999999995</v>
      </c>
      <c r="DC11" s="39">
        <v>79.39</v>
      </c>
      <c r="DD11" s="39">
        <v>79.540000000000006</v>
      </c>
      <c r="DE11" s="39">
        <v>79.69</v>
      </c>
      <c r="DF11" s="39">
        <v>79.83</v>
      </c>
      <c r="DG11" s="39">
        <v>79.98</v>
      </c>
      <c r="DH11" s="39">
        <v>80.12</v>
      </c>
      <c r="DI11" s="39">
        <v>80.27</v>
      </c>
      <c r="DJ11" s="39">
        <v>80.41</v>
      </c>
      <c r="DK11" s="39">
        <v>80.55</v>
      </c>
      <c r="DL11" s="39">
        <v>80.69</v>
      </c>
      <c r="DM11" s="39">
        <v>80.83</v>
      </c>
      <c r="DN11" s="39">
        <v>80.97</v>
      </c>
      <c r="DO11" s="39">
        <v>81.099999999999994</v>
      </c>
      <c r="DP11" s="39">
        <v>81.239999999999995</v>
      </c>
      <c r="DQ11" s="39">
        <v>81.37</v>
      </c>
      <c r="DR11" s="39">
        <v>81.5</v>
      </c>
    </row>
    <row r="12" spans="1:122">
      <c r="A12" s="37">
        <v>10</v>
      </c>
      <c r="B12" s="38"/>
      <c r="C12" s="38"/>
      <c r="D12" s="38"/>
      <c r="E12" s="38"/>
      <c r="F12" s="38"/>
      <c r="G12" s="38"/>
      <c r="H12" s="38"/>
      <c r="I12" s="38"/>
      <c r="J12" s="38"/>
      <c r="K12" s="38"/>
      <c r="L12" s="38"/>
      <c r="M12" s="38"/>
      <c r="N12" s="38"/>
      <c r="O12" s="38"/>
      <c r="P12" s="38"/>
      <c r="Q12" s="38"/>
      <c r="R12" s="38"/>
      <c r="S12" s="38"/>
      <c r="T12" s="38"/>
      <c r="U12" s="38"/>
      <c r="V12" s="39"/>
      <c r="W12" s="39">
        <v>60.94</v>
      </c>
      <c r="X12" s="39">
        <v>61.18</v>
      </c>
      <c r="Y12" s="39">
        <v>61.26</v>
      </c>
      <c r="Z12" s="39">
        <v>61.5</v>
      </c>
      <c r="AA12" s="39">
        <v>61.76</v>
      </c>
      <c r="AB12" s="39">
        <v>62.01</v>
      </c>
      <c r="AC12" s="39">
        <v>62.11</v>
      </c>
      <c r="AD12" s="39">
        <v>62.2</v>
      </c>
      <c r="AE12" s="39">
        <v>62.44</v>
      </c>
      <c r="AF12" s="39">
        <v>62.77</v>
      </c>
      <c r="AG12" s="39">
        <v>63.11</v>
      </c>
      <c r="AH12" s="39">
        <v>63.5</v>
      </c>
      <c r="AI12" s="39">
        <v>63.84</v>
      </c>
      <c r="AJ12" s="39">
        <v>64.239999999999995</v>
      </c>
      <c r="AK12" s="39">
        <v>64.59</v>
      </c>
      <c r="AL12" s="39">
        <v>65.040000000000006</v>
      </c>
      <c r="AM12" s="39">
        <v>65.45</v>
      </c>
      <c r="AN12" s="39">
        <v>65.739999999999995</v>
      </c>
      <c r="AO12" s="39">
        <v>65.92</v>
      </c>
      <c r="AP12" s="39">
        <v>66.150000000000006</v>
      </c>
      <c r="AQ12" s="39">
        <v>66.34</v>
      </c>
      <c r="AR12" s="39">
        <v>66.66</v>
      </c>
      <c r="AS12" s="39">
        <v>66.73</v>
      </c>
      <c r="AT12" s="39">
        <v>66.88</v>
      </c>
      <c r="AU12" s="39">
        <v>66.97</v>
      </c>
      <c r="AV12" s="39">
        <v>67.069999999999993</v>
      </c>
      <c r="AW12" s="39">
        <v>67.42</v>
      </c>
      <c r="AX12" s="39">
        <v>67.61</v>
      </c>
      <c r="AY12" s="39">
        <v>67.709999999999994</v>
      </c>
      <c r="AZ12" s="39">
        <v>67.739999999999995</v>
      </c>
      <c r="BA12" s="39">
        <v>67.790000000000006</v>
      </c>
      <c r="BB12" s="39">
        <v>67.95</v>
      </c>
      <c r="BC12" s="39">
        <v>68.069999999999993</v>
      </c>
      <c r="BD12" s="39">
        <v>68.260000000000005</v>
      </c>
      <c r="BE12" s="39">
        <v>68.459999999999994</v>
      </c>
      <c r="BF12" s="39">
        <v>68.69</v>
      </c>
      <c r="BG12" s="39">
        <v>68.849999999999994</v>
      </c>
      <c r="BH12" s="39">
        <v>69.180000000000007</v>
      </c>
      <c r="BI12" s="39">
        <v>69.39</v>
      </c>
      <c r="BJ12" s="39">
        <v>69.680000000000007</v>
      </c>
      <c r="BK12" s="39">
        <v>69.92</v>
      </c>
      <c r="BL12" s="39">
        <v>70.23</v>
      </c>
      <c r="BM12" s="39">
        <v>70.53</v>
      </c>
      <c r="BN12" s="39">
        <v>70.8</v>
      </c>
      <c r="BO12" s="39">
        <v>71.06</v>
      </c>
      <c r="BP12" s="39">
        <v>71.31</v>
      </c>
      <c r="BQ12" s="39">
        <v>71.540000000000006</v>
      </c>
      <c r="BR12" s="39">
        <v>71.78</v>
      </c>
      <c r="BS12" s="39">
        <v>71.98</v>
      </c>
      <c r="BT12" s="40">
        <v>72.19</v>
      </c>
      <c r="BU12" s="39">
        <v>72.36</v>
      </c>
      <c r="BV12" s="39">
        <v>72.569999999999993</v>
      </c>
      <c r="BW12" s="39">
        <v>72.77</v>
      </c>
      <c r="BX12" s="39">
        <v>72.98</v>
      </c>
      <c r="BY12" s="39">
        <v>73.150000000000006</v>
      </c>
      <c r="BZ12" s="39">
        <v>73.319999999999993</v>
      </c>
      <c r="CA12" s="39">
        <v>73.510000000000005</v>
      </c>
      <c r="CB12" s="39">
        <v>73.67</v>
      </c>
      <c r="CC12" s="39">
        <v>73.87</v>
      </c>
      <c r="CD12" s="39">
        <v>74.069999999999993</v>
      </c>
      <c r="CE12" s="39">
        <v>74.27</v>
      </c>
      <c r="CF12" s="39">
        <v>74.47</v>
      </c>
      <c r="CG12" s="39">
        <v>74.67</v>
      </c>
      <c r="CH12" s="39">
        <v>74.849999999999994</v>
      </c>
      <c r="CI12" s="39">
        <v>75.069999999999993</v>
      </c>
      <c r="CJ12" s="39">
        <v>75.25</v>
      </c>
      <c r="CK12" s="39">
        <v>75.42</v>
      </c>
      <c r="CL12" s="39">
        <v>75.62</v>
      </c>
      <c r="CM12" s="39">
        <v>75.8</v>
      </c>
      <c r="CN12" s="39">
        <v>75.989999999999995</v>
      </c>
      <c r="CO12" s="39">
        <v>76.16</v>
      </c>
      <c r="CP12" s="39">
        <v>76.319999999999993</v>
      </c>
      <c r="CQ12" s="39">
        <v>76.5</v>
      </c>
      <c r="CR12" s="39">
        <v>76.66</v>
      </c>
      <c r="CS12" s="39">
        <v>76.83</v>
      </c>
      <c r="CT12" s="39">
        <v>77</v>
      </c>
      <c r="CU12" s="39">
        <v>77.150000000000006</v>
      </c>
      <c r="CV12" s="39">
        <v>77.31</v>
      </c>
      <c r="CW12" s="39">
        <v>77.47</v>
      </c>
      <c r="CX12" s="39">
        <v>77.63</v>
      </c>
      <c r="CY12" s="39">
        <v>77.790000000000006</v>
      </c>
      <c r="CZ12" s="39">
        <v>77.94</v>
      </c>
      <c r="DA12" s="39">
        <v>78.09</v>
      </c>
      <c r="DB12" s="39">
        <v>78.25</v>
      </c>
      <c r="DC12" s="39">
        <v>78.400000000000006</v>
      </c>
      <c r="DD12" s="39">
        <v>78.540000000000006</v>
      </c>
      <c r="DE12" s="39">
        <v>78.69</v>
      </c>
      <c r="DF12" s="39">
        <v>78.84</v>
      </c>
      <c r="DG12" s="39">
        <v>78.989999999999995</v>
      </c>
      <c r="DH12" s="39">
        <v>79.13</v>
      </c>
      <c r="DI12" s="39">
        <v>79.27</v>
      </c>
      <c r="DJ12" s="39">
        <v>79.42</v>
      </c>
      <c r="DK12" s="39">
        <v>79.56</v>
      </c>
      <c r="DL12" s="39">
        <v>79.7</v>
      </c>
      <c r="DM12" s="39">
        <v>79.84</v>
      </c>
      <c r="DN12" s="39">
        <v>79.97</v>
      </c>
      <c r="DO12" s="39">
        <v>80.11</v>
      </c>
      <c r="DP12" s="39">
        <v>80.239999999999995</v>
      </c>
      <c r="DQ12" s="39">
        <v>80.38</v>
      </c>
      <c r="DR12" s="39">
        <v>80.510000000000005</v>
      </c>
    </row>
    <row r="13" spans="1:122">
      <c r="A13" s="37">
        <v>11</v>
      </c>
      <c r="B13" s="38"/>
      <c r="C13" s="38"/>
      <c r="D13" s="38"/>
      <c r="E13" s="38"/>
      <c r="F13" s="38"/>
      <c r="G13" s="38"/>
      <c r="H13" s="38"/>
      <c r="I13" s="38"/>
      <c r="J13" s="38"/>
      <c r="K13" s="38"/>
      <c r="L13" s="38"/>
      <c r="M13" s="38"/>
      <c r="N13" s="38"/>
      <c r="O13" s="38"/>
      <c r="P13" s="38"/>
      <c r="Q13" s="38"/>
      <c r="R13" s="38"/>
      <c r="S13" s="38"/>
      <c r="T13" s="38"/>
      <c r="U13" s="38"/>
      <c r="V13" s="39"/>
      <c r="W13" s="39">
        <v>60.01</v>
      </c>
      <c r="X13" s="39">
        <v>60.26</v>
      </c>
      <c r="Y13" s="39">
        <v>60.34</v>
      </c>
      <c r="Z13" s="39">
        <v>60.58</v>
      </c>
      <c r="AA13" s="39">
        <v>60.86</v>
      </c>
      <c r="AB13" s="39">
        <v>61.1</v>
      </c>
      <c r="AC13" s="39">
        <v>61.2</v>
      </c>
      <c r="AD13" s="39">
        <v>61.29</v>
      </c>
      <c r="AE13" s="39">
        <v>61.53</v>
      </c>
      <c r="AF13" s="39">
        <v>61.85</v>
      </c>
      <c r="AG13" s="39">
        <v>62.2</v>
      </c>
      <c r="AH13" s="39">
        <v>62.59</v>
      </c>
      <c r="AI13" s="39">
        <v>62.94</v>
      </c>
      <c r="AJ13" s="39">
        <v>63.35</v>
      </c>
      <c r="AK13" s="39">
        <v>63.73</v>
      </c>
      <c r="AL13" s="39">
        <v>64.13</v>
      </c>
      <c r="AM13" s="39">
        <v>64.540000000000006</v>
      </c>
      <c r="AN13" s="39">
        <v>64.81</v>
      </c>
      <c r="AO13" s="39">
        <v>64.959999999999994</v>
      </c>
      <c r="AP13" s="39">
        <v>65.19</v>
      </c>
      <c r="AQ13" s="39">
        <v>65.39</v>
      </c>
      <c r="AR13" s="39">
        <v>65.7</v>
      </c>
      <c r="AS13" s="39">
        <v>65.760000000000005</v>
      </c>
      <c r="AT13" s="39">
        <v>65.92</v>
      </c>
      <c r="AU13" s="39">
        <v>66</v>
      </c>
      <c r="AV13" s="39">
        <v>66.11</v>
      </c>
      <c r="AW13" s="39">
        <v>66.459999999999994</v>
      </c>
      <c r="AX13" s="39">
        <v>66.64</v>
      </c>
      <c r="AY13" s="39">
        <v>66.75</v>
      </c>
      <c r="AZ13" s="39">
        <v>66.77</v>
      </c>
      <c r="BA13" s="39">
        <v>66.819999999999993</v>
      </c>
      <c r="BB13" s="39">
        <v>66.989999999999995</v>
      </c>
      <c r="BC13" s="39">
        <v>67.099999999999994</v>
      </c>
      <c r="BD13" s="39">
        <v>67.3</v>
      </c>
      <c r="BE13" s="39">
        <v>67.489999999999995</v>
      </c>
      <c r="BF13" s="39">
        <v>67.72</v>
      </c>
      <c r="BG13" s="39">
        <v>67.88</v>
      </c>
      <c r="BH13" s="39">
        <v>68.209999999999994</v>
      </c>
      <c r="BI13" s="39">
        <v>68.430000000000007</v>
      </c>
      <c r="BJ13" s="39">
        <v>68.709999999999994</v>
      </c>
      <c r="BK13" s="39">
        <v>68.95</v>
      </c>
      <c r="BL13" s="39">
        <v>69.260000000000005</v>
      </c>
      <c r="BM13" s="39">
        <v>69.56</v>
      </c>
      <c r="BN13" s="39">
        <v>69.819999999999993</v>
      </c>
      <c r="BO13" s="39">
        <v>70.09</v>
      </c>
      <c r="BP13" s="39">
        <v>70.33</v>
      </c>
      <c r="BQ13" s="39">
        <v>70.56</v>
      </c>
      <c r="BR13" s="39">
        <v>70.8</v>
      </c>
      <c r="BS13" s="39">
        <v>71.010000000000005</v>
      </c>
      <c r="BT13" s="40">
        <v>71.22</v>
      </c>
      <c r="BU13" s="39">
        <v>71.37</v>
      </c>
      <c r="BV13" s="39">
        <v>71.59</v>
      </c>
      <c r="BW13" s="39">
        <v>71.790000000000006</v>
      </c>
      <c r="BX13" s="39">
        <v>71.989999999999995</v>
      </c>
      <c r="BY13" s="39">
        <v>72.16</v>
      </c>
      <c r="BZ13" s="39">
        <v>72.34</v>
      </c>
      <c r="CA13" s="39">
        <v>72.52</v>
      </c>
      <c r="CB13" s="39">
        <v>72.69</v>
      </c>
      <c r="CC13" s="39">
        <v>72.89</v>
      </c>
      <c r="CD13" s="39">
        <v>73.09</v>
      </c>
      <c r="CE13" s="39">
        <v>73.290000000000006</v>
      </c>
      <c r="CF13" s="39">
        <v>73.48</v>
      </c>
      <c r="CG13" s="39">
        <v>73.69</v>
      </c>
      <c r="CH13" s="39">
        <v>73.86</v>
      </c>
      <c r="CI13" s="39">
        <v>74.08</v>
      </c>
      <c r="CJ13" s="39">
        <v>74.260000000000005</v>
      </c>
      <c r="CK13" s="39">
        <v>74.430000000000007</v>
      </c>
      <c r="CL13" s="39">
        <v>74.63</v>
      </c>
      <c r="CM13" s="39">
        <v>74.81</v>
      </c>
      <c r="CN13" s="39">
        <v>74.989999999999995</v>
      </c>
      <c r="CO13" s="39">
        <v>75.16</v>
      </c>
      <c r="CP13" s="39">
        <v>75.33</v>
      </c>
      <c r="CQ13" s="39">
        <v>75.5</v>
      </c>
      <c r="CR13" s="39">
        <v>75.66</v>
      </c>
      <c r="CS13" s="39">
        <v>75.84</v>
      </c>
      <c r="CT13" s="39">
        <v>76.010000000000005</v>
      </c>
      <c r="CU13" s="39">
        <v>76.16</v>
      </c>
      <c r="CV13" s="39">
        <v>76.31</v>
      </c>
      <c r="CW13" s="39">
        <v>76.48</v>
      </c>
      <c r="CX13" s="39">
        <v>76.63</v>
      </c>
      <c r="CY13" s="39">
        <v>76.8</v>
      </c>
      <c r="CZ13" s="39">
        <v>76.95</v>
      </c>
      <c r="DA13" s="39">
        <v>77.099999999999994</v>
      </c>
      <c r="DB13" s="39">
        <v>77.260000000000005</v>
      </c>
      <c r="DC13" s="39">
        <v>77.400000000000006</v>
      </c>
      <c r="DD13" s="39">
        <v>77.55</v>
      </c>
      <c r="DE13" s="39">
        <v>77.7</v>
      </c>
      <c r="DF13" s="39">
        <v>77.849999999999994</v>
      </c>
      <c r="DG13" s="39">
        <v>77.989999999999995</v>
      </c>
      <c r="DH13" s="39">
        <v>78.14</v>
      </c>
      <c r="DI13" s="39">
        <v>78.28</v>
      </c>
      <c r="DJ13" s="39">
        <v>78.42</v>
      </c>
      <c r="DK13" s="39">
        <v>78.56</v>
      </c>
      <c r="DL13" s="39">
        <v>78.7</v>
      </c>
      <c r="DM13" s="39">
        <v>78.84</v>
      </c>
      <c r="DN13" s="39">
        <v>78.98</v>
      </c>
      <c r="DO13" s="39">
        <v>79.11</v>
      </c>
      <c r="DP13" s="39">
        <v>79.25</v>
      </c>
      <c r="DQ13" s="39">
        <v>79.38</v>
      </c>
      <c r="DR13" s="39">
        <v>79.510000000000005</v>
      </c>
    </row>
    <row r="14" spans="1:122">
      <c r="A14" s="37">
        <v>12</v>
      </c>
      <c r="B14" s="38"/>
      <c r="C14" s="38"/>
      <c r="D14" s="38"/>
      <c r="E14" s="38"/>
      <c r="F14" s="38"/>
      <c r="G14" s="38"/>
      <c r="H14" s="38"/>
      <c r="I14" s="38"/>
      <c r="J14" s="38"/>
      <c r="K14" s="38"/>
      <c r="L14" s="38"/>
      <c r="M14" s="38"/>
      <c r="N14" s="38"/>
      <c r="O14" s="38"/>
      <c r="P14" s="38"/>
      <c r="Q14" s="38"/>
      <c r="R14" s="38"/>
      <c r="S14" s="38"/>
      <c r="T14" s="38"/>
      <c r="U14" s="38"/>
      <c r="V14" s="39"/>
      <c r="W14" s="39">
        <v>59.09</v>
      </c>
      <c r="X14" s="39">
        <v>59.33</v>
      </c>
      <c r="Y14" s="39">
        <v>59.41</v>
      </c>
      <c r="Z14" s="39">
        <v>59.67</v>
      </c>
      <c r="AA14" s="39">
        <v>59.94</v>
      </c>
      <c r="AB14" s="39">
        <v>60.17</v>
      </c>
      <c r="AC14" s="39">
        <v>60.27</v>
      </c>
      <c r="AD14" s="39">
        <v>60.37</v>
      </c>
      <c r="AE14" s="39">
        <v>60.61</v>
      </c>
      <c r="AF14" s="39">
        <v>60.93</v>
      </c>
      <c r="AG14" s="39">
        <v>61.28</v>
      </c>
      <c r="AH14" s="39">
        <v>61.68</v>
      </c>
      <c r="AI14" s="39">
        <v>62.04</v>
      </c>
      <c r="AJ14" s="39">
        <v>62.48</v>
      </c>
      <c r="AK14" s="39">
        <v>62.82</v>
      </c>
      <c r="AL14" s="39">
        <v>63.22</v>
      </c>
      <c r="AM14" s="39">
        <v>63.61</v>
      </c>
      <c r="AN14" s="39">
        <v>63.85</v>
      </c>
      <c r="AO14" s="39">
        <v>64.010000000000005</v>
      </c>
      <c r="AP14" s="39">
        <v>64.239999999999995</v>
      </c>
      <c r="AQ14" s="39">
        <v>64.430000000000007</v>
      </c>
      <c r="AR14" s="39">
        <v>64.73</v>
      </c>
      <c r="AS14" s="39">
        <v>64.8</v>
      </c>
      <c r="AT14" s="39">
        <v>64.95</v>
      </c>
      <c r="AU14" s="39">
        <v>65.040000000000006</v>
      </c>
      <c r="AV14" s="39">
        <v>65.14</v>
      </c>
      <c r="AW14" s="39">
        <v>65.489999999999995</v>
      </c>
      <c r="AX14" s="39">
        <v>65.67</v>
      </c>
      <c r="AY14" s="39">
        <v>65.78</v>
      </c>
      <c r="AZ14" s="39">
        <v>65.8</v>
      </c>
      <c r="BA14" s="39">
        <v>65.84</v>
      </c>
      <c r="BB14" s="39">
        <v>66.010000000000005</v>
      </c>
      <c r="BC14" s="39">
        <v>66.13</v>
      </c>
      <c r="BD14" s="39">
        <v>66.33</v>
      </c>
      <c r="BE14" s="39">
        <v>66.52</v>
      </c>
      <c r="BF14" s="39">
        <v>66.75</v>
      </c>
      <c r="BG14" s="39">
        <v>66.91</v>
      </c>
      <c r="BH14" s="39">
        <v>67.239999999999995</v>
      </c>
      <c r="BI14" s="39">
        <v>67.45</v>
      </c>
      <c r="BJ14" s="39">
        <v>67.739999999999995</v>
      </c>
      <c r="BK14" s="39">
        <v>67.98</v>
      </c>
      <c r="BL14" s="39">
        <v>68.290000000000006</v>
      </c>
      <c r="BM14" s="39">
        <v>68.59</v>
      </c>
      <c r="BN14" s="39">
        <v>68.849999999999994</v>
      </c>
      <c r="BO14" s="39">
        <v>69.11</v>
      </c>
      <c r="BP14" s="39">
        <v>69.36</v>
      </c>
      <c r="BQ14" s="39">
        <v>69.58</v>
      </c>
      <c r="BR14" s="39">
        <v>69.819999999999993</v>
      </c>
      <c r="BS14" s="39">
        <v>70.03</v>
      </c>
      <c r="BT14" s="40">
        <v>70.239999999999995</v>
      </c>
      <c r="BU14" s="39">
        <v>70.39</v>
      </c>
      <c r="BV14" s="39">
        <v>70.61</v>
      </c>
      <c r="BW14" s="39">
        <v>70.8</v>
      </c>
      <c r="BX14" s="39">
        <v>71.010000000000005</v>
      </c>
      <c r="BY14" s="39">
        <v>71.180000000000007</v>
      </c>
      <c r="BZ14" s="39">
        <v>71.36</v>
      </c>
      <c r="CA14" s="39">
        <v>71.540000000000006</v>
      </c>
      <c r="CB14" s="39">
        <v>71.7</v>
      </c>
      <c r="CC14" s="39">
        <v>71.900000000000006</v>
      </c>
      <c r="CD14" s="39">
        <v>72.099999999999994</v>
      </c>
      <c r="CE14" s="39">
        <v>72.3</v>
      </c>
      <c r="CF14" s="39">
        <v>72.5</v>
      </c>
      <c r="CG14" s="39">
        <v>72.7</v>
      </c>
      <c r="CH14" s="39">
        <v>72.87</v>
      </c>
      <c r="CI14" s="39">
        <v>73.09</v>
      </c>
      <c r="CJ14" s="39">
        <v>73.27</v>
      </c>
      <c r="CK14" s="39">
        <v>73.44</v>
      </c>
      <c r="CL14" s="39">
        <v>73.64</v>
      </c>
      <c r="CM14" s="39">
        <v>73.819999999999993</v>
      </c>
      <c r="CN14" s="39">
        <v>74.010000000000005</v>
      </c>
      <c r="CO14" s="39">
        <v>74.17</v>
      </c>
      <c r="CP14" s="39">
        <v>74.34</v>
      </c>
      <c r="CQ14" s="39">
        <v>74.510000000000005</v>
      </c>
      <c r="CR14" s="39">
        <v>74.67</v>
      </c>
      <c r="CS14" s="39">
        <v>74.849999999999994</v>
      </c>
      <c r="CT14" s="39">
        <v>75.02</v>
      </c>
      <c r="CU14" s="39">
        <v>75.17</v>
      </c>
      <c r="CV14" s="39">
        <v>75.319999999999993</v>
      </c>
      <c r="CW14" s="39">
        <v>75.48</v>
      </c>
      <c r="CX14" s="39">
        <v>75.64</v>
      </c>
      <c r="CY14" s="39">
        <v>75.8</v>
      </c>
      <c r="CZ14" s="39">
        <v>75.95</v>
      </c>
      <c r="DA14" s="39">
        <v>76.11</v>
      </c>
      <c r="DB14" s="39">
        <v>76.260000000000005</v>
      </c>
      <c r="DC14" s="39">
        <v>76.41</v>
      </c>
      <c r="DD14" s="39">
        <v>76.56</v>
      </c>
      <c r="DE14" s="39">
        <v>76.709999999999994</v>
      </c>
      <c r="DF14" s="39">
        <v>76.849999999999994</v>
      </c>
      <c r="DG14" s="39">
        <v>77</v>
      </c>
      <c r="DH14" s="39">
        <v>77.14</v>
      </c>
      <c r="DI14" s="39">
        <v>77.290000000000006</v>
      </c>
      <c r="DJ14" s="39">
        <v>77.430000000000007</v>
      </c>
      <c r="DK14" s="39">
        <v>77.569999999999993</v>
      </c>
      <c r="DL14" s="39">
        <v>77.709999999999994</v>
      </c>
      <c r="DM14" s="39">
        <v>77.849999999999994</v>
      </c>
      <c r="DN14" s="39">
        <v>77.98</v>
      </c>
      <c r="DO14" s="39">
        <v>78.12</v>
      </c>
      <c r="DP14" s="39">
        <v>78.25</v>
      </c>
      <c r="DQ14" s="39">
        <v>78.39</v>
      </c>
      <c r="DR14" s="39">
        <v>78.52</v>
      </c>
    </row>
    <row r="15" spans="1:122">
      <c r="A15" s="37">
        <v>13</v>
      </c>
      <c r="B15" s="38"/>
      <c r="C15" s="38"/>
      <c r="D15" s="38"/>
      <c r="E15" s="38"/>
      <c r="F15" s="38"/>
      <c r="G15" s="38"/>
      <c r="H15" s="38"/>
      <c r="I15" s="38"/>
      <c r="J15" s="38"/>
      <c r="K15" s="38"/>
      <c r="L15" s="38"/>
      <c r="M15" s="38"/>
      <c r="N15" s="38"/>
      <c r="O15" s="38"/>
      <c r="P15" s="38"/>
      <c r="Q15" s="38"/>
      <c r="R15" s="38"/>
      <c r="S15" s="38"/>
      <c r="T15" s="38"/>
      <c r="U15" s="38"/>
      <c r="V15" s="39"/>
      <c r="W15" s="39">
        <v>58.16</v>
      </c>
      <c r="X15" s="39">
        <v>58.4</v>
      </c>
      <c r="Y15" s="39">
        <v>58.5</v>
      </c>
      <c r="Z15" s="39">
        <v>58.76</v>
      </c>
      <c r="AA15" s="39">
        <v>59.02</v>
      </c>
      <c r="AB15" s="39">
        <v>59.25</v>
      </c>
      <c r="AC15" s="39">
        <v>59.36</v>
      </c>
      <c r="AD15" s="39">
        <v>59.45</v>
      </c>
      <c r="AE15" s="39">
        <v>59.69</v>
      </c>
      <c r="AF15" s="39">
        <v>60.02</v>
      </c>
      <c r="AG15" s="39">
        <v>60.38</v>
      </c>
      <c r="AH15" s="39">
        <v>60.78</v>
      </c>
      <c r="AI15" s="39">
        <v>61.17</v>
      </c>
      <c r="AJ15" s="39">
        <v>61.56</v>
      </c>
      <c r="AK15" s="39">
        <v>61.9</v>
      </c>
      <c r="AL15" s="39">
        <v>62.28</v>
      </c>
      <c r="AM15" s="39">
        <v>62.66</v>
      </c>
      <c r="AN15" s="39">
        <v>62.9</v>
      </c>
      <c r="AO15" s="39">
        <v>63.05</v>
      </c>
      <c r="AP15" s="39">
        <v>63.27</v>
      </c>
      <c r="AQ15" s="39">
        <v>63.47</v>
      </c>
      <c r="AR15" s="39">
        <v>63.76</v>
      </c>
      <c r="AS15" s="39">
        <v>63.83</v>
      </c>
      <c r="AT15" s="39">
        <v>63.99</v>
      </c>
      <c r="AU15" s="39">
        <v>64.069999999999993</v>
      </c>
      <c r="AV15" s="39">
        <v>64.17</v>
      </c>
      <c r="AW15" s="39">
        <v>64.52</v>
      </c>
      <c r="AX15" s="39">
        <v>64.69</v>
      </c>
      <c r="AY15" s="39">
        <v>64.8</v>
      </c>
      <c r="AZ15" s="39">
        <v>64.83</v>
      </c>
      <c r="BA15" s="39">
        <v>64.88</v>
      </c>
      <c r="BB15" s="39">
        <v>65.040000000000006</v>
      </c>
      <c r="BC15" s="39">
        <v>65.16</v>
      </c>
      <c r="BD15" s="39">
        <v>65.36</v>
      </c>
      <c r="BE15" s="39">
        <v>65.55</v>
      </c>
      <c r="BF15" s="39">
        <v>65.78</v>
      </c>
      <c r="BG15" s="39">
        <v>65.94</v>
      </c>
      <c r="BH15" s="39">
        <v>66.28</v>
      </c>
      <c r="BI15" s="39">
        <v>66.48</v>
      </c>
      <c r="BJ15" s="39">
        <v>66.77</v>
      </c>
      <c r="BK15" s="39">
        <v>67.010000000000005</v>
      </c>
      <c r="BL15" s="39">
        <v>67.319999999999993</v>
      </c>
      <c r="BM15" s="39">
        <v>67.61</v>
      </c>
      <c r="BN15" s="39">
        <v>67.87</v>
      </c>
      <c r="BO15" s="39">
        <v>68.14</v>
      </c>
      <c r="BP15" s="39">
        <v>68.38</v>
      </c>
      <c r="BQ15" s="39">
        <v>68.599999999999994</v>
      </c>
      <c r="BR15" s="39">
        <v>68.84</v>
      </c>
      <c r="BS15" s="39">
        <v>69.040000000000006</v>
      </c>
      <c r="BT15" s="40">
        <v>69.260000000000005</v>
      </c>
      <c r="BU15" s="39">
        <v>69.41</v>
      </c>
      <c r="BV15" s="39">
        <v>69.62</v>
      </c>
      <c r="BW15" s="39">
        <v>69.819999999999993</v>
      </c>
      <c r="BX15" s="39">
        <v>70.02</v>
      </c>
      <c r="BY15" s="39">
        <v>70.19</v>
      </c>
      <c r="BZ15" s="39">
        <v>70.38</v>
      </c>
      <c r="CA15" s="39">
        <v>70.55</v>
      </c>
      <c r="CB15" s="39">
        <v>70.72</v>
      </c>
      <c r="CC15" s="39">
        <v>70.92</v>
      </c>
      <c r="CD15" s="39">
        <v>71.11</v>
      </c>
      <c r="CE15" s="39">
        <v>71.31</v>
      </c>
      <c r="CF15" s="39">
        <v>71.510000000000005</v>
      </c>
      <c r="CG15" s="39">
        <v>71.709999999999994</v>
      </c>
      <c r="CH15" s="39">
        <v>71.88</v>
      </c>
      <c r="CI15" s="39">
        <v>72.099999999999994</v>
      </c>
      <c r="CJ15" s="39">
        <v>72.28</v>
      </c>
      <c r="CK15" s="39">
        <v>72.459999999999994</v>
      </c>
      <c r="CL15" s="39">
        <v>72.650000000000006</v>
      </c>
      <c r="CM15" s="39">
        <v>72.84</v>
      </c>
      <c r="CN15" s="39">
        <v>73.010000000000005</v>
      </c>
      <c r="CO15" s="39">
        <v>73.180000000000007</v>
      </c>
      <c r="CP15" s="39">
        <v>73.349999999999994</v>
      </c>
      <c r="CQ15" s="39">
        <v>73.52</v>
      </c>
      <c r="CR15" s="39">
        <v>73.680000000000007</v>
      </c>
      <c r="CS15" s="39">
        <v>73.849999999999994</v>
      </c>
      <c r="CT15" s="39">
        <v>74.02</v>
      </c>
      <c r="CU15" s="39">
        <v>74.17</v>
      </c>
      <c r="CV15" s="39">
        <v>74.33</v>
      </c>
      <c r="CW15" s="39">
        <v>74.489999999999995</v>
      </c>
      <c r="CX15" s="39">
        <v>74.650000000000006</v>
      </c>
      <c r="CY15" s="39">
        <v>74.81</v>
      </c>
      <c r="CZ15" s="39">
        <v>74.959999999999994</v>
      </c>
      <c r="DA15" s="39">
        <v>75.11</v>
      </c>
      <c r="DB15" s="39">
        <v>75.27</v>
      </c>
      <c r="DC15" s="39">
        <v>75.41</v>
      </c>
      <c r="DD15" s="39">
        <v>75.56</v>
      </c>
      <c r="DE15" s="39">
        <v>75.709999999999994</v>
      </c>
      <c r="DF15" s="39">
        <v>75.86</v>
      </c>
      <c r="DG15" s="39">
        <v>76.010000000000005</v>
      </c>
      <c r="DH15" s="39">
        <v>76.150000000000006</v>
      </c>
      <c r="DI15" s="39">
        <v>76.290000000000006</v>
      </c>
      <c r="DJ15" s="39">
        <v>76.44</v>
      </c>
      <c r="DK15" s="39">
        <v>76.58</v>
      </c>
      <c r="DL15" s="39">
        <v>76.72</v>
      </c>
      <c r="DM15" s="39">
        <v>76.849999999999994</v>
      </c>
      <c r="DN15" s="39">
        <v>76.989999999999995</v>
      </c>
      <c r="DO15" s="39">
        <v>77.13</v>
      </c>
      <c r="DP15" s="39">
        <v>77.260000000000005</v>
      </c>
      <c r="DQ15" s="39">
        <v>77.39</v>
      </c>
      <c r="DR15" s="39">
        <v>77.52</v>
      </c>
    </row>
    <row r="16" spans="1:122">
      <c r="A16" s="37">
        <v>14</v>
      </c>
      <c r="B16" s="38"/>
      <c r="C16" s="38"/>
      <c r="D16" s="38"/>
      <c r="E16" s="38"/>
      <c r="F16" s="38"/>
      <c r="G16" s="38"/>
      <c r="H16" s="38"/>
      <c r="I16" s="38"/>
      <c r="J16" s="38"/>
      <c r="K16" s="38"/>
      <c r="L16" s="38"/>
      <c r="M16" s="38"/>
      <c r="N16" s="38"/>
      <c r="O16" s="38"/>
      <c r="P16" s="38"/>
      <c r="Q16" s="38"/>
      <c r="R16" s="38"/>
      <c r="S16" s="38"/>
      <c r="T16" s="38"/>
      <c r="U16" s="38"/>
      <c r="V16" s="39"/>
      <c r="W16" s="39">
        <v>57.22</v>
      </c>
      <c r="X16" s="39">
        <v>57.5</v>
      </c>
      <c r="Y16" s="39">
        <v>57.6</v>
      </c>
      <c r="Z16" s="39">
        <v>57.84</v>
      </c>
      <c r="AA16" s="39">
        <v>58.1</v>
      </c>
      <c r="AB16" s="39">
        <v>58.34</v>
      </c>
      <c r="AC16" s="39">
        <v>58.44</v>
      </c>
      <c r="AD16" s="39">
        <v>58.53</v>
      </c>
      <c r="AE16" s="39">
        <v>58.78</v>
      </c>
      <c r="AF16" s="39">
        <v>59.11</v>
      </c>
      <c r="AG16" s="39">
        <v>59.48</v>
      </c>
      <c r="AH16" s="39">
        <v>59.91</v>
      </c>
      <c r="AI16" s="39">
        <v>60.25</v>
      </c>
      <c r="AJ16" s="39">
        <v>60.64</v>
      </c>
      <c r="AK16" s="39">
        <v>60.96</v>
      </c>
      <c r="AL16" s="39">
        <v>61.33</v>
      </c>
      <c r="AM16" s="39">
        <v>61.7</v>
      </c>
      <c r="AN16" s="39">
        <v>61.95</v>
      </c>
      <c r="AO16" s="39">
        <v>62.09</v>
      </c>
      <c r="AP16" s="39">
        <v>62.31</v>
      </c>
      <c r="AQ16" s="39">
        <v>62.5</v>
      </c>
      <c r="AR16" s="39">
        <v>62.8</v>
      </c>
      <c r="AS16" s="39">
        <v>62.87</v>
      </c>
      <c r="AT16" s="39">
        <v>63.02</v>
      </c>
      <c r="AU16" s="39">
        <v>63.1</v>
      </c>
      <c r="AV16" s="39">
        <v>63.2</v>
      </c>
      <c r="AW16" s="39">
        <v>63.55</v>
      </c>
      <c r="AX16" s="39">
        <v>63.73</v>
      </c>
      <c r="AY16" s="39">
        <v>63.83</v>
      </c>
      <c r="AZ16" s="39">
        <v>63.86</v>
      </c>
      <c r="BA16" s="39">
        <v>63.91</v>
      </c>
      <c r="BB16" s="39">
        <v>64.069999999999993</v>
      </c>
      <c r="BC16" s="39">
        <v>64.2</v>
      </c>
      <c r="BD16" s="39">
        <v>64.39</v>
      </c>
      <c r="BE16" s="39">
        <v>64.58</v>
      </c>
      <c r="BF16" s="39">
        <v>64.81</v>
      </c>
      <c r="BG16" s="39">
        <v>64.98</v>
      </c>
      <c r="BH16" s="39">
        <v>65.31</v>
      </c>
      <c r="BI16" s="39">
        <v>65.510000000000005</v>
      </c>
      <c r="BJ16" s="39">
        <v>65.8</v>
      </c>
      <c r="BK16" s="39">
        <v>66.03</v>
      </c>
      <c r="BL16" s="39">
        <v>66.34</v>
      </c>
      <c r="BM16" s="39">
        <v>66.64</v>
      </c>
      <c r="BN16" s="39">
        <v>66.900000000000006</v>
      </c>
      <c r="BO16" s="39">
        <v>67.16</v>
      </c>
      <c r="BP16" s="39">
        <v>67.400000000000006</v>
      </c>
      <c r="BQ16" s="39">
        <v>67.63</v>
      </c>
      <c r="BR16" s="39">
        <v>67.86</v>
      </c>
      <c r="BS16" s="39">
        <v>68.069999999999993</v>
      </c>
      <c r="BT16" s="40">
        <v>68.28</v>
      </c>
      <c r="BU16" s="39">
        <v>68.430000000000007</v>
      </c>
      <c r="BV16" s="39">
        <v>68.64</v>
      </c>
      <c r="BW16" s="39">
        <v>68.84</v>
      </c>
      <c r="BX16" s="39">
        <v>69.040000000000006</v>
      </c>
      <c r="BY16" s="39">
        <v>69.209999999999994</v>
      </c>
      <c r="BZ16" s="39">
        <v>69.39</v>
      </c>
      <c r="CA16" s="39">
        <v>69.569999999999993</v>
      </c>
      <c r="CB16" s="39">
        <v>69.73</v>
      </c>
      <c r="CC16" s="39">
        <v>69.930000000000007</v>
      </c>
      <c r="CD16" s="39">
        <v>70.13</v>
      </c>
      <c r="CE16" s="39">
        <v>70.33</v>
      </c>
      <c r="CF16" s="39">
        <v>70.52</v>
      </c>
      <c r="CG16" s="39">
        <v>70.72</v>
      </c>
      <c r="CH16" s="39">
        <v>70.900000000000006</v>
      </c>
      <c r="CI16" s="39">
        <v>71.11</v>
      </c>
      <c r="CJ16" s="39">
        <v>71.290000000000006</v>
      </c>
      <c r="CK16" s="39">
        <v>71.47</v>
      </c>
      <c r="CL16" s="39">
        <v>71.66</v>
      </c>
      <c r="CM16" s="39">
        <v>71.849999999999994</v>
      </c>
      <c r="CN16" s="39">
        <v>72.02</v>
      </c>
      <c r="CO16" s="39">
        <v>72.19</v>
      </c>
      <c r="CP16" s="39">
        <v>72.37</v>
      </c>
      <c r="CQ16" s="39">
        <v>72.53</v>
      </c>
      <c r="CR16" s="39">
        <v>72.680000000000007</v>
      </c>
      <c r="CS16" s="39">
        <v>72.86</v>
      </c>
      <c r="CT16" s="39">
        <v>73.03</v>
      </c>
      <c r="CU16" s="39">
        <v>73.180000000000007</v>
      </c>
      <c r="CV16" s="39">
        <v>73.34</v>
      </c>
      <c r="CW16" s="39">
        <v>73.5</v>
      </c>
      <c r="CX16" s="39">
        <v>73.650000000000006</v>
      </c>
      <c r="CY16" s="39">
        <v>73.81</v>
      </c>
      <c r="CZ16" s="39">
        <v>73.97</v>
      </c>
      <c r="DA16" s="39">
        <v>74.12</v>
      </c>
      <c r="DB16" s="39">
        <v>74.27</v>
      </c>
      <c r="DC16" s="39">
        <v>74.42</v>
      </c>
      <c r="DD16" s="39">
        <v>74.569999999999993</v>
      </c>
      <c r="DE16" s="39">
        <v>74.72</v>
      </c>
      <c r="DF16" s="39">
        <v>74.87</v>
      </c>
      <c r="DG16" s="39">
        <v>75.010000000000005</v>
      </c>
      <c r="DH16" s="39">
        <v>75.16</v>
      </c>
      <c r="DI16" s="39">
        <v>75.3</v>
      </c>
      <c r="DJ16" s="39">
        <v>75.44</v>
      </c>
      <c r="DK16" s="39">
        <v>75.58</v>
      </c>
      <c r="DL16" s="39">
        <v>75.72</v>
      </c>
      <c r="DM16" s="39">
        <v>75.86</v>
      </c>
      <c r="DN16" s="39">
        <v>76</v>
      </c>
      <c r="DO16" s="39">
        <v>76.13</v>
      </c>
      <c r="DP16" s="39">
        <v>76.260000000000005</v>
      </c>
      <c r="DQ16" s="39">
        <v>76.400000000000006</v>
      </c>
      <c r="DR16" s="39">
        <v>76.53</v>
      </c>
    </row>
    <row r="17" spans="1:122">
      <c r="A17" s="37">
        <v>15</v>
      </c>
      <c r="B17" s="38"/>
      <c r="C17" s="38"/>
      <c r="D17" s="38"/>
      <c r="E17" s="38"/>
      <c r="F17" s="38"/>
      <c r="G17" s="38"/>
      <c r="H17" s="38"/>
      <c r="I17" s="38"/>
      <c r="J17" s="38"/>
      <c r="K17" s="38"/>
      <c r="L17" s="38"/>
      <c r="M17" s="38"/>
      <c r="N17" s="38"/>
      <c r="O17" s="38"/>
      <c r="P17" s="38"/>
      <c r="Q17" s="38"/>
      <c r="R17" s="38"/>
      <c r="S17" s="38"/>
      <c r="T17" s="38"/>
      <c r="U17" s="38"/>
      <c r="V17" s="39"/>
      <c r="W17" s="39">
        <v>56.33</v>
      </c>
      <c r="X17" s="39">
        <v>56.6</v>
      </c>
      <c r="Y17" s="39">
        <v>56.69</v>
      </c>
      <c r="Z17" s="39">
        <v>56.93</v>
      </c>
      <c r="AA17" s="39">
        <v>57.19</v>
      </c>
      <c r="AB17" s="39">
        <v>57.43</v>
      </c>
      <c r="AC17" s="39">
        <v>57.53</v>
      </c>
      <c r="AD17" s="39">
        <v>57.63</v>
      </c>
      <c r="AE17" s="39">
        <v>57.88</v>
      </c>
      <c r="AF17" s="39">
        <v>58.23</v>
      </c>
      <c r="AG17" s="39">
        <v>58.62</v>
      </c>
      <c r="AH17" s="39">
        <v>59</v>
      </c>
      <c r="AI17" s="39">
        <v>59.34</v>
      </c>
      <c r="AJ17" s="39">
        <v>59.71</v>
      </c>
      <c r="AK17" s="39">
        <v>60.02</v>
      </c>
      <c r="AL17" s="39">
        <v>60.38</v>
      </c>
      <c r="AM17" s="39">
        <v>60.76</v>
      </c>
      <c r="AN17" s="39">
        <v>60.99</v>
      </c>
      <c r="AO17" s="39">
        <v>61.13</v>
      </c>
      <c r="AP17" s="39">
        <v>61.35</v>
      </c>
      <c r="AQ17" s="39">
        <v>61.54</v>
      </c>
      <c r="AR17" s="39">
        <v>61.84</v>
      </c>
      <c r="AS17" s="39">
        <v>61.91</v>
      </c>
      <c r="AT17" s="39">
        <v>62.06</v>
      </c>
      <c r="AU17" s="39">
        <v>62.14</v>
      </c>
      <c r="AV17" s="39">
        <v>62.24</v>
      </c>
      <c r="AW17" s="39">
        <v>62.58</v>
      </c>
      <c r="AX17" s="39">
        <v>62.77</v>
      </c>
      <c r="AY17" s="39">
        <v>62.87</v>
      </c>
      <c r="AZ17" s="39">
        <v>62.9</v>
      </c>
      <c r="BA17" s="39">
        <v>62.94</v>
      </c>
      <c r="BB17" s="39">
        <v>63.11</v>
      </c>
      <c r="BC17" s="39">
        <v>63.24</v>
      </c>
      <c r="BD17" s="39">
        <v>63.42</v>
      </c>
      <c r="BE17" s="39">
        <v>63.62</v>
      </c>
      <c r="BF17" s="39">
        <v>63.85</v>
      </c>
      <c r="BG17" s="39">
        <v>64.010000000000005</v>
      </c>
      <c r="BH17" s="39">
        <v>64.34</v>
      </c>
      <c r="BI17" s="39">
        <v>64.540000000000006</v>
      </c>
      <c r="BJ17" s="39">
        <v>64.83</v>
      </c>
      <c r="BK17" s="39">
        <v>65.069999999999993</v>
      </c>
      <c r="BL17" s="39">
        <v>65.37</v>
      </c>
      <c r="BM17" s="39">
        <v>65.67</v>
      </c>
      <c r="BN17" s="39">
        <v>65.930000000000007</v>
      </c>
      <c r="BO17" s="39">
        <v>66.19</v>
      </c>
      <c r="BP17" s="39">
        <v>66.430000000000007</v>
      </c>
      <c r="BQ17" s="39">
        <v>66.650000000000006</v>
      </c>
      <c r="BR17" s="39">
        <v>66.89</v>
      </c>
      <c r="BS17" s="39">
        <v>67.09</v>
      </c>
      <c r="BT17" s="40">
        <v>67.3</v>
      </c>
      <c r="BU17" s="39">
        <v>67.45</v>
      </c>
      <c r="BV17" s="39">
        <v>67.66</v>
      </c>
      <c r="BW17" s="39">
        <v>67.86</v>
      </c>
      <c r="BX17" s="39">
        <v>68.06</v>
      </c>
      <c r="BY17" s="39">
        <v>68.23</v>
      </c>
      <c r="BZ17" s="39">
        <v>68.41</v>
      </c>
      <c r="CA17" s="39">
        <v>68.58</v>
      </c>
      <c r="CB17" s="39">
        <v>68.75</v>
      </c>
      <c r="CC17" s="39">
        <v>68.95</v>
      </c>
      <c r="CD17" s="39">
        <v>69.14</v>
      </c>
      <c r="CE17" s="39">
        <v>69.34</v>
      </c>
      <c r="CF17" s="39">
        <v>69.540000000000006</v>
      </c>
      <c r="CG17" s="39">
        <v>69.739999999999995</v>
      </c>
      <c r="CH17" s="39">
        <v>69.91</v>
      </c>
      <c r="CI17" s="39">
        <v>70.13</v>
      </c>
      <c r="CJ17" s="39">
        <v>70.3</v>
      </c>
      <c r="CK17" s="39">
        <v>70.48</v>
      </c>
      <c r="CL17" s="39">
        <v>70.67</v>
      </c>
      <c r="CM17" s="39">
        <v>70.86</v>
      </c>
      <c r="CN17" s="39">
        <v>71.03</v>
      </c>
      <c r="CO17" s="39">
        <v>71.2</v>
      </c>
      <c r="CP17" s="39">
        <v>71.38</v>
      </c>
      <c r="CQ17" s="39">
        <v>71.540000000000006</v>
      </c>
      <c r="CR17" s="39">
        <v>71.7</v>
      </c>
      <c r="CS17" s="39">
        <v>71.87</v>
      </c>
      <c r="CT17" s="39">
        <v>72.040000000000006</v>
      </c>
      <c r="CU17" s="39">
        <v>72.19</v>
      </c>
      <c r="CV17" s="39">
        <v>72.349999999999994</v>
      </c>
      <c r="CW17" s="39">
        <v>72.5</v>
      </c>
      <c r="CX17" s="39">
        <v>72.66</v>
      </c>
      <c r="CY17" s="39">
        <v>72.819999999999993</v>
      </c>
      <c r="CZ17" s="39">
        <v>72.98</v>
      </c>
      <c r="DA17" s="39">
        <v>73.13</v>
      </c>
      <c r="DB17" s="39">
        <v>73.28</v>
      </c>
      <c r="DC17" s="39">
        <v>73.430000000000007</v>
      </c>
      <c r="DD17" s="39">
        <v>73.58</v>
      </c>
      <c r="DE17" s="39">
        <v>73.73</v>
      </c>
      <c r="DF17" s="39">
        <v>73.88</v>
      </c>
      <c r="DG17" s="39">
        <v>74.02</v>
      </c>
      <c r="DH17" s="39">
        <v>74.17</v>
      </c>
      <c r="DI17" s="39">
        <v>74.31</v>
      </c>
      <c r="DJ17" s="39">
        <v>74.45</v>
      </c>
      <c r="DK17" s="39">
        <v>74.59</v>
      </c>
      <c r="DL17" s="39">
        <v>74.73</v>
      </c>
      <c r="DM17" s="39">
        <v>74.87</v>
      </c>
      <c r="DN17" s="39">
        <v>75</v>
      </c>
      <c r="DO17" s="39">
        <v>75.14</v>
      </c>
      <c r="DP17" s="39">
        <v>75.27</v>
      </c>
      <c r="DQ17" s="39">
        <v>75.400000000000006</v>
      </c>
      <c r="DR17" s="39">
        <v>75.53</v>
      </c>
    </row>
    <row r="18" spans="1:122">
      <c r="A18" s="37">
        <v>16</v>
      </c>
      <c r="B18" s="38"/>
      <c r="C18" s="38"/>
      <c r="D18" s="38"/>
      <c r="E18" s="38"/>
      <c r="F18" s="38"/>
      <c r="G18" s="38"/>
      <c r="H18" s="38"/>
      <c r="I18" s="38"/>
      <c r="J18" s="38"/>
      <c r="K18" s="38"/>
      <c r="L18" s="38"/>
      <c r="M18" s="38"/>
      <c r="N18" s="38"/>
      <c r="O18" s="38"/>
      <c r="P18" s="38"/>
      <c r="Q18" s="38"/>
      <c r="R18" s="38"/>
      <c r="S18" s="38"/>
      <c r="T18" s="38"/>
      <c r="U18" s="38"/>
      <c r="V18" s="39"/>
      <c r="W18" s="39">
        <v>55.43</v>
      </c>
      <c r="X18" s="39">
        <v>55.7</v>
      </c>
      <c r="Y18" s="39">
        <v>55.79</v>
      </c>
      <c r="Z18" s="39">
        <v>56.03</v>
      </c>
      <c r="AA18" s="39">
        <v>56.3</v>
      </c>
      <c r="AB18" s="39">
        <v>56.53</v>
      </c>
      <c r="AC18" s="39">
        <v>56.64</v>
      </c>
      <c r="AD18" s="39">
        <v>56.75</v>
      </c>
      <c r="AE18" s="39">
        <v>57.01</v>
      </c>
      <c r="AF18" s="39">
        <v>57.39</v>
      </c>
      <c r="AG18" s="39">
        <v>57.73</v>
      </c>
      <c r="AH18" s="39">
        <v>58.1</v>
      </c>
      <c r="AI18" s="39">
        <v>58.42</v>
      </c>
      <c r="AJ18" s="39">
        <v>58.77</v>
      </c>
      <c r="AK18" s="39">
        <v>59.08</v>
      </c>
      <c r="AL18" s="39">
        <v>59.45</v>
      </c>
      <c r="AM18" s="39">
        <v>59.81</v>
      </c>
      <c r="AN18" s="39">
        <v>60.04</v>
      </c>
      <c r="AO18" s="39">
        <v>60.18</v>
      </c>
      <c r="AP18" s="39">
        <v>60.4</v>
      </c>
      <c r="AQ18" s="39">
        <v>60.59</v>
      </c>
      <c r="AR18" s="39">
        <v>60.89</v>
      </c>
      <c r="AS18" s="39">
        <v>60.96</v>
      </c>
      <c r="AT18" s="39">
        <v>61.1</v>
      </c>
      <c r="AU18" s="39">
        <v>61.18</v>
      </c>
      <c r="AV18" s="39">
        <v>61.28</v>
      </c>
      <c r="AW18" s="39">
        <v>61.63</v>
      </c>
      <c r="AX18" s="39">
        <v>61.81</v>
      </c>
      <c r="AY18" s="39">
        <v>61.91</v>
      </c>
      <c r="AZ18" s="39">
        <v>61.94</v>
      </c>
      <c r="BA18" s="39">
        <v>61.98</v>
      </c>
      <c r="BB18" s="39">
        <v>62.15</v>
      </c>
      <c r="BC18" s="39">
        <v>62.28</v>
      </c>
      <c r="BD18" s="39">
        <v>62.47</v>
      </c>
      <c r="BE18" s="39">
        <v>62.67</v>
      </c>
      <c r="BF18" s="39">
        <v>62.89</v>
      </c>
      <c r="BG18" s="39">
        <v>63.06</v>
      </c>
      <c r="BH18" s="39">
        <v>63.38</v>
      </c>
      <c r="BI18" s="39">
        <v>63.59</v>
      </c>
      <c r="BJ18" s="39">
        <v>63.87</v>
      </c>
      <c r="BK18" s="39">
        <v>64.11</v>
      </c>
      <c r="BL18" s="39">
        <v>64.41</v>
      </c>
      <c r="BM18" s="39">
        <v>64.709999999999994</v>
      </c>
      <c r="BN18" s="39">
        <v>64.959999999999994</v>
      </c>
      <c r="BO18" s="39">
        <v>65.22</v>
      </c>
      <c r="BP18" s="39">
        <v>65.47</v>
      </c>
      <c r="BQ18" s="39">
        <v>65.680000000000007</v>
      </c>
      <c r="BR18" s="39">
        <v>65.92</v>
      </c>
      <c r="BS18" s="39">
        <v>66.11</v>
      </c>
      <c r="BT18" s="40">
        <v>66.33</v>
      </c>
      <c r="BU18" s="39">
        <v>66.48</v>
      </c>
      <c r="BV18" s="39">
        <v>66.69</v>
      </c>
      <c r="BW18" s="39">
        <v>66.89</v>
      </c>
      <c r="BX18" s="39">
        <v>67.08</v>
      </c>
      <c r="BY18" s="39">
        <v>67.260000000000005</v>
      </c>
      <c r="BZ18" s="39">
        <v>67.44</v>
      </c>
      <c r="CA18" s="39">
        <v>67.61</v>
      </c>
      <c r="CB18" s="39">
        <v>67.78</v>
      </c>
      <c r="CC18" s="39">
        <v>67.97</v>
      </c>
      <c r="CD18" s="39">
        <v>68.17</v>
      </c>
      <c r="CE18" s="39">
        <v>68.36</v>
      </c>
      <c r="CF18" s="39">
        <v>68.55</v>
      </c>
      <c r="CG18" s="39">
        <v>68.760000000000005</v>
      </c>
      <c r="CH18" s="39">
        <v>68.930000000000007</v>
      </c>
      <c r="CI18" s="39">
        <v>69.14</v>
      </c>
      <c r="CJ18" s="39">
        <v>69.319999999999993</v>
      </c>
      <c r="CK18" s="39">
        <v>69.5</v>
      </c>
      <c r="CL18" s="39">
        <v>69.69</v>
      </c>
      <c r="CM18" s="39">
        <v>69.87</v>
      </c>
      <c r="CN18" s="39">
        <v>70.05</v>
      </c>
      <c r="CO18" s="39">
        <v>70.209999999999994</v>
      </c>
      <c r="CP18" s="39">
        <v>70.39</v>
      </c>
      <c r="CQ18" s="39">
        <v>70.56</v>
      </c>
      <c r="CR18" s="39">
        <v>70.709999999999994</v>
      </c>
      <c r="CS18" s="39">
        <v>70.88</v>
      </c>
      <c r="CT18" s="39">
        <v>71.05</v>
      </c>
      <c r="CU18" s="39">
        <v>71.2</v>
      </c>
      <c r="CV18" s="39">
        <v>71.36</v>
      </c>
      <c r="CW18" s="39">
        <v>71.510000000000005</v>
      </c>
      <c r="CX18" s="39">
        <v>71.67</v>
      </c>
      <c r="CY18" s="39">
        <v>71.83</v>
      </c>
      <c r="CZ18" s="39">
        <v>71.989999999999995</v>
      </c>
      <c r="DA18" s="39">
        <v>72.14</v>
      </c>
      <c r="DB18" s="39">
        <v>72.290000000000006</v>
      </c>
      <c r="DC18" s="39">
        <v>72.44</v>
      </c>
      <c r="DD18" s="39">
        <v>72.59</v>
      </c>
      <c r="DE18" s="39">
        <v>72.739999999999995</v>
      </c>
      <c r="DF18" s="39">
        <v>72.89</v>
      </c>
      <c r="DG18" s="39">
        <v>73.03</v>
      </c>
      <c r="DH18" s="39">
        <v>73.180000000000007</v>
      </c>
      <c r="DI18" s="39">
        <v>73.319999999999993</v>
      </c>
      <c r="DJ18" s="39">
        <v>73.459999999999994</v>
      </c>
      <c r="DK18" s="39">
        <v>73.599999999999994</v>
      </c>
      <c r="DL18" s="39">
        <v>73.739999999999995</v>
      </c>
      <c r="DM18" s="39">
        <v>73.88</v>
      </c>
      <c r="DN18" s="39">
        <v>74.010000000000005</v>
      </c>
      <c r="DO18" s="39">
        <v>74.150000000000006</v>
      </c>
      <c r="DP18" s="39">
        <v>74.28</v>
      </c>
      <c r="DQ18" s="39">
        <v>74.41</v>
      </c>
      <c r="DR18" s="39">
        <v>74.540000000000006</v>
      </c>
    </row>
    <row r="19" spans="1:122">
      <c r="A19" s="37">
        <v>17</v>
      </c>
      <c r="B19" s="38"/>
      <c r="C19" s="38"/>
      <c r="D19" s="38"/>
      <c r="E19" s="38"/>
      <c r="F19" s="38"/>
      <c r="G19" s="38"/>
      <c r="H19" s="38"/>
      <c r="I19" s="38"/>
      <c r="J19" s="38"/>
      <c r="K19" s="38"/>
      <c r="L19" s="38"/>
      <c r="M19" s="38"/>
      <c r="N19" s="38"/>
      <c r="O19" s="38"/>
      <c r="P19" s="38"/>
      <c r="Q19" s="38"/>
      <c r="R19" s="38"/>
      <c r="S19" s="38"/>
      <c r="T19" s="38"/>
      <c r="U19" s="38"/>
      <c r="V19" s="39"/>
      <c r="W19" s="39">
        <v>54.56</v>
      </c>
      <c r="X19" s="39">
        <v>54.82</v>
      </c>
      <c r="Y19" s="39">
        <v>54.91</v>
      </c>
      <c r="Z19" s="39">
        <v>55.16</v>
      </c>
      <c r="AA19" s="39">
        <v>55.43</v>
      </c>
      <c r="AB19" s="39">
        <v>55.66</v>
      </c>
      <c r="AC19" s="39">
        <v>55.78</v>
      </c>
      <c r="AD19" s="39">
        <v>55.91</v>
      </c>
      <c r="AE19" s="39">
        <v>56.21</v>
      </c>
      <c r="AF19" s="39">
        <v>56.51</v>
      </c>
      <c r="AG19" s="39">
        <v>56.85</v>
      </c>
      <c r="AH19" s="39">
        <v>57.2</v>
      </c>
      <c r="AI19" s="39">
        <v>57.49</v>
      </c>
      <c r="AJ19" s="39">
        <v>57.84</v>
      </c>
      <c r="AK19" s="39">
        <v>58.15</v>
      </c>
      <c r="AL19" s="39">
        <v>58.51</v>
      </c>
      <c r="AM19" s="39">
        <v>58.87</v>
      </c>
      <c r="AN19" s="39">
        <v>59.1</v>
      </c>
      <c r="AO19" s="39">
        <v>59.23</v>
      </c>
      <c r="AP19" s="39">
        <v>59.46</v>
      </c>
      <c r="AQ19" s="39">
        <v>59.65</v>
      </c>
      <c r="AR19" s="39">
        <v>59.94</v>
      </c>
      <c r="AS19" s="39">
        <v>60.02</v>
      </c>
      <c r="AT19" s="39">
        <v>60.16</v>
      </c>
      <c r="AU19" s="39">
        <v>60.23</v>
      </c>
      <c r="AV19" s="39">
        <v>60.34</v>
      </c>
      <c r="AW19" s="39">
        <v>60.68</v>
      </c>
      <c r="AX19" s="39">
        <v>60.88</v>
      </c>
      <c r="AY19" s="39">
        <v>60.97</v>
      </c>
      <c r="AZ19" s="39">
        <v>61.01</v>
      </c>
      <c r="BA19" s="39">
        <v>61.05</v>
      </c>
      <c r="BB19" s="39">
        <v>61.22</v>
      </c>
      <c r="BC19" s="39">
        <v>61.35</v>
      </c>
      <c r="BD19" s="39">
        <v>61.54</v>
      </c>
      <c r="BE19" s="39">
        <v>61.74</v>
      </c>
      <c r="BF19" s="39">
        <v>61.96</v>
      </c>
      <c r="BG19" s="39">
        <v>62.13</v>
      </c>
      <c r="BH19" s="39">
        <v>62.46</v>
      </c>
      <c r="BI19" s="39">
        <v>62.66</v>
      </c>
      <c r="BJ19" s="39">
        <v>62.94</v>
      </c>
      <c r="BK19" s="39">
        <v>63.18</v>
      </c>
      <c r="BL19" s="39">
        <v>63.47</v>
      </c>
      <c r="BM19" s="39">
        <v>63.77</v>
      </c>
      <c r="BN19" s="39">
        <v>64.02</v>
      </c>
      <c r="BO19" s="39">
        <v>64.28</v>
      </c>
      <c r="BP19" s="39">
        <v>64.52</v>
      </c>
      <c r="BQ19" s="39">
        <v>64.739999999999995</v>
      </c>
      <c r="BR19" s="39">
        <v>64.97</v>
      </c>
      <c r="BS19" s="39">
        <v>65.150000000000006</v>
      </c>
      <c r="BT19" s="40">
        <v>65.37</v>
      </c>
      <c r="BU19" s="39">
        <v>65.52</v>
      </c>
      <c r="BV19" s="39">
        <v>65.73</v>
      </c>
      <c r="BW19" s="39">
        <v>65.92</v>
      </c>
      <c r="BX19" s="39">
        <v>66.12</v>
      </c>
      <c r="BY19" s="39">
        <v>66.3</v>
      </c>
      <c r="BZ19" s="39">
        <v>66.47</v>
      </c>
      <c r="CA19" s="39">
        <v>66.64</v>
      </c>
      <c r="CB19" s="39">
        <v>66.81</v>
      </c>
      <c r="CC19" s="39">
        <v>67.010000000000005</v>
      </c>
      <c r="CD19" s="39">
        <v>67.2</v>
      </c>
      <c r="CE19" s="39">
        <v>67.39</v>
      </c>
      <c r="CF19" s="39">
        <v>67.58</v>
      </c>
      <c r="CG19" s="39">
        <v>67.790000000000006</v>
      </c>
      <c r="CH19" s="39">
        <v>67.959999999999994</v>
      </c>
      <c r="CI19" s="39">
        <v>68.17</v>
      </c>
      <c r="CJ19" s="39">
        <v>68.349999999999994</v>
      </c>
      <c r="CK19" s="39">
        <v>68.52</v>
      </c>
      <c r="CL19" s="39">
        <v>68.709999999999994</v>
      </c>
      <c r="CM19" s="39">
        <v>68.900000000000006</v>
      </c>
      <c r="CN19" s="39">
        <v>69.069999999999993</v>
      </c>
      <c r="CO19" s="39">
        <v>69.239999999999995</v>
      </c>
      <c r="CP19" s="39">
        <v>69.41</v>
      </c>
      <c r="CQ19" s="39">
        <v>69.58</v>
      </c>
      <c r="CR19" s="39">
        <v>69.73</v>
      </c>
      <c r="CS19" s="39">
        <v>69.900000000000006</v>
      </c>
      <c r="CT19" s="39">
        <v>70.069999999999993</v>
      </c>
      <c r="CU19" s="39">
        <v>70.22</v>
      </c>
      <c r="CV19" s="39">
        <v>70.38</v>
      </c>
      <c r="CW19" s="39">
        <v>70.53</v>
      </c>
      <c r="CX19" s="39">
        <v>70.69</v>
      </c>
      <c r="CY19" s="39">
        <v>70.849999999999994</v>
      </c>
      <c r="CZ19" s="39">
        <v>71</v>
      </c>
      <c r="DA19" s="39">
        <v>71.16</v>
      </c>
      <c r="DB19" s="39">
        <v>71.31</v>
      </c>
      <c r="DC19" s="39">
        <v>71.459999999999994</v>
      </c>
      <c r="DD19" s="39">
        <v>71.61</v>
      </c>
      <c r="DE19" s="39">
        <v>71.760000000000005</v>
      </c>
      <c r="DF19" s="39">
        <v>71.900000000000006</v>
      </c>
      <c r="DG19" s="39">
        <v>72.05</v>
      </c>
      <c r="DH19" s="39">
        <v>72.19</v>
      </c>
      <c r="DI19" s="39">
        <v>72.33</v>
      </c>
      <c r="DJ19" s="39">
        <v>72.47</v>
      </c>
      <c r="DK19" s="39">
        <v>72.61</v>
      </c>
      <c r="DL19" s="39">
        <v>72.75</v>
      </c>
      <c r="DM19" s="39">
        <v>72.89</v>
      </c>
      <c r="DN19" s="39">
        <v>73.02</v>
      </c>
      <c r="DO19" s="39">
        <v>73.16</v>
      </c>
      <c r="DP19" s="39">
        <v>73.290000000000006</v>
      </c>
      <c r="DQ19" s="39">
        <v>73.42</v>
      </c>
      <c r="DR19" s="39">
        <v>73.55</v>
      </c>
    </row>
    <row r="20" spans="1:122">
      <c r="A20" s="37">
        <v>18</v>
      </c>
      <c r="B20" s="38"/>
      <c r="C20" s="38"/>
      <c r="D20" s="38"/>
      <c r="E20" s="38"/>
      <c r="F20" s="38"/>
      <c r="G20" s="38"/>
      <c r="H20" s="38"/>
      <c r="I20" s="38"/>
      <c r="J20" s="38"/>
      <c r="K20" s="38"/>
      <c r="L20" s="38"/>
      <c r="M20" s="38"/>
      <c r="N20" s="38"/>
      <c r="O20" s="38"/>
      <c r="P20" s="38"/>
      <c r="Q20" s="38"/>
      <c r="R20" s="38"/>
      <c r="S20" s="38"/>
      <c r="T20" s="38"/>
      <c r="U20" s="38"/>
      <c r="V20" s="39"/>
      <c r="W20" s="39">
        <v>53.68</v>
      </c>
      <c r="X20" s="39">
        <v>53.94</v>
      </c>
      <c r="Y20" s="39">
        <v>54.04</v>
      </c>
      <c r="Z20" s="39">
        <v>54.29</v>
      </c>
      <c r="AA20" s="39">
        <v>54.55</v>
      </c>
      <c r="AB20" s="39">
        <v>54.8</v>
      </c>
      <c r="AC20" s="39">
        <v>54.94</v>
      </c>
      <c r="AD20" s="39">
        <v>55.14</v>
      </c>
      <c r="AE20" s="39">
        <v>55.35</v>
      </c>
      <c r="AF20" s="39">
        <v>55.65</v>
      </c>
      <c r="AG20" s="39">
        <v>55.96</v>
      </c>
      <c r="AH20" s="39">
        <v>56.27</v>
      </c>
      <c r="AI20" s="39">
        <v>56.56</v>
      </c>
      <c r="AJ20" s="39">
        <v>56.92</v>
      </c>
      <c r="AK20" s="39">
        <v>57.22</v>
      </c>
      <c r="AL20" s="39">
        <v>57.58</v>
      </c>
      <c r="AM20" s="39">
        <v>57.93</v>
      </c>
      <c r="AN20" s="39">
        <v>58.16</v>
      </c>
      <c r="AO20" s="39">
        <v>58.3</v>
      </c>
      <c r="AP20" s="39">
        <v>58.52</v>
      </c>
      <c r="AQ20" s="39">
        <v>58.72</v>
      </c>
      <c r="AR20" s="39">
        <v>59.01</v>
      </c>
      <c r="AS20" s="39">
        <v>59.09</v>
      </c>
      <c r="AT20" s="39">
        <v>59.23</v>
      </c>
      <c r="AU20" s="39">
        <v>59.3</v>
      </c>
      <c r="AV20" s="39">
        <v>59.42</v>
      </c>
      <c r="AW20" s="39">
        <v>59.75</v>
      </c>
      <c r="AX20" s="39">
        <v>59.95</v>
      </c>
      <c r="AY20" s="39">
        <v>60.05</v>
      </c>
      <c r="AZ20" s="39">
        <v>60.08</v>
      </c>
      <c r="BA20" s="39">
        <v>60.14</v>
      </c>
      <c r="BB20" s="39">
        <v>60.3</v>
      </c>
      <c r="BC20" s="39">
        <v>60.44</v>
      </c>
      <c r="BD20" s="39">
        <v>60.63</v>
      </c>
      <c r="BE20" s="39">
        <v>60.82</v>
      </c>
      <c r="BF20" s="39">
        <v>61.04</v>
      </c>
      <c r="BG20" s="39">
        <v>61.21</v>
      </c>
      <c r="BH20" s="39">
        <v>61.54</v>
      </c>
      <c r="BI20" s="39">
        <v>61.74</v>
      </c>
      <c r="BJ20" s="39">
        <v>62.02</v>
      </c>
      <c r="BK20" s="39">
        <v>62.25</v>
      </c>
      <c r="BL20" s="39">
        <v>62.55</v>
      </c>
      <c r="BM20" s="39">
        <v>62.85</v>
      </c>
      <c r="BN20" s="39">
        <v>63.09</v>
      </c>
      <c r="BO20" s="39">
        <v>63.34</v>
      </c>
      <c r="BP20" s="39">
        <v>63.58</v>
      </c>
      <c r="BQ20" s="39">
        <v>63.79</v>
      </c>
      <c r="BR20" s="39">
        <v>64.02</v>
      </c>
      <c r="BS20" s="39">
        <v>64.2</v>
      </c>
      <c r="BT20" s="40">
        <v>64.42</v>
      </c>
      <c r="BU20" s="39">
        <v>64.56</v>
      </c>
      <c r="BV20" s="39">
        <v>64.78</v>
      </c>
      <c r="BW20" s="39">
        <v>64.97</v>
      </c>
      <c r="BX20" s="39">
        <v>65.17</v>
      </c>
      <c r="BY20" s="39">
        <v>65.34</v>
      </c>
      <c r="BZ20" s="39">
        <v>65.510000000000005</v>
      </c>
      <c r="CA20" s="39">
        <v>65.69</v>
      </c>
      <c r="CB20" s="39">
        <v>65.86</v>
      </c>
      <c r="CC20" s="39">
        <v>66.05</v>
      </c>
      <c r="CD20" s="39">
        <v>66.239999999999995</v>
      </c>
      <c r="CE20" s="39">
        <v>66.44</v>
      </c>
      <c r="CF20" s="39">
        <v>66.62</v>
      </c>
      <c r="CG20" s="39">
        <v>66.819999999999993</v>
      </c>
      <c r="CH20" s="39">
        <v>66.989999999999995</v>
      </c>
      <c r="CI20" s="39">
        <v>67.209999999999994</v>
      </c>
      <c r="CJ20" s="39">
        <v>67.38</v>
      </c>
      <c r="CK20" s="39">
        <v>67.55</v>
      </c>
      <c r="CL20" s="39">
        <v>67.739999999999995</v>
      </c>
      <c r="CM20" s="39">
        <v>67.92</v>
      </c>
      <c r="CN20" s="39">
        <v>68.09</v>
      </c>
      <c r="CO20" s="39">
        <v>68.260000000000005</v>
      </c>
      <c r="CP20" s="39">
        <v>68.430000000000007</v>
      </c>
      <c r="CQ20" s="39">
        <v>68.599999999999994</v>
      </c>
      <c r="CR20" s="39">
        <v>68.760000000000005</v>
      </c>
      <c r="CS20" s="39">
        <v>68.92</v>
      </c>
      <c r="CT20" s="39">
        <v>69.09</v>
      </c>
      <c r="CU20" s="39">
        <v>69.239999999999995</v>
      </c>
      <c r="CV20" s="39">
        <v>69.400000000000006</v>
      </c>
      <c r="CW20" s="39">
        <v>69.55</v>
      </c>
      <c r="CX20" s="39">
        <v>69.709999999999994</v>
      </c>
      <c r="CY20" s="39">
        <v>69.87</v>
      </c>
      <c r="CZ20" s="39">
        <v>70.02</v>
      </c>
      <c r="DA20" s="39">
        <v>70.180000000000007</v>
      </c>
      <c r="DB20" s="39">
        <v>70.33</v>
      </c>
      <c r="DC20" s="39">
        <v>70.48</v>
      </c>
      <c r="DD20" s="39">
        <v>70.62</v>
      </c>
      <c r="DE20" s="39">
        <v>70.77</v>
      </c>
      <c r="DF20" s="39">
        <v>70.92</v>
      </c>
      <c r="DG20" s="39">
        <v>71.06</v>
      </c>
      <c r="DH20" s="39">
        <v>71.2</v>
      </c>
      <c r="DI20" s="39">
        <v>71.34</v>
      </c>
      <c r="DJ20" s="39">
        <v>71.48</v>
      </c>
      <c r="DK20" s="39">
        <v>71.62</v>
      </c>
      <c r="DL20" s="39">
        <v>71.760000000000005</v>
      </c>
      <c r="DM20" s="39">
        <v>71.900000000000006</v>
      </c>
      <c r="DN20" s="39">
        <v>72.03</v>
      </c>
      <c r="DO20" s="39">
        <v>72.17</v>
      </c>
      <c r="DP20" s="39">
        <v>72.3</v>
      </c>
      <c r="DQ20" s="39">
        <v>72.430000000000007</v>
      </c>
      <c r="DR20" s="39">
        <v>72.56</v>
      </c>
    </row>
    <row r="21" spans="1:122">
      <c r="A21" s="37">
        <v>19</v>
      </c>
      <c r="B21" s="38"/>
      <c r="C21" s="38"/>
      <c r="D21" s="38"/>
      <c r="E21" s="38"/>
      <c r="F21" s="38"/>
      <c r="G21" s="38"/>
      <c r="H21" s="38"/>
      <c r="I21" s="38"/>
      <c r="J21" s="38"/>
      <c r="K21" s="38"/>
      <c r="L21" s="38"/>
      <c r="M21" s="38"/>
      <c r="N21" s="38"/>
      <c r="O21" s="38"/>
      <c r="P21" s="38"/>
      <c r="Q21" s="38"/>
      <c r="R21" s="38"/>
      <c r="S21" s="38"/>
      <c r="T21" s="38"/>
      <c r="U21" s="38"/>
      <c r="V21" s="39"/>
      <c r="W21" s="39">
        <v>52.81</v>
      </c>
      <c r="X21" s="39">
        <v>53.08</v>
      </c>
      <c r="Y21" s="39">
        <v>53.18</v>
      </c>
      <c r="Z21" s="39">
        <v>53.42</v>
      </c>
      <c r="AA21" s="39">
        <v>53.71</v>
      </c>
      <c r="AB21" s="39">
        <v>53.98</v>
      </c>
      <c r="AC21" s="39">
        <v>54.19</v>
      </c>
      <c r="AD21" s="39">
        <v>54.3</v>
      </c>
      <c r="AE21" s="39">
        <v>54.51</v>
      </c>
      <c r="AF21" s="39">
        <v>54.78</v>
      </c>
      <c r="AG21" s="39">
        <v>55.04</v>
      </c>
      <c r="AH21" s="39">
        <v>55.36</v>
      </c>
      <c r="AI21" s="39">
        <v>55.65</v>
      </c>
      <c r="AJ21" s="39">
        <v>56</v>
      </c>
      <c r="AK21" s="39">
        <v>56.3</v>
      </c>
      <c r="AL21" s="39">
        <v>56.66</v>
      </c>
      <c r="AM21" s="39">
        <v>57.01</v>
      </c>
      <c r="AN21" s="39">
        <v>57.25</v>
      </c>
      <c r="AO21" s="39">
        <v>57.39</v>
      </c>
      <c r="AP21" s="39">
        <v>57.61</v>
      </c>
      <c r="AQ21" s="39">
        <v>57.81</v>
      </c>
      <c r="AR21" s="39">
        <v>58.09</v>
      </c>
      <c r="AS21" s="39">
        <v>58.18</v>
      </c>
      <c r="AT21" s="39">
        <v>58.32</v>
      </c>
      <c r="AU21" s="39">
        <v>58.38</v>
      </c>
      <c r="AV21" s="39">
        <v>58.51</v>
      </c>
      <c r="AW21" s="39">
        <v>58.84</v>
      </c>
      <c r="AX21" s="39">
        <v>59.05</v>
      </c>
      <c r="AY21" s="39">
        <v>59.14</v>
      </c>
      <c r="AZ21" s="39">
        <v>59.17</v>
      </c>
      <c r="BA21" s="39">
        <v>59.25</v>
      </c>
      <c r="BB21" s="39">
        <v>59.41</v>
      </c>
      <c r="BC21" s="39">
        <v>59.55</v>
      </c>
      <c r="BD21" s="39">
        <v>59.74</v>
      </c>
      <c r="BE21" s="39">
        <v>59.93</v>
      </c>
      <c r="BF21" s="39">
        <v>60.15</v>
      </c>
      <c r="BG21" s="39">
        <v>60.32</v>
      </c>
      <c r="BH21" s="39">
        <v>60.65</v>
      </c>
      <c r="BI21" s="39">
        <v>60.85</v>
      </c>
      <c r="BJ21" s="39">
        <v>61.13</v>
      </c>
      <c r="BK21" s="39">
        <v>61.35</v>
      </c>
      <c r="BL21" s="39">
        <v>61.64</v>
      </c>
      <c r="BM21" s="39">
        <v>61.93</v>
      </c>
      <c r="BN21" s="39">
        <v>62.18</v>
      </c>
      <c r="BO21" s="39">
        <v>62.43</v>
      </c>
      <c r="BP21" s="39">
        <v>62.65</v>
      </c>
      <c r="BQ21" s="39">
        <v>62.86</v>
      </c>
      <c r="BR21" s="39">
        <v>63.08</v>
      </c>
      <c r="BS21" s="39">
        <v>63.27</v>
      </c>
      <c r="BT21" s="40">
        <v>63.48</v>
      </c>
      <c r="BU21" s="39">
        <v>63.63</v>
      </c>
      <c r="BV21" s="39">
        <v>63.85</v>
      </c>
      <c r="BW21" s="39">
        <v>64.040000000000006</v>
      </c>
      <c r="BX21" s="39">
        <v>64.239999999999995</v>
      </c>
      <c r="BY21" s="39">
        <v>64.41</v>
      </c>
      <c r="BZ21" s="39">
        <v>64.58</v>
      </c>
      <c r="CA21" s="39">
        <v>64.760000000000005</v>
      </c>
      <c r="CB21" s="39">
        <v>64.930000000000007</v>
      </c>
      <c r="CC21" s="39">
        <v>65.12</v>
      </c>
      <c r="CD21" s="39">
        <v>65.31</v>
      </c>
      <c r="CE21" s="39">
        <v>65.5</v>
      </c>
      <c r="CF21" s="39">
        <v>65.680000000000007</v>
      </c>
      <c r="CG21" s="39">
        <v>65.88</v>
      </c>
      <c r="CH21" s="39">
        <v>66.05</v>
      </c>
      <c r="CI21" s="39">
        <v>66.260000000000005</v>
      </c>
      <c r="CJ21" s="39">
        <v>66.430000000000007</v>
      </c>
      <c r="CK21" s="39">
        <v>66.599999999999994</v>
      </c>
      <c r="CL21" s="39">
        <v>66.78</v>
      </c>
      <c r="CM21" s="39">
        <v>66.959999999999994</v>
      </c>
      <c r="CN21" s="39">
        <v>67.13</v>
      </c>
      <c r="CO21" s="39">
        <v>67.290000000000006</v>
      </c>
      <c r="CP21" s="39">
        <v>67.47</v>
      </c>
      <c r="CQ21" s="39">
        <v>67.63</v>
      </c>
      <c r="CR21" s="39">
        <v>67.790000000000006</v>
      </c>
      <c r="CS21" s="39">
        <v>67.95</v>
      </c>
      <c r="CT21" s="39">
        <v>68.11</v>
      </c>
      <c r="CU21" s="39">
        <v>68.27</v>
      </c>
      <c r="CV21" s="39">
        <v>68.42</v>
      </c>
      <c r="CW21" s="39">
        <v>68.58</v>
      </c>
      <c r="CX21" s="39">
        <v>68.739999999999995</v>
      </c>
      <c r="CY21" s="39">
        <v>68.89</v>
      </c>
      <c r="CZ21" s="39">
        <v>69.040000000000006</v>
      </c>
      <c r="DA21" s="39">
        <v>69.2</v>
      </c>
      <c r="DB21" s="39">
        <v>69.349999999999994</v>
      </c>
      <c r="DC21" s="39">
        <v>69.5</v>
      </c>
      <c r="DD21" s="39">
        <v>69.64</v>
      </c>
      <c r="DE21" s="39">
        <v>69.790000000000006</v>
      </c>
      <c r="DF21" s="39">
        <v>69.930000000000007</v>
      </c>
      <c r="DG21" s="39">
        <v>70.08</v>
      </c>
      <c r="DH21" s="39">
        <v>70.22</v>
      </c>
      <c r="DI21" s="39">
        <v>70.36</v>
      </c>
      <c r="DJ21" s="39">
        <v>70.5</v>
      </c>
      <c r="DK21" s="39">
        <v>70.64</v>
      </c>
      <c r="DL21" s="39">
        <v>70.78</v>
      </c>
      <c r="DM21" s="39">
        <v>70.91</v>
      </c>
      <c r="DN21" s="39">
        <v>71.05</v>
      </c>
      <c r="DO21" s="39">
        <v>71.180000000000007</v>
      </c>
      <c r="DP21" s="39">
        <v>71.31</v>
      </c>
      <c r="DQ21" s="39">
        <v>71.44</v>
      </c>
      <c r="DR21" s="39">
        <v>71.569999999999993</v>
      </c>
    </row>
    <row r="22" spans="1:122">
      <c r="A22" s="37">
        <v>20</v>
      </c>
      <c r="B22" s="38"/>
      <c r="C22" s="38"/>
      <c r="D22" s="38"/>
      <c r="E22" s="38"/>
      <c r="F22" s="38"/>
      <c r="G22" s="38"/>
      <c r="H22" s="38"/>
      <c r="I22" s="38"/>
      <c r="J22" s="38"/>
      <c r="K22" s="38"/>
      <c r="L22" s="38"/>
      <c r="M22" s="38"/>
      <c r="N22" s="38"/>
      <c r="O22" s="38"/>
      <c r="P22" s="38"/>
      <c r="Q22" s="38"/>
      <c r="R22" s="38"/>
      <c r="S22" s="38"/>
      <c r="T22" s="38"/>
      <c r="U22" s="38"/>
      <c r="V22" s="39"/>
      <c r="W22" s="39">
        <v>51.96</v>
      </c>
      <c r="X22" s="39">
        <v>52.23</v>
      </c>
      <c r="Y22" s="39">
        <v>52.32</v>
      </c>
      <c r="Z22" s="39">
        <v>52.59</v>
      </c>
      <c r="AA22" s="39">
        <v>52.89</v>
      </c>
      <c r="AB22" s="39">
        <v>53.25</v>
      </c>
      <c r="AC22" s="39">
        <v>53.39</v>
      </c>
      <c r="AD22" s="39">
        <v>53.5</v>
      </c>
      <c r="AE22" s="39">
        <v>53.66</v>
      </c>
      <c r="AF22" s="39">
        <v>53.87</v>
      </c>
      <c r="AG22" s="39">
        <v>54.14</v>
      </c>
      <c r="AH22" s="39">
        <v>54.45</v>
      </c>
      <c r="AI22" s="39">
        <v>54.75</v>
      </c>
      <c r="AJ22" s="39">
        <v>55.09</v>
      </c>
      <c r="AK22" s="39">
        <v>55.38</v>
      </c>
      <c r="AL22" s="39">
        <v>55.75</v>
      </c>
      <c r="AM22" s="39">
        <v>56.11</v>
      </c>
      <c r="AN22" s="39">
        <v>56.35</v>
      </c>
      <c r="AO22" s="39">
        <v>56.49</v>
      </c>
      <c r="AP22" s="39">
        <v>56.71</v>
      </c>
      <c r="AQ22" s="39">
        <v>56.92</v>
      </c>
      <c r="AR22" s="39">
        <v>57.19</v>
      </c>
      <c r="AS22" s="39">
        <v>57.27</v>
      </c>
      <c r="AT22" s="39">
        <v>57.42</v>
      </c>
      <c r="AU22" s="39">
        <v>57.49</v>
      </c>
      <c r="AV22" s="39">
        <v>57.62</v>
      </c>
      <c r="AW22" s="39">
        <v>57.94</v>
      </c>
      <c r="AX22" s="39">
        <v>58.14</v>
      </c>
      <c r="AY22" s="39">
        <v>58.24</v>
      </c>
      <c r="AZ22" s="39">
        <v>58.28</v>
      </c>
      <c r="BA22" s="39">
        <v>58.36</v>
      </c>
      <c r="BB22" s="39">
        <v>58.52</v>
      </c>
      <c r="BC22" s="39">
        <v>58.67</v>
      </c>
      <c r="BD22" s="39">
        <v>58.84</v>
      </c>
      <c r="BE22" s="39">
        <v>59.04</v>
      </c>
      <c r="BF22" s="39">
        <v>59.26</v>
      </c>
      <c r="BG22" s="39">
        <v>59.43</v>
      </c>
      <c r="BH22" s="39">
        <v>59.76</v>
      </c>
      <c r="BI22" s="39">
        <v>59.96</v>
      </c>
      <c r="BJ22" s="39">
        <v>60.23</v>
      </c>
      <c r="BK22" s="39">
        <v>60.45</v>
      </c>
      <c r="BL22" s="39">
        <v>60.74</v>
      </c>
      <c r="BM22" s="39">
        <v>61.02</v>
      </c>
      <c r="BN22" s="39">
        <v>61.27</v>
      </c>
      <c r="BO22" s="39">
        <v>61.5</v>
      </c>
      <c r="BP22" s="39">
        <v>61.72</v>
      </c>
      <c r="BQ22" s="39">
        <v>61.94</v>
      </c>
      <c r="BR22" s="39">
        <v>62.15</v>
      </c>
      <c r="BS22" s="39">
        <v>62.33</v>
      </c>
      <c r="BT22" s="40">
        <v>62.55</v>
      </c>
      <c r="BU22" s="39">
        <v>62.71</v>
      </c>
      <c r="BV22" s="39">
        <v>62.92</v>
      </c>
      <c r="BW22" s="39">
        <v>63.11</v>
      </c>
      <c r="BX22" s="39">
        <v>63.31</v>
      </c>
      <c r="BY22" s="39">
        <v>63.48</v>
      </c>
      <c r="BZ22" s="39">
        <v>63.65</v>
      </c>
      <c r="CA22" s="39">
        <v>63.84</v>
      </c>
      <c r="CB22" s="39">
        <v>64</v>
      </c>
      <c r="CC22" s="39">
        <v>64.180000000000007</v>
      </c>
      <c r="CD22" s="39">
        <v>64.37</v>
      </c>
      <c r="CE22" s="39">
        <v>64.56</v>
      </c>
      <c r="CF22" s="39">
        <v>64.739999999999995</v>
      </c>
      <c r="CG22" s="39">
        <v>64.930000000000007</v>
      </c>
      <c r="CH22" s="39">
        <v>65.099999999999994</v>
      </c>
      <c r="CI22" s="39">
        <v>65.3</v>
      </c>
      <c r="CJ22" s="39">
        <v>65.459999999999994</v>
      </c>
      <c r="CK22" s="39">
        <v>65.64</v>
      </c>
      <c r="CL22" s="39">
        <v>65.819999999999993</v>
      </c>
      <c r="CM22" s="39">
        <v>65.989999999999995</v>
      </c>
      <c r="CN22" s="39">
        <v>66.16</v>
      </c>
      <c r="CO22" s="39">
        <v>66.33</v>
      </c>
      <c r="CP22" s="39">
        <v>66.5</v>
      </c>
      <c r="CQ22" s="39">
        <v>66.66</v>
      </c>
      <c r="CR22" s="39">
        <v>66.81</v>
      </c>
      <c r="CS22" s="39">
        <v>66.98</v>
      </c>
      <c r="CT22" s="39">
        <v>67.14</v>
      </c>
      <c r="CU22" s="39">
        <v>67.290000000000006</v>
      </c>
      <c r="CV22" s="39">
        <v>67.45</v>
      </c>
      <c r="CW22" s="39">
        <v>67.61</v>
      </c>
      <c r="CX22" s="39">
        <v>67.760000000000005</v>
      </c>
      <c r="CY22" s="39">
        <v>67.92</v>
      </c>
      <c r="CZ22" s="39">
        <v>68.069999999999993</v>
      </c>
      <c r="DA22" s="39">
        <v>68.22</v>
      </c>
      <c r="DB22" s="39">
        <v>68.37</v>
      </c>
      <c r="DC22" s="39">
        <v>68.52</v>
      </c>
      <c r="DD22" s="39">
        <v>68.66</v>
      </c>
      <c r="DE22" s="39">
        <v>68.81</v>
      </c>
      <c r="DF22" s="39">
        <v>68.95</v>
      </c>
      <c r="DG22" s="39">
        <v>69.099999999999994</v>
      </c>
      <c r="DH22" s="39">
        <v>69.239999999999995</v>
      </c>
      <c r="DI22" s="39">
        <v>69.38</v>
      </c>
      <c r="DJ22" s="39">
        <v>69.52</v>
      </c>
      <c r="DK22" s="39">
        <v>69.66</v>
      </c>
      <c r="DL22" s="39">
        <v>69.790000000000006</v>
      </c>
      <c r="DM22" s="39">
        <v>69.930000000000007</v>
      </c>
      <c r="DN22" s="39">
        <v>70.06</v>
      </c>
      <c r="DO22" s="39">
        <v>70.19</v>
      </c>
      <c r="DP22" s="39">
        <v>70.33</v>
      </c>
      <c r="DQ22" s="39">
        <v>70.459999999999994</v>
      </c>
      <c r="DR22" s="39">
        <v>70.59</v>
      </c>
    </row>
    <row r="23" spans="1:122">
      <c r="A23" s="37">
        <v>21</v>
      </c>
      <c r="B23" s="38"/>
      <c r="C23" s="38"/>
      <c r="D23" s="38"/>
      <c r="E23" s="38"/>
      <c r="F23" s="38"/>
      <c r="G23" s="38"/>
      <c r="H23" s="38"/>
      <c r="I23" s="38"/>
      <c r="J23" s="38"/>
      <c r="K23" s="38"/>
      <c r="L23" s="38"/>
      <c r="M23" s="38"/>
      <c r="N23" s="38"/>
      <c r="O23" s="38"/>
      <c r="P23" s="38"/>
      <c r="Q23" s="38"/>
      <c r="R23" s="38"/>
      <c r="S23" s="38"/>
      <c r="T23" s="38"/>
      <c r="U23" s="38"/>
      <c r="V23" s="39"/>
      <c r="W23" s="39">
        <v>51.11</v>
      </c>
      <c r="X23" s="39">
        <v>51.38</v>
      </c>
      <c r="Y23" s="39">
        <v>51.49</v>
      </c>
      <c r="Z23" s="39">
        <v>51.78</v>
      </c>
      <c r="AA23" s="39">
        <v>52.17</v>
      </c>
      <c r="AB23" s="39">
        <v>52.48</v>
      </c>
      <c r="AC23" s="39">
        <v>52.62</v>
      </c>
      <c r="AD23" s="39">
        <v>52.68</v>
      </c>
      <c r="AE23" s="39">
        <v>52.76</v>
      </c>
      <c r="AF23" s="39">
        <v>52.97</v>
      </c>
      <c r="AG23" s="39">
        <v>53.24</v>
      </c>
      <c r="AH23" s="39">
        <v>53.55</v>
      </c>
      <c r="AI23" s="39">
        <v>53.84</v>
      </c>
      <c r="AJ23" s="39">
        <v>54.19</v>
      </c>
      <c r="AK23" s="39">
        <v>54.48</v>
      </c>
      <c r="AL23" s="39">
        <v>54.86</v>
      </c>
      <c r="AM23" s="39">
        <v>55.22</v>
      </c>
      <c r="AN23" s="39">
        <v>55.46</v>
      </c>
      <c r="AO23" s="39">
        <v>55.59</v>
      </c>
      <c r="AP23" s="39">
        <v>55.81</v>
      </c>
      <c r="AQ23" s="39">
        <v>56.02</v>
      </c>
      <c r="AR23" s="39">
        <v>56.29</v>
      </c>
      <c r="AS23" s="39">
        <v>56.37</v>
      </c>
      <c r="AT23" s="39">
        <v>56.51</v>
      </c>
      <c r="AU23" s="39">
        <v>56.59</v>
      </c>
      <c r="AV23" s="39">
        <v>56.72</v>
      </c>
      <c r="AW23" s="39">
        <v>57.03</v>
      </c>
      <c r="AX23" s="39">
        <v>57.22</v>
      </c>
      <c r="AY23" s="39">
        <v>57.34</v>
      </c>
      <c r="AZ23" s="39">
        <v>57.38</v>
      </c>
      <c r="BA23" s="39">
        <v>57.48</v>
      </c>
      <c r="BB23" s="39">
        <v>57.63</v>
      </c>
      <c r="BC23" s="39">
        <v>57.76</v>
      </c>
      <c r="BD23" s="39">
        <v>57.94</v>
      </c>
      <c r="BE23" s="39">
        <v>58.14</v>
      </c>
      <c r="BF23" s="39">
        <v>58.37</v>
      </c>
      <c r="BG23" s="39">
        <v>58.54</v>
      </c>
      <c r="BH23" s="39">
        <v>58.86</v>
      </c>
      <c r="BI23" s="39">
        <v>59.05</v>
      </c>
      <c r="BJ23" s="39">
        <v>59.32</v>
      </c>
      <c r="BK23" s="39">
        <v>59.54</v>
      </c>
      <c r="BL23" s="39">
        <v>59.83</v>
      </c>
      <c r="BM23" s="39">
        <v>60.1</v>
      </c>
      <c r="BN23" s="39">
        <v>60.34</v>
      </c>
      <c r="BO23" s="39">
        <v>60.57</v>
      </c>
      <c r="BP23" s="39">
        <v>60.79</v>
      </c>
      <c r="BQ23" s="39">
        <v>61.01</v>
      </c>
      <c r="BR23" s="39">
        <v>61.21</v>
      </c>
      <c r="BS23" s="39">
        <v>61.4</v>
      </c>
      <c r="BT23" s="40">
        <v>61.62</v>
      </c>
      <c r="BU23" s="39">
        <v>61.77</v>
      </c>
      <c r="BV23" s="39">
        <v>61.99</v>
      </c>
      <c r="BW23" s="39">
        <v>62.18</v>
      </c>
      <c r="BX23" s="39">
        <v>62.38</v>
      </c>
      <c r="BY23" s="39">
        <v>62.55</v>
      </c>
      <c r="BZ23" s="39">
        <v>62.72</v>
      </c>
      <c r="CA23" s="39">
        <v>62.9</v>
      </c>
      <c r="CB23" s="39">
        <v>63.06</v>
      </c>
      <c r="CC23" s="39">
        <v>63.24</v>
      </c>
      <c r="CD23" s="39">
        <v>63.43</v>
      </c>
      <c r="CE23" s="39">
        <v>63.62</v>
      </c>
      <c r="CF23" s="39">
        <v>63.79</v>
      </c>
      <c r="CG23" s="39">
        <v>63.98</v>
      </c>
      <c r="CH23" s="39">
        <v>64.14</v>
      </c>
      <c r="CI23" s="39">
        <v>64.34</v>
      </c>
      <c r="CJ23" s="39">
        <v>64.510000000000005</v>
      </c>
      <c r="CK23" s="39">
        <v>64.680000000000007</v>
      </c>
      <c r="CL23" s="39">
        <v>64.849999999999994</v>
      </c>
      <c r="CM23" s="39">
        <v>65.02</v>
      </c>
      <c r="CN23" s="39">
        <v>65.19</v>
      </c>
      <c r="CO23" s="39">
        <v>65.37</v>
      </c>
      <c r="CP23" s="39">
        <v>65.53</v>
      </c>
      <c r="CQ23" s="39">
        <v>65.69</v>
      </c>
      <c r="CR23" s="39">
        <v>65.849999999999994</v>
      </c>
      <c r="CS23" s="39">
        <v>66.010000000000005</v>
      </c>
      <c r="CT23" s="39">
        <v>66.17</v>
      </c>
      <c r="CU23" s="39">
        <v>66.319999999999993</v>
      </c>
      <c r="CV23" s="39">
        <v>66.48</v>
      </c>
      <c r="CW23" s="39">
        <v>66.63</v>
      </c>
      <c r="CX23" s="39">
        <v>66.790000000000006</v>
      </c>
      <c r="CY23" s="39">
        <v>66.94</v>
      </c>
      <c r="CZ23" s="39">
        <v>67.09</v>
      </c>
      <c r="DA23" s="39">
        <v>67.239999999999995</v>
      </c>
      <c r="DB23" s="39">
        <v>67.39</v>
      </c>
      <c r="DC23" s="39">
        <v>67.540000000000006</v>
      </c>
      <c r="DD23" s="39">
        <v>67.69</v>
      </c>
      <c r="DE23" s="39">
        <v>67.83</v>
      </c>
      <c r="DF23" s="39">
        <v>67.97</v>
      </c>
      <c r="DG23" s="39">
        <v>68.12</v>
      </c>
      <c r="DH23" s="39">
        <v>68.260000000000005</v>
      </c>
      <c r="DI23" s="39">
        <v>68.400000000000006</v>
      </c>
      <c r="DJ23" s="39">
        <v>68.540000000000006</v>
      </c>
      <c r="DK23" s="39">
        <v>68.67</v>
      </c>
      <c r="DL23" s="39">
        <v>68.81</v>
      </c>
      <c r="DM23" s="39">
        <v>68.94</v>
      </c>
      <c r="DN23" s="39">
        <v>69.08</v>
      </c>
      <c r="DO23" s="39">
        <v>69.209999999999994</v>
      </c>
      <c r="DP23" s="39">
        <v>69.34</v>
      </c>
      <c r="DQ23" s="39">
        <v>69.47</v>
      </c>
      <c r="DR23" s="39">
        <v>69.599999999999994</v>
      </c>
    </row>
    <row r="24" spans="1:122">
      <c r="A24" s="37">
        <v>22</v>
      </c>
      <c r="B24" s="38"/>
      <c r="C24" s="38"/>
      <c r="D24" s="38"/>
      <c r="E24" s="38"/>
      <c r="F24" s="38"/>
      <c r="G24" s="38"/>
      <c r="H24" s="38"/>
      <c r="I24" s="38"/>
      <c r="J24" s="38"/>
      <c r="K24" s="38"/>
      <c r="L24" s="38"/>
      <c r="M24" s="38"/>
      <c r="N24" s="38"/>
      <c r="O24" s="38"/>
      <c r="P24" s="38"/>
      <c r="Q24" s="38"/>
      <c r="R24" s="38"/>
      <c r="S24" s="38"/>
      <c r="T24" s="38"/>
      <c r="U24" s="38"/>
      <c r="V24" s="39"/>
      <c r="W24" s="39">
        <v>50.27</v>
      </c>
      <c r="X24" s="39">
        <v>50.56</v>
      </c>
      <c r="Y24" s="39">
        <v>50.69</v>
      </c>
      <c r="Z24" s="39">
        <v>51.07</v>
      </c>
      <c r="AA24" s="39">
        <v>51.42</v>
      </c>
      <c r="AB24" s="39">
        <v>51.73</v>
      </c>
      <c r="AC24" s="39">
        <v>51.81</v>
      </c>
      <c r="AD24" s="39">
        <v>51.78</v>
      </c>
      <c r="AE24" s="39">
        <v>51.87</v>
      </c>
      <c r="AF24" s="39">
        <v>52.08</v>
      </c>
      <c r="AG24" s="39">
        <v>52.34</v>
      </c>
      <c r="AH24" s="39">
        <v>52.65</v>
      </c>
      <c r="AI24" s="39">
        <v>52.94</v>
      </c>
      <c r="AJ24" s="39">
        <v>53.29</v>
      </c>
      <c r="AK24" s="39">
        <v>53.59</v>
      </c>
      <c r="AL24" s="39">
        <v>53.97</v>
      </c>
      <c r="AM24" s="39">
        <v>54.32</v>
      </c>
      <c r="AN24" s="39">
        <v>54.55</v>
      </c>
      <c r="AO24" s="39">
        <v>54.69</v>
      </c>
      <c r="AP24" s="39">
        <v>54.92</v>
      </c>
      <c r="AQ24" s="39">
        <v>55.12</v>
      </c>
      <c r="AR24" s="39">
        <v>55.39</v>
      </c>
      <c r="AS24" s="39">
        <v>55.47</v>
      </c>
      <c r="AT24" s="39">
        <v>55.6</v>
      </c>
      <c r="AU24" s="39">
        <v>55.68</v>
      </c>
      <c r="AV24" s="39">
        <v>55.81</v>
      </c>
      <c r="AW24" s="39">
        <v>56.12</v>
      </c>
      <c r="AX24" s="39">
        <v>56.32</v>
      </c>
      <c r="AY24" s="39">
        <v>56.44</v>
      </c>
      <c r="AZ24" s="39">
        <v>56.49</v>
      </c>
      <c r="BA24" s="39">
        <v>56.58</v>
      </c>
      <c r="BB24" s="39">
        <v>56.72</v>
      </c>
      <c r="BC24" s="39">
        <v>56.86</v>
      </c>
      <c r="BD24" s="39">
        <v>57.04</v>
      </c>
      <c r="BE24" s="39">
        <v>57.24</v>
      </c>
      <c r="BF24" s="39">
        <v>57.46</v>
      </c>
      <c r="BG24" s="39">
        <v>57.64</v>
      </c>
      <c r="BH24" s="39">
        <v>57.95</v>
      </c>
      <c r="BI24" s="39">
        <v>58.14</v>
      </c>
      <c r="BJ24" s="39">
        <v>58.41</v>
      </c>
      <c r="BK24" s="39">
        <v>58.63</v>
      </c>
      <c r="BL24" s="39">
        <v>58.91</v>
      </c>
      <c r="BM24" s="39">
        <v>59.17</v>
      </c>
      <c r="BN24" s="39">
        <v>59.41</v>
      </c>
      <c r="BO24" s="39">
        <v>59.63</v>
      </c>
      <c r="BP24" s="39">
        <v>59.85</v>
      </c>
      <c r="BQ24" s="39">
        <v>60.07</v>
      </c>
      <c r="BR24" s="39">
        <v>60.28</v>
      </c>
      <c r="BS24" s="39">
        <v>60.47</v>
      </c>
      <c r="BT24" s="40">
        <v>60.69</v>
      </c>
      <c r="BU24" s="39">
        <v>60.85</v>
      </c>
      <c r="BV24" s="39">
        <v>61.06</v>
      </c>
      <c r="BW24" s="39">
        <v>61.24</v>
      </c>
      <c r="BX24" s="39">
        <v>61.44</v>
      </c>
      <c r="BY24" s="39">
        <v>61.6</v>
      </c>
      <c r="BZ24" s="39">
        <v>61.78</v>
      </c>
      <c r="CA24" s="39">
        <v>61.96</v>
      </c>
      <c r="CB24" s="39">
        <v>62.12</v>
      </c>
      <c r="CC24" s="39">
        <v>62.3</v>
      </c>
      <c r="CD24" s="39">
        <v>62.48</v>
      </c>
      <c r="CE24" s="39">
        <v>62.67</v>
      </c>
      <c r="CF24" s="39">
        <v>62.84</v>
      </c>
      <c r="CG24" s="39">
        <v>63.02</v>
      </c>
      <c r="CH24" s="39">
        <v>63.18</v>
      </c>
      <c r="CI24" s="39">
        <v>63.38</v>
      </c>
      <c r="CJ24" s="39">
        <v>63.55</v>
      </c>
      <c r="CK24" s="39">
        <v>63.71</v>
      </c>
      <c r="CL24" s="39">
        <v>63.89</v>
      </c>
      <c r="CM24" s="39">
        <v>64.06</v>
      </c>
      <c r="CN24" s="39">
        <v>64.23</v>
      </c>
      <c r="CO24" s="39">
        <v>64.39</v>
      </c>
      <c r="CP24" s="39">
        <v>64.56</v>
      </c>
      <c r="CQ24" s="39">
        <v>64.72</v>
      </c>
      <c r="CR24" s="39">
        <v>64.87</v>
      </c>
      <c r="CS24" s="39">
        <v>65.040000000000006</v>
      </c>
      <c r="CT24" s="39">
        <v>65.2</v>
      </c>
      <c r="CU24" s="39">
        <v>65.349999999999994</v>
      </c>
      <c r="CV24" s="39">
        <v>65.510000000000005</v>
      </c>
      <c r="CW24" s="39">
        <v>65.66</v>
      </c>
      <c r="CX24" s="39">
        <v>65.81</v>
      </c>
      <c r="CY24" s="39">
        <v>65.97</v>
      </c>
      <c r="CZ24" s="39">
        <v>66.12</v>
      </c>
      <c r="DA24" s="39">
        <v>66.27</v>
      </c>
      <c r="DB24" s="39">
        <v>66.42</v>
      </c>
      <c r="DC24" s="39">
        <v>66.56</v>
      </c>
      <c r="DD24" s="39">
        <v>66.709999999999994</v>
      </c>
      <c r="DE24" s="39">
        <v>66.849999999999994</v>
      </c>
      <c r="DF24" s="39">
        <v>66.989999999999995</v>
      </c>
      <c r="DG24" s="39">
        <v>67.14</v>
      </c>
      <c r="DH24" s="39">
        <v>67.28</v>
      </c>
      <c r="DI24" s="39">
        <v>67.42</v>
      </c>
      <c r="DJ24" s="39">
        <v>67.55</v>
      </c>
      <c r="DK24" s="39">
        <v>67.69</v>
      </c>
      <c r="DL24" s="39">
        <v>67.83</v>
      </c>
      <c r="DM24" s="39">
        <v>67.959999999999994</v>
      </c>
      <c r="DN24" s="39">
        <v>68.09</v>
      </c>
      <c r="DO24" s="39">
        <v>68.23</v>
      </c>
      <c r="DP24" s="39">
        <v>68.36</v>
      </c>
      <c r="DQ24" s="39">
        <v>68.489999999999995</v>
      </c>
      <c r="DR24" s="39">
        <v>68.62</v>
      </c>
    </row>
    <row r="25" spans="1:122">
      <c r="A25" s="37">
        <v>23</v>
      </c>
      <c r="B25" s="38"/>
      <c r="C25" s="38"/>
      <c r="D25" s="38"/>
      <c r="E25" s="38"/>
      <c r="F25" s="38"/>
      <c r="G25" s="38"/>
      <c r="H25" s="38"/>
      <c r="I25" s="38"/>
      <c r="J25" s="38"/>
      <c r="K25" s="38"/>
      <c r="L25" s="38"/>
      <c r="M25" s="38"/>
      <c r="N25" s="38"/>
      <c r="O25" s="38"/>
      <c r="P25" s="38"/>
      <c r="Q25" s="38"/>
      <c r="R25" s="38"/>
      <c r="S25" s="38"/>
      <c r="T25" s="38"/>
      <c r="U25" s="38"/>
      <c r="V25" s="39"/>
      <c r="W25" s="39">
        <v>49.43</v>
      </c>
      <c r="X25" s="39">
        <v>49.74</v>
      </c>
      <c r="Y25" s="39">
        <v>49.96</v>
      </c>
      <c r="Z25" s="39">
        <v>50.32</v>
      </c>
      <c r="AA25" s="39">
        <v>50.68</v>
      </c>
      <c r="AB25" s="39">
        <v>50.9</v>
      </c>
      <c r="AC25" s="39">
        <v>50.92</v>
      </c>
      <c r="AD25" s="39">
        <v>50.89</v>
      </c>
      <c r="AE25" s="39">
        <v>50.97</v>
      </c>
      <c r="AF25" s="39">
        <v>51.18</v>
      </c>
      <c r="AG25" s="39">
        <v>51.44</v>
      </c>
      <c r="AH25" s="39">
        <v>51.75</v>
      </c>
      <c r="AI25" s="39">
        <v>52.04</v>
      </c>
      <c r="AJ25" s="39">
        <v>52.39</v>
      </c>
      <c r="AK25" s="39">
        <v>52.69</v>
      </c>
      <c r="AL25" s="39">
        <v>53.07</v>
      </c>
      <c r="AM25" s="39">
        <v>53.42</v>
      </c>
      <c r="AN25" s="39">
        <v>53.65</v>
      </c>
      <c r="AO25" s="39">
        <v>53.79</v>
      </c>
      <c r="AP25" s="39">
        <v>54.01</v>
      </c>
      <c r="AQ25" s="39">
        <v>54.21</v>
      </c>
      <c r="AR25" s="39">
        <v>54.48</v>
      </c>
      <c r="AS25" s="39">
        <v>54.55</v>
      </c>
      <c r="AT25" s="39">
        <v>54.69</v>
      </c>
      <c r="AU25" s="39">
        <v>54.78</v>
      </c>
      <c r="AV25" s="39">
        <v>54.9</v>
      </c>
      <c r="AW25" s="39">
        <v>55.21</v>
      </c>
      <c r="AX25" s="39">
        <v>55.42</v>
      </c>
      <c r="AY25" s="39">
        <v>55.53</v>
      </c>
      <c r="AZ25" s="39">
        <v>55.59</v>
      </c>
      <c r="BA25" s="39">
        <v>55.67</v>
      </c>
      <c r="BB25" s="39">
        <v>55.8</v>
      </c>
      <c r="BC25" s="39">
        <v>55.95</v>
      </c>
      <c r="BD25" s="39">
        <v>56.13</v>
      </c>
      <c r="BE25" s="39">
        <v>56.33</v>
      </c>
      <c r="BF25" s="39">
        <v>56.56</v>
      </c>
      <c r="BG25" s="39">
        <v>56.73</v>
      </c>
      <c r="BH25" s="39">
        <v>57.02</v>
      </c>
      <c r="BI25" s="39">
        <v>57.21</v>
      </c>
      <c r="BJ25" s="39">
        <v>57.49</v>
      </c>
      <c r="BK25" s="39">
        <v>57.7</v>
      </c>
      <c r="BL25" s="39">
        <v>57.98</v>
      </c>
      <c r="BM25" s="39">
        <v>58.24</v>
      </c>
      <c r="BN25" s="39">
        <v>58.47</v>
      </c>
      <c r="BO25" s="39">
        <v>58.69</v>
      </c>
      <c r="BP25" s="39">
        <v>58.91</v>
      </c>
      <c r="BQ25" s="39">
        <v>59.13</v>
      </c>
      <c r="BR25" s="39">
        <v>59.34</v>
      </c>
      <c r="BS25" s="39">
        <v>59.54</v>
      </c>
      <c r="BT25" s="40">
        <v>59.75</v>
      </c>
      <c r="BU25" s="39">
        <v>59.91</v>
      </c>
      <c r="BV25" s="39">
        <v>60.12</v>
      </c>
      <c r="BW25" s="39">
        <v>60.3</v>
      </c>
      <c r="BX25" s="39">
        <v>60.5</v>
      </c>
      <c r="BY25" s="39">
        <v>60.65</v>
      </c>
      <c r="BZ25" s="39">
        <v>60.84</v>
      </c>
      <c r="CA25" s="39">
        <v>61.02</v>
      </c>
      <c r="CB25" s="39">
        <v>61.17</v>
      </c>
      <c r="CC25" s="39">
        <v>61.35</v>
      </c>
      <c r="CD25" s="39">
        <v>61.53</v>
      </c>
      <c r="CE25" s="39">
        <v>61.72</v>
      </c>
      <c r="CF25" s="39">
        <v>61.88</v>
      </c>
      <c r="CG25" s="39">
        <v>62.06</v>
      </c>
      <c r="CH25" s="39">
        <v>62.23</v>
      </c>
      <c r="CI25" s="39">
        <v>62.41</v>
      </c>
      <c r="CJ25" s="39">
        <v>62.58</v>
      </c>
      <c r="CK25" s="39">
        <v>62.75</v>
      </c>
      <c r="CL25" s="39">
        <v>62.92</v>
      </c>
      <c r="CM25" s="39">
        <v>63.1</v>
      </c>
      <c r="CN25" s="39">
        <v>63.26</v>
      </c>
      <c r="CO25" s="39">
        <v>63.42</v>
      </c>
      <c r="CP25" s="39">
        <v>63.59</v>
      </c>
      <c r="CQ25" s="39">
        <v>63.75</v>
      </c>
      <c r="CR25" s="39">
        <v>63.9</v>
      </c>
      <c r="CS25" s="39">
        <v>64.069999999999993</v>
      </c>
      <c r="CT25" s="39">
        <v>64.22</v>
      </c>
      <c r="CU25" s="39">
        <v>64.38</v>
      </c>
      <c r="CV25" s="39">
        <v>64.53</v>
      </c>
      <c r="CW25" s="39">
        <v>64.69</v>
      </c>
      <c r="CX25" s="39">
        <v>64.84</v>
      </c>
      <c r="CY25" s="39">
        <v>64.989999999999995</v>
      </c>
      <c r="CZ25" s="39">
        <v>65.14</v>
      </c>
      <c r="DA25" s="39">
        <v>65.290000000000006</v>
      </c>
      <c r="DB25" s="39">
        <v>65.44</v>
      </c>
      <c r="DC25" s="39">
        <v>65.58</v>
      </c>
      <c r="DD25" s="39">
        <v>65.73</v>
      </c>
      <c r="DE25" s="39">
        <v>65.87</v>
      </c>
      <c r="DF25" s="39">
        <v>66.02</v>
      </c>
      <c r="DG25" s="39">
        <v>66.16</v>
      </c>
      <c r="DH25" s="39">
        <v>66.3</v>
      </c>
      <c r="DI25" s="39">
        <v>66.44</v>
      </c>
      <c r="DJ25" s="39">
        <v>66.569999999999993</v>
      </c>
      <c r="DK25" s="39">
        <v>66.709999999999994</v>
      </c>
      <c r="DL25" s="39">
        <v>66.84</v>
      </c>
      <c r="DM25" s="39">
        <v>66.98</v>
      </c>
      <c r="DN25" s="39">
        <v>67.11</v>
      </c>
      <c r="DO25" s="39">
        <v>67.239999999999995</v>
      </c>
      <c r="DP25" s="39">
        <v>67.37</v>
      </c>
      <c r="DQ25" s="39">
        <v>67.5</v>
      </c>
      <c r="DR25" s="39">
        <v>67.63</v>
      </c>
    </row>
    <row r="26" spans="1:122">
      <c r="A26" s="37">
        <v>24</v>
      </c>
      <c r="B26" s="38"/>
      <c r="C26" s="38"/>
      <c r="D26" s="38"/>
      <c r="E26" s="38"/>
      <c r="F26" s="38"/>
      <c r="G26" s="38"/>
      <c r="H26" s="38"/>
      <c r="I26" s="38"/>
      <c r="J26" s="38"/>
      <c r="K26" s="38"/>
      <c r="L26" s="38"/>
      <c r="M26" s="38"/>
      <c r="N26" s="38"/>
      <c r="O26" s="38"/>
      <c r="P26" s="38"/>
      <c r="Q26" s="38"/>
      <c r="R26" s="38"/>
      <c r="S26" s="38"/>
      <c r="T26" s="38"/>
      <c r="U26" s="38"/>
      <c r="V26" s="39"/>
      <c r="W26" s="39">
        <v>48.62</v>
      </c>
      <c r="X26" s="39">
        <v>49.01</v>
      </c>
      <c r="Y26" s="39">
        <v>49.2</v>
      </c>
      <c r="Z26" s="39">
        <v>49.56</v>
      </c>
      <c r="AA26" s="39">
        <v>49.83</v>
      </c>
      <c r="AB26" s="39">
        <v>50</v>
      </c>
      <c r="AC26" s="39">
        <v>50.03</v>
      </c>
      <c r="AD26" s="39">
        <v>49.99</v>
      </c>
      <c r="AE26" s="39">
        <v>50.07</v>
      </c>
      <c r="AF26" s="39">
        <v>50.29</v>
      </c>
      <c r="AG26" s="39">
        <v>50.54</v>
      </c>
      <c r="AH26" s="39">
        <v>50.85</v>
      </c>
      <c r="AI26" s="39">
        <v>51.14</v>
      </c>
      <c r="AJ26" s="39">
        <v>51.48</v>
      </c>
      <c r="AK26" s="39">
        <v>51.78</v>
      </c>
      <c r="AL26" s="39">
        <v>52.16</v>
      </c>
      <c r="AM26" s="39">
        <v>52.51</v>
      </c>
      <c r="AN26" s="39">
        <v>52.74</v>
      </c>
      <c r="AO26" s="39">
        <v>52.88</v>
      </c>
      <c r="AP26" s="39">
        <v>53.1</v>
      </c>
      <c r="AQ26" s="39">
        <v>53.3</v>
      </c>
      <c r="AR26" s="39">
        <v>53.57</v>
      </c>
      <c r="AS26" s="39">
        <v>53.64</v>
      </c>
      <c r="AT26" s="39">
        <v>53.77</v>
      </c>
      <c r="AU26" s="39">
        <v>53.86</v>
      </c>
      <c r="AV26" s="39">
        <v>53.99</v>
      </c>
      <c r="AW26" s="39">
        <v>54.3</v>
      </c>
      <c r="AX26" s="39">
        <v>54.51</v>
      </c>
      <c r="AY26" s="39">
        <v>54.61</v>
      </c>
      <c r="AZ26" s="39">
        <v>54.67</v>
      </c>
      <c r="BA26" s="39">
        <v>54.74</v>
      </c>
      <c r="BB26" s="39">
        <v>54.88</v>
      </c>
      <c r="BC26" s="39">
        <v>55.03</v>
      </c>
      <c r="BD26" s="39">
        <v>55.21</v>
      </c>
      <c r="BE26" s="39">
        <v>55.41</v>
      </c>
      <c r="BF26" s="39">
        <v>55.64</v>
      </c>
      <c r="BG26" s="39">
        <v>55.81</v>
      </c>
      <c r="BH26" s="39">
        <v>56.1</v>
      </c>
      <c r="BI26" s="39">
        <v>56.29</v>
      </c>
      <c r="BJ26" s="39">
        <v>56.56</v>
      </c>
      <c r="BK26" s="39">
        <v>56.76</v>
      </c>
      <c r="BL26" s="39">
        <v>57.04</v>
      </c>
      <c r="BM26" s="39">
        <v>57.29</v>
      </c>
      <c r="BN26" s="39">
        <v>57.53</v>
      </c>
      <c r="BO26" s="39">
        <v>57.75</v>
      </c>
      <c r="BP26" s="39">
        <v>57.97</v>
      </c>
      <c r="BQ26" s="39">
        <v>58.2</v>
      </c>
      <c r="BR26" s="39">
        <v>58.41</v>
      </c>
      <c r="BS26" s="39">
        <v>58.6</v>
      </c>
      <c r="BT26" s="40">
        <v>58.81</v>
      </c>
      <c r="BU26" s="39">
        <v>58.96</v>
      </c>
      <c r="BV26" s="39">
        <v>59.18</v>
      </c>
      <c r="BW26" s="39">
        <v>59.37</v>
      </c>
      <c r="BX26" s="39">
        <v>59.56</v>
      </c>
      <c r="BY26" s="39">
        <v>59.71</v>
      </c>
      <c r="BZ26" s="39">
        <v>59.9</v>
      </c>
      <c r="CA26" s="39">
        <v>60.07</v>
      </c>
      <c r="CB26" s="39">
        <v>60.22</v>
      </c>
      <c r="CC26" s="39">
        <v>60.4</v>
      </c>
      <c r="CD26" s="39">
        <v>60.57</v>
      </c>
      <c r="CE26" s="39">
        <v>60.76</v>
      </c>
      <c r="CF26" s="39">
        <v>60.92</v>
      </c>
      <c r="CG26" s="39">
        <v>61.1</v>
      </c>
      <c r="CH26" s="39">
        <v>61.26</v>
      </c>
      <c r="CI26" s="39">
        <v>61.45</v>
      </c>
      <c r="CJ26" s="39">
        <v>61.61</v>
      </c>
      <c r="CK26" s="39">
        <v>61.78</v>
      </c>
      <c r="CL26" s="39">
        <v>61.96</v>
      </c>
      <c r="CM26" s="39">
        <v>62.13</v>
      </c>
      <c r="CN26" s="39">
        <v>62.29</v>
      </c>
      <c r="CO26" s="39">
        <v>62.45</v>
      </c>
      <c r="CP26" s="39">
        <v>62.61</v>
      </c>
      <c r="CQ26" s="39">
        <v>62.78</v>
      </c>
      <c r="CR26" s="39">
        <v>62.93</v>
      </c>
      <c r="CS26" s="39">
        <v>63.09</v>
      </c>
      <c r="CT26" s="39">
        <v>63.25</v>
      </c>
      <c r="CU26" s="39">
        <v>63.41</v>
      </c>
      <c r="CV26" s="39">
        <v>63.56</v>
      </c>
      <c r="CW26" s="39">
        <v>63.71</v>
      </c>
      <c r="CX26" s="39">
        <v>63.87</v>
      </c>
      <c r="CY26" s="39">
        <v>64.02</v>
      </c>
      <c r="CZ26" s="39">
        <v>64.17</v>
      </c>
      <c r="DA26" s="39">
        <v>64.31</v>
      </c>
      <c r="DB26" s="39">
        <v>64.459999999999994</v>
      </c>
      <c r="DC26" s="39">
        <v>64.61</v>
      </c>
      <c r="DD26" s="39">
        <v>64.75</v>
      </c>
      <c r="DE26" s="39">
        <v>64.89</v>
      </c>
      <c r="DF26" s="39">
        <v>65.03</v>
      </c>
      <c r="DG26" s="39">
        <v>65.180000000000007</v>
      </c>
      <c r="DH26" s="39">
        <v>65.31</v>
      </c>
      <c r="DI26" s="39">
        <v>65.45</v>
      </c>
      <c r="DJ26" s="39">
        <v>65.59</v>
      </c>
      <c r="DK26" s="39">
        <v>65.73</v>
      </c>
      <c r="DL26" s="39">
        <v>65.86</v>
      </c>
      <c r="DM26" s="39">
        <v>65.989999999999995</v>
      </c>
      <c r="DN26" s="39">
        <v>66.13</v>
      </c>
      <c r="DO26" s="39">
        <v>66.260000000000005</v>
      </c>
      <c r="DP26" s="39">
        <v>66.39</v>
      </c>
      <c r="DQ26" s="39">
        <v>66.52</v>
      </c>
      <c r="DR26" s="39">
        <v>66.64</v>
      </c>
    </row>
    <row r="27" spans="1:122">
      <c r="A27" s="37">
        <v>25</v>
      </c>
      <c r="B27" s="38"/>
      <c r="C27" s="38"/>
      <c r="D27" s="38"/>
      <c r="E27" s="38"/>
      <c r="F27" s="38"/>
      <c r="G27" s="38"/>
      <c r="H27" s="38"/>
      <c r="I27" s="38"/>
      <c r="J27" s="38"/>
      <c r="K27" s="38"/>
      <c r="L27" s="38"/>
      <c r="M27" s="38"/>
      <c r="N27" s="38"/>
      <c r="O27" s="38"/>
      <c r="P27" s="38"/>
      <c r="Q27" s="38"/>
      <c r="R27" s="38"/>
      <c r="S27" s="38"/>
      <c r="T27" s="38"/>
      <c r="U27" s="38"/>
      <c r="V27" s="39"/>
      <c r="W27" s="39">
        <v>47.87</v>
      </c>
      <c r="X27" s="39">
        <v>48.24</v>
      </c>
      <c r="Y27" s="39">
        <v>48.43</v>
      </c>
      <c r="Z27" s="39">
        <v>48.71</v>
      </c>
      <c r="AA27" s="39">
        <v>48.94</v>
      </c>
      <c r="AB27" s="39">
        <v>49.11</v>
      </c>
      <c r="AC27" s="39">
        <v>49.14</v>
      </c>
      <c r="AD27" s="39">
        <v>49.08</v>
      </c>
      <c r="AE27" s="39">
        <v>49.17</v>
      </c>
      <c r="AF27" s="39">
        <v>49.38</v>
      </c>
      <c r="AG27" s="39">
        <v>49.63</v>
      </c>
      <c r="AH27" s="39">
        <v>49.95</v>
      </c>
      <c r="AI27" s="39">
        <v>50.23</v>
      </c>
      <c r="AJ27" s="39">
        <v>50.57</v>
      </c>
      <c r="AK27" s="39">
        <v>50.87</v>
      </c>
      <c r="AL27" s="39">
        <v>51.24</v>
      </c>
      <c r="AM27" s="39">
        <v>51.59</v>
      </c>
      <c r="AN27" s="39">
        <v>51.82</v>
      </c>
      <c r="AO27" s="39">
        <v>51.97</v>
      </c>
      <c r="AP27" s="39">
        <v>52.19</v>
      </c>
      <c r="AQ27" s="39">
        <v>52.38</v>
      </c>
      <c r="AR27" s="39">
        <v>52.66</v>
      </c>
      <c r="AS27" s="39">
        <v>52.71</v>
      </c>
      <c r="AT27" s="39">
        <v>52.85</v>
      </c>
      <c r="AU27" s="39">
        <v>52.95</v>
      </c>
      <c r="AV27" s="39">
        <v>53.08</v>
      </c>
      <c r="AW27" s="39">
        <v>53.39</v>
      </c>
      <c r="AX27" s="39">
        <v>53.59</v>
      </c>
      <c r="AY27" s="39">
        <v>53.69</v>
      </c>
      <c r="AZ27" s="39">
        <v>53.74</v>
      </c>
      <c r="BA27" s="39">
        <v>53.82</v>
      </c>
      <c r="BB27" s="39">
        <v>53.96</v>
      </c>
      <c r="BC27" s="39">
        <v>54.11</v>
      </c>
      <c r="BD27" s="39">
        <v>54.28</v>
      </c>
      <c r="BE27" s="39">
        <v>54.49</v>
      </c>
      <c r="BF27" s="39">
        <v>54.71</v>
      </c>
      <c r="BG27" s="39">
        <v>54.88</v>
      </c>
      <c r="BH27" s="39">
        <v>55.17</v>
      </c>
      <c r="BI27" s="39">
        <v>55.35</v>
      </c>
      <c r="BJ27" s="39">
        <v>55.62</v>
      </c>
      <c r="BK27" s="39">
        <v>55.82</v>
      </c>
      <c r="BL27" s="39">
        <v>56.1</v>
      </c>
      <c r="BM27" s="39">
        <v>56.35</v>
      </c>
      <c r="BN27" s="39">
        <v>56.59</v>
      </c>
      <c r="BO27" s="39">
        <v>56.81</v>
      </c>
      <c r="BP27" s="39">
        <v>57.03</v>
      </c>
      <c r="BQ27" s="39">
        <v>57.25</v>
      </c>
      <c r="BR27" s="39">
        <v>57.47</v>
      </c>
      <c r="BS27" s="39">
        <v>57.66</v>
      </c>
      <c r="BT27" s="40">
        <v>57.87</v>
      </c>
      <c r="BU27" s="39">
        <v>58.02</v>
      </c>
      <c r="BV27" s="39">
        <v>58.23</v>
      </c>
      <c r="BW27" s="39">
        <v>58.42</v>
      </c>
      <c r="BX27" s="39">
        <v>58.61</v>
      </c>
      <c r="BY27" s="39">
        <v>58.76</v>
      </c>
      <c r="BZ27" s="39">
        <v>58.94</v>
      </c>
      <c r="CA27" s="39">
        <v>59.11</v>
      </c>
      <c r="CB27" s="39">
        <v>59.26</v>
      </c>
      <c r="CC27" s="39">
        <v>59.45</v>
      </c>
      <c r="CD27" s="39">
        <v>59.61</v>
      </c>
      <c r="CE27" s="39">
        <v>59.79</v>
      </c>
      <c r="CF27" s="39">
        <v>59.95</v>
      </c>
      <c r="CG27" s="39">
        <v>60.13</v>
      </c>
      <c r="CH27" s="39">
        <v>60.3</v>
      </c>
      <c r="CI27" s="39">
        <v>60.48</v>
      </c>
      <c r="CJ27" s="39">
        <v>60.65</v>
      </c>
      <c r="CK27" s="39">
        <v>60.82</v>
      </c>
      <c r="CL27" s="39">
        <v>60.99</v>
      </c>
      <c r="CM27" s="39">
        <v>61.16</v>
      </c>
      <c r="CN27" s="39">
        <v>61.32</v>
      </c>
      <c r="CO27" s="39">
        <v>61.48</v>
      </c>
      <c r="CP27" s="39">
        <v>61.64</v>
      </c>
      <c r="CQ27" s="39">
        <v>61.8</v>
      </c>
      <c r="CR27" s="39">
        <v>61.96</v>
      </c>
      <c r="CS27" s="39">
        <v>62.12</v>
      </c>
      <c r="CT27" s="39">
        <v>62.28</v>
      </c>
      <c r="CU27" s="39">
        <v>62.43</v>
      </c>
      <c r="CV27" s="39">
        <v>62.58</v>
      </c>
      <c r="CW27" s="39">
        <v>62.74</v>
      </c>
      <c r="CX27" s="39">
        <v>62.89</v>
      </c>
      <c r="CY27" s="39">
        <v>63.04</v>
      </c>
      <c r="CZ27" s="39">
        <v>63.19</v>
      </c>
      <c r="DA27" s="39">
        <v>63.33</v>
      </c>
      <c r="DB27" s="39">
        <v>63.48</v>
      </c>
      <c r="DC27" s="39">
        <v>63.63</v>
      </c>
      <c r="DD27" s="39">
        <v>63.77</v>
      </c>
      <c r="DE27" s="39">
        <v>63.91</v>
      </c>
      <c r="DF27" s="39">
        <v>64.05</v>
      </c>
      <c r="DG27" s="39">
        <v>64.19</v>
      </c>
      <c r="DH27" s="39">
        <v>64.33</v>
      </c>
      <c r="DI27" s="39">
        <v>64.47</v>
      </c>
      <c r="DJ27" s="39">
        <v>64.61</v>
      </c>
      <c r="DK27" s="39">
        <v>64.739999999999995</v>
      </c>
      <c r="DL27" s="39">
        <v>64.88</v>
      </c>
      <c r="DM27" s="39">
        <v>65.010000000000005</v>
      </c>
      <c r="DN27" s="39">
        <v>65.14</v>
      </c>
      <c r="DO27" s="39">
        <v>65.27</v>
      </c>
      <c r="DP27" s="39">
        <v>65.400000000000006</v>
      </c>
      <c r="DQ27" s="39">
        <v>65.53</v>
      </c>
      <c r="DR27" s="39">
        <v>65.66</v>
      </c>
    </row>
    <row r="28" spans="1:122">
      <c r="A28" s="37">
        <v>26</v>
      </c>
      <c r="B28" s="38"/>
      <c r="C28" s="38"/>
      <c r="D28" s="38"/>
      <c r="E28" s="38"/>
      <c r="F28" s="38"/>
      <c r="G28" s="38"/>
      <c r="H28" s="38"/>
      <c r="I28" s="38"/>
      <c r="J28" s="38"/>
      <c r="K28" s="38"/>
      <c r="L28" s="38"/>
      <c r="M28" s="38"/>
      <c r="N28" s="38"/>
      <c r="O28" s="38"/>
      <c r="P28" s="38"/>
      <c r="Q28" s="38"/>
      <c r="R28" s="38"/>
      <c r="S28" s="38"/>
      <c r="T28" s="38"/>
      <c r="U28" s="38"/>
      <c r="V28" s="39"/>
      <c r="W28" s="39">
        <v>47.09</v>
      </c>
      <c r="X28" s="39">
        <v>47.45</v>
      </c>
      <c r="Y28" s="39">
        <v>47.57</v>
      </c>
      <c r="Z28" s="39">
        <v>47.82</v>
      </c>
      <c r="AA28" s="39">
        <v>48.05</v>
      </c>
      <c r="AB28" s="39">
        <v>48.22</v>
      </c>
      <c r="AC28" s="39">
        <v>48.23</v>
      </c>
      <c r="AD28" s="39">
        <v>48.17</v>
      </c>
      <c r="AE28" s="39">
        <v>48.25</v>
      </c>
      <c r="AF28" s="39">
        <v>48.47</v>
      </c>
      <c r="AG28" s="39">
        <v>48.72</v>
      </c>
      <c r="AH28" s="39">
        <v>49.03</v>
      </c>
      <c r="AI28" s="39">
        <v>49.32</v>
      </c>
      <c r="AJ28" s="39">
        <v>49.65</v>
      </c>
      <c r="AK28" s="39">
        <v>49.95</v>
      </c>
      <c r="AL28" s="39">
        <v>50.33</v>
      </c>
      <c r="AM28" s="39">
        <v>50.67</v>
      </c>
      <c r="AN28" s="39">
        <v>50.9</v>
      </c>
      <c r="AO28" s="39">
        <v>51.05</v>
      </c>
      <c r="AP28" s="39">
        <v>51.27</v>
      </c>
      <c r="AQ28" s="39">
        <v>51.46</v>
      </c>
      <c r="AR28" s="39">
        <v>51.74</v>
      </c>
      <c r="AS28" s="39">
        <v>51.79</v>
      </c>
      <c r="AT28" s="39">
        <v>51.92</v>
      </c>
      <c r="AU28" s="39">
        <v>52.03</v>
      </c>
      <c r="AV28" s="39">
        <v>52.16</v>
      </c>
      <c r="AW28" s="39">
        <v>52.48</v>
      </c>
      <c r="AX28" s="39">
        <v>52.66</v>
      </c>
      <c r="AY28" s="39">
        <v>52.76</v>
      </c>
      <c r="AZ28" s="39">
        <v>52.8</v>
      </c>
      <c r="BA28" s="39">
        <v>52.9</v>
      </c>
      <c r="BB28" s="39">
        <v>53.03</v>
      </c>
      <c r="BC28" s="39">
        <v>53.19</v>
      </c>
      <c r="BD28" s="39">
        <v>53.36</v>
      </c>
      <c r="BE28" s="39">
        <v>53.56</v>
      </c>
      <c r="BF28" s="39">
        <v>53.78</v>
      </c>
      <c r="BG28" s="39">
        <v>53.95</v>
      </c>
      <c r="BH28" s="39">
        <v>54.23</v>
      </c>
      <c r="BI28" s="39">
        <v>54.41</v>
      </c>
      <c r="BJ28" s="39">
        <v>54.68</v>
      </c>
      <c r="BK28" s="39">
        <v>54.88</v>
      </c>
      <c r="BL28" s="39">
        <v>55.16</v>
      </c>
      <c r="BM28" s="39">
        <v>55.41</v>
      </c>
      <c r="BN28" s="39">
        <v>55.65</v>
      </c>
      <c r="BO28" s="39">
        <v>55.87</v>
      </c>
      <c r="BP28" s="39">
        <v>56.1</v>
      </c>
      <c r="BQ28" s="39">
        <v>56.32</v>
      </c>
      <c r="BR28" s="39">
        <v>56.53</v>
      </c>
      <c r="BS28" s="39">
        <v>56.72</v>
      </c>
      <c r="BT28" s="40">
        <v>56.92</v>
      </c>
      <c r="BU28" s="39">
        <v>57.07</v>
      </c>
      <c r="BV28" s="39">
        <v>57.28</v>
      </c>
      <c r="BW28" s="39">
        <v>57.47</v>
      </c>
      <c r="BX28" s="39">
        <v>57.66</v>
      </c>
      <c r="BY28" s="39">
        <v>57.81</v>
      </c>
      <c r="BZ28" s="39">
        <v>57.99</v>
      </c>
      <c r="CA28" s="39">
        <v>58.16</v>
      </c>
      <c r="CB28" s="39">
        <v>58.31</v>
      </c>
      <c r="CC28" s="39">
        <v>58.48</v>
      </c>
      <c r="CD28" s="39">
        <v>58.65</v>
      </c>
      <c r="CE28" s="39">
        <v>58.83</v>
      </c>
      <c r="CF28" s="39">
        <v>58.99</v>
      </c>
      <c r="CG28" s="39">
        <v>59.16</v>
      </c>
      <c r="CH28" s="39">
        <v>59.33</v>
      </c>
      <c r="CI28" s="39">
        <v>59.51</v>
      </c>
      <c r="CJ28" s="39">
        <v>59.68</v>
      </c>
      <c r="CK28" s="39">
        <v>59.85</v>
      </c>
      <c r="CL28" s="39">
        <v>60.02</v>
      </c>
      <c r="CM28" s="39">
        <v>60.19</v>
      </c>
      <c r="CN28" s="39">
        <v>60.35</v>
      </c>
      <c r="CO28" s="39">
        <v>60.51</v>
      </c>
      <c r="CP28" s="39">
        <v>60.67</v>
      </c>
      <c r="CQ28" s="39">
        <v>60.83</v>
      </c>
      <c r="CR28" s="39">
        <v>60.99</v>
      </c>
      <c r="CS28" s="39">
        <v>61.14</v>
      </c>
      <c r="CT28" s="39">
        <v>61.3</v>
      </c>
      <c r="CU28" s="39">
        <v>61.45</v>
      </c>
      <c r="CV28" s="39">
        <v>61.61</v>
      </c>
      <c r="CW28" s="39">
        <v>61.76</v>
      </c>
      <c r="CX28" s="39">
        <v>61.91</v>
      </c>
      <c r="CY28" s="39">
        <v>62.06</v>
      </c>
      <c r="CZ28" s="39">
        <v>62.21</v>
      </c>
      <c r="DA28" s="39">
        <v>62.35</v>
      </c>
      <c r="DB28" s="39">
        <v>62.5</v>
      </c>
      <c r="DC28" s="39">
        <v>62.64</v>
      </c>
      <c r="DD28" s="39">
        <v>62.79</v>
      </c>
      <c r="DE28" s="39">
        <v>62.93</v>
      </c>
      <c r="DF28" s="39">
        <v>63.07</v>
      </c>
      <c r="DG28" s="39">
        <v>63.21</v>
      </c>
      <c r="DH28" s="39">
        <v>63.35</v>
      </c>
      <c r="DI28" s="39">
        <v>63.49</v>
      </c>
      <c r="DJ28" s="39">
        <v>63.62</v>
      </c>
      <c r="DK28" s="39">
        <v>63.76</v>
      </c>
      <c r="DL28" s="39">
        <v>63.89</v>
      </c>
      <c r="DM28" s="39">
        <v>64.02</v>
      </c>
      <c r="DN28" s="39">
        <v>64.16</v>
      </c>
      <c r="DO28" s="39">
        <v>64.290000000000006</v>
      </c>
      <c r="DP28" s="39">
        <v>64.42</v>
      </c>
      <c r="DQ28" s="39">
        <v>64.540000000000006</v>
      </c>
      <c r="DR28" s="39">
        <v>64.67</v>
      </c>
    </row>
    <row r="29" spans="1:122">
      <c r="A29" s="37">
        <v>27</v>
      </c>
      <c r="B29" s="38"/>
      <c r="C29" s="38"/>
      <c r="D29" s="38"/>
      <c r="E29" s="38"/>
      <c r="F29" s="38"/>
      <c r="G29" s="38"/>
      <c r="H29" s="38"/>
      <c r="I29" s="38"/>
      <c r="J29" s="38"/>
      <c r="K29" s="38"/>
      <c r="L29" s="38"/>
      <c r="M29" s="38"/>
      <c r="N29" s="38"/>
      <c r="O29" s="38"/>
      <c r="P29" s="38"/>
      <c r="Q29" s="38"/>
      <c r="R29" s="38"/>
      <c r="S29" s="38"/>
      <c r="T29" s="38"/>
      <c r="U29" s="38"/>
      <c r="V29" s="39"/>
      <c r="W29" s="39">
        <v>46.29</v>
      </c>
      <c r="X29" s="39">
        <v>46.59</v>
      </c>
      <c r="Y29" s="39">
        <v>46.68</v>
      </c>
      <c r="Z29" s="39">
        <v>46.92</v>
      </c>
      <c r="AA29" s="39">
        <v>47.16</v>
      </c>
      <c r="AB29" s="39">
        <v>47.31</v>
      </c>
      <c r="AC29" s="39">
        <v>47.32</v>
      </c>
      <c r="AD29" s="39">
        <v>47.26</v>
      </c>
      <c r="AE29" s="39">
        <v>47.34</v>
      </c>
      <c r="AF29" s="39">
        <v>47.56</v>
      </c>
      <c r="AG29" s="39">
        <v>47.81</v>
      </c>
      <c r="AH29" s="39">
        <v>48.11</v>
      </c>
      <c r="AI29" s="39">
        <v>48.4</v>
      </c>
      <c r="AJ29" s="39">
        <v>48.73</v>
      </c>
      <c r="AK29" s="39">
        <v>49.03</v>
      </c>
      <c r="AL29" s="39">
        <v>49.4</v>
      </c>
      <c r="AM29" s="39">
        <v>49.75</v>
      </c>
      <c r="AN29" s="39">
        <v>49.98</v>
      </c>
      <c r="AO29" s="39">
        <v>50.13</v>
      </c>
      <c r="AP29" s="39">
        <v>50.35</v>
      </c>
      <c r="AQ29" s="39">
        <v>50.53</v>
      </c>
      <c r="AR29" s="39">
        <v>50.81</v>
      </c>
      <c r="AS29" s="39">
        <v>50.87</v>
      </c>
      <c r="AT29" s="39">
        <v>51</v>
      </c>
      <c r="AU29" s="39">
        <v>51.12</v>
      </c>
      <c r="AV29" s="39">
        <v>51.24</v>
      </c>
      <c r="AW29" s="39">
        <v>51.54</v>
      </c>
      <c r="AX29" s="39">
        <v>51.73</v>
      </c>
      <c r="AY29" s="39">
        <v>51.82</v>
      </c>
      <c r="AZ29" s="39">
        <v>51.88</v>
      </c>
      <c r="BA29" s="39">
        <v>51.97</v>
      </c>
      <c r="BB29" s="39">
        <v>52.1</v>
      </c>
      <c r="BC29" s="39">
        <v>52.25</v>
      </c>
      <c r="BD29" s="39">
        <v>52.43</v>
      </c>
      <c r="BE29" s="39">
        <v>52.62</v>
      </c>
      <c r="BF29" s="39">
        <v>52.85</v>
      </c>
      <c r="BG29" s="39">
        <v>53</v>
      </c>
      <c r="BH29" s="39">
        <v>53.29</v>
      </c>
      <c r="BI29" s="39">
        <v>53.47</v>
      </c>
      <c r="BJ29" s="39">
        <v>53.74</v>
      </c>
      <c r="BK29" s="39">
        <v>53.94</v>
      </c>
      <c r="BL29" s="39">
        <v>54.21</v>
      </c>
      <c r="BM29" s="39">
        <v>54.46</v>
      </c>
      <c r="BN29" s="39">
        <v>54.71</v>
      </c>
      <c r="BO29" s="39">
        <v>54.93</v>
      </c>
      <c r="BP29" s="39">
        <v>55.15</v>
      </c>
      <c r="BQ29" s="39">
        <v>55.37</v>
      </c>
      <c r="BR29" s="39">
        <v>55.58</v>
      </c>
      <c r="BS29" s="39">
        <v>55.77</v>
      </c>
      <c r="BT29" s="40">
        <v>55.97</v>
      </c>
      <c r="BU29" s="39">
        <v>56.12</v>
      </c>
      <c r="BV29" s="39">
        <v>56.33</v>
      </c>
      <c r="BW29" s="39">
        <v>56.51</v>
      </c>
      <c r="BX29" s="39">
        <v>56.7</v>
      </c>
      <c r="BY29" s="39">
        <v>56.85</v>
      </c>
      <c r="BZ29" s="39">
        <v>57.03</v>
      </c>
      <c r="CA29" s="39">
        <v>57.2</v>
      </c>
      <c r="CB29" s="39">
        <v>57.35</v>
      </c>
      <c r="CC29" s="39">
        <v>57.52</v>
      </c>
      <c r="CD29" s="39">
        <v>57.69</v>
      </c>
      <c r="CE29" s="39">
        <v>57.87</v>
      </c>
      <c r="CF29" s="39">
        <v>58.02</v>
      </c>
      <c r="CG29" s="39">
        <v>58.2</v>
      </c>
      <c r="CH29" s="39">
        <v>58.36</v>
      </c>
      <c r="CI29" s="39">
        <v>58.55</v>
      </c>
      <c r="CJ29" s="39">
        <v>58.71</v>
      </c>
      <c r="CK29" s="39">
        <v>58.88</v>
      </c>
      <c r="CL29" s="39">
        <v>59.05</v>
      </c>
      <c r="CM29" s="39">
        <v>59.21</v>
      </c>
      <c r="CN29" s="39">
        <v>59.37</v>
      </c>
      <c r="CO29" s="39">
        <v>59.54</v>
      </c>
      <c r="CP29" s="39">
        <v>59.7</v>
      </c>
      <c r="CQ29" s="39">
        <v>59.85</v>
      </c>
      <c r="CR29" s="39">
        <v>60.01</v>
      </c>
      <c r="CS29" s="39">
        <v>60.17</v>
      </c>
      <c r="CT29" s="39">
        <v>60.32</v>
      </c>
      <c r="CU29" s="39">
        <v>60.48</v>
      </c>
      <c r="CV29" s="39">
        <v>60.63</v>
      </c>
      <c r="CW29" s="39">
        <v>60.78</v>
      </c>
      <c r="CX29" s="39">
        <v>60.93</v>
      </c>
      <c r="CY29" s="39">
        <v>61.08</v>
      </c>
      <c r="CZ29" s="39">
        <v>61.23</v>
      </c>
      <c r="DA29" s="39">
        <v>61.37</v>
      </c>
      <c r="DB29" s="39">
        <v>61.52</v>
      </c>
      <c r="DC29" s="39">
        <v>61.66</v>
      </c>
      <c r="DD29" s="39">
        <v>61.81</v>
      </c>
      <c r="DE29" s="39">
        <v>61.95</v>
      </c>
      <c r="DF29" s="39">
        <v>62.09</v>
      </c>
      <c r="DG29" s="39">
        <v>62.23</v>
      </c>
      <c r="DH29" s="39">
        <v>62.37</v>
      </c>
      <c r="DI29" s="39">
        <v>62.5</v>
      </c>
      <c r="DJ29" s="39">
        <v>62.64</v>
      </c>
      <c r="DK29" s="39">
        <v>62.77</v>
      </c>
      <c r="DL29" s="39">
        <v>62.91</v>
      </c>
      <c r="DM29" s="39">
        <v>63.04</v>
      </c>
      <c r="DN29" s="39">
        <v>63.17</v>
      </c>
      <c r="DO29" s="39">
        <v>63.3</v>
      </c>
      <c r="DP29" s="39">
        <v>63.43</v>
      </c>
      <c r="DQ29" s="39">
        <v>63.56</v>
      </c>
      <c r="DR29" s="39">
        <v>63.68</v>
      </c>
    </row>
    <row r="30" spans="1:122">
      <c r="A30" s="37">
        <v>28</v>
      </c>
      <c r="B30" s="38"/>
      <c r="C30" s="38"/>
      <c r="D30" s="38"/>
      <c r="E30" s="38"/>
      <c r="F30" s="38"/>
      <c r="G30" s="38"/>
      <c r="H30" s="38"/>
      <c r="I30" s="38"/>
      <c r="J30" s="38"/>
      <c r="K30" s="38"/>
      <c r="L30" s="38"/>
      <c r="M30" s="38"/>
      <c r="N30" s="38"/>
      <c r="O30" s="38"/>
      <c r="P30" s="38"/>
      <c r="Q30" s="38"/>
      <c r="R30" s="38"/>
      <c r="S30" s="38"/>
      <c r="T30" s="38"/>
      <c r="U30" s="38"/>
      <c r="V30" s="39"/>
      <c r="W30" s="39">
        <v>45.44</v>
      </c>
      <c r="X30" s="39">
        <v>45.69</v>
      </c>
      <c r="Y30" s="39">
        <v>45.78</v>
      </c>
      <c r="Z30" s="39">
        <v>46.03</v>
      </c>
      <c r="AA30" s="39">
        <v>46.24</v>
      </c>
      <c r="AB30" s="39">
        <v>46.39</v>
      </c>
      <c r="AC30" s="39">
        <v>46.4</v>
      </c>
      <c r="AD30" s="39">
        <v>46.34</v>
      </c>
      <c r="AE30" s="39">
        <v>46.43</v>
      </c>
      <c r="AF30" s="39">
        <v>46.64</v>
      </c>
      <c r="AG30" s="39">
        <v>46.89</v>
      </c>
      <c r="AH30" s="39">
        <v>47.2</v>
      </c>
      <c r="AI30" s="39">
        <v>47.48</v>
      </c>
      <c r="AJ30" s="39">
        <v>47.81</v>
      </c>
      <c r="AK30" s="39">
        <v>48.11</v>
      </c>
      <c r="AL30" s="39">
        <v>48.48</v>
      </c>
      <c r="AM30" s="39">
        <v>48.83</v>
      </c>
      <c r="AN30" s="39">
        <v>49.05</v>
      </c>
      <c r="AO30" s="39">
        <v>49.21</v>
      </c>
      <c r="AP30" s="39">
        <v>49.42</v>
      </c>
      <c r="AQ30" s="39">
        <v>49.61</v>
      </c>
      <c r="AR30" s="39">
        <v>49.89</v>
      </c>
      <c r="AS30" s="39">
        <v>49.95</v>
      </c>
      <c r="AT30" s="39">
        <v>50.08</v>
      </c>
      <c r="AU30" s="39">
        <v>50.19</v>
      </c>
      <c r="AV30" s="39">
        <v>50.31</v>
      </c>
      <c r="AW30" s="39">
        <v>50.61</v>
      </c>
      <c r="AX30" s="39">
        <v>50.79</v>
      </c>
      <c r="AY30" s="39">
        <v>50.89</v>
      </c>
      <c r="AZ30" s="39">
        <v>50.95</v>
      </c>
      <c r="BA30" s="39">
        <v>51.04</v>
      </c>
      <c r="BB30" s="39">
        <v>51.17</v>
      </c>
      <c r="BC30" s="39">
        <v>51.31</v>
      </c>
      <c r="BD30" s="39">
        <v>51.49</v>
      </c>
      <c r="BE30" s="39">
        <v>51.69</v>
      </c>
      <c r="BF30" s="39">
        <v>51.91</v>
      </c>
      <c r="BG30" s="39">
        <v>52.06</v>
      </c>
      <c r="BH30" s="39">
        <v>52.34</v>
      </c>
      <c r="BI30" s="39">
        <v>52.53</v>
      </c>
      <c r="BJ30" s="39">
        <v>52.79</v>
      </c>
      <c r="BK30" s="39">
        <v>52.99</v>
      </c>
      <c r="BL30" s="39">
        <v>53.27</v>
      </c>
      <c r="BM30" s="39">
        <v>53.53</v>
      </c>
      <c r="BN30" s="39">
        <v>53.77</v>
      </c>
      <c r="BO30" s="39">
        <v>53.99</v>
      </c>
      <c r="BP30" s="39">
        <v>54.21</v>
      </c>
      <c r="BQ30" s="39">
        <v>54.42</v>
      </c>
      <c r="BR30" s="39">
        <v>54.63</v>
      </c>
      <c r="BS30" s="39">
        <v>54.82</v>
      </c>
      <c r="BT30" s="40">
        <v>55.02</v>
      </c>
      <c r="BU30" s="39">
        <v>55.16</v>
      </c>
      <c r="BV30" s="39">
        <v>55.38</v>
      </c>
      <c r="BW30" s="39">
        <v>55.56</v>
      </c>
      <c r="BX30" s="39">
        <v>55.74</v>
      </c>
      <c r="BY30" s="39">
        <v>55.89</v>
      </c>
      <c r="BZ30" s="39">
        <v>56.07</v>
      </c>
      <c r="CA30" s="39">
        <v>56.24</v>
      </c>
      <c r="CB30" s="39">
        <v>56.38</v>
      </c>
      <c r="CC30" s="39">
        <v>56.55</v>
      </c>
      <c r="CD30" s="39">
        <v>56.72</v>
      </c>
      <c r="CE30" s="39">
        <v>56.9</v>
      </c>
      <c r="CF30" s="39">
        <v>57.06</v>
      </c>
      <c r="CG30" s="39">
        <v>57.24</v>
      </c>
      <c r="CH30" s="39">
        <v>57.4</v>
      </c>
      <c r="CI30" s="39">
        <v>57.57</v>
      </c>
      <c r="CJ30" s="39">
        <v>57.74</v>
      </c>
      <c r="CK30" s="39">
        <v>57.91</v>
      </c>
      <c r="CL30" s="39">
        <v>58.08</v>
      </c>
      <c r="CM30" s="39">
        <v>58.24</v>
      </c>
      <c r="CN30" s="39">
        <v>58.4</v>
      </c>
      <c r="CO30" s="39">
        <v>58.56</v>
      </c>
      <c r="CP30" s="39">
        <v>58.72</v>
      </c>
      <c r="CQ30" s="39">
        <v>58.88</v>
      </c>
      <c r="CR30" s="39">
        <v>59.04</v>
      </c>
      <c r="CS30" s="39">
        <v>59.19</v>
      </c>
      <c r="CT30" s="39">
        <v>59.35</v>
      </c>
      <c r="CU30" s="39">
        <v>59.5</v>
      </c>
      <c r="CV30" s="39">
        <v>59.65</v>
      </c>
      <c r="CW30" s="39">
        <v>59.8</v>
      </c>
      <c r="CX30" s="39">
        <v>59.95</v>
      </c>
      <c r="CY30" s="39">
        <v>60.1</v>
      </c>
      <c r="CZ30" s="39">
        <v>60.25</v>
      </c>
      <c r="DA30" s="39">
        <v>60.39</v>
      </c>
      <c r="DB30" s="39">
        <v>60.54</v>
      </c>
      <c r="DC30" s="39">
        <v>60.68</v>
      </c>
      <c r="DD30" s="39">
        <v>60.82</v>
      </c>
      <c r="DE30" s="39">
        <v>60.97</v>
      </c>
      <c r="DF30" s="39">
        <v>61.11</v>
      </c>
      <c r="DG30" s="39">
        <v>61.24</v>
      </c>
      <c r="DH30" s="39">
        <v>61.38</v>
      </c>
      <c r="DI30" s="39">
        <v>61.52</v>
      </c>
      <c r="DJ30" s="39">
        <v>61.65</v>
      </c>
      <c r="DK30" s="39">
        <v>61.79</v>
      </c>
      <c r="DL30" s="39">
        <v>61.92</v>
      </c>
      <c r="DM30" s="39">
        <v>62.05</v>
      </c>
      <c r="DN30" s="39">
        <v>62.18</v>
      </c>
      <c r="DO30" s="39">
        <v>62.31</v>
      </c>
      <c r="DP30" s="39">
        <v>62.44</v>
      </c>
      <c r="DQ30" s="39">
        <v>62.57</v>
      </c>
      <c r="DR30" s="39">
        <v>62.7</v>
      </c>
    </row>
    <row r="31" spans="1:122">
      <c r="A31" s="37">
        <v>29</v>
      </c>
      <c r="B31" s="38"/>
      <c r="C31" s="38"/>
      <c r="D31" s="38"/>
      <c r="E31" s="38"/>
      <c r="F31" s="38"/>
      <c r="G31" s="38"/>
      <c r="H31" s="38"/>
      <c r="I31" s="38"/>
      <c r="J31" s="38"/>
      <c r="K31" s="38"/>
      <c r="L31" s="38"/>
      <c r="M31" s="38"/>
      <c r="N31" s="38"/>
      <c r="O31" s="38"/>
      <c r="P31" s="38"/>
      <c r="Q31" s="38"/>
      <c r="R31" s="38"/>
      <c r="S31" s="38"/>
      <c r="T31" s="38"/>
      <c r="U31" s="38"/>
      <c r="V31" s="39"/>
      <c r="W31" s="39">
        <v>44.54</v>
      </c>
      <c r="X31" s="39">
        <v>44.79</v>
      </c>
      <c r="Y31" s="39">
        <v>44.88</v>
      </c>
      <c r="Z31" s="39">
        <v>45.11</v>
      </c>
      <c r="AA31" s="39">
        <v>45.32</v>
      </c>
      <c r="AB31" s="39">
        <v>45.47</v>
      </c>
      <c r="AC31" s="39">
        <v>45.48</v>
      </c>
      <c r="AD31" s="39">
        <v>45.42</v>
      </c>
      <c r="AE31" s="39">
        <v>45.51</v>
      </c>
      <c r="AF31" s="39">
        <v>45.72</v>
      </c>
      <c r="AG31" s="39">
        <v>45.97</v>
      </c>
      <c r="AH31" s="39">
        <v>46.28</v>
      </c>
      <c r="AI31" s="39">
        <v>46.56</v>
      </c>
      <c r="AJ31" s="39">
        <v>46.88</v>
      </c>
      <c r="AK31" s="39">
        <v>47.18</v>
      </c>
      <c r="AL31" s="39">
        <v>47.55</v>
      </c>
      <c r="AM31" s="39">
        <v>47.9</v>
      </c>
      <c r="AN31" s="39">
        <v>48.13</v>
      </c>
      <c r="AO31" s="39">
        <v>48.29</v>
      </c>
      <c r="AP31" s="39">
        <v>48.49</v>
      </c>
      <c r="AQ31" s="39">
        <v>48.68</v>
      </c>
      <c r="AR31" s="39">
        <v>48.97</v>
      </c>
      <c r="AS31" s="39">
        <v>49.02</v>
      </c>
      <c r="AT31" s="39">
        <v>49.15</v>
      </c>
      <c r="AU31" s="39">
        <v>49.27</v>
      </c>
      <c r="AV31" s="39">
        <v>49.38</v>
      </c>
      <c r="AW31" s="39">
        <v>49.68</v>
      </c>
      <c r="AX31" s="39">
        <v>49.86</v>
      </c>
      <c r="AY31" s="39">
        <v>49.96</v>
      </c>
      <c r="AZ31" s="39">
        <v>50.02</v>
      </c>
      <c r="BA31" s="39">
        <v>50.11</v>
      </c>
      <c r="BB31" s="39">
        <v>50.24</v>
      </c>
      <c r="BC31" s="39">
        <v>50.38</v>
      </c>
      <c r="BD31" s="39">
        <v>50.56</v>
      </c>
      <c r="BE31" s="39">
        <v>50.75</v>
      </c>
      <c r="BF31" s="39">
        <v>50.97</v>
      </c>
      <c r="BG31" s="39">
        <v>51.12</v>
      </c>
      <c r="BH31" s="39">
        <v>51.4</v>
      </c>
      <c r="BI31" s="39">
        <v>51.58</v>
      </c>
      <c r="BJ31" s="39">
        <v>51.85</v>
      </c>
      <c r="BK31" s="39">
        <v>52.05</v>
      </c>
      <c r="BL31" s="39">
        <v>52.33</v>
      </c>
      <c r="BM31" s="39">
        <v>52.59</v>
      </c>
      <c r="BN31" s="39">
        <v>52.83</v>
      </c>
      <c r="BO31" s="39">
        <v>53.04</v>
      </c>
      <c r="BP31" s="39">
        <v>53.27</v>
      </c>
      <c r="BQ31" s="39">
        <v>53.48</v>
      </c>
      <c r="BR31" s="39">
        <v>53.69</v>
      </c>
      <c r="BS31" s="39">
        <v>53.87</v>
      </c>
      <c r="BT31" s="40">
        <v>54.07</v>
      </c>
      <c r="BU31" s="39">
        <v>54.21</v>
      </c>
      <c r="BV31" s="39">
        <v>54.42</v>
      </c>
      <c r="BW31" s="39">
        <v>54.6</v>
      </c>
      <c r="BX31" s="39">
        <v>54.78</v>
      </c>
      <c r="BY31" s="39">
        <v>54.94</v>
      </c>
      <c r="BZ31" s="39">
        <v>55.11</v>
      </c>
      <c r="CA31" s="39">
        <v>55.27</v>
      </c>
      <c r="CB31" s="39">
        <v>55.42</v>
      </c>
      <c r="CC31" s="39">
        <v>55.59</v>
      </c>
      <c r="CD31" s="39">
        <v>55.76</v>
      </c>
      <c r="CE31" s="39">
        <v>55.94</v>
      </c>
      <c r="CF31" s="39">
        <v>56.1</v>
      </c>
      <c r="CG31" s="39">
        <v>56.27</v>
      </c>
      <c r="CH31" s="39">
        <v>56.43</v>
      </c>
      <c r="CI31" s="39">
        <v>56.61</v>
      </c>
      <c r="CJ31" s="39">
        <v>56.77</v>
      </c>
      <c r="CK31" s="39">
        <v>56.94</v>
      </c>
      <c r="CL31" s="39">
        <v>57.1</v>
      </c>
      <c r="CM31" s="39">
        <v>57.27</v>
      </c>
      <c r="CN31" s="39">
        <v>57.43</v>
      </c>
      <c r="CO31" s="39">
        <v>57.59</v>
      </c>
      <c r="CP31" s="39">
        <v>57.75</v>
      </c>
      <c r="CQ31" s="39">
        <v>57.9</v>
      </c>
      <c r="CR31" s="39">
        <v>58.06</v>
      </c>
      <c r="CS31" s="39">
        <v>58.22</v>
      </c>
      <c r="CT31" s="39">
        <v>58.37</v>
      </c>
      <c r="CU31" s="39">
        <v>58.52</v>
      </c>
      <c r="CV31" s="39">
        <v>58.67</v>
      </c>
      <c r="CW31" s="39">
        <v>58.82</v>
      </c>
      <c r="CX31" s="39">
        <v>58.97</v>
      </c>
      <c r="CY31" s="39">
        <v>59.12</v>
      </c>
      <c r="CZ31" s="39">
        <v>59.27</v>
      </c>
      <c r="DA31" s="39">
        <v>59.41</v>
      </c>
      <c r="DB31" s="39">
        <v>59.56</v>
      </c>
      <c r="DC31" s="39">
        <v>59.7</v>
      </c>
      <c r="DD31" s="39">
        <v>59.84</v>
      </c>
      <c r="DE31" s="39">
        <v>59.98</v>
      </c>
      <c r="DF31" s="39">
        <v>60.12</v>
      </c>
      <c r="DG31" s="39">
        <v>60.26</v>
      </c>
      <c r="DH31" s="39">
        <v>60.4</v>
      </c>
      <c r="DI31" s="39">
        <v>60.53</v>
      </c>
      <c r="DJ31" s="39">
        <v>60.67</v>
      </c>
      <c r="DK31" s="39">
        <v>60.8</v>
      </c>
      <c r="DL31" s="39">
        <v>60.94</v>
      </c>
      <c r="DM31" s="39">
        <v>61.07</v>
      </c>
      <c r="DN31" s="39">
        <v>61.2</v>
      </c>
      <c r="DO31" s="39">
        <v>61.33</v>
      </c>
      <c r="DP31" s="39">
        <v>61.46</v>
      </c>
      <c r="DQ31" s="39">
        <v>61.58</v>
      </c>
      <c r="DR31" s="39">
        <v>61.71</v>
      </c>
    </row>
    <row r="32" spans="1:122">
      <c r="A32" s="37">
        <v>30</v>
      </c>
      <c r="B32" s="38"/>
      <c r="C32" s="38"/>
      <c r="D32" s="38"/>
      <c r="E32" s="38"/>
      <c r="F32" s="38"/>
      <c r="G32" s="38"/>
      <c r="H32" s="38"/>
      <c r="I32" s="38"/>
      <c r="J32" s="38"/>
      <c r="K32" s="38"/>
      <c r="L32" s="38"/>
      <c r="M32" s="38"/>
      <c r="N32" s="38"/>
      <c r="O32" s="38"/>
      <c r="P32" s="38"/>
      <c r="Q32" s="38"/>
      <c r="R32" s="38"/>
      <c r="S32" s="38"/>
      <c r="T32" s="38"/>
      <c r="U32" s="38"/>
      <c r="V32" s="39"/>
      <c r="W32" s="39">
        <v>43.64</v>
      </c>
      <c r="X32" s="39">
        <v>43.89</v>
      </c>
      <c r="Y32" s="39">
        <v>43.96</v>
      </c>
      <c r="Z32" s="39">
        <v>44.19</v>
      </c>
      <c r="AA32" s="39">
        <v>44.4</v>
      </c>
      <c r="AB32" s="39">
        <v>44.56</v>
      </c>
      <c r="AC32" s="39">
        <v>44.56</v>
      </c>
      <c r="AD32" s="39">
        <v>44.5</v>
      </c>
      <c r="AE32" s="39">
        <v>44.58</v>
      </c>
      <c r="AF32" s="39">
        <v>44.79</v>
      </c>
      <c r="AG32" s="39">
        <v>45.05</v>
      </c>
      <c r="AH32" s="39">
        <v>45.36</v>
      </c>
      <c r="AI32" s="39">
        <v>45.63</v>
      </c>
      <c r="AJ32" s="39">
        <v>45.95</v>
      </c>
      <c r="AK32" s="39">
        <v>46.25</v>
      </c>
      <c r="AL32" s="39">
        <v>46.62</v>
      </c>
      <c r="AM32" s="39">
        <v>46.97</v>
      </c>
      <c r="AN32" s="39">
        <v>47.21</v>
      </c>
      <c r="AO32" s="39">
        <v>47.36</v>
      </c>
      <c r="AP32" s="39">
        <v>47.57</v>
      </c>
      <c r="AQ32" s="39">
        <v>47.76</v>
      </c>
      <c r="AR32" s="39">
        <v>48.05</v>
      </c>
      <c r="AS32" s="39">
        <v>48.09</v>
      </c>
      <c r="AT32" s="39">
        <v>48.22</v>
      </c>
      <c r="AU32" s="39">
        <v>48.34</v>
      </c>
      <c r="AV32" s="39">
        <v>48.45</v>
      </c>
      <c r="AW32" s="39">
        <v>48.74</v>
      </c>
      <c r="AX32" s="39">
        <v>48.93</v>
      </c>
      <c r="AY32" s="39">
        <v>49.03</v>
      </c>
      <c r="AZ32" s="39">
        <v>49.09</v>
      </c>
      <c r="BA32" s="39">
        <v>49.18</v>
      </c>
      <c r="BB32" s="39">
        <v>49.3</v>
      </c>
      <c r="BC32" s="39">
        <v>49.45</v>
      </c>
      <c r="BD32" s="39">
        <v>49.62</v>
      </c>
      <c r="BE32" s="39">
        <v>49.81</v>
      </c>
      <c r="BF32" s="39">
        <v>50.03</v>
      </c>
      <c r="BG32" s="39">
        <v>50.18</v>
      </c>
      <c r="BH32" s="39">
        <v>50.46</v>
      </c>
      <c r="BI32" s="39">
        <v>50.64</v>
      </c>
      <c r="BJ32" s="39">
        <v>50.91</v>
      </c>
      <c r="BK32" s="39">
        <v>51.12</v>
      </c>
      <c r="BL32" s="39">
        <v>51.39</v>
      </c>
      <c r="BM32" s="39">
        <v>51.65</v>
      </c>
      <c r="BN32" s="39">
        <v>51.89</v>
      </c>
      <c r="BO32" s="39">
        <v>52.1</v>
      </c>
      <c r="BP32" s="39">
        <v>52.32</v>
      </c>
      <c r="BQ32" s="39">
        <v>52.53</v>
      </c>
      <c r="BR32" s="39">
        <v>52.74</v>
      </c>
      <c r="BS32" s="39">
        <v>52.91</v>
      </c>
      <c r="BT32" s="40">
        <v>53.11</v>
      </c>
      <c r="BU32" s="39">
        <v>53.25</v>
      </c>
      <c r="BV32" s="39">
        <v>53.46</v>
      </c>
      <c r="BW32" s="39">
        <v>53.64</v>
      </c>
      <c r="BX32" s="39">
        <v>53.82</v>
      </c>
      <c r="BY32" s="39">
        <v>53.97</v>
      </c>
      <c r="BZ32" s="39">
        <v>54.14</v>
      </c>
      <c r="CA32" s="39">
        <v>54.3</v>
      </c>
      <c r="CB32" s="39">
        <v>54.46</v>
      </c>
      <c r="CC32" s="39">
        <v>54.62</v>
      </c>
      <c r="CD32" s="39">
        <v>54.8</v>
      </c>
      <c r="CE32" s="39">
        <v>54.97</v>
      </c>
      <c r="CF32" s="39">
        <v>55.13</v>
      </c>
      <c r="CG32" s="39">
        <v>55.3</v>
      </c>
      <c r="CH32" s="39">
        <v>55.46</v>
      </c>
      <c r="CI32" s="39">
        <v>55.64</v>
      </c>
      <c r="CJ32" s="39">
        <v>55.81</v>
      </c>
      <c r="CK32" s="39">
        <v>55.97</v>
      </c>
      <c r="CL32" s="39">
        <v>56.13</v>
      </c>
      <c r="CM32" s="39">
        <v>56.3</v>
      </c>
      <c r="CN32" s="39">
        <v>56.46</v>
      </c>
      <c r="CO32" s="39">
        <v>56.61</v>
      </c>
      <c r="CP32" s="39">
        <v>56.77</v>
      </c>
      <c r="CQ32" s="39">
        <v>56.93</v>
      </c>
      <c r="CR32" s="39">
        <v>57.09</v>
      </c>
      <c r="CS32" s="39">
        <v>57.24</v>
      </c>
      <c r="CT32" s="39">
        <v>57.39</v>
      </c>
      <c r="CU32" s="39">
        <v>57.55</v>
      </c>
      <c r="CV32" s="39">
        <v>57.7</v>
      </c>
      <c r="CW32" s="39">
        <v>57.85</v>
      </c>
      <c r="CX32" s="39">
        <v>57.99</v>
      </c>
      <c r="CY32" s="39">
        <v>58.14</v>
      </c>
      <c r="CZ32" s="39">
        <v>58.29</v>
      </c>
      <c r="DA32" s="39">
        <v>58.43</v>
      </c>
      <c r="DB32" s="39">
        <v>58.58</v>
      </c>
      <c r="DC32" s="39">
        <v>58.72</v>
      </c>
      <c r="DD32" s="39">
        <v>58.86</v>
      </c>
      <c r="DE32" s="39">
        <v>59</v>
      </c>
      <c r="DF32" s="39">
        <v>59.14</v>
      </c>
      <c r="DG32" s="39">
        <v>59.28</v>
      </c>
      <c r="DH32" s="39">
        <v>59.41</v>
      </c>
      <c r="DI32" s="39">
        <v>59.55</v>
      </c>
      <c r="DJ32" s="39">
        <v>59.68</v>
      </c>
      <c r="DK32" s="39">
        <v>59.82</v>
      </c>
      <c r="DL32" s="39">
        <v>59.95</v>
      </c>
      <c r="DM32" s="39">
        <v>60.08</v>
      </c>
      <c r="DN32" s="39">
        <v>60.21</v>
      </c>
      <c r="DO32" s="39">
        <v>60.34</v>
      </c>
      <c r="DP32" s="39">
        <v>60.47</v>
      </c>
      <c r="DQ32" s="39">
        <v>60.6</v>
      </c>
      <c r="DR32" s="39">
        <v>60.72</v>
      </c>
    </row>
    <row r="33" spans="1:122">
      <c r="A33" s="37">
        <v>31</v>
      </c>
      <c r="B33" s="38"/>
      <c r="C33" s="38"/>
      <c r="D33" s="38"/>
      <c r="E33" s="38"/>
      <c r="F33" s="38"/>
      <c r="G33" s="38"/>
      <c r="H33" s="38"/>
      <c r="I33" s="38"/>
      <c r="J33" s="38"/>
      <c r="K33" s="38"/>
      <c r="L33" s="38"/>
      <c r="M33" s="38"/>
      <c r="N33" s="38"/>
      <c r="O33" s="38"/>
      <c r="P33" s="38"/>
      <c r="Q33" s="38"/>
      <c r="R33" s="38"/>
      <c r="S33" s="38"/>
      <c r="T33" s="38"/>
      <c r="U33" s="38"/>
      <c r="V33" s="39"/>
      <c r="W33" s="39">
        <v>42.74</v>
      </c>
      <c r="X33" s="39">
        <v>42.97</v>
      </c>
      <c r="Y33" s="39">
        <v>43.04</v>
      </c>
      <c r="Z33" s="39">
        <v>43.27</v>
      </c>
      <c r="AA33" s="39">
        <v>43.47</v>
      </c>
      <c r="AB33" s="39">
        <v>43.64</v>
      </c>
      <c r="AC33" s="39">
        <v>43.64</v>
      </c>
      <c r="AD33" s="39">
        <v>43.58</v>
      </c>
      <c r="AE33" s="39">
        <v>43.66</v>
      </c>
      <c r="AF33" s="39">
        <v>43.87</v>
      </c>
      <c r="AG33" s="39">
        <v>44.13</v>
      </c>
      <c r="AH33" s="39">
        <v>44.43</v>
      </c>
      <c r="AI33" s="39">
        <v>44.71</v>
      </c>
      <c r="AJ33" s="39">
        <v>45.02</v>
      </c>
      <c r="AK33" s="39">
        <v>45.33</v>
      </c>
      <c r="AL33" s="39">
        <v>45.69</v>
      </c>
      <c r="AM33" s="39">
        <v>46.05</v>
      </c>
      <c r="AN33" s="39">
        <v>46.28</v>
      </c>
      <c r="AO33" s="39">
        <v>46.44</v>
      </c>
      <c r="AP33" s="39">
        <v>46.65</v>
      </c>
      <c r="AQ33" s="39">
        <v>46.84</v>
      </c>
      <c r="AR33" s="39">
        <v>47.12</v>
      </c>
      <c r="AS33" s="39">
        <v>47.16</v>
      </c>
      <c r="AT33" s="39">
        <v>47.29</v>
      </c>
      <c r="AU33" s="39">
        <v>47.41</v>
      </c>
      <c r="AV33" s="39">
        <v>47.52</v>
      </c>
      <c r="AW33" s="39">
        <v>47.82</v>
      </c>
      <c r="AX33" s="39">
        <v>47.99</v>
      </c>
      <c r="AY33" s="39">
        <v>48.09</v>
      </c>
      <c r="AZ33" s="39">
        <v>48.15</v>
      </c>
      <c r="BA33" s="39">
        <v>48.24</v>
      </c>
      <c r="BB33" s="39">
        <v>48.37</v>
      </c>
      <c r="BC33" s="39">
        <v>48.51</v>
      </c>
      <c r="BD33" s="39">
        <v>48.68</v>
      </c>
      <c r="BE33" s="39">
        <v>48.87</v>
      </c>
      <c r="BF33" s="39">
        <v>49.09</v>
      </c>
      <c r="BG33" s="39">
        <v>49.24</v>
      </c>
      <c r="BH33" s="39">
        <v>49.52</v>
      </c>
      <c r="BI33" s="39">
        <v>49.71</v>
      </c>
      <c r="BJ33" s="39">
        <v>49.98</v>
      </c>
      <c r="BK33" s="39">
        <v>50.19</v>
      </c>
      <c r="BL33" s="39">
        <v>50.46</v>
      </c>
      <c r="BM33" s="39">
        <v>50.71</v>
      </c>
      <c r="BN33" s="39">
        <v>50.95</v>
      </c>
      <c r="BO33" s="39">
        <v>51.16</v>
      </c>
      <c r="BP33" s="39">
        <v>51.38</v>
      </c>
      <c r="BQ33" s="39">
        <v>51.58</v>
      </c>
      <c r="BR33" s="39">
        <v>51.78</v>
      </c>
      <c r="BS33" s="39">
        <v>51.96</v>
      </c>
      <c r="BT33" s="40">
        <v>52.16</v>
      </c>
      <c r="BU33" s="39">
        <v>52.3</v>
      </c>
      <c r="BV33" s="39">
        <v>52.5</v>
      </c>
      <c r="BW33" s="39">
        <v>52.67</v>
      </c>
      <c r="BX33" s="39">
        <v>52.85</v>
      </c>
      <c r="BY33" s="39">
        <v>53.01</v>
      </c>
      <c r="BZ33" s="39">
        <v>53.18</v>
      </c>
      <c r="CA33" s="39">
        <v>53.34</v>
      </c>
      <c r="CB33" s="39">
        <v>53.49</v>
      </c>
      <c r="CC33" s="39">
        <v>53.66</v>
      </c>
      <c r="CD33" s="39">
        <v>53.83</v>
      </c>
      <c r="CE33" s="39">
        <v>54.01</v>
      </c>
      <c r="CF33" s="39">
        <v>54.17</v>
      </c>
      <c r="CG33" s="39">
        <v>54.33</v>
      </c>
      <c r="CH33" s="39">
        <v>54.5</v>
      </c>
      <c r="CI33" s="39">
        <v>54.67</v>
      </c>
      <c r="CJ33" s="39">
        <v>54.84</v>
      </c>
      <c r="CK33" s="39">
        <v>55</v>
      </c>
      <c r="CL33" s="39">
        <v>55.16</v>
      </c>
      <c r="CM33" s="39">
        <v>55.32</v>
      </c>
      <c r="CN33" s="39">
        <v>55.48</v>
      </c>
      <c r="CO33" s="39">
        <v>55.64</v>
      </c>
      <c r="CP33" s="39">
        <v>55.8</v>
      </c>
      <c r="CQ33" s="39">
        <v>55.96</v>
      </c>
      <c r="CR33" s="39">
        <v>56.11</v>
      </c>
      <c r="CS33" s="39">
        <v>56.26</v>
      </c>
      <c r="CT33" s="39">
        <v>56.42</v>
      </c>
      <c r="CU33" s="39">
        <v>56.57</v>
      </c>
      <c r="CV33" s="39">
        <v>56.72</v>
      </c>
      <c r="CW33" s="39">
        <v>56.87</v>
      </c>
      <c r="CX33" s="39">
        <v>57.02</v>
      </c>
      <c r="CY33" s="39">
        <v>57.16</v>
      </c>
      <c r="CZ33" s="39">
        <v>57.31</v>
      </c>
      <c r="DA33" s="39">
        <v>57.45</v>
      </c>
      <c r="DB33" s="39">
        <v>57.6</v>
      </c>
      <c r="DC33" s="39">
        <v>57.74</v>
      </c>
      <c r="DD33" s="39">
        <v>57.88</v>
      </c>
      <c r="DE33" s="39">
        <v>58.02</v>
      </c>
      <c r="DF33" s="39">
        <v>58.16</v>
      </c>
      <c r="DG33" s="39">
        <v>58.3</v>
      </c>
      <c r="DH33" s="39">
        <v>58.43</v>
      </c>
      <c r="DI33" s="39">
        <v>58.57</v>
      </c>
      <c r="DJ33" s="39">
        <v>58.7</v>
      </c>
      <c r="DK33" s="39">
        <v>58.83</v>
      </c>
      <c r="DL33" s="39">
        <v>58.97</v>
      </c>
      <c r="DM33" s="39">
        <v>59.1</v>
      </c>
      <c r="DN33" s="39">
        <v>59.23</v>
      </c>
      <c r="DO33" s="39">
        <v>59.36</v>
      </c>
      <c r="DP33" s="39">
        <v>59.48</v>
      </c>
      <c r="DQ33" s="39">
        <v>59.61</v>
      </c>
      <c r="DR33" s="39">
        <v>59.73</v>
      </c>
    </row>
    <row r="34" spans="1:122">
      <c r="A34" s="37">
        <v>32</v>
      </c>
      <c r="B34" s="38"/>
      <c r="C34" s="38"/>
      <c r="D34" s="38"/>
      <c r="E34" s="38"/>
      <c r="F34" s="38"/>
      <c r="G34" s="38"/>
      <c r="H34" s="38"/>
      <c r="I34" s="38"/>
      <c r="J34" s="38"/>
      <c r="K34" s="38"/>
      <c r="L34" s="38"/>
      <c r="M34" s="38"/>
      <c r="N34" s="38"/>
      <c r="O34" s="38"/>
      <c r="P34" s="38"/>
      <c r="Q34" s="38"/>
      <c r="R34" s="38"/>
      <c r="S34" s="38"/>
      <c r="T34" s="38"/>
      <c r="U34" s="38"/>
      <c r="V34" s="39"/>
      <c r="W34" s="39">
        <v>41.82</v>
      </c>
      <c r="X34" s="39">
        <v>42.05</v>
      </c>
      <c r="Y34" s="39">
        <v>42.12</v>
      </c>
      <c r="Z34" s="39">
        <v>42.35</v>
      </c>
      <c r="AA34" s="39">
        <v>42.55</v>
      </c>
      <c r="AB34" s="39">
        <v>42.72</v>
      </c>
      <c r="AC34" s="39">
        <v>42.72</v>
      </c>
      <c r="AD34" s="39">
        <v>42.66</v>
      </c>
      <c r="AE34" s="39">
        <v>42.74</v>
      </c>
      <c r="AF34" s="39">
        <v>42.94</v>
      </c>
      <c r="AG34" s="39">
        <v>43.21</v>
      </c>
      <c r="AH34" s="39">
        <v>43.51</v>
      </c>
      <c r="AI34" s="39">
        <v>43.78</v>
      </c>
      <c r="AJ34" s="39">
        <v>44.1</v>
      </c>
      <c r="AK34" s="39">
        <v>44.4</v>
      </c>
      <c r="AL34" s="39">
        <v>44.77</v>
      </c>
      <c r="AM34" s="39">
        <v>45.12</v>
      </c>
      <c r="AN34" s="39">
        <v>45.35</v>
      </c>
      <c r="AO34" s="39">
        <v>45.51</v>
      </c>
      <c r="AP34" s="39">
        <v>45.73</v>
      </c>
      <c r="AQ34" s="39">
        <v>45.92</v>
      </c>
      <c r="AR34" s="39">
        <v>46.2</v>
      </c>
      <c r="AS34" s="39">
        <v>46.24</v>
      </c>
      <c r="AT34" s="39">
        <v>46.36</v>
      </c>
      <c r="AU34" s="39">
        <v>46.48</v>
      </c>
      <c r="AV34" s="39">
        <v>46.6</v>
      </c>
      <c r="AW34" s="39">
        <v>46.89</v>
      </c>
      <c r="AX34" s="39">
        <v>47.06</v>
      </c>
      <c r="AY34" s="39">
        <v>47.15</v>
      </c>
      <c r="AZ34" s="39">
        <v>47.22</v>
      </c>
      <c r="BA34" s="39">
        <v>47.31</v>
      </c>
      <c r="BB34" s="39">
        <v>47.44</v>
      </c>
      <c r="BC34" s="39">
        <v>47.57</v>
      </c>
      <c r="BD34" s="39">
        <v>47.74</v>
      </c>
      <c r="BE34" s="39">
        <v>47.93</v>
      </c>
      <c r="BF34" s="39">
        <v>48.15</v>
      </c>
      <c r="BG34" s="39">
        <v>48.3</v>
      </c>
      <c r="BH34" s="39">
        <v>48.58</v>
      </c>
      <c r="BI34" s="39">
        <v>48.78</v>
      </c>
      <c r="BJ34" s="39">
        <v>49.05</v>
      </c>
      <c r="BK34" s="39">
        <v>49.25</v>
      </c>
      <c r="BL34" s="39">
        <v>49.52</v>
      </c>
      <c r="BM34" s="39">
        <v>49.77</v>
      </c>
      <c r="BN34" s="39">
        <v>50.01</v>
      </c>
      <c r="BO34" s="39">
        <v>50.21</v>
      </c>
      <c r="BP34" s="39">
        <v>50.43</v>
      </c>
      <c r="BQ34" s="39">
        <v>50.63</v>
      </c>
      <c r="BR34" s="39">
        <v>50.83</v>
      </c>
      <c r="BS34" s="39">
        <v>51.01</v>
      </c>
      <c r="BT34" s="40">
        <v>51.2</v>
      </c>
      <c r="BU34" s="39">
        <v>51.34</v>
      </c>
      <c r="BV34" s="39">
        <v>51.54</v>
      </c>
      <c r="BW34" s="39">
        <v>51.72</v>
      </c>
      <c r="BX34" s="39">
        <v>51.89</v>
      </c>
      <c r="BY34" s="39">
        <v>52.05</v>
      </c>
      <c r="BZ34" s="39">
        <v>52.21</v>
      </c>
      <c r="CA34" s="39">
        <v>52.38</v>
      </c>
      <c r="CB34" s="39">
        <v>52.53</v>
      </c>
      <c r="CC34" s="39">
        <v>52.7</v>
      </c>
      <c r="CD34" s="39">
        <v>52.87</v>
      </c>
      <c r="CE34" s="39">
        <v>53.04</v>
      </c>
      <c r="CF34" s="39">
        <v>53.2</v>
      </c>
      <c r="CG34" s="39">
        <v>53.37</v>
      </c>
      <c r="CH34" s="39">
        <v>53.54</v>
      </c>
      <c r="CI34" s="39">
        <v>53.71</v>
      </c>
      <c r="CJ34" s="39">
        <v>53.87</v>
      </c>
      <c r="CK34" s="39">
        <v>54.03</v>
      </c>
      <c r="CL34" s="39">
        <v>54.19</v>
      </c>
      <c r="CM34" s="39">
        <v>54.35</v>
      </c>
      <c r="CN34" s="39">
        <v>54.51</v>
      </c>
      <c r="CO34" s="39">
        <v>54.67</v>
      </c>
      <c r="CP34" s="39">
        <v>54.83</v>
      </c>
      <c r="CQ34" s="39">
        <v>54.98</v>
      </c>
      <c r="CR34" s="39">
        <v>55.14</v>
      </c>
      <c r="CS34" s="39">
        <v>55.29</v>
      </c>
      <c r="CT34" s="39">
        <v>55.44</v>
      </c>
      <c r="CU34" s="39">
        <v>55.59</v>
      </c>
      <c r="CV34" s="39">
        <v>55.74</v>
      </c>
      <c r="CW34" s="39">
        <v>55.89</v>
      </c>
      <c r="CX34" s="39">
        <v>56.04</v>
      </c>
      <c r="CY34" s="39">
        <v>56.19</v>
      </c>
      <c r="CZ34" s="39">
        <v>56.33</v>
      </c>
      <c r="DA34" s="39">
        <v>56.47</v>
      </c>
      <c r="DB34" s="39">
        <v>56.62</v>
      </c>
      <c r="DC34" s="39">
        <v>56.76</v>
      </c>
      <c r="DD34" s="39">
        <v>56.9</v>
      </c>
      <c r="DE34" s="39">
        <v>57.04</v>
      </c>
      <c r="DF34" s="39">
        <v>57.18</v>
      </c>
      <c r="DG34" s="39">
        <v>57.31</v>
      </c>
      <c r="DH34" s="39">
        <v>57.45</v>
      </c>
      <c r="DI34" s="39">
        <v>57.58</v>
      </c>
      <c r="DJ34" s="39">
        <v>57.72</v>
      </c>
      <c r="DK34" s="39">
        <v>57.85</v>
      </c>
      <c r="DL34" s="39">
        <v>57.98</v>
      </c>
      <c r="DM34" s="39">
        <v>58.11</v>
      </c>
      <c r="DN34" s="39">
        <v>58.24</v>
      </c>
      <c r="DO34" s="39">
        <v>58.37</v>
      </c>
      <c r="DP34" s="39">
        <v>58.5</v>
      </c>
      <c r="DQ34" s="39">
        <v>58.62</v>
      </c>
      <c r="DR34" s="39">
        <v>58.75</v>
      </c>
    </row>
    <row r="35" spans="1:122">
      <c r="A35" s="37">
        <v>33</v>
      </c>
      <c r="B35" s="38"/>
      <c r="C35" s="38"/>
      <c r="D35" s="38"/>
      <c r="E35" s="38"/>
      <c r="F35" s="38"/>
      <c r="G35" s="38"/>
      <c r="H35" s="38"/>
      <c r="I35" s="38"/>
      <c r="J35" s="38"/>
      <c r="K35" s="38"/>
      <c r="L35" s="38"/>
      <c r="M35" s="38"/>
      <c r="N35" s="38"/>
      <c r="O35" s="38"/>
      <c r="P35" s="38"/>
      <c r="Q35" s="38"/>
      <c r="R35" s="38"/>
      <c r="S35" s="38"/>
      <c r="T35" s="38"/>
      <c r="U35" s="38"/>
      <c r="V35" s="39"/>
      <c r="W35" s="39">
        <v>40.89</v>
      </c>
      <c r="X35" s="39">
        <v>41.13</v>
      </c>
      <c r="Y35" s="39">
        <v>41.2</v>
      </c>
      <c r="Z35" s="39">
        <v>41.43</v>
      </c>
      <c r="AA35" s="39">
        <v>41.63</v>
      </c>
      <c r="AB35" s="39">
        <v>41.79</v>
      </c>
      <c r="AC35" s="39">
        <v>41.8</v>
      </c>
      <c r="AD35" s="39">
        <v>41.73</v>
      </c>
      <c r="AE35" s="39">
        <v>41.82</v>
      </c>
      <c r="AF35" s="39">
        <v>42.02</v>
      </c>
      <c r="AG35" s="39">
        <v>42.29</v>
      </c>
      <c r="AH35" s="39">
        <v>42.59</v>
      </c>
      <c r="AI35" s="39">
        <v>42.86</v>
      </c>
      <c r="AJ35" s="39">
        <v>43.18</v>
      </c>
      <c r="AK35" s="39">
        <v>43.47</v>
      </c>
      <c r="AL35" s="39">
        <v>43.84</v>
      </c>
      <c r="AM35" s="39">
        <v>44.19</v>
      </c>
      <c r="AN35" s="39">
        <v>44.44</v>
      </c>
      <c r="AO35" s="39">
        <v>44.59</v>
      </c>
      <c r="AP35" s="39">
        <v>44.81</v>
      </c>
      <c r="AQ35" s="39">
        <v>45</v>
      </c>
      <c r="AR35" s="39">
        <v>45.27</v>
      </c>
      <c r="AS35" s="39">
        <v>45.32</v>
      </c>
      <c r="AT35" s="39">
        <v>45.44</v>
      </c>
      <c r="AU35" s="39">
        <v>45.56</v>
      </c>
      <c r="AV35" s="39">
        <v>45.67</v>
      </c>
      <c r="AW35" s="39">
        <v>45.96</v>
      </c>
      <c r="AX35" s="39">
        <v>46.13</v>
      </c>
      <c r="AY35" s="39">
        <v>46.22</v>
      </c>
      <c r="AZ35" s="39">
        <v>46.29</v>
      </c>
      <c r="BA35" s="39">
        <v>46.38</v>
      </c>
      <c r="BB35" s="39">
        <v>46.5</v>
      </c>
      <c r="BC35" s="39">
        <v>46.63</v>
      </c>
      <c r="BD35" s="39">
        <v>46.8</v>
      </c>
      <c r="BE35" s="39">
        <v>47</v>
      </c>
      <c r="BF35" s="39">
        <v>47.22</v>
      </c>
      <c r="BG35" s="39">
        <v>47.37</v>
      </c>
      <c r="BH35" s="39">
        <v>47.65</v>
      </c>
      <c r="BI35" s="39">
        <v>47.85</v>
      </c>
      <c r="BJ35" s="39">
        <v>48.11</v>
      </c>
      <c r="BK35" s="39">
        <v>48.32</v>
      </c>
      <c r="BL35" s="39">
        <v>48.58</v>
      </c>
      <c r="BM35" s="39">
        <v>48.83</v>
      </c>
      <c r="BN35" s="39">
        <v>49.07</v>
      </c>
      <c r="BO35" s="39">
        <v>49.27</v>
      </c>
      <c r="BP35" s="39">
        <v>49.48</v>
      </c>
      <c r="BQ35" s="39">
        <v>49.67</v>
      </c>
      <c r="BR35" s="39">
        <v>49.87</v>
      </c>
      <c r="BS35" s="39">
        <v>50.05</v>
      </c>
      <c r="BT35" s="40">
        <v>50.24</v>
      </c>
      <c r="BU35" s="39">
        <v>50.38</v>
      </c>
      <c r="BV35" s="39">
        <v>50.58</v>
      </c>
      <c r="BW35" s="39">
        <v>50.75</v>
      </c>
      <c r="BX35" s="39">
        <v>50.93</v>
      </c>
      <c r="BY35" s="39">
        <v>51.09</v>
      </c>
      <c r="BZ35" s="39">
        <v>51.25</v>
      </c>
      <c r="CA35" s="39">
        <v>51.41</v>
      </c>
      <c r="CB35" s="39">
        <v>51.57</v>
      </c>
      <c r="CC35" s="39">
        <v>51.74</v>
      </c>
      <c r="CD35" s="39">
        <v>51.9</v>
      </c>
      <c r="CE35" s="39">
        <v>52.08</v>
      </c>
      <c r="CF35" s="39">
        <v>52.24</v>
      </c>
      <c r="CG35" s="39">
        <v>52.41</v>
      </c>
      <c r="CH35" s="39">
        <v>52.57</v>
      </c>
      <c r="CI35" s="39">
        <v>52.74</v>
      </c>
      <c r="CJ35" s="39">
        <v>52.9</v>
      </c>
      <c r="CK35" s="39">
        <v>53.06</v>
      </c>
      <c r="CL35" s="39">
        <v>53.22</v>
      </c>
      <c r="CM35" s="39">
        <v>53.38</v>
      </c>
      <c r="CN35" s="39">
        <v>53.54</v>
      </c>
      <c r="CO35" s="39">
        <v>53.7</v>
      </c>
      <c r="CP35" s="39">
        <v>53.86</v>
      </c>
      <c r="CQ35" s="39">
        <v>54.01</v>
      </c>
      <c r="CR35" s="39">
        <v>54.16</v>
      </c>
      <c r="CS35" s="39">
        <v>54.32</v>
      </c>
      <c r="CT35" s="39">
        <v>54.47</v>
      </c>
      <c r="CU35" s="39">
        <v>54.62</v>
      </c>
      <c r="CV35" s="39">
        <v>54.77</v>
      </c>
      <c r="CW35" s="39">
        <v>54.92</v>
      </c>
      <c r="CX35" s="39">
        <v>55.06</v>
      </c>
      <c r="CY35" s="39">
        <v>55.21</v>
      </c>
      <c r="CZ35" s="39">
        <v>55.35</v>
      </c>
      <c r="DA35" s="39">
        <v>55.5</v>
      </c>
      <c r="DB35" s="39">
        <v>55.64</v>
      </c>
      <c r="DC35" s="39">
        <v>55.78</v>
      </c>
      <c r="DD35" s="39">
        <v>55.92</v>
      </c>
      <c r="DE35" s="39">
        <v>56.06</v>
      </c>
      <c r="DF35" s="39">
        <v>56.2</v>
      </c>
      <c r="DG35" s="39">
        <v>56.33</v>
      </c>
      <c r="DH35" s="39">
        <v>56.47</v>
      </c>
      <c r="DI35" s="39">
        <v>56.6</v>
      </c>
      <c r="DJ35" s="39">
        <v>56.74</v>
      </c>
      <c r="DK35" s="39">
        <v>56.87</v>
      </c>
      <c r="DL35" s="39">
        <v>57</v>
      </c>
      <c r="DM35" s="39">
        <v>57.13</v>
      </c>
      <c r="DN35" s="39">
        <v>57.26</v>
      </c>
      <c r="DO35" s="39">
        <v>57.39</v>
      </c>
      <c r="DP35" s="39">
        <v>57.51</v>
      </c>
      <c r="DQ35" s="39">
        <v>57.64</v>
      </c>
      <c r="DR35" s="39">
        <v>57.76</v>
      </c>
    </row>
    <row r="36" spans="1:122">
      <c r="A36" s="37">
        <v>34</v>
      </c>
      <c r="B36" s="38"/>
      <c r="C36" s="38"/>
      <c r="D36" s="38"/>
      <c r="E36" s="38"/>
      <c r="F36" s="38"/>
      <c r="G36" s="38"/>
      <c r="H36" s="38"/>
      <c r="I36" s="38"/>
      <c r="J36" s="38"/>
      <c r="K36" s="38"/>
      <c r="L36" s="38"/>
      <c r="M36" s="38"/>
      <c r="N36" s="38"/>
      <c r="O36" s="38"/>
      <c r="P36" s="38"/>
      <c r="Q36" s="38"/>
      <c r="R36" s="38"/>
      <c r="S36" s="38"/>
      <c r="T36" s="38"/>
      <c r="U36" s="38"/>
      <c r="V36" s="39"/>
      <c r="W36" s="39">
        <v>39.97</v>
      </c>
      <c r="X36" s="39">
        <v>40.21</v>
      </c>
      <c r="Y36" s="39">
        <v>40.28</v>
      </c>
      <c r="Z36" s="39">
        <v>40.51</v>
      </c>
      <c r="AA36" s="39">
        <v>40.71</v>
      </c>
      <c r="AB36" s="39">
        <v>40.869999999999997</v>
      </c>
      <c r="AC36" s="39">
        <v>40.880000000000003</v>
      </c>
      <c r="AD36" s="39">
        <v>40.81</v>
      </c>
      <c r="AE36" s="39">
        <v>40.89</v>
      </c>
      <c r="AF36" s="39">
        <v>41.1</v>
      </c>
      <c r="AG36" s="39">
        <v>41.36</v>
      </c>
      <c r="AH36" s="39">
        <v>41.66</v>
      </c>
      <c r="AI36" s="39">
        <v>41.94</v>
      </c>
      <c r="AJ36" s="39">
        <v>42.25</v>
      </c>
      <c r="AK36" s="39">
        <v>42.55</v>
      </c>
      <c r="AL36" s="39">
        <v>42.92</v>
      </c>
      <c r="AM36" s="39">
        <v>43.28</v>
      </c>
      <c r="AN36" s="39">
        <v>43.51</v>
      </c>
      <c r="AO36" s="39">
        <v>43.68</v>
      </c>
      <c r="AP36" s="39">
        <v>43.88</v>
      </c>
      <c r="AQ36" s="39">
        <v>44.08</v>
      </c>
      <c r="AR36" s="39">
        <v>44.35</v>
      </c>
      <c r="AS36" s="39">
        <v>44.4</v>
      </c>
      <c r="AT36" s="39">
        <v>44.52</v>
      </c>
      <c r="AU36" s="39">
        <v>44.64</v>
      </c>
      <c r="AV36" s="39">
        <v>44.75</v>
      </c>
      <c r="AW36" s="39">
        <v>45.03</v>
      </c>
      <c r="AX36" s="39">
        <v>45.2</v>
      </c>
      <c r="AY36" s="39">
        <v>45.28</v>
      </c>
      <c r="AZ36" s="39">
        <v>45.36</v>
      </c>
      <c r="BA36" s="39">
        <v>45.44</v>
      </c>
      <c r="BB36" s="39">
        <v>45.57</v>
      </c>
      <c r="BC36" s="39">
        <v>45.69</v>
      </c>
      <c r="BD36" s="39">
        <v>45.87</v>
      </c>
      <c r="BE36" s="39">
        <v>46.07</v>
      </c>
      <c r="BF36" s="39">
        <v>46.29</v>
      </c>
      <c r="BG36" s="39">
        <v>46.45</v>
      </c>
      <c r="BH36" s="39">
        <v>46.72</v>
      </c>
      <c r="BI36" s="39">
        <v>46.92</v>
      </c>
      <c r="BJ36" s="39">
        <v>47.19</v>
      </c>
      <c r="BK36" s="39">
        <v>47.38</v>
      </c>
      <c r="BL36" s="39">
        <v>47.65</v>
      </c>
      <c r="BM36" s="39">
        <v>47.89</v>
      </c>
      <c r="BN36" s="39">
        <v>48.12</v>
      </c>
      <c r="BO36" s="39">
        <v>48.31</v>
      </c>
      <c r="BP36" s="39">
        <v>48.53</v>
      </c>
      <c r="BQ36" s="39">
        <v>48.72</v>
      </c>
      <c r="BR36" s="39">
        <v>48.92</v>
      </c>
      <c r="BS36" s="39">
        <v>49.1</v>
      </c>
      <c r="BT36" s="40">
        <v>49.28</v>
      </c>
      <c r="BU36" s="39">
        <v>49.42</v>
      </c>
      <c r="BV36" s="39">
        <v>49.63</v>
      </c>
      <c r="BW36" s="39">
        <v>49.79</v>
      </c>
      <c r="BX36" s="39">
        <v>49.97</v>
      </c>
      <c r="BY36" s="39">
        <v>50.13</v>
      </c>
      <c r="BZ36" s="39">
        <v>50.29</v>
      </c>
      <c r="CA36" s="39">
        <v>50.46</v>
      </c>
      <c r="CB36" s="39">
        <v>50.61</v>
      </c>
      <c r="CC36" s="39">
        <v>50.77</v>
      </c>
      <c r="CD36" s="39">
        <v>50.94</v>
      </c>
      <c r="CE36" s="39">
        <v>51.11</v>
      </c>
      <c r="CF36" s="39">
        <v>51.28</v>
      </c>
      <c r="CG36" s="39">
        <v>51.45</v>
      </c>
      <c r="CH36" s="39">
        <v>51.61</v>
      </c>
      <c r="CI36" s="39">
        <v>51.77</v>
      </c>
      <c r="CJ36" s="39">
        <v>51.94</v>
      </c>
      <c r="CK36" s="39">
        <v>52.1</v>
      </c>
      <c r="CL36" s="39">
        <v>52.26</v>
      </c>
      <c r="CM36" s="39">
        <v>52.42</v>
      </c>
      <c r="CN36" s="39">
        <v>52.57</v>
      </c>
      <c r="CO36" s="39">
        <v>52.73</v>
      </c>
      <c r="CP36" s="39">
        <v>52.89</v>
      </c>
      <c r="CQ36" s="39">
        <v>53.04</v>
      </c>
      <c r="CR36" s="39">
        <v>53.19</v>
      </c>
      <c r="CS36" s="39">
        <v>53.35</v>
      </c>
      <c r="CT36" s="39">
        <v>53.5</v>
      </c>
      <c r="CU36" s="39">
        <v>53.65</v>
      </c>
      <c r="CV36" s="39">
        <v>53.79</v>
      </c>
      <c r="CW36" s="39">
        <v>53.94</v>
      </c>
      <c r="CX36" s="39">
        <v>54.09</v>
      </c>
      <c r="CY36" s="39">
        <v>54.23</v>
      </c>
      <c r="CZ36" s="39">
        <v>54.38</v>
      </c>
      <c r="DA36" s="39">
        <v>54.52</v>
      </c>
      <c r="DB36" s="39">
        <v>54.66</v>
      </c>
      <c r="DC36" s="39">
        <v>54.8</v>
      </c>
      <c r="DD36" s="39">
        <v>54.94</v>
      </c>
      <c r="DE36" s="39">
        <v>55.08</v>
      </c>
      <c r="DF36" s="39">
        <v>55.22</v>
      </c>
      <c r="DG36" s="39">
        <v>55.35</v>
      </c>
      <c r="DH36" s="39">
        <v>55.49</v>
      </c>
      <c r="DI36" s="39">
        <v>55.62</v>
      </c>
      <c r="DJ36" s="39">
        <v>55.76</v>
      </c>
      <c r="DK36" s="39">
        <v>55.89</v>
      </c>
      <c r="DL36" s="39">
        <v>56.02</v>
      </c>
      <c r="DM36" s="39">
        <v>56.15</v>
      </c>
      <c r="DN36" s="39">
        <v>56.28</v>
      </c>
      <c r="DO36" s="39">
        <v>56.4</v>
      </c>
      <c r="DP36" s="39">
        <v>56.53</v>
      </c>
      <c r="DQ36" s="39">
        <v>56.66</v>
      </c>
      <c r="DR36" s="39">
        <v>56.78</v>
      </c>
    </row>
    <row r="37" spans="1:122">
      <c r="A37" s="37">
        <v>35</v>
      </c>
      <c r="B37" s="38"/>
      <c r="C37" s="38"/>
      <c r="D37" s="38"/>
      <c r="E37" s="38"/>
      <c r="F37" s="38"/>
      <c r="G37" s="38"/>
      <c r="H37" s="38"/>
      <c r="I37" s="38"/>
      <c r="J37" s="38"/>
      <c r="K37" s="38"/>
      <c r="L37" s="38"/>
      <c r="M37" s="38"/>
      <c r="N37" s="38"/>
      <c r="O37" s="38"/>
      <c r="P37" s="38"/>
      <c r="Q37" s="38"/>
      <c r="R37" s="38"/>
      <c r="S37" s="38"/>
      <c r="T37" s="38"/>
      <c r="U37" s="38"/>
      <c r="V37" s="39"/>
      <c r="W37" s="39">
        <v>39.049999999999997</v>
      </c>
      <c r="X37" s="39">
        <v>39.299999999999997</v>
      </c>
      <c r="Y37" s="39">
        <v>39.36</v>
      </c>
      <c r="Z37" s="39">
        <v>39.590000000000003</v>
      </c>
      <c r="AA37" s="39">
        <v>39.79</v>
      </c>
      <c r="AB37" s="39">
        <v>39.96</v>
      </c>
      <c r="AC37" s="39">
        <v>39.96</v>
      </c>
      <c r="AD37" s="39">
        <v>39.89</v>
      </c>
      <c r="AE37" s="39">
        <v>39.97</v>
      </c>
      <c r="AF37" s="39">
        <v>40.18</v>
      </c>
      <c r="AG37" s="39">
        <v>40.44</v>
      </c>
      <c r="AH37" s="39">
        <v>40.75</v>
      </c>
      <c r="AI37" s="39">
        <v>41.02</v>
      </c>
      <c r="AJ37" s="39">
        <v>41.32</v>
      </c>
      <c r="AK37" s="39">
        <v>41.64</v>
      </c>
      <c r="AL37" s="39">
        <v>42</v>
      </c>
      <c r="AM37" s="39">
        <v>42.36</v>
      </c>
      <c r="AN37" s="39">
        <v>42.59</v>
      </c>
      <c r="AO37" s="39">
        <v>42.76</v>
      </c>
      <c r="AP37" s="39">
        <v>42.97</v>
      </c>
      <c r="AQ37" s="39">
        <v>43.16</v>
      </c>
      <c r="AR37" s="39">
        <v>43.43</v>
      </c>
      <c r="AS37" s="39">
        <v>43.48</v>
      </c>
      <c r="AT37" s="39">
        <v>43.6</v>
      </c>
      <c r="AU37" s="39">
        <v>43.71</v>
      </c>
      <c r="AV37" s="39">
        <v>43.83</v>
      </c>
      <c r="AW37" s="39">
        <v>44.1</v>
      </c>
      <c r="AX37" s="39">
        <v>44.26</v>
      </c>
      <c r="AY37" s="39">
        <v>44.35</v>
      </c>
      <c r="AZ37" s="39">
        <v>44.42</v>
      </c>
      <c r="BA37" s="39">
        <v>44.51</v>
      </c>
      <c r="BB37" s="39">
        <v>44.63</v>
      </c>
      <c r="BC37" s="39">
        <v>44.76</v>
      </c>
      <c r="BD37" s="39">
        <v>44.94</v>
      </c>
      <c r="BE37" s="39">
        <v>45.14</v>
      </c>
      <c r="BF37" s="39">
        <v>45.37</v>
      </c>
      <c r="BG37" s="39">
        <v>45.52</v>
      </c>
      <c r="BH37" s="39">
        <v>45.8</v>
      </c>
      <c r="BI37" s="39">
        <v>46</v>
      </c>
      <c r="BJ37" s="39">
        <v>46.26</v>
      </c>
      <c r="BK37" s="39">
        <v>46.45</v>
      </c>
      <c r="BL37" s="39">
        <v>46.71</v>
      </c>
      <c r="BM37" s="39">
        <v>46.95</v>
      </c>
      <c r="BN37" s="39">
        <v>47.17</v>
      </c>
      <c r="BO37" s="39">
        <v>47.37</v>
      </c>
      <c r="BP37" s="39">
        <v>47.57</v>
      </c>
      <c r="BQ37" s="39">
        <v>47.77</v>
      </c>
      <c r="BR37" s="39">
        <v>47.96</v>
      </c>
      <c r="BS37" s="39">
        <v>48.14</v>
      </c>
      <c r="BT37" s="40">
        <v>48.32</v>
      </c>
      <c r="BU37" s="39">
        <v>48.46</v>
      </c>
      <c r="BV37" s="39">
        <v>48.67</v>
      </c>
      <c r="BW37" s="39">
        <v>48.83</v>
      </c>
      <c r="BX37" s="39">
        <v>49</v>
      </c>
      <c r="BY37" s="39">
        <v>49.17</v>
      </c>
      <c r="BZ37" s="39">
        <v>49.33</v>
      </c>
      <c r="CA37" s="39">
        <v>49.49</v>
      </c>
      <c r="CB37" s="39">
        <v>49.65</v>
      </c>
      <c r="CC37" s="39">
        <v>49.81</v>
      </c>
      <c r="CD37" s="39">
        <v>49.98</v>
      </c>
      <c r="CE37" s="39">
        <v>50.16</v>
      </c>
      <c r="CF37" s="39">
        <v>50.32</v>
      </c>
      <c r="CG37" s="39">
        <v>50.49</v>
      </c>
      <c r="CH37" s="39">
        <v>50.65</v>
      </c>
      <c r="CI37" s="39">
        <v>50.81</v>
      </c>
      <c r="CJ37" s="39">
        <v>50.97</v>
      </c>
      <c r="CK37" s="39">
        <v>51.13</v>
      </c>
      <c r="CL37" s="39">
        <v>51.29</v>
      </c>
      <c r="CM37" s="39">
        <v>51.45</v>
      </c>
      <c r="CN37" s="39">
        <v>51.61</v>
      </c>
      <c r="CO37" s="39">
        <v>51.76</v>
      </c>
      <c r="CP37" s="39">
        <v>51.92</v>
      </c>
      <c r="CQ37" s="39">
        <v>52.07</v>
      </c>
      <c r="CR37" s="39">
        <v>52.22</v>
      </c>
      <c r="CS37" s="39">
        <v>52.37</v>
      </c>
      <c r="CT37" s="39">
        <v>52.52</v>
      </c>
      <c r="CU37" s="39">
        <v>52.67</v>
      </c>
      <c r="CV37" s="39">
        <v>52.82</v>
      </c>
      <c r="CW37" s="39">
        <v>52.97</v>
      </c>
      <c r="CX37" s="39">
        <v>53.11</v>
      </c>
      <c r="CY37" s="39">
        <v>53.26</v>
      </c>
      <c r="CZ37" s="39">
        <v>53.4</v>
      </c>
      <c r="DA37" s="39">
        <v>53.54</v>
      </c>
      <c r="DB37" s="39">
        <v>53.69</v>
      </c>
      <c r="DC37" s="39">
        <v>53.83</v>
      </c>
      <c r="DD37" s="39">
        <v>53.97</v>
      </c>
      <c r="DE37" s="39">
        <v>54.1</v>
      </c>
      <c r="DF37" s="39">
        <v>54.24</v>
      </c>
      <c r="DG37" s="39">
        <v>54.38</v>
      </c>
      <c r="DH37" s="39">
        <v>54.51</v>
      </c>
      <c r="DI37" s="39">
        <v>54.64</v>
      </c>
      <c r="DJ37" s="39">
        <v>54.78</v>
      </c>
      <c r="DK37" s="39">
        <v>54.91</v>
      </c>
      <c r="DL37" s="39">
        <v>55.04</v>
      </c>
      <c r="DM37" s="39">
        <v>55.17</v>
      </c>
      <c r="DN37" s="39">
        <v>55.3</v>
      </c>
      <c r="DO37" s="39">
        <v>55.42</v>
      </c>
      <c r="DP37" s="39">
        <v>55.55</v>
      </c>
      <c r="DQ37" s="39">
        <v>55.67</v>
      </c>
      <c r="DR37" s="39">
        <v>55.8</v>
      </c>
    </row>
    <row r="38" spans="1:122">
      <c r="A38" s="37">
        <v>36</v>
      </c>
      <c r="B38" s="38"/>
      <c r="C38" s="38"/>
      <c r="D38" s="38"/>
      <c r="E38" s="38"/>
      <c r="F38" s="38"/>
      <c r="G38" s="38"/>
      <c r="H38" s="38"/>
      <c r="I38" s="38"/>
      <c r="J38" s="38"/>
      <c r="K38" s="38"/>
      <c r="L38" s="38"/>
      <c r="M38" s="38"/>
      <c r="N38" s="38"/>
      <c r="O38" s="38"/>
      <c r="P38" s="38"/>
      <c r="Q38" s="38"/>
      <c r="R38" s="38"/>
      <c r="S38" s="38"/>
      <c r="T38" s="38"/>
      <c r="U38" s="38"/>
      <c r="V38" s="39"/>
      <c r="W38" s="39">
        <v>38.14</v>
      </c>
      <c r="X38" s="39">
        <v>38.380000000000003</v>
      </c>
      <c r="Y38" s="39">
        <v>38.450000000000003</v>
      </c>
      <c r="Z38" s="39">
        <v>38.68</v>
      </c>
      <c r="AA38" s="39">
        <v>38.869999999999997</v>
      </c>
      <c r="AB38" s="39">
        <v>39.03</v>
      </c>
      <c r="AC38" s="39">
        <v>39.04</v>
      </c>
      <c r="AD38" s="39">
        <v>38.979999999999997</v>
      </c>
      <c r="AE38" s="39">
        <v>39.049999999999997</v>
      </c>
      <c r="AF38" s="39">
        <v>39.26</v>
      </c>
      <c r="AG38" s="39">
        <v>39.520000000000003</v>
      </c>
      <c r="AH38" s="39">
        <v>39.83</v>
      </c>
      <c r="AI38" s="39">
        <v>40.11</v>
      </c>
      <c r="AJ38" s="39">
        <v>40.409999999999997</v>
      </c>
      <c r="AK38" s="39">
        <v>40.72</v>
      </c>
      <c r="AL38" s="39">
        <v>41.08</v>
      </c>
      <c r="AM38" s="39">
        <v>41.45</v>
      </c>
      <c r="AN38" s="39">
        <v>41.67</v>
      </c>
      <c r="AO38" s="39">
        <v>41.84</v>
      </c>
      <c r="AP38" s="39">
        <v>42.05</v>
      </c>
      <c r="AQ38" s="39">
        <v>42.24</v>
      </c>
      <c r="AR38" s="39">
        <v>42.51</v>
      </c>
      <c r="AS38" s="39">
        <v>42.56</v>
      </c>
      <c r="AT38" s="39">
        <v>42.67</v>
      </c>
      <c r="AU38" s="39">
        <v>42.79</v>
      </c>
      <c r="AV38" s="39">
        <v>42.9</v>
      </c>
      <c r="AW38" s="39">
        <v>43.17</v>
      </c>
      <c r="AX38" s="39">
        <v>43.33</v>
      </c>
      <c r="AY38" s="39">
        <v>43.42</v>
      </c>
      <c r="AZ38" s="39">
        <v>43.49</v>
      </c>
      <c r="BA38" s="39">
        <v>43.58</v>
      </c>
      <c r="BB38" s="39">
        <v>43.71</v>
      </c>
      <c r="BC38" s="39">
        <v>43.83</v>
      </c>
      <c r="BD38" s="39">
        <v>44.01</v>
      </c>
      <c r="BE38" s="39">
        <v>44.22</v>
      </c>
      <c r="BF38" s="39">
        <v>44.45</v>
      </c>
      <c r="BG38" s="39">
        <v>44.6</v>
      </c>
      <c r="BH38" s="39">
        <v>44.88</v>
      </c>
      <c r="BI38" s="39">
        <v>45.07</v>
      </c>
      <c r="BJ38" s="39">
        <v>45.33</v>
      </c>
      <c r="BK38" s="39">
        <v>45.52</v>
      </c>
      <c r="BL38" s="39">
        <v>45.77</v>
      </c>
      <c r="BM38" s="39">
        <v>46</v>
      </c>
      <c r="BN38" s="39">
        <v>46.23</v>
      </c>
      <c r="BO38" s="39">
        <v>46.42</v>
      </c>
      <c r="BP38" s="39">
        <v>46.62</v>
      </c>
      <c r="BQ38" s="39">
        <v>46.82</v>
      </c>
      <c r="BR38" s="39">
        <v>47.01</v>
      </c>
      <c r="BS38" s="39">
        <v>47.19</v>
      </c>
      <c r="BT38" s="40">
        <v>47.36</v>
      </c>
      <c r="BU38" s="39">
        <v>47.51</v>
      </c>
      <c r="BV38" s="39">
        <v>47.71</v>
      </c>
      <c r="BW38" s="39">
        <v>47.87</v>
      </c>
      <c r="BX38" s="39">
        <v>48.05</v>
      </c>
      <c r="BY38" s="39">
        <v>48.21</v>
      </c>
      <c r="BZ38" s="39">
        <v>48.37</v>
      </c>
      <c r="CA38" s="39">
        <v>48.54</v>
      </c>
      <c r="CB38" s="39">
        <v>48.69</v>
      </c>
      <c r="CC38" s="39">
        <v>48.86</v>
      </c>
      <c r="CD38" s="39">
        <v>49.03</v>
      </c>
      <c r="CE38" s="39">
        <v>49.2</v>
      </c>
      <c r="CF38" s="39">
        <v>49.36</v>
      </c>
      <c r="CG38" s="39">
        <v>49.52</v>
      </c>
      <c r="CH38" s="39">
        <v>49.69</v>
      </c>
      <c r="CI38" s="39">
        <v>49.85</v>
      </c>
      <c r="CJ38" s="39">
        <v>50.01</v>
      </c>
      <c r="CK38" s="39">
        <v>50.17</v>
      </c>
      <c r="CL38" s="39">
        <v>50.33</v>
      </c>
      <c r="CM38" s="39">
        <v>50.48</v>
      </c>
      <c r="CN38" s="39">
        <v>50.64</v>
      </c>
      <c r="CO38" s="39">
        <v>50.8</v>
      </c>
      <c r="CP38" s="39">
        <v>50.95</v>
      </c>
      <c r="CQ38" s="39">
        <v>51.1</v>
      </c>
      <c r="CR38" s="39">
        <v>51.25</v>
      </c>
      <c r="CS38" s="39">
        <v>51.41</v>
      </c>
      <c r="CT38" s="39">
        <v>51.55</v>
      </c>
      <c r="CU38" s="39">
        <v>51.7</v>
      </c>
      <c r="CV38" s="39">
        <v>51.85</v>
      </c>
      <c r="CW38" s="39">
        <v>52</v>
      </c>
      <c r="CX38" s="39">
        <v>52.14</v>
      </c>
      <c r="CY38" s="39">
        <v>52.29</v>
      </c>
      <c r="CZ38" s="39">
        <v>52.43</v>
      </c>
      <c r="DA38" s="39">
        <v>52.57</v>
      </c>
      <c r="DB38" s="39">
        <v>52.71</v>
      </c>
      <c r="DC38" s="39">
        <v>52.85</v>
      </c>
      <c r="DD38" s="39">
        <v>52.99</v>
      </c>
      <c r="DE38" s="39">
        <v>53.13</v>
      </c>
      <c r="DF38" s="39">
        <v>53.26</v>
      </c>
      <c r="DG38" s="39">
        <v>53.4</v>
      </c>
      <c r="DH38" s="39">
        <v>53.53</v>
      </c>
      <c r="DI38" s="39">
        <v>53.67</v>
      </c>
      <c r="DJ38" s="39">
        <v>53.8</v>
      </c>
      <c r="DK38" s="39">
        <v>53.93</v>
      </c>
      <c r="DL38" s="39">
        <v>54.06</v>
      </c>
      <c r="DM38" s="39">
        <v>54.19</v>
      </c>
      <c r="DN38" s="39">
        <v>54.31</v>
      </c>
      <c r="DO38" s="39">
        <v>54.44</v>
      </c>
      <c r="DP38" s="39">
        <v>54.57</v>
      </c>
      <c r="DQ38" s="39">
        <v>54.69</v>
      </c>
      <c r="DR38" s="39">
        <v>54.81</v>
      </c>
    </row>
    <row r="39" spans="1:122">
      <c r="A39" s="37">
        <v>37</v>
      </c>
      <c r="B39" s="38"/>
      <c r="C39" s="38"/>
      <c r="D39" s="38"/>
      <c r="E39" s="38"/>
      <c r="F39" s="38"/>
      <c r="G39" s="38"/>
      <c r="H39" s="38"/>
      <c r="I39" s="38"/>
      <c r="J39" s="38"/>
      <c r="K39" s="38"/>
      <c r="L39" s="38"/>
      <c r="M39" s="38"/>
      <c r="N39" s="38"/>
      <c r="O39" s="38"/>
      <c r="P39" s="38"/>
      <c r="Q39" s="38"/>
      <c r="R39" s="38"/>
      <c r="S39" s="38"/>
      <c r="T39" s="38"/>
      <c r="U39" s="38"/>
      <c r="V39" s="39"/>
      <c r="W39" s="39">
        <v>37.229999999999997</v>
      </c>
      <c r="X39" s="39">
        <v>37.46</v>
      </c>
      <c r="Y39" s="39">
        <v>37.53</v>
      </c>
      <c r="Z39" s="39">
        <v>37.76</v>
      </c>
      <c r="AA39" s="39">
        <v>37.96</v>
      </c>
      <c r="AB39" s="39">
        <v>38.119999999999997</v>
      </c>
      <c r="AC39" s="39">
        <v>38.119999999999997</v>
      </c>
      <c r="AD39" s="39">
        <v>38.06</v>
      </c>
      <c r="AE39" s="39">
        <v>38.130000000000003</v>
      </c>
      <c r="AF39" s="39">
        <v>38.35</v>
      </c>
      <c r="AG39" s="39">
        <v>38.61</v>
      </c>
      <c r="AH39" s="39">
        <v>38.909999999999997</v>
      </c>
      <c r="AI39" s="39">
        <v>39.19</v>
      </c>
      <c r="AJ39" s="39">
        <v>39.49</v>
      </c>
      <c r="AK39" s="39">
        <v>39.81</v>
      </c>
      <c r="AL39" s="39">
        <v>40.18</v>
      </c>
      <c r="AM39" s="39">
        <v>40.53</v>
      </c>
      <c r="AN39" s="39">
        <v>40.76</v>
      </c>
      <c r="AO39" s="39">
        <v>40.93</v>
      </c>
      <c r="AP39" s="39">
        <v>41.14</v>
      </c>
      <c r="AQ39" s="39">
        <v>41.33</v>
      </c>
      <c r="AR39" s="39">
        <v>41.6</v>
      </c>
      <c r="AS39" s="39">
        <v>41.65</v>
      </c>
      <c r="AT39" s="39">
        <v>41.75</v>
      </c>
      <c r="AU39" s="39">
        <v>41.87</v>
      </c>
      <c r="AV39" s="39">
        <v>41.98</v>
      </c>
      <c r="AW39" s="39">
        <v>42.24</v>
      </c>
      <c r="AX39" s="39">
        <v>42.4</v>
      </c>
      <c r="AY39" s="39">
        <v>42.49</v>
      </c>
      <c r="AZ39" s="39">
        <v>42.56</v>
      </c>
      <c r="BA39" s="39">
        <v>42.65</v>
      </c>
      <c r="BB39" s="39">
        <v>42.78</v>
      </c>
      <c r="BC39" s="39">
        <v>42.91</v>
      </c>
      <c r="BD39" s="39">
        <v>43.09</v>
      </c>
      <c r="BE39" s="39">
        <v>43.31</v>
      </c>
      <c r="BF39" s="39">
        <v>43.53</v>
      </c>
      <c r="BG39" s="39">
        <v>43.69</v>
      </c>
      <c r="BH39" s="39">
        <v>43.96</v>
      </c>
      <c r="BI39" s="39">
        <v>44.15</v>
      </c>
      <c r="BJ39" s="39">
        <v>44.4</v>
      </c>
      <c r="BK39" s="39">
        <v>44.58</v>
      </c>
      <c r="BL39" s="39">
        <v>44.83</v>
      </c>
      <c r="BM39" s="39">
        <v>45.07</v>
      </c>
      <c r="BN39" s="39">
        <v>45.28</v>
      </c>
      <c r="BO39" s="39">
        <v>45.48</v>
      </c>
      <c r="BP39" s="39">
        <v>45.68</v>
      </c>
      <c r="BQ39" s="39">
        <v>45.87</v>
      </c>
      <c r="BR39" s="39">
        <v>46.06</v>
      </c>
      <c r="BS39" s="39">
        <v>46.23</v>
      </c>
      <c r="BT39" s="40">
        <v>46.41</v>
      </c>
      <c r="BU39" s="39">
        <v>46.55</v>
      </c>
      <c r="BV39" s="39">
        <v>46.75</v>
      </c>
      <c r="BW39" s="39">
        <v>46.92</v>
      </c>
      <c r="BX39" s="39">
        <v>47.09</v>
      </c>
      <c r="BY39" s="39">
        <v>47.25</v>
      </c>
      <c r="BZ39" s="39">
        <v>47.41</v>
      </c>
      <c r="CA39" s="39">
        <v>47.58</v>
      </c>
      <c r="CB39" s="39">
        <v>47.73</v>
      </c>
      <c r="CC39" s="39">
        <v>47.9</v>
      </c>
      <c r="CD39" s="39">
        <v>48.07</v>
      </c>
      <c r="CE39" s="39">
        <v>48.24</v>
      </c>
      <c r="CF39" s="39">
        <v>48.4</v>
      </c>
      <c r="CG39" s="39">
        <v>48.56</v>
      </c>
      <c r="CH39" s="39">
        <v>48.73</v>
      </c>
      <c r="CI39" s="39">
        <v>48.89</v>
      </c>
      <c r="CJ39" s="39">
        <v>49.05</v>
      </c>
      <c r="CK39" s="39">
        <v>49.21</v>
      </c>
      <c r="CL39" s="39">
        <v>49.36</v>
      </c>
      <c r="CM39" s="39">
        <v>49.52</v>
      </c>
      <c r="CN39" s="39">
        <v>49.68</v>
      </c>
      <c r="CO39" s="39">
        <v>49.83</v>
      </c>
      <c r="CP39" s="39">
        <v>49.98</v>
      </c>
      <c r="CQ39" s="39">
        <v>50.14</v>
      </c>
      <c r="CR39" s="39">
        <v>50.29</v>
      </c>
      <c r="CS39" s="39">
        <v>50.44</v>
      </c>
      <c r="CT39" s="39">
        <v>50.59</v>
      </c>
      <c r="CU39" s="39">
        <v>50.73</v>
      </c>
      <c r="CV39" s="39">
        <v>50.88</v>
      </c>
      <c r="CW39" s="39">
        <v>51.03</v>
      </c>
      <c r="CX39" s="39">
        <v>51.17</v>
      </c>
      <c r="CY39" s="39">
        <v>51.31</v>
      </c>
      <c r="CZ39" s="39">
        <v>51.46</v>
      </c>
      <c r="DA39" s="39">
        <v>51.6</v>
      </c>
      <c r="DB39" s="39">
        <v>51.74</v>
      </c>
      <c r="DC39" s="39">
        <v>51.88</v>
      </c>
      <c r="DD39" s="39">
        <v>52.01</v>
      </c>
      <c r="DE39" s="39">
        <v>52.15</v>
      </c>
      <c r="DF39" s="39">
        <v>52.29</v>
      </c>
      <c r="DG39" s="39">
        <v>52.42</v>
      </c>
      <c r="DH39" s="39">
        <v>52.56</v>
      </c>
      <c r="DI39" s="39">
        <v>52.69</v>
      </c>
      <c r="DJ39" s="39">
        <v>52.82</v>
      </c>
      <c r="DK39" s="39">
        <v>52.95</v>
      </c>
      <c r="DL39" s="39">
        <v>53.08</v>
      </c>
      <c r="DM39" s="39">
        <v>53.21</v>
      </c>
      <c r="DN39" s="39">
        <v>53.34</v>
      </c>
      <c r="DO39" s="39">
        <v>53.46</v>
      </c>
      <c r="DP39" s="39">
        <v>53.59</v>
      </c>
      <c r="DQ39" s="39">
        <v>53.71</v>
      </c>
      <c r="DR39" s="39">
        <v>53.83</v>
      </c>
    </row>
    <row r="40" spans="1:122">
      <c r="A40" s="37">
        <v>38</v>
      </c>
      <c r="B40" s="38"/>
      <c r="C40" s="38"/>
      <c r="D40" s="38"/>
      <c r="E40" s="38"/>
      <c r="F40" s="38"/>
      <c r="G40" s="38"/>
      <c r="H40" s="38"/>
      <c r="I40" s="38"/>
      <c r="J40" s="38"/>
      <c r="K40" s="38"/>
      <c r="L40" s="38"/>
      <c r="M40" s="38"/>
      <c r="N40" s="38"/>
      <c r="O40" s="38"/>
      <c r="P40" s="38"/>
      <c r="Q40" s="38"/>
      <c r="R40" s="38"/>
      <c r="S40" s="38"/>
      <c r="T40" s="38"/>
      <c r="U40" s="38"/>
      <c r="V40" s="39"/>
      <c r="W40" s="39">
        <v>36.32</v>
      </c>
      <c r="X40" s="39">
        <v>36.549999999999997</v>
      </c>
      <c r="Y40" s="39">
        <v>36.619999999999997</v>
      </c>
      <c r="Z40" s="39">
        <v>36.840000000000003</v>
      </c>
      <c r="AA40" s="39">
        <v>37.049999999999997</v>
      </c>
      <c r="AB40" s="39">
        <v>37.21</v>
      </c>
      <c r="AC40" s="39">
        <v>37.21</v>
      </c>
      <c r="AD40" s="39">
        <v>37.15</v>
      </c>
      <c r="AE40" s="39">
        <v>37.22</v>
      </c>
      <c r="AF40" s="39">
        <v>37.44</v>
      </c>
      <c r="AG40" s="39">
        <v>37.700000000000003</v>
      </c>
      <c r="AH40" s="39">
        <v>38.01</v>
      </c>
      <c r="AI40" s="39">
        <v>38.29</v>
      </c>
      <c r="AJ40" s="39">
        <v>38.590000000000003</v>
      </c>
      <c r="AK40" s="39">
        <v>38.9</v>
      </c>
      <c r="AL40" s="39">
        <v>39.270000000000003</v>
      </c>
      <c r="AM40" s="39">
        <v>39.619999999999997</v>
      </c>
      <c r="AN40" s="39">
        <v>39.85</v>
      </c>
      <c r="AO40" s="39">
        <v>40.03</v>
      </c>
      <c r="AP40" s="39">
        <v>40.229999999999997</v>
      </c>
      <c r="AQ40" s="39">
        <v>40.42</v>
      </c>
      <c r="AR40" s="39">
        <v>40.69</v>
      </c>
      <c r="AS40" s="39">
        <v>40.729999999999997</v>
      </c>
      <c r="AT40" s="39">
        <v>40.840000000000003</v>
      </c>
      <c r="AU40" s="39">
        <v>40.950000000000003</v>
      </c>
      <c r="AV40" s="39">
        <v>41.06</v>
      </c>
      <c r="AW40" s="39">
        <v>41.32</v>
      </c>
      <c r="AX40" s="39">
        <v>41.47</v>
      </c>
      <c r="AY40" s="39">
        <v>41.57</v>
      </c>
      <c r="AZ40" s="39">
        <v>41.64</v>
      </c>
      <c r="BA40" s="39">
        <v>41.73</v>
      </c>
      <c r="BB40" s="39">
        <v>41.87</v>
      </c>
      <c r="BC40" s="39">
        <v>42</v>
      </c>
      <c r="BD40" s="39">
        <v>42.18</v>
      </c>
      <c r="BE40" s="39">
        <v>42.39</v>
      </c>
      <c r="BF40" s="39">
        <v>42.61</v>
      </c>
      <c r="BG40" s="39">
        <v>42.78</v>
      </c>
      <c r="BH40" s="39">
        <v>43.04</v>
      </c>
      <c r="BI40" s="39">
        <v>43.23</v>
      </c>
      <c r="BJ40" s="39">
        <v>43.46</v>
      </c>
      <c r="BK40" s="39">
        <v>43.65</v>
      </c>
      <c r="BL40" s="39">
        <v>43.9</v>
      </c>
      <c r="BM40" s="39">
        <v>44.13</v>
      </c>
      <c r="BN40" s="39">
        <v>44.34</v>
      </c>
      <c r="BO40" s="39">
        <v>44.53</v>
      </c>
      <c r="BP40" s="39">
        <v>44.73</v>
      </c>
      <c r="BQ40" s="39">
        <v>44.92</v>
      </c>
      <c r="BR40" s="39">
        <v>45.11</v>
      </c>
      <c r="BS40" s="39">
        <v>45.28</v>
      </c>
      <c r="BT40" s="40">
        <v>45.45</v>
      </c>
      <c r="BU40" s="39">
        <v>45.6</v>
      </c>
      <c r="BV40" s="39">
        <v>45.79</v>
      </c>
      <c r="BW40" s="39">
        <v>45.96</v>
      </c>
      <c r="BX40" s="39">
        <v>46.13</v>
      </c>
      <c r="BY40" s="39">
        <v>46.29</v>
      </c>
      <c r="BZ40" s="39">
        <v>46.45</v>
      </c>
      <c r="CA40" s="39">
        <v>46.62</v>
      </c>
      <c r="CB40" s="39">
        <v>46.78</v>
      </c>
      <c r="CC40" s="39">
        <v>46.95</v>
      </c>
      <c r="CD40" s="39">
        <v>47.12</v>
      </c>
      <c r="CE40" s="39">
        <v>47.28</v>
      </c>
      <c r="CF40" s="39">
        <v>47.44</v>
      </c>
      <c r="CG40" s="39">
        <v>47.61</v>
      </c>
      <c r="CH40" s="39">
        <v>47.77</v>
      </c>
      <c r="CI40" s="39">
        <v>47.93</v>
      </c>
      <c r="CJ40" s="39">
        <v>48.09</v>
      </c>
      <c r="CK40" s="39">
        <v>48.25</v>
      </c>
      <c r="CL40" s="39">
        <v>48.4</v>
      </c>
      <c r="CM40" s="39">
        <v>48.56</v>
      </c>
      <c r="CN40" s="39">
        <v>48.71</v>
      </c>
      <c r="CO40" s="39">
        <v>48.87</v>
      </c>
      <c r="CP40" s="39">
        <v>49.02</v>
      </c>
      <c r="CQ40" s="39">
        <v>49.17</v>
      </c>
      <c r="CR40" s="39">
        <v>49.32</v>
      </c>
      <c r="CS40" s="39">
        <v>49.47</v>
      </c>
      <c r="CT40" s="39">
        <v>49.62</v>
      </c>
      <c r="CU40" s="39">
        <v>49.77</v>
      </c>
      <c r="CV40" s="39">
        <v>49.91</v>
      </c>
      <c r="CW40" s="39">
        <v>50.06</v>
      </c>
      <c r="CX40" s="39">
        <v>50.2</v>
      </c>
      <c r="CY40" s="39">
        <v>50.34</v>
      </c>
      <c r="CZ40" s="39">
        <v>50.49</v>
      </c>
      <c r="DA40" s="39">
        <v>50.63</v>
      </c>
      <c r="DB40" s="39">
        <v>50.77</v>
      </c>
      <c r="DC40" s="39">
        <v>50.9</v>
      </c>
      <c r="DD40" s="39">
        <v>51.04</v>
      </c>
      <c r="DE40" s="39">
        <v>51.18</v>
      </c>
      <c r="DF40" s="39">
        <v>51.31</v>
      </c>
      <c r="DG40" s="39">
        <v>51.45</v>
      </c>
      <c r="DH40" s="39">
        <v>51.58</v>
      </c>
      <c r="DI40" s="39">
        <v>51.71</v>
      </c>
      <c r="DJ40" s="39">
        <v>51.84</v>
      </c>
      <c r="DK40" s="39">
        <v>51.97</v>
      </c>
      <c r="DL40" s="39">
        <v>52.1</v>
      </c>
      <c r="DM40" s="39">
        <v>52.23</v>
      </c>
      <c r="DN40" s="39">
        <v>52.36</v>
      </c>
      <c r="DO40" s="39">
        <v>52.48</v>
      </c>
      <c r="DP40" s="39">
        <v>52.61</v>
      </c>
      <c r="DQ40" s="39">
        <v>52.73</v>
      </c>
      <c r="DR40" s="39">
        <v>52.85</v>
      </c>
    </row>
    <row r="41" spans="1:122">
      <c r="A41" s="37">
        <v>39</v>
      </c>
      <c r="B41" s="38"/>
      <c r="C41" s="38"/>
      <c r="D41" s="38"/>
      <c r="E41" s="38"/>
      <c r="F41" s="38"/>
      <c r="G41" s="38"/>
      <c r="H41" s="38"/>
      <c r="I41" s="38"/>
      <c r="J41" s="38"/>
      <c r="K41" s="38"/>
      <c r="L41" s="38"/>
      <c r="M41" s="38"/>
      <c r="N41" s="38"/>
      <c r="O41" s="38"/>
      <c r="P41" s="38"/>
      <c r="Q41" s="38"/>
      <c r="R41" s="38"/>
      <c r="S41" s="38"/>
      <c r="T41" s="38"/>
      <c r="U41" s="38"/>
      <c r="V41" s="39"/>
      <c r="W41" s="39">
        <v>35.409999999999997</v>
      </c>
      <c r="X41" s="39">
        <v>35.64</v>
      </c>
      <c r="Y41" s="39">
        <v>35.71</v>
      </c>
      <c r="Z41" s="39">
        <v>35.93</v>
      </c>
      <c r="AA41" s="39">
        <v>36.14</v>
      </c>
      <c r="AB41" s="39">
        <v>36.299999999999997</v>
      </c>
      <c r="AC41" s="39">
        <v>36.299999999999997</v>
      </c>
      <c r="AD41" s="39">
        <v>36.25</v>
      </c>
      <c r="AE41" s="39">
        <v>36.32</v>
      </c>
      <c r="AF41" s="39">
        <v>36.53</v>
      </c>
      <c r="AG41" s="39">
        <v>36.799999999999997</v>
      </c>
      <c r="AH41" s="39">
        <v>37.11</v>
      </c>
      <c r="AI41" s="39">
        <v>37.39</v>
      </c>
      <c r="AJ41" s="39">
        <v>37.69</v>
      </c>
      <c r="AK41" s="39">
        <v>38</v>
      </c>
      <c r="AL41" s="39">
        <v>38.369999999999997</v>
      </c>
      <c r="AM41" s="39">
        <v>38.72</v>
      </c>
      <c r="AN41" s="39">
        <v>38.950000000000003</v>
      </c>
      <c r="AO41" s="39">
        <v>39.119999999999997</v>
      </c>
      <c r="AP41" s="39">
        <v>39.33</v>
      </c>
      <c r="AQ41" s="39">
        <v>39.520000000000003</v>
      </c>
      <c r="AR41" s="39">
        <v>39.78</v>
      </c>
      <c r="AS41" s="39">
        <v>39.83</v>
      </c>
      <c r="AT41" s="39">
        <v>39.93</v>
      </c>
      <c r="AU41" s="39">
        <v>40.04</v>
      </c>
      <c r="AV41" s="39">
        <v>40.15</v>
      </c>
      <c r="AW41" s="39">
        <v>40.4</v>
      </c>
      <c r="AX41" s="39">
        <v>40.549999999999997</v>
      </c>
      <c r="AY41" s="39">
        <v>40.65</v>
      </c>
      <c r="AZ41" s="39">
        <v>40.72</v>
      </c>
      <c r="BA41" s="39">
        <v>40.81</v>
      </c>
      <c r="BB41" s="39">
        <v>40.96</v>
      </c>
      <c r="BC41" s="39">
        <v>41.1</v>
      </c>
      <c r="BD41" s="39">
        <v>41.28</v>
      </c>
      <c r="BE41" s="39">
        <v>41.48</v>
      </c>
      <c r="BF41" s="39">
        <v>41.7</v>
      </c>
      <c r="BG41" s="39">
        <v>41.87</v>
      </c>
      <c r="BH41" s="39">
        <v>42.12</v>
      </c>
      <c r="BI41" s="39">
        <v>42.3</v>
      </c>
      <c r="BJ41" s="39">
        <v>42.53</v>
      </c>
      <c r="BK41" s="39">
        <v>42.72</v>
      </c>
      <c r="BL41" s="39">
        <v>42.97</v>
      </c>
      <c r="BM41" s="39">
        <v>43.19</v>
      </c>
      <c r="BN41" s="39">
        <v>43.4</v>
      </c>
      <c r="BO41" s="39">
        <v>43.59</v>
      </c>
      <c r="BP41" s="39">
        <v>43.79</v>
      </c>
      <c r="BQ41" s="39">
        <v>43.97</v>
      </c>
      <c r="BR41" s="39">
        <v>44.16</v>
      </c>
      <c r="BS41" s="39">
        <v>44.33</v>
      </c>
      <c r="BT41" s="40">
        <v>44.5</v>
      </c>
      <c r="BU41" s="39">
        <v>44.65</v>
      </c>
      <c r="BV41" s="39">
        <v>44.84</v>
      </c>
      <c r="BW41" s="39">
        <v>45.01</v>
      </c>
      <c r="BX41" s="39">
        <v>45.18</v>
      </c>
      <c r="BY41" s="39">
        <v>45.34</v>
      </c>
      <c r="BZ41" s="39">
        <v>45.5</v>
      </c>
      <c r="CA41" s="39">
        <v>45.67</v>
      </c>
      <c r="CB41" s="39">
        <v>45.83</v>
      </c>
      <c r="CC41" s="39">
        <v>46</v>
      </c>
      <c r="CD41" s="39">
        <v>46.16</v>
      </c>
      <c r="CE41" s="39">
        <v>46.33</v>
      </c>
      <c r="CF41" s="39">
        <v>46.49</v>
      </c>
      <c r="CG41" s="39">
        <v>46.65</v>
      </c>
      <c r="CH41" s="39">
        <v>46.81</v>
      </c>
      <c r="CI41" s="39">
        <v>46.97</v>
      </c>
      <c r="CJ41" s="39">
        <v>47.13</v>
      </c>
      <c r="CK41" s="39">
        <v>47.29</v>
      </c>
      <c r="CL41" s="39">
        <v>47.44</v>
      </c>
      <c r="CM41" s="39">
        <v>47.6</v>
      </c>
      <c r="CN41" s="39">
        <v>47.75</v>
      </c>
      <c r="CO41" s="39">
        <v>47.91</v>
      </c>
      <c r="CP41" s="39">
        <v>48.06</v>
      </c>
      <c r="CQ41" s="39">
        <v>48.21</v>
      </c>
      <c r="CR41" s="39">
        <v>48.36</v>
      </c>
      <c r="CS41" s="39">
        <v>48.51</v>
      </c>
      <c r="CT41" s="39">
        <v>48.65</v>
      </c>
      <c r="CU41" s="39">
        <v>48.8</v>
      </c>
      <c r="CV41" s="39">
        <v>48.95</v>
      </c>
      <c r="CW41" s="39">
        <v>49.09</v>
      </c>
      <c r="CX41" s="39">
        <v>49.23</v>
      </c>
      <c r="CY41" s="39">
        <v>49.38</v>
      </c>
      <c r="CZ41" s="39">
        <v>49.52</v>
      </c>
      <c r="DA41" s="39">
        <v>49.66</v>
      </c>
      <c r="DB41" s="39">
        <v>49.8</v>
      </c>
      <c r="DC41" s="39">
        <v>49.93</v>
      </c>
      <c r="DD41" s="39">
        <v>50.07</v>
      </c>
      <c r="DE41" s="39">
        <v>50.21</v>
      </c>
      <c r="DF41" s="39">
        <v>50.34</v>
      </c>
      <c r="DG41" s="39">
        <v>50.47</v>
      </c>
      <c r="DH41" s="39">
        <v>50.61</v>
      </c>
      <c r="DI41" s="39">
        <v>50.74</v>
      </c>
      <c r="DJ41" s="39">
        <v>50.87</v>
      </c>
      <c r="DK41" s="39">
        <v>51</v>
      </c>
      <c r="DL41" s="39">
        <v>51.13</v>
      </c>
      <c r="DM41" s="39">
        <v>51.25</v>
      </c>
      <c r="DN41" s="39">
        <v>51.38</v>
      </c>
      <c r="DO41" s="39">
        <v>51.51</v>
      </c>
      <c r="DP41" s="39">
        <v>51.63</v>
      </c>
      <c r="DQ41" s="39">
        <v>51.75</v>
      </c>
      <c r="DR41" s="39">
        <v>51.88</v>
      </c>
    </row>
    <row r="42" spans="1:122">
      <c r="A42" s="37">
        <v>40</v>
      </c>
      <c r="B42" s="38"/>
      <c r="C42" s="38"/>
      <c r="D42" s="38"/>
      <c r="E42" s="38"/>
      <c r="F42" s="38"/>
      <c r="G42" s="38"/>
      <c r="H42" s="38"/>
      <c r="I42" s="38"/>
      <c r="J42" s="38"/>
      <c r="K42" s="38"/>
      <c r="L42" s="38"/>
      <c r="M42" s="38"/>
      <c r="N42" s="38"/>
      <c r="O42" s="38"/>
      <c r="P42" s="38"/>
      <c r="Q42" s="38"/>
      <c r="R42" s="38"/>
      <c r="S42" s="38"/>
      <c r="T42" s="38"/>
      <c r="U42" s="38"/>
      <c r="V42" s="39"/>
      <c r="W42" s="39">
        <v>34.51</v>
      </c>
      <c r="X42" s="39">
        <v>34.729999999999997</v>
      </c>
      <c r="Y42" s="39">
        <v>34.799999999999997</v>
      </c>
      <c r="Z42" s="39">
        <v>35.03</v>
      </c>
      <c r="AA42" s="39">
        <v>35.24</v>
      </c>
      <c r="AB42" s="39">
        <v>35.39</v>
      </c>
      <c r="AC42" s="39">
        <v>35.4</v>
      </c>
      <c r="AD42" s="39">
        <v>35.340000000000003</v>
      </c>
      <c r="AE42" s="39">
        <v>35.42</v>
      </c>
      <c r="AF42" s="39">
        <v>35.630000000000003</v>
      </c>
      <c r="AG42" s="39">
        <v>35.9</v>
      </c>
      <c r="AH42" s="39">
        <v>36.22</v>
      </c>
      <c r="AI42" s="39">
        <v>36.49</v>
      </c>
      <c r="AJ42" s="39">
        <v>36.799999999999997</v>
      </c>
      <c r="AK42" s="39">
        <v>37.11</v>
      </c>
      <c r="AL42" s="39">
        <v>37.47</v>
      </c>
      <c r="AM42" s="39">
        <v>37.83</v>
      </c>
      <c r="AN42" s="39">
        <v>38.049999999999997</v>
      </c>
      <c r="AO42" s="39">
        <v>38.229999999999997</v>
      </c>
      <c r="AP42" s="39">
        <v>38.43</v>
      </c>
      <c r="AQ42" s="39">
        <v>38.619999999999997</v>
      </c>
      <c r="AR42" s="39">
        <v>38.880000000000003</v>
      </c>
      <c r="AS42" s="39">
        <v>38.92</v>
      </c>
      <c r="AT42" s="39">
        <v>39.020000000000003</v>
      </c>
      <c r="AU42" s="39">
        <v>39.130000000000003</v>
      </c>
      <c r="AV42" s="39">
        <v>39.24</v>
      </c>
      <c r="AW42" s="39">
        <v>39.49</v>
      </c>
      <c r="AX42" s="39">
        <v>39.64</v>
      </c>
      <c r="AY42" s="39">
        <v>39.729999999999997</v>
      </c>
      <c r="AZ42" s="39">
        <v>39.81</v>
      </c>
      <c r="BA42" s="39">
        <v>39.909999999999997</v>
      </c>
      <c r="BB42" s="39">
        <v>40.06</v>
      </c>
      <c r="BC42" s="39">
        <v>40.200000000000003</v>
      </c>
      <c r="BD42" s="39">
        <v>40.369999999999997</v>
      </c>
      <c r="BE42" s="39">
        <v>40.58</v>
      </c>
      <c r="BF42" s="39">
        <v>40.78</v>
      </c>
      <c r="BG42" s="39">
        <v>40.950000000000003</v>
      </c>
      <c r="BH42" s="39">
        <v>41.2</v>
      </c>
      <c r="BI42" s="39">
        <v>41.38</v>
      </c>
      <c r="BJ42" s="39">
        <v>41.61</v>
      </c>
      <c r="BK42" s="39">
        <v>41.79</v>
      </c>
      <c r="BL42" s="39">
        <v>42.03</v>
      </c>
      <c r="BM42" s="39">
        <v>42.26</v>
      </c>
      <c r="BN42" s="39">
        <v>42.47</v>
      </c>
      <c r="BO42" s="39">
        <v>42.65</v>
      </c>
      <c r="BP42" s="39">
        <v>42.85</v>
      </c>
      <c r="BQ42" s="39">
        <v>43.03</v>
      </c>
      <c r="BR42" s="39">
        <v>43.21</v>
      </c>
      <c r="BS42" s="39">
        <v>43.38</v>
      </c>
      <c r="BT42" s="40">
        <v>43.55</v>
      </c>
      <c r="BU42" s="39">
        <v>43.7</v>
      </c>
      <c r="BV42" s="39">
        <v>43.89</v>
      </c>
      <c r="BW42" s="39">
        <v>44.06</v>
      </c>
      <c r="BX42" s="39">
        <v>44.23</v>
      </c>
      <c r="BY42" s="39">
        <v>44.39</v>
      </c>
      <c r="BZ42" s="39">
        <v>44.55</v>
      </c>
      <c r="CA42" s="39">
        <v>44.72</v>
      </c>
      <c r="CB42" s="39">
        <v>44.88</v>
      </c>
      <c r="CC42" s="39">
        <v>45.05</v>
      </c>
      <c r="CD42" s="39">
        <v>45.21</v>
      </c>
      <c r="CE42" s="39">
        <v>45.38</v>
      </c>
      <c r="CF42" s="39">
        <v>45.54</v>
      </c>
      <c r="CG42" s="39">
        <v>45.7</v>
      </c>
      <c r="CH42" s="39">
        <v>45.86</v>
      </c>
      <c r="CI42" s="39">
        <v>46.02</v>
      </c>
      <c r="CJ42" s="39">
        <v>46.17</v>
      </c>
      <c r="CK42" s="39">
        <v>46.33</v>
      </c>
      <c r="CL42" s="39">
        <v>46.49</v>
      </c>
      <c r="CM42" s="39">
        <v>46.64</v>
      </c>
      <c r="CN42" s="39">
        <v>46.79</v>
      </c>
      <c r="CO42" s="39">
        <v>46.95</v>
      </c>
      <c r="CP42" s="39">
        <v>47.1</v>
      </c>
      <c r="CQ42" s="39">
        <v>47.25</v>
      </c>
      <c r="CR42" s="39">
        <v>47.4</v>
      </c>
      <c r="CS42" s="39">
        <v>47.54</v>
      </c>
      <c r="CT42" s="39">
        <v>47.69</v>
      </c>
      <c r="CU42" s="39">
        <v>47.84</v>
      </c>
      <c r="CV42" s="39">
        <v>47.98</v>
      </c>
      <c r="CW42" s="39">
        <v>48.12</v>
      </c>
      <c r="CX42" s="39">
        <v>48.27</v>
      </c>
      <c r="CY42" s="39">
        <v>48.41</v>
      </c>
      <c r="CZ42" s="39">
        <v>48.55</v>
      </c>
      <c r="DA42" s="39">
        <v>48.69</v>
      </c>
      <c r="DB42" s="39">
        <v>48.83</v>
      </c>
      <c r="DC42" s="39">
        <v>48.96</v>
      </c>
      <c r="DD42" s="39">
        <v>49.1</v>
      </c>
      <c r="DE42" s="39">
        <v>49.24</v>
      </c>
      <c r="DF42" s="39">
        <v>49.37</v>
      </c>
      <c r="DG42" s="39">
        <v>49.5</v>
      </c>
      <c r="DH42" s="39">
        <v>49.63</v>
      </c>
      <c r="DI42" s="39">
        <v>49.77</v>
      </c>
      <c r="DJ42" s="39">
        <v>49.9</v>
      </c>
      <c r="DK42" s="39">
        <v>50.02</v>
      </c>
      <c r="DL42" s="39">
        <v>50.15</v>
      </c>
      <c r="DM42" s="39">
        <v>50.28</v>
      </c>
      <c r="DN42" s="39">
        <v>50.4</v>
      </c>
      <c r="DO42" s="39">
        <v>50.53</v>
      </c>
      <c r="DP42" s="39">
        <v>50.65</v>
      </c>
      <c r="DQ42" s="39">
        <v>50.78</v>
      </c>
      <c r="DR42" s="39">
        <v>50.9</v>
      </c>
    </row>
    <row r="43" spans="1:122">
      <c r="A43" s="37">
        <v>41</v>
      </c>
      <c r="B43" s="38"/>
      <c r="C43" s="38"/>
      <c r="D43" s="38"/>
      <c r="E43" s="38"/>
      <c r="F43" s="38"/>
      <c r="G43" s="38"/>
      <c r="H43" s="38"/>
      <c r="I43" s="38"/>
      <c r="J43" s="38"/>
      <c r="K43" s="38"/>
      <c r="L43" s="38"/>
      <c r="M43" s="38"/>
      <c r="N43" s="38"/>
      <c r="O43" s="38"/>
      <c r="P43" s="38"/>
      <c r="Q43" s="38"/>
      <c r="R43" s="38"/>
      <c r="S43" s="38"/>
      <c r="T43" s="38"/>
      <c r="U43" s="38"/>
      <c r="V43" s="39"/>
      <c r="W43" s="39">
        <v>33.6</v>
      </c>
      <c r="X43" s="39">
        <v>33.83</v>
      </c>
      <c r="Y43" s="39">
        <v>33.9</v>
      </c>
      <c r="Z43" s="39">
        <v>34.130000000000003</v>
      </c>
      <c r="AA43" s="39">
        <v>34.340000000000003</v>
      </c>
      <c r="AB43" s="39">
        <v>34.5</v>
      </c>
      <c r="AC43" s="39">
        <v>34.5</v>
      </c>
      <c r="AD43" s="39">
        <v>34.450000000000003</v>
      </c>
      <c r="AE43" s="39">
        <v>34.53</v>
      </c>
      <c r="AF43" s="39">
        <v>34.75</v>
      </c>
      <c r="AG43" s="39">
        <v>35.01</v>
      </c>
      <c r="AH43" s="39">
        <v>35.32</v>
      </c>
      <c r="AI43" s="39">
        <v>35.6</v>
      </c>
      <c r="AJ43" s="39">
        <v>35.9</v>
      </c>
      <c r="AK43" s="39">
        <v>36.22</v>
      </c>
      <c r="AL43" s="39">
        <v>36.590000000000003</v>
      </c>
      <c r="AM43" s="39">
        <v>36.93</v>
      </c>
      <c r="AN43" s="39">
        <v>37.159999999999997</v>
      </c>
      <c r="AO43" s="39">
        <v>37.340000000000003</v>
      </c>
      <c r="AP43" s="39">
        <v>37.54</v>
      </c>
      <c r="AQ43" s="39">
        <v>37.729999999999997</v>
      </c>
      <c r="AR43" s="39">
        <v>37.979999999999997</v>
      </c>
      <c r="AS43" s="39">
        <v>38.020000000000003</v>
      </c>
      <c r="AT43" s="39">
        <v>38.119999999999997</v>
      </c>
      <c r="AU43" s="39">
        <v>38.22</v>
      </c>
      <c r="AV43" s="39">
        <v>38.33</v>
      </c>
      <c r="AW43" s="39">
        <v>38.58</v>
      </c>
      <c r="AX43" s="39">
        <v>38.729999999999997</v>
      </c>
      <c r="AY43" s="39">
        <v>38.82</v>
      </c>
      <c r="AZ43" s="39">
        <v>38.909999999999997</v>
      </c>
      <c r="BA43" s="39">
        <v>39.01</v>
      </c>
      <c r="BB43" s="39">
        <v>39.159999999999997</v>
      </c>
      <c r="BC43" s="39">
        <v>39.299999999999997</v>
      </c>
      <c r="BD43" s="39">
        <v>39.47</v>
      </c>
      <c r="BE43" s="39">
        <v>39.67</v>
      </c>
      <c r="BF43" s="39">
        <v>39.869999999999997</v>
      </c>
      <c r="BG43" s="39">
        <v>40.04</v>
      </c>
      <c r="BH43" s="39">
        <v>40.28</v>
      </c>
      <c r="BI43" s="39">
        <v>40.46</v>
      </c>
      <c r="BJ43" s="39">
        <v>40.69</v>
      </c>
      <c r="BK43" s="39">
        <v>40.869999999999997</v>
      </c>
      <c r="BL43" s="39">
        <v>41.1</v>
      </c>
      <c r="BM43" s="39">
        <v>41.32</v>
      </c>
      <c r="BN43" s="39">
        <v>41.53</v>
      </c>
      <c r="BO43" s="39">
        <v>41.72</v>
      </c>
      <c r="BP43" s="39">
        <v>41.91</v>
      </c>
      <c r="BQ43" s="39">
        <v>42.08</v>
      </c>
      <c r="BR43" s="39">
        <v>42.27</v>
      </c>
      <c r="BS43" s="39">
        <v>42.44</v>
      </c>
      <c r="BT43" s="40">
        <v>42.61</v>
      </c>
      <c r="BU43" s="39">
        <v>42.76</v>
      </c>
      <c r="BV43" s="39">
        <v>42.94</v>
      </c>
      <c r="BW43" s="39">
        <v>43.11</v>
      </c>
      <c r="BX43" s="39">
        <v>43.28</v>
      </c>
      <c r="BY43" s="39">
        <v>43.44</v>
      </c>
      <c r="BZ43" s="39">
        <v>43.6</v>
      </c>
      <c r="CA43" s="39">
        <v>43.77</v>
      </c>
      <c r="CB43" s="39">
        <v>43.94</v>
      </c>
      <c r="CC43" s="39">
        <v>44.1</v>
      </c>
      <c r="CD43" s="39">
        <v>44.26</v>
      </c>
      <c r="CE43" s="39">
        <v>44.43</v>
      </c>
      <c r="CF43" s="39">
        <v>44.59</v>
      </c>
      <c r="CG43" s="39">
        <v>44.75</v>
      </c>
      <c r="CH43" s="39">
        <v>44.91</v>
      </c>
      <c r="CI43" s="39">
        <v>45.06</v>
      </c>
      <c r="CJ43" s="39">
        <v>45.22</v>
      </c>
      <c r="CK43" s="39">
        <v>45.38</v>
      </c>
      <c r="CL43" s="39">
        <v>45.53</v>
      </c>
      <c r="CM43" s="39">
        <v>45.68</v>
      </c>
      <c r="CN43" s="39">
        <v>45.84</v>
      </c>
      <c r="CO43" s="39">
        <v>45.99</v>
      </c>
      <c r="CP43" s="39">
        <v>46.14</v>
      </c>
      <c r="CQ43" s="39">
        <v>46.29</v>
      </c>
      <c r="CR43" s="39">
        <v>46.44</v>
      </c>
      <c r="CS43" s="39">
        <v>46.58</v>
      </c>
      <c r="CT43" s="39">
        <v>46.73</v>
      </c>
      <c r="CU43" s="39">
        <v>46.87</v>
      </c>
      <c r="CV43" s="39">
        <v>47.02</v>
      </c>
      <c r="CW43" s="39">
        <v>47.16</v>
      </c>
      <c r="CX43" s="39">
        <v>47.3</v>
      </c>
      <c r="CY43" s="39">
        <v>47.44</v>
      </c>
      <c r="CZ43" s="39">
        <v>47.58</v>
      </c>
      <c r="DA43" s="39">
        <v>47.72</v>
      </c>
      <c r="DB43" s="39">
        <v>47.86</v>
      </c>
      <c r="DC43" s="39">
        <v>48</v>
      </c>
      <c r="DD43" s="39">
        <v>48.13</v>
      </c>
      <c r="DE43" s="39">
        <v>48.27</v>
      </c>
      <c r="DF43" s="39">
        <v>48.4</v>
      </c>
      <c r="DG43" s="39">
        <v>48.53</v>
      </c>
      <c r="DH43" s="39">
        <v>48.66</v>
      </c>
      <c r="DI43" s="39">
        <v>48.79</v>
      </c>
      <c r="DJ43" s="39">
        <v>48.92</v>
      </c>
      <c r="DK43" s="39">
        <v>49.05</v>
      </c>
      <c r="DL43" s="39">
        <v>49.18</v>
      </c>
      <c r="DM43" s="39">
        <v>49.31</v>
      </c>
      <c r="DN43" s="39">
        <v>49.43</v>
      </c>
      <c r="DO43" s="39">
        <v>49.55</v>
      </c>
      <c r="DP43" s="39">
        <v>49.68</v>
      </c>
      <c r="DQ43" s="39">
        <v>49.8</v>
      </c>
      <c r="DR43" s="39">
        <v>49.92</v>
      </c>
    </row>
    <row r="44" spans="1:122">
      <c r="A44" s="37">
        <v>42</v>
      </c>
      <c r="B44" s="38"/>
      <c r="C44" s="38"/>
      <c r="D44" s="38"/>
      <c r="E44" s="38"/>
      <c r="F44" s="38"/>
      <c r="G44" s="38"/>
      <c r="H44" s="38"/>
      <c r="I44" s="38"/>
      <c r="J44" s="38"/>
      <c r="K44" s="38"/>
      <c r="L44" s="38"/>
      <c r="M44" s="38"/>
      <c r="N44" s="38"/>
      <c r="O44" s="38"/>
      <c r="P44" s="38"/>
      <c r="Q44" s="38"/>
      <c r="R44" s="38"/>
      <c r="S44" s="38"/>
      <c r="T44" s="38"/>
      <c r="U44" s="38"/>
      <c r="V44" s="39"/>
      <c r="W44" s="39">
        <v>32.71</v>
      </c>
      <c r="X44" s="39">
        <v>32.94</v>
      </c>
      <c r="Y44" s="39">
        <v>33</v>
      </c>
      <c r="Z44" s="39">
        <v>33.24</v>
      </c>
      <c r="AA44" s="39">
        <v>33.450000000000003</v>
      </c>
      <c r="AB44" s="39">
        <v>33.6</v>
      </c>
      <c r="AC44" s="39">
        <v>33.61</v>
      </c>
      <c r="AD44" s="39">
        <v>33.56</v>
      </c>
      <c r="AE44" s="39">
        <v>33.65</v>
      </c>
      <c r="AF44" s="39">
        <v>33.869999999999997</v>
      </c>
      <c r="AG44" s="39">
        <v>34.130000000000003</v>
      </c>
      <c r="AH44" s="39">
        <v>34.44</v>
      </c>
      <c r="AI44" s="39">
        <v>34.71</v>
      </c>
      <c r="AJ44" s="39">
        <v>35.03</v>
      </c>
      <c r="AK44" s="39">
        <v>35.340000000000003</v>
      </c>
      <c r="AL44" s="39">
        <v>35.71</v>
      </c>
      <c r="AM44" s="39">
        <v>36.049999999999997</v>
      </c>
      <c r="AN44" s="39">
        <v>36.28</v>
      </c>
      <c r="AO44" s="39">
        <v>36.450000000000003</v>
      </c>
      <c r="AP44" s="39">
        <v>36.659999999999997</v>
      </c>
      <c r="AQ44" s="39">
        <v>36.840000000000003</v>
      </c>
      <c r="AR44" s="39">
        <v>37.090000000000003</v>
      </c>
      <c r="AS44" s="39">
        <v>37.119999999999997</v>
      </c>
      <c r="AT44" s="39">
        <v>37.21</v>
      </c>
      <c r="AU44" s="39">
        <v>37.32</v>
      </c>
      <c r="AV44" s="39">
        <v>37.42</v>
      </c>
      <c r="AW44" s="39">
        <v>37.67</v>
      </c>
      <c r="AX44" s="39">
        <v>37.82</v>
      </c>
      <c r="AY44" s="39">
        <v>37.92</v>
      </c>
      <c r="AZ44" s="39">
        <v>38.03</v>
      </c>
      <c r="BA44" s="39">
        <v>38.119999999999997</v>
      </c>
      <c r="BB44" s="39">
        <v>38.26</v>
      </c>
      <c r="BC44" s="39">
        <v>38.409999999999997</v>
      </c>
      <c r="BD44" s="39">
        <v>38.58</v>
      </c>
      <c r="BE44" s="39">
        <v>38.770000000000003</v>
      </c>
      <c r="BF44" s="39">
        <v>38.96</v>
      </c>
      <c r="BG44" s="39">
        <v>39.130000000000003</v>
      </c>
      <c r="BH44" s="39">
        <v>39.369999999999997</v>
      </c>
      <c r="BI44" s="39">
        <v>39.549999999999997</v>
      </c>
      <c r="BJ44" s="39">
        <v>39.76</v>
      </c>
      <c r="BK44" s="39">
        <v>39.950000000000003</v>
      </c>
      <c r="BL44" s="39">
        <v>40.18</v>
      </c>
      <c r="BM44" s="39">
        <v>40.4</v>
      </c>
      <c r="BN44" s="39">
        <v>40.6</v>
      </c>
      <c r="BO44" s="39">
        <v>40.78</v>
      </c>
      <c r="BP44" s="39">
        <v>40.97</v>
      </c>
      <c r="BQ44" s="39">
        <v>41.14</v>
      </c>
      <c r="BR44" s="39">
        <v>41.33</v>
      </c>
      <c r="BS44" s="39">
        <v>41.49</v>
      </c>
      <c r="BT44" s="40">
        <v>41.66</v>
      </c>
      <c r="BU44" s="39">
        <v>41.82</v>
      </c>
      <c r="BV44" s="39">
        <v>42</v>
      </c>
      <c r="BW44" s="39">
        <v>42.17</v>
      </c>
      <c r="BX44" s="39">
        <v>42.34</v>
      </c>
      <c r="BY44" s="39">
        <v>42.5</v>
      </c>
      <c r="BZ44" s="39">
        <v>42.67</v>
      </c>
      <c r="CA44" s="39">
        <v>42.83</v>
      </c>
      <c r="CB44" s="39">
        <v>42.99</v>
      </c>
      <c r="CC44" s="39">
        <v>43.16</v>
      </c>
      <c r="CD44" s="39">
        <v>43.32</v>
      </c>
      <c r="CE44" s="39">
        <v>43.48</v>
      </c>
      <c r="CF44" s="39">
        <v>43.64</v>
      </c>
      <c r="CG44" s="39">
        <v>43.8</v>
      </c>
      <c r="CH44" s="39">
        <v>43.96</v>
      </c>
      <c r="CI44" s="39">
        <v>44.11</v>
      </c>
      <c r="CJ44" s="39">
        <v>44.27</v>
      </c>
      <c r="CK44" s="39">
        <v>44.42</v>
      </c>
      <c r="CL44" s="39">
        <v>44.58</v>
      </c>
      <c r="CM44" s="39">
        <v>44.73</v>
      </c>
      <c r="CN44" s="39">
        <v>44.88</v>
      </c>
      <c r="CO44" s="39">
        <v>45.03</v>
      </c>
      <c r="CP44" s="39">
        <v>45.18</v>
      </c>
      <c r="CQ44" s="39">
        <v>45.33</v>
      </c>
      <c r="CR44" s="39">
        <v>45.48</v>
      </c>
      <c r="CS44" s="39">
        <v>45.62</v>
      </c>
      <c r="CT44" s="39">
        <v>45.77</v>
      </c>
      <c r="CU44" s="39">
        <v>45.91</v>
      </c>
      <c r="CV44" s="39">
        <v>46.06</v>
      </c>
      <c r="CW44" s="39">
        <v>46.2</v>
      </c>
      <c r="CX44" s="39">
        <v>46.34</v>
      </c>
      <c r="CY44" s="39">
        <v>46.48</v>
      </c>
      <c r="CZ44" s="39">
        <v>46.62</v>
      </c>
      <c r="DA44" s="39">
        <v>46.76</v>
      </c>
      <c r="DB44" s="39">
        <v>46.89</v>
      </c>
      <c r="DC44" s="39">
        <v>47.03</v>
      </c>
      <c r="DD44" s="39">
        <v>47.16</v>
      </c>
      <c r="DE44" s="39">
        <v>47.3</v>
      </c>
      <c r="DF44" s="39">
        <v>47.43</v>
      </c>
      <c r="DG44" s="39">
        <v>47.56</v>
      </c>
      <c r="DH44" s="39">
        <v>47.69</v>
      </c>
      <c r="DI44" s="39">
        <v>47.82</v>
      </c>
      <c r="DJ44" s="39">
        <v>47.95</v>
      </c>
      <c r="DK44" s="39">
        <v>48.08</v>
      </c>
      <c r="DL44" s="39">
        <v>48.21</v>
      </c>
      <c r="DM44" s="39">
        <v>48.33</v>
      </c>
      <c r="DN44" s="39">
        <v>48.46</v>
      </c>
      <c r="DO44" s="39">
        <v>48.58</v>
      </c>
      <c r="DP44" s="39">
        <v>48.7</v>
      </c>
      <c r="DQ44" s="39">
        <v>48.83</v>
      </c>
      <c r="DR44" s="39">
        <v>48.95</v>
      </c>
    </row>
    <row r="45" spans="1:122">
      <c r="A45" s="37">
        <v>43</v>
      </c>
      <c r="B45" s="38"/>
      <c r="C45" s="38"/>
      <c r="D45" s="38"/>
      <c r="E45" s="38"/>
      <c r="F45" s="38"/>
      <c r="G45" s="38"/>
      <c r="H45" s="38"/>
      <c r="I45" s="38"/>
      <c r="J45" s="38"/>
      <c r="K45" s="38"/>
      <c r="L45" s="38"/>
      <c r="M45" s="38"/>
      <c r="N45" s="38"/>
      <c r="O45" s="38"/>
      <c r="P45" s="38"/>
      <c r="Q45" s="38"/>
      <c r="R45" s="38"/>
      <c r="S45" s="38"/>
      <c r="T45" s="38"/>
      <c r="U45" s="38"/>
      <c r="V45" s="39"/>
      <c r="W45" s="39">
        <v>31.82</v>
      </c>
      <c r="X45" s="39">
        <v>32.049999999999997</v>
      </c>
      <c r="Y45" s="39">
        <v>32.119999999999997</v>
      </c>
      <c r="Z45" s="39">
        <v>32.35</v>
      </c>
      <c r="AA45" s="39">
        <v>32.549999999999997</v>
      </c>
      <c r="AB45" s="39">
        <v>32.71</v>
      </c>
      <c r="AC45" s="39">
        <v>32.729999999999997</v>
      </c>
      <c r="AD45" s="39">
        <v>32.68</v>
      </c>
      <c r="AE45" s="39">
        <v>32.770000000000003</v>
      </c>
      <c r="AF45" s="39">
        <v>33</v>
      </c>
      <c r="AG45" s="39">
        <v>33.26</v>
      </c>
      <c r="AH45" s="39">
        <v>33.56</v>
      </c>
      <c r="AI45" s="39">
        <v>33.840000000000003</v>
      </c>
      <c r="AJ45" s="39">
        <v>34.15</v>
      </c>
      <c r="AK45" s="39">
        <v>34.46</v>
      </c>
      <c r="AL45" s="39">
        <v>34.83</v>
      </c>
      <c r="AM45" s="39">
        <v>35.17</v>
      </c>
      <c r="AN45" s="39">
        <v>35.4</v>
      </c>
      <c r="AO45" s="39">
        <v>35.57</v>
      </c>
      <c r="AP45" s="39">
        <v>35.78</v>
      </c>
      <c r="AQ45" s="39">
        <v>35.950000000000003</v>
      </c>
      <c r="AR45" s="39">
        <v>36.19</v>
      </c>
      <c r="AS45" s="39">
        <v>36.229999999999997</v>
      </c>
      <c r="AT45" s="39">
        <v>36.32</v>
      </c>
      <c r="AU45" s="39">
        <v>36.42</v>
      </c>
      <c r="AV45" s="39">
        <v>36.53</v>
      </c>
      <c r="AW45" s="39">
        <v>36.78</v>
      </c>
      <c r="AX45" s="39">
        <v>36.93</v>
      </c>
      <c r="AY45" s="39">
        <v>37.03</v>
      </c>
      <c r="AZ45" s="39">
        <v>37.130000000000003</v>
      </c>
      <c r="BA45" s="39">
        <v>37.229999999999997</v>
      </c>
      <c r="BB45" s="39">
        <v>37.369999999999997</v>
      </c>
      <c r="BC45" s="39">
        <v>37.520000000000003</v>
      </c>
      <c r="BD45" s="39">
        <v>37.68</v>
      </c>
      <c r="BE45" s="39">
        <v>37.869999999999997</v>
      </c>
      <c r="BF45" s="39">
        <v>38.06</v>
      </c>
      <c r="BG45" s="39">
        <v>38.229999999999997</v>
      </c>
      <c r="BH45" s="39">
        <v>38.46</v>
      </c>
      <c r="BI45" s="39">
        <v>38.64</v>
      </c>
      <c r="BJ45" s="39">
        <v>38.85</v>
      </c>
      <c r="BK45" s="39">
        <v>39.04</v>
      </c>
      <c r="BL45" s="39">
        <v>39.26</v>
      </c>
      <c r="BM45" s="39">
        <v>39.47</v>
      </c>
      <c r="BN45" s="39">
        <v>39.67</v>
      </c>
      <c r="BO45" s="39">
        <v>39.85</v>
      </c>
      <c r="BP45" s="39">
        <v>40.04</v>
      </c>
      <c r="BQ45" s="39">
        <v>40.21</v>
      </c>
      <c r="BR45" s="39">
        <v>40.39</v>
      </c>
      <c r="BS45" s="39">
        <v>40.56</v>
      </c>
      <c r="BT45" s="40">
        <v>40.729999999999997</v>
      </c>
      <c r="BU45" s="39">
        <v>40.880000000000003</v>
      </c>
      <c r="BV45" s="39">
        <v>41.06</v>
      </c>
      <c r="BW45" s="39">
        <v>41.23</v>
      </c>
      <c r="BX45" s="39">
        <v>41.4</v>
      </c>
      <c r="BY45" s="39">
        <v>41.56</v>
      </c>
      <c r="BZ45" s="39">
        <v>41.72</v>
      </c>
      <c r="CA45" s="39">
        <v>41.89</v>
      </c>
      <c r="CB45" s="39">
        <v>42.05</v>
      </c>
      <c r="CC45" s="39">
        <v>42.21</v>
      </c>
      <c r="CD45" s="39">
        <v>42.38</v>
      </c>
      <c r="CE45" s="39">
        <v>42.54</v>
      </c>
      <c r="CF45" s="39">
        <v>42.69</v>
      </c>
      <c r="CG45" s="39">
        <v>42.85</v>
      </c>
      <c r="CH45" s="39">
        <v>43.01</v>
      </c>
      <c r="CI45" s="39">
        <v>43.16</v>
      </c>
      <c r="CJ45" s="39">
        <v>43.32</v>
      </c>
      <c r="CK45" s="39">
        <v>43.47</v>
      </c>
      <c r="CL45" s="39">
        <v>43.63</v>
      </c>
      <c r="CM45" s="39">
        <v>43.78</v>
      </c>
      <c r="CN45" s="39">
        <v>43.93</v>
      </c>
      <c r="CO45" s="39">
        <v>44.08</v>
      </c>
      <c r="CP45" s="39">
        <v>44.23</v>
      </c>
      <c r="CQ45" s="39">
        <v>44.37</v>
      </c>
      <c r="CR45" s="39">
        <v>44.52</v>
      </c>
      <c r="CS45" s="39">
        <v>44.67</v>
      </c>
      <c r="CT45" s="39">
        <v>44.81</v>
      </c>
      <c r="CU45" s="39">
        <v>44.95</v>
      </c>
      <c r="CV45" s="39">
        <v>45.1</v>
      </c>
      <c r="CW45" s="39">
        <v>45.24</v>
      </c>
      <c r="CX45" s="39">
        <v>45.38</v>
      </c>
      <c r="CY45" s="39">
        <v>45.52</v>
      </c>
      <c r="CZ45" s="39">
        <v>45.66</v>
      </c>
      <c r="DA45" s="39">
        <v>45.79</v>
      </c>
      <c r="DB45" s="39">
        <v>45.93</v>
      </c>
      <c r="DC45" s="39">
        <v>46.07</v>
      </c>
      <c r="DD45" s="39">
        <v>46.2</v>
      </c>
      <c r="DE45" s="39">
        <v>46.33</v>
      </c>
      <c r="DF45" s="39">
        <v>46.47</v>
      </c>
      <c r="DG45" s="39">
        <v>46.6</v>
      </c>
      <c r="DH45" s="39">
        <v>46.73</v>
      </c>
      <c r="DI45" s="39">
        <v>46.86</v>
      </c>
      <c r="DJ45" s="39">
        <v>46.98</v>
      </c>
      <c r="DK45" s="39">
        <v>47.11</v>
      </c>
      <c r="DL45" s="39">
        <v>47.24</v>
      </c>
      <c r="DM45" s="39">
        <v>47.36</v>
      </c>
      <c r="DN45" s="39">
        <v>47.49</v>
      </c>
      <c r="DO45" s="39">
        <v>47.61</v>
      </c>
      <c r="DP45" s="39">
        <v>47.73</v>
      </c>
      <c r="DQ45" s="39">
        <v>47.85</v>
      </c>
      <c r="DR45" s="39">
        <v>47.97</v>
      </c>
    </row>
    <row r="46" spans="1:122">
      <c r="A46" s="37">
        <v>44</v>
      </c>
      <c r="B46" s="38"/>
      <c r="C46" s="38"/>
      <c r="D46" s="38"/>
      <c r="E46" s="38"/>
      <c r="F46" s="38"/>
      <c r="G46" s="38"/>
      <c r="H46" s="38"/>
      <c r="I46" s="38"/>
      <c r="J46" s="38"/>
      <c r="K46" s="38"/>
      <c r="L46" s="38"/>
      <c r="M46" s="38"/>
      <c r="N46" s="38"/>
      <c r="O46" s="38"/>
      <c r="P46" s="38"/>
      <c r="Q46" s="38"/>
      <c r="R46" s="38"/>
      <c r="S46" s="38"/>
      <c r="T46" s="38"/>
      <c r="U46" s="38"/>
      <c r="V46" s="39"/>
      <c r="W46" s="39">
        <v>30.93</v>
      </c>
      <c r="X46" s="39">
        <v>31.16</v>
      </c>
      <c r="Y46" s="39">
        <v>31.24</v>
      </c>
      <c r="Z46" s="39">
        <v>31.48</v>
      </c>
      <c r="AA46" s="39">
        <v>31.68</v>
      </c>
      <c r="AB46" s="39">
        <v>31.84</v>
      </c>
      <c r="AC46" s="39">
        <v>31.86</v>
      </c>
      <c r="AD46" s="39">
        <v>31.81</v>
      </c>
      <c r="AE46" s="39">
        <v>31.9</v>
      </c>
      <c r="AF46" s="39">
        <v>32.119999999999997</v>
      </c>
      <c r="AG46" s="39">
        <v>32.4</v>
      </c>
      <c r="AH46" s="39">
        <v>32.700000000000003</v>
      </c>
      <c r="AI46" s="39">
        <v>32.97</v>
      </c>
      <c r="AJ46" s="39">
        <v>33.29</v>
      </c>
      <c r="AK46" s="39">
        <v>33.590000000000003</v>
      </c>
      <c r="AL46" s="39">
        <v>33.96</v>
      </c>
      <c r="AM46" s="39">
        <v>34.299999999999997</v>
      </c>
      <c r="AN46" s="39">
        <v>34.53</v>
      </c>
      <c r="AO46" s="39">
        <v>34.700000000000003</v>
      </c>
      <c r="AP46" s="39">
        <v>34.89</v>
      </c>
      <c r="AQ46" s="39">
        <v>35.06</v>
      </c>
      <c r="AR46" s="39">
        <v>35.31</v>
      </c>
      <c r="AS46" s="39">
        <v>35.340000000000003</v>
      </c>
      <c r="AT46" s="39">
        <v>35.43</v>
      </c>
      <c r="AU46" s="39">
        <v>35.53</v>
      </c>
      <c r="AV46" s="39">
        <v>35.64</v>
      </c>
      <c r="AW46" s="39">
        <v>35.89</v>
      </c>
      <c r="AX46" s="39">
        <v>36.049999999999997</v>
      </c>
      <c r="AY46" s="39">
        <v>36.15</v>
      </c>
      <c r="AZ46" s="39">
        <v>36.24</v>
      </c>
      <c r="BA46" s="39">
        <v>36.35</v>
      </c>
      <c r="BB46" s="39">
        <v>36.49</v>
      </c>
      <c r="BC46" s="39">
        <v>36.630000000000003</v>
      </c>
      <c r="BD46" s="39">
        <v>36.79</v>
      </c>
      <c r="BE46" s="39">
        <v>36.979999999999997</v>
      </c>
      <c r="BF46" s="39">
        <v>37.17</v>
      </c>
      <c r="BG46" s="39">
        <v>37.33</v>
      </c>
      <c r="BH46" s="39">
        <v>37.56</v>
      </c>
      <c r="BI46" s="39">
        <v>37.729999999999997</v>
      </c>
      <c r="BJ46" s="39">
        <v>37.950000000000003</v>
      </c>
      <c r="BK46" s="39">
        <v>38.130000000000003</v>
      </c>
      <c r="BL46" s="39">
        <v>38.35</v>
      </c>
      <c r="BM46" s="39">
        <v>38.549999999999997</v>
      </c>
      <c r="BN46" s="39">
        <v>38.75</v>
      </c>
      <c r="BO46" s="39">
        <v>38.93</v>
      </c>
      <c r="BP46" s="39">
        <v>39.11</v>
      </c>
      <c r="BQ46" s="39">
        <v>39.28</v>
      </c>
      <c r="BR46" s="39">
        <v>39.46</v>
      </c>
      <c r="BS46" s="39">
        <v>39.619999999999997</v>
      </c>
      <c r="BT46" s="40">
        <v>39.79</v>
      </c>
      <c r="BU46" s="39">
        <v>39.950000000000003</v>
      </c>
      <c r="BV46" s="39">
        <v>40.130000000000003</v>
      </c>
      <c r="BW46" s="39">
        <v>40.29</v>
      </c>
      <c r="BX46" s="39">
        <v>40.46</v>
      </c>
      <c r="BY46" s="39">
        <v>40.619999999999997</v>
      </c>
      <c r="BZ46" s="39">
        <v>40.79</v>
      </c>
      <c r="CA46" s="39">
        <v>40.950000000000003</v>
      </c>
      <c r="CB46" s="39">
        <v>41.11</v>
      </c>
      <c r="CC46" s="39">
        <v>41.27</v>
      </c>
      <c r="CD46" s="39">
        <v>41.43</v>
      </c>
      <c r="CE46" s="39">
        <v>41.59</v>
      </c>
      <c r="CF46" s="39">
        <v>41.75</v>
      </c>
      <c r="CG46" s="39">
        <v>41.91</v>
      </c>
      <c r="CH46" s="39">
        <v>42.06</v>
      </c>
      <c r="CI46" s="39">
        <v>42.22</v>
      </c>
      <c r="CJ46" s="39">
        <v>42.37</v>
      </c>
      <c r="CK46" s="39">
        <v>42.53</v>
      </c>
      <c r="CL46" s="39">
        <v>42.68</v>
      </c>
      <c r="CM46" s="39">
        <v>42.83</v>
      </c>
      <c r="CN46" s="39">
        <v>42.98</v>
      </c>
      <c r="CO46" s="39">
        <v>43.13</v>
      </c>
      <c r="CP46" s="39">
        <v>43.27</v>
      </c>
      <c r="CQ46" s="39">
        <v>43.42</v>
      </c>
      <c r="CR46" s="39">
        <v>43.57</v>
      </c>
      <c r="CS46" s="39">
        <v>43.71</v>
      </c>
      <c r="CT46" s="39">
        <v>43.86</v>
      </c>
      <c r="CU46" s="39">
        <v>44</v>
      </c>
      <c r="CV46" s="39">
        <v>44.14</v>
      </c>
      <c r="CW46" s="39">
        <v>44.28</v>
      </c>
      <c r="CX46" s="39">
        <v>44.42</v>
      </c>
      <c r="CY46" s="39">
        <v>44.56</v>
      </c>
      <c r="CZ46" s="39">
        <v>44.7</v>
      </c>
      <c r="DA46" s="39">
        <v>44.83</v>
      </c>
      <c r="DB46" s="39">
        <v>44.97</v>
      </c>
      <c r="DC46" s="39">
        <v>45.1</v>
      </c>
      <c r="DD46" s="39">
        <v>45.24</v>
      </c>
      <c r="DE46" s="39">
        <v>45.37</v>
      </c>
      <c r="DF46" s="39">
        <v>45.5</v>
      </c>
      <c r="DG46" s="39">
        <v>45.63</v>
      </c>
      <c r="DH46" s="39">
        <v>45.76</v>
      </c>
      <c r="DI46" s="39">
        <v>45.89</v>
      </c>
      <c r="DJ46" s="39">
        <v>46.02</v>
      </c>
      <c r="DK46" s="39">
        <v>46.14</v>
      </c>
      <c r="DL46" s="39">
        <v>46.27</v>
      </c>
      <c r="DM46" s="39">
        <v>46.39</v>
      </c>
      <c r="DN46" s="39">
        <v>46.52</v>
      </c>
      <c r="DO46" s="39">
        <v>46.64</v>
      </c>
      <c r="DP46" s="39">
        <v>46.76</v>
      </c>
      <c r="DQ46" s="39">
        <v>46.88</v>
      </c>
      <c r="DR46" s="39">
        <v>47</v>
      </c>
    </row>
    <row r="47" spans="1:122">
      <c r="A47" s="37">
        <v>45</v>
      </c>
      <c r="B47" s="38"/>
      <c r="C47" s="38"/>
      <c r="D47" s="38"/>
      <c r="E47" s="38"/>
      <c r="F47" s="38"/>
      <c r="G47" s="38"/>
      <c r="H47" s="38"/>
      <c r="I47" s="38"/>
      <c r="J47" s="38"/>
      <c r="K47" s="38"/>
      <c r="L47" s="38"/>
      <c r="M47" s="38"/>
      <c r="N47" s="38"/>
      <c r="O47" s="38"/>
      <c r="P47" s="38"/>
      <c r="Q47" s="38"/>
      <c r="R47" s="38"/>
      <c r="S47" s="38"/>
      <c r="T47" s="38"/>
      <c r="U47" s="38"/>
      <c r="V47" s="39"/>
      <c r="W47" s="39">
        <v>30.06</v>
      </c>
      <c r="X47" s="39">
        <v>30.29</v>
      </c>
      <c r="Y47" s="39">
        <v>30.37</v>
      </c>
      <c r="Z47" s="39">
        <v>30.61</v>
      </c>
      <c r="AA47" s="39">
        <v>30.81</v>
      </c>
      <c r="AB47" s="39">
        <v>30.97</v>
      </c>
      <c r="AC47" s="39">
        <v>30.99</v>
      </c>
      <c r="AD47" s="39">
        <v>30.96</v>
      </c>
      <c r="AE47" s="39">
        <v>31.04</v>
      </c>
      <c r="AF47" s="39">
        <v>31.26</v>
      </c>
      <c r="AG47" s="39">
        <v>31.54</v>
      </c>
      <c r="AH47" s="39">
        <v>31.84</v>
      </c>
      <c r="AI47" s="39">
        <v>32.11</v>
      </c>
      <c r="AJ47" s="39">
        <v>32.43</v>
      </c>
      <c r="AK47" s="39">
        <v>32.729999999999997</v>
      </c>
      <c r="AL47" s="39">
        <v>33.1</v>
      </c>
      <c r="AM47" s="39">
        <v>33.43</v>
      </c>
      <c r="AN47" s="39">
        <v>33.659999999999997</v>
      </c>
      <c r="AO47" s="39">
        <v>33.82</v>
      </c>
      <c r="AP47" s="39">
        <v>34.020000000000003</v>
      </c>
      <c r="AQ47" s="39">
        <v>34.18</v>
      </c>
      <c r="AR47" s="39">
        <v>34.43</v>
      </c>
      <c r="AS47" s="39">
        <v>34.46</v>
      </c>
      <c r="AT47" s="39">
        <v>34.549999999999997</v>
      </c>
      <c r="AU47" s="39">
        <v>34.65</v>
      </c>
      <c r="AV47" s="39">
        <v>34.76</v>
      </c>
      <c r="AW47" s="39">
        <v>35.020000000000003</v>
      </c>
      <c r="AX47" s="39">
        <v>35.17</v>
      </c>
      <c r="AY47" s="39">
        <v>35.270000000000003</v>
      </c>
      <c r="AZ47" s="39">
        <v>35.36</v>
      </c>
      <c r="BA47" s="39">
        <v>35.47</v>
      </c>
      <c r="BB47" s="39">
        <v>35.6</v>
      </c>
      <c r="BC47" s="39">
        <v>35.75</v>
      </c>
      <c r="BD47" s="39">
        <v>35.9</v>
      </c>
      <c r="BE47" s="39">
        <v>36.090000000000003</v>
      </c>
      <c r="BF47" s="39">
        <v>36.270000000000003</v>
      </c>
      <c r="BG47" s="39">
        <v>36.43</v>
      </c>
      <c r="BH47" s="39">
        <v>36.659999999999997</v>
      </c>
      <c r="BI47" s="39">
        <v>36.83</v>
      </c>
      <c r="BJ47" s="39">
        <v>37.04</v>
      </c>
      <c r="BK47" s="39">
        <v>37.22</v>
      </c>
      <c r="BL47" s="39">
        <v>37.43</v>
      </c>
      <c r="BM47" s="39">
        <v>37.630000000000003</v>
      </c>
      <c r="BN47" s="39">
        <v>37.83</v>
      </c>
      <c r="BO47" s="39">
        <v>38</v>
      </c>
      <c r="BP47" s="39">
        <v>38.18</v>
      </c>
      <c r="BQ47" s="39">
        <v>38.35</v>
      </c>
      <c r="BR47" s="39">
        <v>38.53</v>
      </c>
      <c r="BS47" s="39">
        <v>38.69</v>
      </c>
      <c r="BT47" s="40">
        <v>38.86</v>
      </c>
      <c r="BU47" s="39">
        <v>39.020000000000003</v>
      </c>
      <c r="BV47" s="39">
        <v>39.200000000000003</v>
      </c>
      <c r="BW47" s="39">
        <v>39.36</v>
      </c>
      <c r="BX47" s="39">
        <v>39.53</v>
      </c>
      <c r="BY47" s="39">
        <v>39.69</v>
      </c>
      <c r="BZ47" s="39">
        <v>39.85</v>
      </c>
      <c r="CA47" s="39">
        <v>40.020000000000003</v>
      </c>
      <c r="CB47" s="39">
        <v>40.18</v>
      </c>
      <c r="CC47" s="39">
        <v>40.340000000000003</v>
      </c>
      <c r="CD47" s="39">
        <v>40.5</v>
      </c>
      <c r="CE47" s="39">
        <v>40.65</v>
      </c>
      <c r="CF47" s="39">
        <v>40.81</v>
      </c>
      <c r="CG47" s="39">
        <v>40.97</v>
      </c>
      <c r="CH47" s="39">
        <v>41.12</v>
      </c>
      <c r="CI47" s="39">
        <v>41.28</v>
      </c>
      <c r="CJ47" s="39">
        <v>41.43</v>
      </c>
      <c r="CK47" s="39">
        <v>41.58</v>
      </c>
      <c r="CL47" s="39">
        <v>41.73</v>
      </c>
      <c r="CM47" s="39">
        <v>41.88</v>
      </c>
      <c r="CN47" s="39">
        <v>42.03</v>
      </c>
      <c r="CO47" s="39">
        <v>42.18</v>
      </c>
      <c r="CP47" s="39">
        <v>42.32</v>
      </c>
      <c r="CQ47" s="39">
        <v>42.47</v>
      </c>
      <c r="CR47" s="39">
        <v>42.62</v>
      </c>
      <c r="CS47" s="39">
        <v>42.76</v>
      </c>
      <c r="CT47" s="39">
        <v>42.9</v>
      </c>
      <c r="CU47" s="39">
        <v>43.04</v>
      </c>
      <c r="CV47" s="39">
        <v>43.18</v>
      </c>
      <c r="CW47" s="39">
        <v>43.32</v>
      </c>
      <c r="CX47" s="39">
        <v>43.46</v>
      </c>
      <c r="CY47" s="39">
        <v>43.6</v>
      </c>
      <c r="CZ47" s="39">
        <v>43.74</v>
      </c>
      <c r="DA47" s="39">
        <v>43.87</v>
      </c>
      <c r="DB47" s="39">
        <v>44.01</v>
      </c>
      <c r="DC47" s="39">
        <v>44.14</v>
      </c>
      <c r="DD47" s="39">
        <v>44.28</v>
      </c>
      <c r="DE47" s="39">
        <v>44.41</v>
      </c>
      <c r="DF47" s="39">
        <v>44.54</v>
      </c>
      <c r="DG47" s="39">
        <v>44.67</v>
      </c>
      <c r="DH47" s="39">
        <v>44.8</v>
      </c>
      <c r="DI47" s="39">
        <v>44.93</v>
      </c>
      <c r="DJ47" s="39">
        <v>45.05</v>
      </c>
      <c r="DK47" s="39">
        <v>45.18</v>
      </c>
      <c r="DL47" s="39">
        <v>45.3</v>
      </c>
      <c r="DM47" s="39">
        <v>45.43</v>
      </c>
      <c r="DN47" s="39">
        <v>45.55</v>
      </c>
      <c r="DO47" s="39">
        <v>45.67</v>
      </c>
      <c r="DP47" s="39">
        <v>45.79</v>
      </c>
      <c r="DQ47" s="39">
        <v>45.91</v>
      </c>
      <c r="DR47" s="39">
        <v>46.03</v>
      </c>
    </row>
    <row r="48" spans="1:122">
      <c r="A48" s="37">
        <v>46</v>
      </c>
      <c r="B48" s="38"/>
      <c r="C48" s="38"/>
      <c r="D48" s="38"/>
      <c r="E48" s="38"/>
      <c r="F48" s="38"/>
      <c r="G48" s="38"/>
      <c r="H48" s="38"/>
      <c r="I48" s="38"/>
      <c r="J48" s="38"/>
      <c r="K48" s="38"/>
      <c r="L48" s="38"/>
      <c r="M48" s="38"/>
      <c r="N48" s="38"/>
      <c r="O48" s="38"/>
      <c r="P48" s="38"/>
      <c r="Q48" s="38"/>
      <c r="R48" s="38"/>
      <c r="S48" s="38"/>
      <c r="T48" s="38"/>
      <c r="U48" s="38"/>
      <c r="V48" s="39"/>
      <c r="W48" s="39">
        <v>29.19</v>
      </c>
      <c r="X48" s="39">
        <v>29.43</v>
      </c>
      <c r="Y48" s="39">
        <v>29.51</v>
      </c>
      <c r="Z48" s="39">
        <v>29.75</v>
      </c>
      <c r="AA48" s="39">
        <v>29.95</v>
      </c>
      <c r="AB48" s="39">
        <v>30.12</v>
      </c>
      <c r="AC48" s="39">
        <v>30.14</v>
      </c>
      <c r="AD48" s="39">
        <v>30.1</v>
      </c>
      <c r="AE48" s="39">
        <v>30.19</v>
      </c>
      <c r="AF48" s="39">
        <v>30.42</v>
      </c>
      <c r="AG48" s="39">
        <v>30.69</v>
      </c>
      <c r="AH48" s="39">
        <v>30.99</v>
      </c>
      <c r="AI48" s="39">
        <v>31.26</v>
      </c>
      <c r="AJ48" s="39">
        <v>31.58</v>
      </c>
      <c r="AK48" s="39">
        <v>31.88</v>
      </c>
      <c r="AL48" s="39">
        <v>32.25</v>
      </c>
      <c r="AM48" s="39">
        <v>32.57</v>
      </c>
      <c r="AN48" s="39">
        <v>32.799999999999997</v>
      </c>
      <c r="AO48" s="39">
        <v>32.96</v>
      </c>
      <c r="AP48" s="39">
        <v>33.15</v>
      </c>
      <c r="AQ48" s="39">
        <v>33.32</v>
      </c>
      <c r="AR48" s="39">
        <v>33.549999999999997</v>
      </c>
      <c r="AS48" s="39">
        <v>33.590000000000003</v>
      </c>
      <c r="AT48" s="39">
        <v>33.67</v>
      </c>
      <c r="AU48" s="39">
        <v>33.78</v>
      </c>
      <c r="AV48" s="39">
        <v>33.9</v>
      </c>
      <c r="AW48" s="39">
        <v>34.14</v>
      </c>
      <c r="AX48" s="39">
        <v>34.299999999999997</v>
      </c>
      <c r="AY48" s="39">
        <v>34.4</v>
      </c>
      <c r="AZ48" s="39">
        <v>34.49</v>
      </c>
      <c r="BA48" s="39">
        <v>34.6</v>
      </c>
      <c r="BB48" s="39">
        <v>34.729999999999997</v>
      </c>
      <c r="BC48" s="39">
        <v>34.869999999999997</v>
      </c>
      <c r="BD48" s="39">
        <v>35.020000000000003</v>
      </c>
      <c r="BE48" s="39">
        <v>35.200000000000003</v>
      </c>
      <c r="BF48" s="39">
        <v>35.39</v>
      </c>
      <c r="BG48" s="39">
        <v>35.549999999999997</v>
      </c>
      <c r="BH48" s="39">
        <v>35.770000000000003</v>
      </c>
      <c r="BI48" s="39">
        <v>35.93</v>
      </c>
      <c r="BJ48" s="39">
        <v>36.14</v>
      </c>
      <c r="BK48" s="39">
        <v>36.32</v>
      </c>
      <c r="BL48" s="39">
        <v>36.53</v>
      </c>
      <c r="BM48" s="39">
        <v>36.72</v>
      </c>
      <c r="BN48" s="39">
        <v>36.92</v>
      </c>
      <c r="BO48" s="39">
        <v>37.090000000000003</v>
      </c>
      <c r="BP48" s="39">
        <v>37.270000000000003</v>
      </c>
      <c r="BQ48" s="39">
        <v>37.43</v>
      </c>
      <c r="BR48" s="39">
        <v>37.61</v>
      </c>
      <c r="BS48" s="39">
        <v>37.770000000000003</v>
      </c>
      <c r="BT48" s="40">
        <v>37.94</v>
      </c>
      <c r="BU48" s="39">
        <v>38.1</v>
      </c>
      <c r="BV48" s="39">
        <v>38.270000000000003</v>
      </c>
      <c r="BW48" s="39">
        <v>38.44</v>
      </c>
      <c r="BX48" s="39">
        <v>38.6</v>
      </c>
      <c r="BY48" s="39">
        <v>38.76</v>
      </c>
      <c r="BZ48" s="39">
        <v>38.92</v>
      </c>
      <c r="CA48" s="39">
        <v>39.090000000000003</v>
      </c>
      <c r="CB48" s="39">
        <v>39.25</v>
      </c>
      <c r="CC48" s="39">
        <v>39.4</v>
      </c>
      <c r="CD48" s="39">
        <v>39.56</v>
      </c>
      <c r="CE48" s="39">
        <v>39.72</v>
      </c>
      <c r="CF48" s="39">
        <v>39.869999999999997</v>
      </c>
      <c r="CG48" s="39">
        <v>40.03</v>
      </c>
      <c r="CH48" s="39">
        <v>40.18</v>
      </c>
      <c r="CI48" s="39">
        <v>40.340000000000003</v>
      </c>
      <c r="CJ48" s="39">
        <v>40.49</v>
      </c>
      <c r="CK48" s="39">
        <v>40.64</v>
      </c>
      <c r="CL48" s="39">
        <v>40.79</v>
      </c>
      <c r="CM48" s="39">
        <v>40.94</v>
      </c>
      <c r="CN48" s="39">
        <v>41.09</v>
      </c>
      <c r="CO48" s="39">
        <v>41.23</v>
      </c>
      <c r="CP48" s="39">
        <v>41.38</v>
      </c>
      <c r="CQ48" s="39">
        <v>41.52</v>
      </c>
      <c r="CR48" s="39">
        <v>41.67</v>
      </c>
      <c r="CS48" s="39">
        <v>41.81</v>
      </c>
      <c r="CT48" s="39">
        <v>41.95</v>
      </c>
      <c r="CU48" s="39">
        <v>42.09</v>
      </c>
      <c r="CV48" s="39">
        <v>42.23</v>
      </c>
      <c r="CW48" s="39">
        <v>42.37</v>
      </c>
      <c r="CX48" s="39">
        <v>42.51</v>
      </c>
      <c r="CY48" s="39">
        <v>42.65</v>
      </c>
      <c r="CZ48" s="39">
        <v>42.78</v>
      </c>
      <c r="DA48" s="39">
        <v>42.92</v>
      </c>
      <c r="DB48" s="39">
        <v>43.05</v>
      </c>
      <c r="DC48" s="39">
        <v>43.19</v>
      </c>
      <c r="DD48" s="39">
        <v>43.32</v>
      </c>
      <c r="DE48" s="39">
        <v>43.45</v>
      </c>
      <c r="DF48" s="39">
        <v>43.58</v>
      </c>
      <c r="DG48" s="39">
        <v>43.71</v>
      </c>
      <c r="DH48" s="39">
        <v>43.84</v>
      </c>
      <c r="DI48" s="39">
        <v>43.96</v>
      </c>
      <c r="DJ48" s="39">
        <v>44.09</v>
      </c>
      <c r="DK48" s="39">
        <v>44.22</v>
      </c>
      <c r="DL48" s="39">
        <v>44.34</v>
      </c>
      <c r="DM48" s="39">
        <v>44.46</v>
      </c>
      <c r="DN48" s="39">
        <v>44.59</v>
      </c>
      <c r="DO48" s="39">
        <v>44.71</v>
      </c>
      <c r="DP48" s="39">
        <v>44.83</v>
      </c>
      <c r="DQ48" s="39">
        <v>44.95</v>
      </c>
      <c r="DR48" s="39">
        <v>45.07</v>
      </c>
    </row>
    <row r="49" spans="1:122">
      <c r="A49" s="37">
        <v>47</v>
      </c>
      <c r="B49" s="38"/>
      <c r="C49" s="38"/>
      <c r="D49" s="38"/>
      <c r="E49" s="38"/>
      <c r="F49" s="38"/>
      <c r="G49" s="38"/>
      <c r="H49" s="38"/>
      <c r="I49" s="38"/>
      <c r="J49" s="38"/>
      <c r="K49" s="38"/>
      <c r="L49" s="38"/>
      <c r="M49" s="38"/>
      <c r="N49" s="38"/>
      <c r="O49" s="38"/>
      <c r="P49" s="38"/>
      <c r="Q49" s="38"/>
      <c r="R49" s="38"/>
      <c r="S49" s="38"/>
      <c r="T49" s="38"/>
      <c r="U49" s="38"/>
      <c r="V49" s="39"/>
      <c r="W49" s="39">
        <v>28.33</v>
      </c>
      <c r="X49" s="39">
        <v>28.57</v>
      </c>
      <c r="Y49" s="39">
        <v>28.66</v>
      </c>
      <c r="Z49" s="39">
        <v>28.9</v>
      </c>
      <c r="AA49" s="39">
        <v>29.11</v>
      </c>
      <c r="AB49" s="39">
        <v>29.27</v>
      </c>
      <c r="AC49" s="39">
        <v>29.29</v>
      </c>
      <c r="AD49" s="39">
        <v>29.25</v>
      </c>
      <c r="AE49" s="39">
        <v>29.35</v>
      </c>
      <c r="AF49" s="39">
        <v>29.58</v>
      </c>
      <c r="AG49" s="39">
        <v>29.86</v>
      </c>
      <c r="AH49" s="39">
        <v>30.15</v>
      </c>
      <c r="AI49" s="39">
        <v>30.42</v>
      </c>
      <c r="AJ49" s="39">
        <v>30.74</v>
      </c>
      <c r="AK49" s="39">
        <v>31.04</v>
      </c>
      <c r="AL49" s="39">
        <v>31.4</v>
      </c>
      <c r="AM49" s="39">
        <v>31.72</v>
      </c>
      <c r="AN49" s="39">
        <v>31.95</v>
      </c>
      <c r="AO49" s="39">
        <v>32.11</v>
      </c>
      <c r="AP49" s="39">
        <v>32.29</v>
      </c>
      <c r="AQ49" s="39">
        <v>32.450000000000003</v>
      </c>
      <c r="AR49" s="39">
        <v>32.69</v>
      </c>
      <c r="AS49" s="39">
        <v>32.729999999999997</v>
      </c>
      <c r="AT49" s="39">
        <v>32.81</v>
      </c>
      <c r="AU49" s="39">
        <v>32.92</v>
      </c>
      <c r="AV49" s="39">
        <v>33.04</v>
      </c>
      <c r="AW49" s="39">
        <v>33.28</v>
      </c>
      <c r="AX49" s="39">
        <v>33.43</v>
      </c>
      <c r="AY49" s="39">
        <v>33.520000000000003</v>
      </c>
      <c r="AZ49" s="39">
        <v>33.619999999999997</v>
      </c>
      <c r="BA49" s="39">
        <v>33.729999999999997</v>
      </c>
      <c r="BB49" s="39">
        <v>33.85</v>
      </c>
      <c r="BC49" s="39">
        <v>33.99</v>
      </c>
      <c r="BD49" s="39">
        <v>34.14</v>
      </c>
      <c r="BE49" s="39">
        <v>34.32</v>
      </c>
      <c r="BF49" s="39">
        <v>34.51</v>
      </c>
      <c r="BG49" s="39">
        <v>34.67</v>
      </c>
      <c r="BH49" s="39">
        <v>34.880000000000003</v>
      </c>
      <c r="BI49" s="39">
        <v>35.04</v>
      </c>
      <c r="BJ49" s="39">
        <v>35.24</v>
      </c>
      <c r="BK49" s="39">
        <v>35.42</v>
      </c>
      <c r="BL49" s="39">
        <v>35.619999999999997</v>
      </c>
      <c r="BM49" s="39">
        <v>35.82</v>
      </c>
      <c r="BN49" s="39">
        <v>36.01</v>
      </c>
      <c r="BO49" s="39">
        <v>36.17</v>
      </c>
      <c r="BP49" s="39">
        <v>36.35</v>
      </c>
      <c r="BQ49" s="39">
        <v>36.520000000000003</v>
      </c>
      <c r="BR49" s="39">
        <v>36.69</v>
      </c>
      <c r="BS49" s="39">
        <v>36.85</v>
      </c>
      <c r="BT49" s="40">
        <v>37.020000000000003</v>
      </c>
      <c r="BU49" s="39">
        <v>37.18</v>
      </c>
      <c r="BV49" s="39">
        <v>37.35</v>
      </c>
      <c r="BW49" s="39">
        <v>37.51</v>
      </c>
      <c r="BX49" s="39">
        <v>37.68</v>
      </c>
      <c r="BY49" s="39">
        <v>37.840000000000003</v>
      </c>
      <c r="BZ49" s="39">
        <v>38</v>
      </c>
      <c r="CA49" s="39">
        <v>38.159999999999997</v>
      </c>
      <c r="CB49" s="39">
        <v>38.32</v>
      </c>
      <c r="CC49" s="39">
        <v>38.479999999999997</v>
      </c>
      <c r="CD49" s="39">
        <v>38.630000000000003</v>
      </c>
      <c r="CE49" s="39">
        <v>38.79</v>
      </c>
      <c r="CF49" s="39">
        <v>38.94</v>
      </c>
      <c r="CG49" s="39">
        <v>39.1</v>
      </c>
      <c r="CH49" s="39">
        <v>39.25</v>
      </c>
      <c r="CI49" s="39">
        <v>39.4</v>
      </c>
      <c r="CJ49" s="39">
        <v>39.549999999999997</v>
      </c>
      <c r="CK49" s="39">
        <v>39.700000000000003</v>
      </c>
      <c r="CL49" s="39">
        <v>39.85</v>
      </c>
      <c r="CM49" s="39">
        <v>40</v>
      </c>
      <c r="CN49" s="39">
        <v>40.14</v>
      </c>
      <c r="CO49" s="39">
        <v>40.29</v>
      </c>
      <c r="CP49" s="39">
        <v>40.44</v>
      </c>
      <c r="CQ49" s="39">
        <v>40.58</v>
      </c>
      <c r="CR49" s="39">
        <v>40.72</v>
      </c>
      <c r="CS49" s="39">
        <v>40.86</v>
      </c>
      <c r="CT49" s="39">
        <v>41.01</v>
      </c>
      <c r="CU49" s="39">
        <v>41.15</v>
      </c>
      <c r="CV49" s="39">
        <v>41.28</v>
      </c>
      <c r="CW49" s="39">
        <v>41.42</v>
      </c>
      <c r="CX49" s="39">
        <v>41.56</v>
      </c>
      <c r="CY49" s="39">
        <v>41.7</v>
      </c>
      <c r="CZ49" s="39">
        <v>41.83</v>
      </c>
      <c r="DA49" s="39">
        <v>41.97</v>
      </c>
      <c r="DB49" s="39">
        <v>42.1</v>
      </c>
      <c r="DC49" s="39">
        <v>42.23</v>
      </c>
      <c r="DD49" s="39">
        <v>42.36</v>
      </c>
      <c r="DE49" s="39">
        <v>42.49</v>
      </c>
      <c r="DF49" s="39">
        <v>42.62</v>
      </c>
      <c r="DG49" s="39">
        <v>42.75</v>
      </c>
      <c r="DH49" s="39">
        <v>42.88</v>
      </c>
      <c r="DI49" s="39">
        <v>43.01</v>
      </c>
      <c r="DJ49" s="39">
        <v>43.13</v>
      </c>
      <c r="DK49" s="39">
        <v>43.26</v>
      </c>
      <c r="DL49" s="39">
        <v>43.38</v>
      </c>
      <c r="DM49" s="39">
        <v>43.5</v>
      </c>
      <c r="DN49" s="39">
        <v>43.62</v>
      </c>
      <c r="DO49" s="39">
        <v>43.74</v>
      </c>
      <c r="DP49" s="39">
        <v>43.86</v>
      </c>
      <c r="DQ49" s="39">
        <v>43.98</v>
      </c>
      <c r="DR49" s="39">
        <v>44.1</v>
      </c>
    </row>
    <row r="50" spans="1:122">
      <c r="A50" s="37">
        <v>48</v>
      </c>
      <c r="B50" s="38"/>
      <c r="C50" s="38"/>
      <c r="D50" s="38"/>
      <c r="E50" s="38"/>
      <c r="F50" s="38"/>
      <c r="G50" s="38"/>
      <c r="H50" s="38"/>
      <c r="I50" s="38"/>
      <c r="J50" s="38"/>
      <c r="K50" s="38"/>
      <c r="L50" s="38"/>
      <c r="M50" s="38"/>
      <c r="N50" s="38"/>
      <c r="O50" s="38"/>
      <c r="P50" s="38"/>
      <c r="Q50" s="38"/>
      <c r="R50" s="38"/>
      <c r="S50" s="38"/>
      <c r="T50" s="38"/>
      <c r="U50" s="38"/>
      <c r="V50" s="39"/>
      <c r="W50" s="39">
        <v>27.48</v>
      </c>
      <c r="X50" s="39">
        <v>27.73</v>
      </c>
      <c r="Y50" s="39">
        <v>27.82</v>
      </c>
      <c r="Z50" s="39">
        <v>28.06</v>
      </c>
      <c r="AA50" s="39">
        <v>28.27</v>
      </c>
      <c r="AB50" s="39">
        <v>28.43</v>
      </c>
      <c r="AC50" s="39">
        <v>28.46</v>
      </c>
      <c r="AD50" s="39">
        <v>28.42</v>
      </c>
      <c r="AE50" s="39">
        <v>28.52</v>
      </c>
      <c r="AF50" s="39">
        <v>28.75</v>
      </c>
      <c r="AG50" s="39">
        <v>29.03</v>
      </c>
      <c r="AH50" s="39">
        <v>29.32</v>
      </c>
      <c r="AI50" s="39">
        <v>29.59</v>
      </c>
      <c r="AJ50" s="39">
        <v>29.9</v>
      </c>
      <c r="AK50" s="39">
        <v>30.2</v>
      </c>
      <c r="AL50" s="39">
        <v>30.56</v>
      </c>
      <c r="AM50" s="39">
        <v>30.88</v>
      </c>
      <c r="AN50" s="39">
        <v>31.1</v>
      </c>
      <c r="AO50" s="39">
        <v>31.26</v>
      </c>
      <c r="AP50" s="39">
        <v>31.44</v>
      </c>
      <c r="AQ50" s="39">
        <v>31.6</v>
      </c>
      <c r="AR50" s="39">
        <v>31.84</v>
      </c>
      <c r="AS50" s="39">
        <v>31.88</v>
      </c>
      <c r="AT50" s="39">
        <v>31.96</v>
      </c>
      <c r="AU50" s="39">
        <v>32.07</v>
      </c>
      <c r="AV50" s="39">
        <v>32.18</v>
      </c>
      <c r="AW50" s="39">
        <v>32.43</v>
      </c>
      <c r="AX50" s="39">
        <v>32.57</v>
      </c>
      <c r="AY50" s="39">
        <v>32.659999999999997</v>
      </c>
      <c r="AZ50" s="39">
        <v>32.76</v>
      </c>
      <c r="BA50" s="39">
        <v>32.86</v>
      </c>
      <c r="BB50" s="39">
        <v>32.99</v>
      </c>
      <c r="BC50" s="39">
        <v>33.119999999999997</v>
      </c>
      <c r="BD50" s="39">
        <v>33.28</v>
      </c>
      <c r="BE50" s="39">
        <v>33.46</v>
      </c>
      <c r="BF50" s="39">
        <v>33.64</v>
      </c>
      <c r="BG50" s="39">
        <v>33.79</v>
      </c>
      <c r="BH50" s="39">
        <v>34</v>
      </c>
      <c r="BI50" s="39">
        <v>34.15</v>
      </c>
      <c r="BJ50" s="39">
        <v>34.35</v>
      </c>
      <c r="BK50" s="39">
        <v>34.53</v>
      </c>
      <c r="BL50" s="39">
        <v>34.729999999999997</v>
      </c>
      <c r="BM50" s="39">
        <v>34.92</v>
      </c>
      <c r="BN50" s="39">
        <v>35.1</v>
      </c>
      <c r="BO50" s="39">
        <v>35.270000000000003</v>
      </c>
      <c r="BP50" s="39">
        <v>35.44</v>
      </c>
      <c r="BQ50" s="39">
        <v>35.61</v>
      </c>
      <c r="BR50" s="39">
        <v>35.78</v>
      </c>
      <c r="BS50" s="39">
        <v>35.94</v>
      </c>
      <c r="BT50" s="40">
        <v>36.11</v>
      </c>
      <c r="BU50" s="39">
        <v>36.270000000000003</v>
      </c>
      <c r="BV50" s="39">
        <v>36.44</v>
      </c>
      <c r="BW50" s="39">
        <v>36.6</v>
      </c>
      <c r="BX50" s="39">
        <v>36.76</v>
      </c>
      <c r="BY50" s="39">
        <v>36.92</v>
      </c>
      <c r="BZ50" s="39">
        <v>37.08</v>
      </c>
      <c r="CA50" s="39">
        <v>37.24</v>
      </c>
      <c r="CB50" s="39">
        <v>37.39</v>
      </c>
      <c r="CC50" s="39">
        <v>37.549999999999997</v>
      </c>
      <c r="CD50" s="39">
        <v>37.71</v>
      </c>
      <c r="CE50" s="39">
        <v>37.86</v>
      </c>
      <c r="CF50" s="39">
        <v>38.01</v>
      </c>
      <c r="CG50" s="39">
        <v>38.17</v>
      </c>
      <c r="CH50" s="39">
        <v>38.32</v>
      </c>
      <c r="CI50" s="39">
        <v>38.47</v>
      </c>
      <c r="CJ50" s="39">
        <v>38.619999999999997</v>
      </c>
      <c r="CK50" s="39">
        <v>38.770000000000003</v>
      </c>
      <c r="CL50" s="39">
        <v>38.909999999999997</v>
      </c>
      <c r="CM50" s="39">
        <v>39.06</v>
      </c>
      <c r="CN50" s="39">
        <v>39.21</v>
      </c>
      <c r="CO50" s="39">
        <v>39.35</v>
      </c>
      <c r="CP50" s="39">
        <v>39.5</v>
      </c>
      <c r="CQ50" s="39">
        <v>39.64</v>
      </c>
      <c r="CR50" s="39">
        <v>39.78</v>
      </c>
      <c r="CS50" s="39">
        <v>39.92</v>
      </c>
      <c r="CT50" s="39">
        <v>40.06</v>
      </c>
      <c r="CU50" s="39">
        <v>40.200000000000003</v>
      </c>
      <c r="CV50" s="39">
        <v>40.340000000000003</v>
      </c>
      <c r="CW50" s="39">
        <v>40.479999999999997</v>
      </c>
      <c r="CX50" s="39">
        <v>40.61</v>
      </c>
      <c r="CY50" s="39">
        <v>40.75</v>
      </c>
      <c r="CZ50" s="39">
        <v>40.880000000000003</v>
      </c>
      <c r="DA50" s="39">
        <v>41.02</v>
      </c>
      <c r="DB50" s="39">
        <v>41.15</v>
      </c>
      <c r="DC50" s="39">
        <v>41.28</v>
      </c>
      <c r="DD50" s="39">
        <v>41.41</v>
      </c>
      <c r="DE50" s="39">
        <v>41.54</v>
      </c>
      <c r="DF50" s="39">
        <v>41.67</v>
      </c>
      <c r="DG50" s="39">
        <v>41.8</v>
      </c>
      <c r="DH50" s="39">
        <v>41.92</v>
      </c>
      <c r="DI50" s="39">
        <v>42.05</v>
      </c>
      <c r="DJ50" s="39">
        <v>42.17</v>
      </c>
      <c r="DK50" s="39">
        <v>42.3</v>
      </c>
      <c r="DL50" s="39">
        <v>42.42</v>
      </c>
      <c r="DM50" s="39">
        <v>42.54</v>
      </c>
      <c r="DN50" s="39">
        <v>42.66</v>
      </c>
      <c r="DO50" s="39">
        <v>42.78</v>
      </c>
      <c r="DP50" s="39">
        <v>42.9</v>
      </c>
      <c r="DQ50" s="39">
        <v>43.02</v>
      </c>
      <c r="DR50" s="39">
        <v>43.14</v>
      </c>
    </row>
    <row r="51" spans="1:122">
      <c r="A51" s="37">
        <v>49</v>
      </c>
      <c r="B51" s="38"/>
      <c r="C51" s="38"/>
      <c r="D51" s="38"/>
      <c r="E51" s="38"/>
      <c r="F51" s="38"/>
      <c r="G51" s="38"/>
      <c r="H51" s="38"/>
      <c r="I51" s="38"/>
      <c r="J51" s="38"/>
      <c r="K51" s="38"/>
      <c r="L51" s="38"/>
      <c r="M51" s="38"/>
      <c r="N51" s="38"/>
      <c r="O51" s="38"/>
      <c r="P51" s="38"/>
      <c r="Q51" s="38"/>
      <c r="R51" s="38"/>
      <c r="S51" s="38"/>
      <c r="T51" s="38"/>
      <c r="U51" s="38"/>
      <c r="V51" s="39"/>
      <c r="W51" s="39">
        <v>26.65</v>
      </c>
      <c r="X51" s="39">
        <v>26.9</v>
      </c>
      <c r="Y51" s="39">
        <v>26.98</v>
      </c>
      <c r="Z51" s="39">
        <v>27.23</v>
      </c>
      <c r="AA51" s="39">
        <v>27.44</v>
      </c>
      <c r="AB51" s="39">
        <v>27.61</v>
      </c>
      <c r="AC51" s="39">
        <v>27.63</v>
      </c>
      <c r="AD51" s="39">
        <v>27.6</v>
      </c>
      <c r="AE51" s="39">
        <v>27.7</v>
      </c>
      <c r="AF51" s="39">
        <v>27.93</v>
      </c>
      <c r="AG51" s="39">
        <v>28.21</v>
      </c>
      <c r="AH51" s="39">
        <v>28.5</v>
      </c>
      <c r="AI51" s="39">
        <v>28.76</v>
      </c>
      <c r="AJ51" s="39">
        <v>29.07</v>
      </c>
      <c r="AK51" s="39">
        <v>29.37</v>
      </c>
      <c r="AL51" s="39">
        <v>29.73</v>
      </c>
      <c r="AM51" s="39">
        <v>30.04</v>
      </c>
      <c r="AN51" s="39">
        <v>30.26</v>
      </c>
      <c r="AO51" s="39">
        <v>30.42</v>
      </c>
      <c r="AP51" s="39">
        <v>30.59</v>
      </c>
      <c r="AQ51" s="39">
        <v>30.76</v>
      </c>
      <c r="AR51" s="39">
        <v>30.99</v>
      </c>
      <c r="AS51" s="39">
        <v>31.04</v>
      </c>
      <c r="AT51" s="39">
        <v>31.13</v>
      </c>
      <c r="AU51" s="39">
        <v>31.23</v>
      </c>
      <c r="AV51" s="39">
        <v>31.33</v>
      </c>
      <c r="AW51" s="39">
        <v>31.57</v>
      </c>
      <c r="AX51" s="39">
        <v>31.71</v>
      </c>
      <c r="AY51" s="39">
        <v>31.8</v>
      </c>
      <c r="AZ51" s="39">
        <v>31.9</v>
      </c>
      <c r="BA51" s="39">
        <v>32</v>
      </c>
      <c r="BB51" s="39">
        <v>32.130000000000003</v>
      </c>
      <c r="BC51" s="39">
        <v>32.26</v>
      </c>
      <c r="BD51" s="39">
        <v>32.409999999999997</v>
      </c>
      <c r="BE51" s="39">
        <v>32.590000000000003</v>
      </c>
      <c r="BF51" s="39">
        <v>32.76</v>
      </c>
      <c r="BG51" s="39">
        <v>32.92</v>
      </c>
      <c r="BH51" s="39">
        <v>33.119999999999997</v>
      </c>
      <c r="BI51" s="39">
        <v>33.270000000000003</v>
      </c>
      <c r="BJ51" s="39">
        <v>33.47</v>
      </c>
      <c r="BK51" s="39">
        <v>33.64</v>
      </c>
      <c r="BL51" s="39">
        <v>33.840000000000003</v>
      </c>
      <c r="BM51" s="39">
        <v>34.020000000000003</v>
      </c>
      <c r="BN51" s="39">
        <v>34.200000000000003</v>
      </c>
      <c r="BO51" s="39">
        <v>34.369999999999997</v>
      </c>
      <c r="BP51" s="39">
        <v>34.54</v>
      </c>
      <c r="BQ51" s="39">
        <v>34.71</v>
      </c>
      <c r="BR51" s="39">
        <v>34.880000000000003</v>
      </c>
      <c r="BS51" s="39">
        <v>35.04</v>
      </c>
      <c r="BT51" s="40">
        <v>35.200000000000003</v>
      </c>
      <c r="BU51" s="39">
        <v>35.36</v>
      </c>
      <c r="BV51" s="39">
        <v>35.53</v>
      </c>
      <c r="BW51" s="39">
        <v>35.69</v>
      </c>
      <c r="BX51" s="39">
        <v>35.85</v>
      </c>
      <c r="BY51" s="39">
        <v>36</v>
      </c>
      <c r="BZ51" s="39">
        <v>36.159999999999997</v>
      </c>
      <c r="CA51" s="39">
        <v>36.32</v>
      </c>
      <c r="CB51" s="39">
        <v>36.479999999999997</v>
      </c>
      <c r="CC51" s="39">
        <v>36.630000000000003</v>
      </c>
      <c r="CD51" s="39">
        <v>36.78</v>
      </c>
      <c r="CE51" s="39">
        <v>36.94</v>
      </c>
      <c r="CF51" s="39">
        <v>37.090000000000003</v>
      </c>
      <c r="CG51" s="39">
        <v>37.24</v>
      </c>
      <c r="CH51" s="39">
        <v>37.39</v>
      </c>
      <c r="CI51" s="39">
        <v>37.54</v>
      </c>
      <c r="CJ51" s="39">
        <v>37.69</v>
      </c>
      <c r="CK51" s="39">
        <v>37.840000000000003</v>
      </c>
      <c r="CL51" s="39">
        <v>37.979999999999997</v>
      </c>
      <c r="CM51" s="39">
        <v>38.130000000000003</v>
      </c>
      <c r="CN51" s="39">
        <v>38.270000000000003</v>
      </c>
      <c r="CO51" s="39">
        <v>38.42</v>
      </c>
      <c r="CP51" s="39">
        <v>38.56</v>
      </c>
      <c r="CQ51" s="39">
        <v>38.700000000000003</v>
      </c>
      <c r="CR51" s="39">
        <v>38.840000000000003</v>
      </c>
      <c r="CS51" s="39">
        <v>38.979999999999997</v>
      </c>
      <c r="CT51" s="39">
        <v>39.119999999999997</v>
      </c>
      <c r="CU51" s="39">
        <v>39.26</v>
      </c>
      <c r="CV51" s="39">
        <v>39.4</v>
      </c>
      <c r="CW51" s="39">
        <v>39.53</v>
      </c>
      <c r="CX51" s="39">
        <v>39.67</v>
      </c>
      <c r="CY51" s="39">
        <v>39.799999999999997</v>
      </c>
      <c r="CZ51" s="39">
        <v>39.94</v>
      </c>
      <c r="DA51" s="39">
        <v>40.07</v>
      </c>
      <c r="DB51" s="39">
        <v>40.200000000000003</v>
      </c>
      <c r="DC51" s="39">
        <v>40.33</v>
      </c>
      <c r="DD51" s="39">
        <v>40.46</v>
      </c>
      <c r="DE51" s="39">
        <v>40.590000000000003</v>
      </c>
      <c r="DF51" s="39">
        <v>40.72</v>
      </c>
      <c r="DG51" s="39">
        <v>40.85</v>
      </c>
      <c r="DH51" s="39">
        <v>40.97</v>
      </c>
      <c r="DI51" s="39">
        <v>41.1</v>
      </c>
      <c r="DJ51" s="39">
        <v>41.22</v>
      </c>
      <c r="DK51" s="39">
        <v>41.34</v>
      </c>
      <c r="DL51" s="39">
        <v>41.47</v>
      </c>
      <c r="DM51" s="39">
        <v>41.59</v>
      </c>
      <c r="DN51" s="39">
        <v>41.71</v>
      </c>
      <c r="DO51" s="39">
        <v>41.83</v>
      </c>
      <c r="DP51" s="39">
        <v>41.95</v>
      </c>
      <c r="DQ51" s="39">
        <v>42.06</v>
      </c>
      <c r="DR51" s="39">
        <v>42.18</v>
      </c>
    </row>
    <row r="52" spans="1:122">
      <c r="A52" s="37">
        <v>50</v>
      </c>
      <c r="B52" s="38"/>
      <c r="C52" s="38"/>
      <c r="D52" s="38"/>
      <c r="E52" s="38"/>
      <c r="F52" s="38"/>
      <c r="G52" s="38"/>
      <c r="H52" s="38"/>
      <c r="I52" s="38"/>
      <c r="J52" s="38"/>
      <c r="K52" s="38"/>
      <c r="L52" s="38"/>
      <c r="M52" s="38"/>
      <c r="N52" s="38"/>
      <c r="O52" s="38"/>
      <c r="P52" s="38"/>
      <c r="Q52" s="38"/>
      <c r="R52" s="38"/>
      <c r="S52" s="38"/>
      <c r="T52" s="38"/>
      <c r="U52" s="38"/>
      <c r="V52" s="39"/>
      <c r="W52" s="39">
        <v>25.83</v>
      </c>
      <c r="X52" s="39">
        <v>26.07</v>
      </c>
      <c r="Y52" s="39">
        <v>26.16</v>
      </c>
      <c r="Z52" s="39">
        <v>26.41</v>
      </c>
      <c r="AA52" s="39">
        <v>26.62</v>
      </c>
      <c r="AB52" s="39">
        <v>26.79</v>
      </c>
      <c r="AC52" s="39">
        <v>26.81</v>
      </c>
      <c r="AD52" s="39">
        <v>26.78</v>
      </c>
      <c r="AE52" s="39">
        <v>26.9</v>
      </c>
      <c r="AF52" s="39">
        <v>27.13</v>
      </c>
      <c r="AG52" s="39">
        <v>27.41</v>
      </c>
      <c r="AH52" s="39">
        <v>27.69</v>
      </c>
      <c r="AI52" s="39">
        <v>27.95</v>
      </c>
      <c r="AJ52" s="39">
        <v>28.24</v>
      </c>
      <c r="AK52" s="39">
        <v>28.54</v>
      </c>
      <c r="AL52" s="39">
        <v>28.9</v>
      </c>
      <c r="AM52" s="39">
        <v>29.21</v>
      </c>
      <c r="AN52" s="39">
        <v>29.43</v>
      </c>
      <c r="AO52" s="39">
        <v>29.58</v>
      </c>
      <c r="AP52" s="39">
        <v>29.76</v>
      </c>
      <c r="AQ52" s="39">
        <v>29.94</v>
      </c>
      <c r="AR52" s="39">
        <v>30.16</v>
      </c>
      <c r="AS52" s="39">
        <v>30.21</v>
      </c>
      <c r="AT52" s="39">
        <v>30.29</v>
      </c>
      <c r="AU52" s="39">
        <v>30.4</v>
      </c>
      <c r="AV52" s="39">
        <v>30.49</v>
      </c>
      <c r="AW52" s="39">
        <v>30.73</v>
      </c>
      <c r="AX52" s="39">
        <v>30.86</v>
      </c>
      <c r="AY52" s="39">
        <v>30.94</v>
      </c>
      <c r="AZ52" s="39">
        <v>31.05</v>
      </c>
      <c r="BA52" s="39">
        <v>31.14</v>
      </c>
      <c r="BB52" s="39">
        <v>31.27</v>
      </c>
      <c r="BC52" s="39">
        <v>31.4</v>
      </c>
      <c r="BD52" s="39">
        <v>31.56</v>
      </c>
      <c r="BE52" s="39">
        <v>31.73</v>
      </c>
      <c r="BF52" s="39">
        <v>31.9</v>
      </c>
      <c r="BG52" s="39">
        <v>32.049999999999997</v>
      </c>
      <c r="BH52" s="39">
        <v>32.25</v>
      </c>
      <c r="BI52" s="39">
        <v>32.4</v>
      </c>
      <c r="BJ52" s="39">
        <v>32.590000000000003</v>
      </c>
      <c r="BK52" s="39">
        <v>32.76</v>
      </c>
      <c r="BL52" s="39">
        <v>32.96</v>
      </c>
      <c r="BM52" s="39">
        <v>33.130000000000003</v>
      </c>
      <c r="BN52" s="39">
        <v>33.31</v>
      </c>
      <c r="BO52" s="39">
        <v>33.479999999999997</v>
      </c>
      <c r="BP52" s="39">
        <v>33.65</v>
      </c>
      <c r="BQ52" s="39">
        <v>33.81</v>
      </c>
      <c r="BR52" s="39">
        <v>33.97</v>
      </c>
      <c r="BS52" s="39">
        <v>34.14</v>
      </c>
      <c r="BT52" s="40">
        <v>34.299999999999997</v>
      </c>
      <c r="BU52" s="39">
        <v>34.46</v>
      </c>
      <c r="BV52" s="39">
        <v>34.619999999999997</v>
      </c>
      <c r="BW52" s="39">
        <v>34.78</v>
      </c>
      <c r="BX52" s="39">
        <v>34.94</v>
      </c>
      <c r="BY52" s="39">
        <v>35.1</v>
      </c>
      <c r="BZ52" s="39">
        <v>35.25</v>
      </c>
      <c r="CA52" s="39">
        <v>35.409999999999997</v>
      </c>
      <c r="CB52" s="39">
        <v>35.56</v>
      </c>
      <c r="CC52" s="39">
        <v>35.72</v>
      </c>
      <c r="CD52" s="39">
        <v>35.869999999999997</v>
      </c>
      <c r="CE52" s="39">
        <v>36.020000000000003</v>
      </c>
      <c r="CF52" s="39">
        <v>36.17</v>
      </c>
      <c r="CG52" s="39">
        <v>36.32</v>
      </c>
      <c r="CH52" s="39">
        <v>36.47</v>
      </c>
      <c r="CI52" s="39">
        <v>36.619999999999997</v>
      </c>
      <c r="CJ52" s="39">
        <v>36.770000000000003</v>
      </c>
      <c r="CK52" s="39">
        <v>36.909999999999997</v>
      </c>
      <c r="CL52" s="39">
        <v>37.06</v>
      </c>
      <c r="CM52" s="39">
        <v>37.200000000000003</v>
      </c>
      <c r="CN52" s="39">
        <v>37.35</v>
      </c>
      <c r="CO52" s="39">
        <v>37.49</v>
      </c>
      <c r="CP52" s="39">
        <v>37.630000000000003</v>
      </c>
      <c r="CQ52" s="39">
        <v>37.770000000000003</v>
      </c>
      <c r="CR52" s="39">
        <v>37.909999999999997</v>
      </c>
      <c r="CS52" s="39">
        <v>38.049999999999997</v>
      </c>
      <c r="CT52" s="39">
        <v>38.19</v>
      </c>
      <c r="CU52" s="39">
        <v>38.33</v>
      </c>
      <c r="CV52" s="39">
        <v>38.46</v>
      </c>
      <c r="CW52" s="39">
        <v>38.6</v>
      </c>
      <c r="CX52" s="39">
        <v>38.729999999999997</v>
      </c>
      <c r="CY52" s="39">
        <v>38.86</v>
      </c>
      <c r="CZ52" s="39">
        <v>39</v>
      </c>
      <c r="DA52" s="39">
        <v>39.130000000000003</v>
      </c>
      <c r="DB52" s="39">
        <v>39.26</v>
      </c>
      <c r="DC52" s="39">
        <v>39.39</v>
      </c>
      <c r="DD52" s="39">
        <v>39.520000000000003</v>
      </c>
      <c r="DE52" s="39">
        <v>39.65</v>
      </c>
      <c r="DF52" s="39">
        <v>39.770000000000003</v>
      </c>
      <c r="DG52" s="39">
        <v>39.9</v>
      </c>
      <c r="DH52" s="39">
        <v>40.020000000000003</v>
      </c>
      <c r="DI52" s="39">
        <v>40.15</v>
      </c>
      <c r="DJ52" s="39">
        <v>40.270000000000003</v>
      </c>
      <c r="DK52" s="39">
        <v>40.39</v>
      </c>
      <c r="DL52" s="39">
        <v>40.51</v>
      </c>
      <c r="DM52" s="39">
        <v>40.630000000000003</v>
      </c>
      <c r="DN52" s="39">
        <v>40.75</v>
      </c>
      <c r="DO52" s="39">
        <v>40.869999999999997</v>
      </c>
      <c r="DP52" s="39">
        <v>40.99</v>
      </c>
      <c r="DQ52" s="39">
        <v>41.11</v>
      </c>
      <c r="DR52" s="39">
        <v>41.22</v>
      </c>
    </row>
    <row r="53" spans="1:122">
      <c r="A53" s="37">
        <v>51</v>
      </c>
      <c r="B53" s="38"/>
      <c r="C53" s="38"/>
      <c r="D53" s="38"/>
      <c r="E53" s="38"/>
      <c r="F53" s="38"/>
      <c r="G53" s="38"/>
      <c r="H53" s="38"/>
      <c r="I53" s="38"/>
      <c r="J53" s="38"/>
      <c r="K53" s="38"/>
      <c r="L53" s="38"/>
      <c r="M53" s="38"/>
      <c r="N53" s="38"/>
      <c r="O53" s="38"/>
      <c r="P53" s="38"/>
      <c r="Q53" s="38"/>
      <c r="R53" s="38"/>
      <c r="S53" s="38"/>
      <c r="T53" s="38"/>
      <c r="U53" s="38"/>
      <c r="V53" s="39"/>
      <c r="W53" s="39">
        <v>25.02</v>
      </c>
      <c r="X53" s="39">
        <v>25.26</v>
      </c>
      <c r="Y53" s="39">
        <v>25.35</v>
      </c>
      <c r="Z53" s="39">
        <v>25.61</v>
      </c>
      <c r="AA53" s="39">
        <v>25.82</v>
      </c>
      <c r="AB53" s="39">
        <v>25.99</v>
      </c>
      <c r="AC53" s="39">
        <v>26.01</v>
      </c>
      <c r="AD53" s="39">
        <v>25.98</v>
      </c>
      <c r="AE53" s="39">
        <v>26.1</v>
      </c>
      <c r="AF53" s="39">
        <v>26.33</v>
      </c>
      <c r="AG53" s="39">
        <v>26.6</v>
      </c>
      <c r="AH53" s="39">
        <v>26.89</v>
      </c>
      <c r="AI53" s="39">
        <v>27.15</v>
      </c>
      <c r="AJ53" s="39">
        <v>27.44</v>
      </c>
      <c r="AK53" s="39">
        <v>27.73</v>
      </c>
      <c r="AL53" s="39">
        <v>28.09</v>
      </c>
      <c r="AM53" s="39">
        <v>28.39</v>
      </c>
      <c r="AN53" s="39">
        <v>28.61</v>
      </c>
      <c r="AO53" s="39">
        <v>28.76</v>
      </c>
      <c r="AP53" s="39">
        <v>28.95</v>
      </c>
      <c r="AQ53" s="39">
        <v>29.12</v>
      </c>
      <c r="AR53" s="39">
        <v>29.33</v>
      </c>
      <c r="AS53" s="39">
        <v>29.38</v>
      </c>
      <c r="AT53" s="39">
        <v>29.46</v>
      </c>
      <c r="AU53" s="39">
        <v>29.57</v>
      </c>
      <c r="AV53" s="39">
        <v>29.66</v>
      </c>
      <c r="AW53" s="39">
        <v>29.89</v>
      </c>
      <c r="AX53" s="39">
        <v>30.01</v>
      </c>
      <c r="AY53" s="39">
        <v>30.1</v>
      </c>
      <c r="AZ53" s="39">
        <v>30.2</v>
      </c>
      <c r="BA53" s="39">
        <v>30.3</v>
      </c>
      <c r="BB53" s="39">
        <v>30.42</v>
      </c>
      <c r="BC53" s="39">
        <v>30.56</v>
      </c>
      <c r="BD53" s="39">
        <v>30.71</v>
      </c>
      <c r="BE53" s="39">
        <v>30.87</v>
      </c>
      <c r="BF53" s="39">
        <v>31.04</v>
      </c>
      <c r="BG53" s="39">
        <v>31.19</v>
      </c>
      <c r="BH53" s="39">
        <v>31.38</v>
      </c>
      <c r="BI53" s="39">
        <v>31.53</v>
      </c>
      <c r="BJ53" s="39">
        <v>31.72</v>
      </c>
      <c r="BK53" s="39">
        <v>31.89</v>
      </c>
      <c r="BL53" s="39">
        <v>32.08</v>
      </c>
      <c r="BM53" s="39">
        <v>32.25</v>
      </c>
      <c r="BN53" s="39">
        <v>32.43</v>
      </c>
      <c r="BO53" s="39">
        <v>32.590000000000003</v>
      </c>
      <c r="BP53" s="39">
        <v>32.76</v>
      </c>
      <c r="BQ53" s="39">
        <v>32.92</v>
      </c>
      <c r="BR53" s="39">
        <v>33.08</v>
      </c>
      <c r="BS53" s="39">
        <v>33.24</v>
      </c>
      <c r="BT53" s="40">
        <v>33.4</v>
      </c>
      <c r="BU53" s="39">
        <v>33.56</v>
      </c>
      <c r="BV53" s="39">
        <v>33.72</v>
      </c>
      <c r="BW53" s="39">
        <v>33.880000000000003</v>
      </c>
      <c r="BX53" s="39">
        <v>34.04</v>
      </c>
      <c r="BY53" s="39">
        <v>34.19</v>
      </c>
      <c r="BZ53" s="39">
        <v>34.35</v>
      </c>
      <c r="CA53" s="39">
        <v>34.5</v>
      </c>
      <c r="CB53" s="39">
        <v>34.659999999999997</v>
      </c>
      <c r="CC53" s="39">
        <v>34.81</v>
      </c>
      <c r="CD53" s="39">
        <v>34.96</v>
      </c>
      <c r="CE53" s="39">
        <v>35.11</v>
      </c>
      <c r="CF53" s="39">
        <v>35.26</v>
      </c>
      <c r="CG53" s="39">
        <v>35.409999999999997</v>
      </c>
      <c r="CH53" s="39">
        <v>35.56</v>
      </c>
      <c r="CI53" s="39">
        <v>35.700000000000003</v>
      </c>
      <c r="CJ53" s="39">
        <v>35.85</v>
      </c>
      <c r="CK53" s="39">
        <v>35.99</v>
      </c>
      <c r="CL53" s="39">
        <v>36.14</v>
      </c>
      <c r="CM53" s="39">
        <v>36.28</v>
      </c>
      <c r="CN53" s="39">
        <v>36.42</v>
      </c>
      <c r="CO53" s="39">
        <v>36.56</v>
      </c>
      <c r="CP53" s="39">
        <v>36.71</v>
      </c>
      <c r="CQ53" s="39">
        <v>36.840000000000003</v>
      </c>
      <c r="CR53" s="39">
        <v>36.979999999999997</v>
      </c>
      <c r="CS53" s="39">
        <v>37.119999999999997</v>
      </c>
      <c r="CT53" s="39">
        <v>37.26</v>
      </c>
      <c r="CU53" s="39">
        <v>37.39</v>
      </c>
      <c r="CV53" s="39">
        <v>37.53</v>
      </c>
      <c r="CW53" s="39">
        <v>37.659999999999997</v>
      </c>
      <c r="CX53" s="39">
        <v>37.799999999999997</v>
      </c>
      <c r="CY53" s="39">
        <v>37.93</v>
      </c>
      <c r="CZ53" s="39">
        <v>38.06</v>
      </c>
      <c r="DA53" s="39">
        <v>38.19</v>
      </c>
      <c r="DB53" s="39">
        <v>38.32</v>
      </c>
      <c r="DC53" s="39">
        <v>38.450000000000003</v>
      </c>
      <c r="DD53" s="39">
        <v>38.58</v>
      </c>
      <c r="DE53" s="39">
        <v>38.700000000000003</v>
      </c>
      <c r="DF53" s="39">
        <v>38.83</v>
      </c>
      <c r="DG53" s="39">
        <v>38.96</v>
      </c>
      <c r="DH53" s="39">
        <v>39.08</v>
      </c>
      <c r="DI53" s="39">
        <v>39.200000000000003</v>
      </c>
      <c r="DJ53" s="39">
        <v>39.32</v>
      </c>
      <c r="DK53" s="39">
        <v>39.450000000000003</v>
      </c>
      <c r="DL53" s="39">
        <v>39.57</v>
      </c>
      <c r="DM53" s="39">
        <v>39.69</v>
      </c>
      <c r="DN53" s="39">
        <v>39.799999999999997</v>
      </c>
      <c r="DO53" s="39">
        <v>39.92</v>
      </c>
      <c r="DP53" s="39">
        <v>40.04</v>
      </c>
      <c r="DQ53" s="39">
        <v>40.159999999999997</v>
      </c>
      <c r="DR53" s="39">
        <v>40.270000000000003</v>
      </c>
    </row>
    <row r="54" spans="1:122">
      <c r="A54" s="37">
        <v>52</v>
      </c>
      <c r="B54" s="38"/>
      <c r="C54" s="38"/>
      <c r="D54" s="38"/>
      <c r="E54" s="38"/>
      <c r="F54" s="38"/>
      <c r="G54" s="38"/>
      <c r="H54" s="38"/>
      <c r="I54" s="38"/>
      <c r="J54" s="38"/>
      <c r="K54" s="38"/>
      <c r="L54" s="38"/>
      <c r="M54" s="38"/>
      <c r="N54" s="38"/>
      <c r="O54" s="38"/>
      <c r="P54" s="38"/>
      <c r="Q54" s="38"/>
      <c r="R54" s="38"/>
      <c r="S54" s="38"/>
      <c r="T54" s="38"/>
      <c r="U54" s="38"/>
      <c r="V54" s="39"/>
      <c r="W54" s="39">
        <v>24.22</v>
      </c>
      <c r="X54" s="39">
        <v>24.46</v>
      </c>
      <c r="Y54" s="39">
        <v>24.57</v>
      </c>
      <c r="Z54" s="39">
        <v>24.81</v>
      </c>
      <c r="AA54" s="39">
        <v>25.02</v>
      </c>
      <c r="AB54" s="39">
        <v>25.2</v>
      </c>
      <c r="AC54" s="39">
        <v>25.21</v>
      </c>
      <c r="AD54" s="39">
        <v>25.19</v>
      </c>
      <c r="AE54" s="39">
        <v>25.31</v>
      </c>
      <c r="AF54" s="39">
        <v>25.54</v>
      </c>
      <c r="AG54" s="39">
        <v>25.81</v>
      </c>
      <c r="AH54" s="39">
        <v>26.09</v>
      </c>
      <c r="AI54" s="39">
        <v>26.35</v>
      </c>
      <c r="AJ54" s="39">
        <v>26.64</v>
      </c>
      <c r="AK54" s="39">
        <v>26.93</v>
      </c>
      <c r="AL54" s="39">
        <v>27.27</v>
      </c>
      <c r="AM54" s="39">
        <v>27.58</v>
      </c>
      <c r="AN54" s="39">
        <v>27.79</v>
      </c>
      <c r="AO54" s="39">
        <v>27.96</v>
      </c>
      <c r="AP54" s="39">
        <v>28.14</v>
      </c>
      <c r="AQ54" s="39">
        <v>28.31</v>
      </c>
      <c r="AR54" s="39">
        <v>28.51</v>
      </c>
      <c r="AS54" s="39">
        <v>28.57</v>
      </c>
      <c r="AT54" s="39">
        <v>28.65</v>
      </c>
      <c r="AU54" s="39">
        <v>28.75</v>
      </c>
      <c r="AV54" s="39">
        <v>28.83</v>
      </c>
      <c r="AW54" s="39">
        <v>29.05</v>
      </c>
      <c r="AX54" s="39">
        <v>29.17</v>
      </c>
      <c r="AY54" s="39">
        <v>29.25</v>
      </c>
      <c r="AZ54" s="39">
        <v>29.36</v>
      </c>
      <c r="BA54" s="39">
        <v>29.46</v>
      </c>
      <c r="BB54" s="39">
        <v>29.58</v>
      </c>
      <c r="BC54" s="39">
        <v>29.71</v>
      </c>
      <c r="BD54" s="39">
        <v>29.86</v>
      </c>
      <c r="BE54" s="39">
        <v>30.02</v>
      </c>
      <c r="BF54" s="39">
        <v>30.18</v>
      </c>
      <c r="BG54" s="39">
        <v>30.34</v>
      </c>
      <c r="BH54" s="39">
        <v>30.53</v>
      </c>
      <c r="BI54" s="39">
        <v>30.68</v>
      </c>
      <c r="BJ54" s="39">
        <v>30.85</v>
      </c>
      <c r="BK54" s="39">
        <v>31.02</v>
      </c>
      <c r="BL54" s="39">
        <v>31.21</v>
      </c>
      <c r="BM54" s="39">
        <v>31.37</v>
      </c>
      <c r="BN54" s="39">
        <v>31.55</v>
      </c>
      <c r="BO54" s="39">
        <v>31.71</v>
      </c>
      <c r="BP54" s="39">
        <v>31.88</v>
      </c>
      <c r="BQ54" s="39">
        <v>32.04</v>
      </c>
      <c r="BR54" s="39">
        <v>32.200000000000003</v>
      </c>
      <c r="BS54" s="39">
        <v>32.36</v>
      </c>
      <c r="BT54" s="40">
        <v>32.520000000000003</v>
      </c>
      <c r="BU54" s="39">
        <v>32.67</v>
      </c>
      <c r="BV54" s="39">
        <v>32.83</v>
      </c>
      <c r="BW54" s="39">
        <v>32.99</v>
      </c>
      <c r="BX54" s="39">
        <v>33.14</v>
      </c>
      <c r="BY54" s="39">
        <v>33.299999999999997</v>
      </c>
      <c r="BZ54" s="39">
        <v>33.450000000000003</v>
      </c>
      <c r="CA54" s="39">
        <v>33.6</v>
      </c>
      <c r="CB54" s="39">
        <v>33.75</v>
      </c>
      <c r="CC54" s="39">
        <v>33.9</v>
      </c>
      <c r="CD54" s="39">
        <v>34.049999999999997</v>
      </c>
      <c r="CE54" s="39">
        <v>34.200000000000003</v>
      </c>
      <c r="CF54" s="39">
        <v>34.35</v>
      </c>
      <c r="CG54" s="39">
        <v>34.5</v>
      </c>
      <c r="CH54" s="39">
        <v>34.65</v>
      </c>
      <c r="CI54" s="39">
        <v>34.79</v>
      </c>
      <c r="CJ54" s="39">
        <v>34.94</v>
      </c>
      <c r="CK54" s="39">
        <v>35.08</v>
      </c>
      <c r="CL54" s="39">
        <v>35.22</v>
      </c>
      <c r="CM54" s="39">
        <v>35.36</v>
      </c>
      <c r="CN54" s="39">
        <v>35.51</v>
      </c>
      <c r="CO54" s="39">
        <v>35.65</v>
      </c>
      <c r="CP54" s="39">
        <v>35.79</v>
      </c>
      <c r="CQ54" s="39">
        <v>35.92</v>
      </c>
      <c r="CR54" s="39">
        <v>36.06</v>
      </c>
      <c r="CS54" s="39">
        <v>36.200000000000003</v>
      </c>
      <c r="CT54" s="39">
        <v>36.33</v>
      </c>
      <c r="CU54" s="39">
        <v>36.47</v>
      </c>
      <c r="CV54" s="39">
        <v>36.6</v>
      </c>
      <c r="CW54" s="39">
        <v>36.74</v>
      </c>
      <c r="CX54" s="39">
        <v>36.869999999999997</v>
      </c>
      <c r="CY54" s="39">
        <v>37</v>
      </c>
      <c r="CZ54" s="39">
        <v>37.130000000000003</v>
      </c>
      <c r="DA54" s="39">
        <v>37.26</v>
      </c>
      <c r="DB54" s="39">
        <v>37.39</v>
      </c>
      <c r="DC54" s="39">
        <v>37.51</v>
      </c>
      <c r="DD54" s="39">
        <v>37.64</v>
      </c>
      <c r="DE54" s="39">
        <v>37.770000000000003</v>
      </c>
      <c r="DF54" s="39">
        <v>37.89</v>
      </c>
      <c r="DG54" s="39">
        <v>38.020000000000003</v>
      </c>
      <c r="DH54" s="39">
        <v>38.14</v>
      </c>
      <c r="DI54" s="39">
        <v>38.26</v>
      </c>
      <c r="DJ54" s="39">
        <v>38.380000000000003</v>
      </c>
      <c r="DK54" s="39">
        <v>38.5</v>
      </c>
      <c r="DL54" s="39">
        <v>38.619999999999997</v>
      </c>
      <c r="DM54" s="39">
        <v>38.74</v>
      </c>
      <c r="DN54" s="39">
        <v>38.86</v>
      </c>
      <c r="DO54" s="39">
        <v>38.979999999999997</v>
      </c>
      <c r="DP54" s="39">
        <v>39.090000000000003</v>
      </c>
      <c r="DQ54" s="39">
        <v>39.21</v>
      </c>
      <c r="DR54" s="39">
        <v>39.32</v>
      </c>
    </row>
    <row r="55" spans="1:122">
      <c r="A55" s="37">
        <v>53</v>
      </c>
      <c r="B55" s="38"/>
      <c r="C55" s="38"/>
      <c r="D55" s="38"/>
      <c r="E55" s="38"/>
      <c r="F55" s="38"/>
      <c r="G55" s="38"/>
      <c r="H55" s="38"/>
      <c r="I55" s="38"/>
      <c r="J55" s="38"/>
      <c r="K55" s="38"/>
      <c r="L55" s="38"/>
      <c r="M55" s="38"/>
      <c r="N55" s="38"/>
      <c r="O55" s="38"/>
      <c r="P55" s="38"/>
      <c r="Q55" s="38"/>
      <c r="R55" s="38"/>
      <c r="S55" s="38"/>
      <c r="T55" s="38"/>
      <c r="U55" s="38"/>
      <c r="V55" s="39"/>
      <c r="W55" s="39">
        <v>23.44</v>
      </c>
      <c r="X55" s="39">
        <v>23.68</v>
      </c>
      <c r="Y55" s="39">
        <v>23.79</v>
      </c>
      <c r="Z55" s="39">
        <v>24.03</v>
      </c>
      <c r="AA55" s="39">
        <v>24.23</v>
      </c>
      <c r="AB55" s="39">
        <v>24.41</v>
      </c>
      <c r="AC55" s="39">
        <v>24.44</v>
      </c>
      <c r="AD55" s="39">
        <v>24.41</v>
      </c>
      <c r="AE55" s="39">
        <v>24.53</v>
      </c>
      <c r="AF55" s="39">
        <v>24.76</v>
      </c>
      <c r="AG55" s="39">
        <v>25.03</v>
      </c>
      <c r="AH55" s="39">
        <v>25.31</v>
      </c>
      <c r="AI55" s="39">
        <v>25.56</v>
      </c>
      <c r="AJ55" s="39">
        <v>25.85</v>
      </c>
      <c r="AK55" s="39">
        <v>26.14</v>
      </c>
      <c r="AL55" s="39">
        <v>26.47</v>
      </c>
      <c r="AM55" s="39">
        <v>26.77</v>
      </c>
      <c r="AN55" s="39">
        <v>27</v>
      </c>
      <c r="AO55" s="39">
        <v>27.16</v>
      </c>
      <c r="AP55" s="39">
        <v>27.33</v>
      </c>
      <c r="AQ55" s="39">
        <v>27.5</v>
      </c>
      <c r="AR55" s="39">
        <v>27.71</v>
      </c>
      <c r="AS55" s="39">
        <v>27.76</v>
      </c>
      <c r="AT55" s="39">
        <v>27.84</v>
      </c>
      <c r="AU55" s="39">
        <v>27.93</v>
      </c>
      <c r="AV55" s="39">
        <v>28</v>
      </c>
      <c r="AW55" s="39">
        <v>28.23</v>
      </c>
      <c r="AX55" s="39">
        <v>28.33</v>
      </c>
      <c r="AY55" s="39">
        <v>28.43</v>
      </c>
      <c r="AZ55" s="39">
        <v>28.53</v>
      </c>
      <c r="BA55" s="39">
        <v>28.62</v>
      </c>
      <c r="BB55" s="39">
        <v>28.75</v>
      </c>
      <c r="BC55" s="39">
        <v>28.88</v>
      </c>
      <c r="BD55" s="39">
        <v>29.03</v>
      </c>
      <c r="BE55" s="39">
        <v>29.18</v>
      </c>
      <c r="BF55" s="39">
        <v>29.34</v>
      </c>
      <c r="BG55" s="39">
        <v>29.49</v>
      </c>
      <c r="BH55" s="39">
        <v>29.68</v>
      </c>
      <c r="BI55" s="39">
        <v>29.83</v>
      </c>
      <c r="BJ55" s="39">
        <v>30</v>
      </c>
      <c r="BK55" s="39">
        <v>30.16</v>
      </c>
      <c r="BL55" s="39">
        <v>30.35</v>
      </c>
      <c r="BM55" s="39">
        <v>30.51</v>
      </c>
      <c r="BN55" s="39">
        <v>30.68</v>
      </c>
      <c r="BO55" s="39">
        <v>30.84</v>
      </c>
      <c r="BP55" s="39">
        <v>31</v>
      </c>
      <c r="BQ55" s="39">
        <v>31.16</v>
      </c>
      <c r="BR55" s="39">
        <v>31.32</v>
      </c>
      <c r="BS55" s="39">
        <v>31.48</v>
      </c>
      <c r="BT55" s="40">
        <v>31.64</v>
      </c>
      <c r="BU55" s="39">
        <v>31.79</v>
      </c>
      <c r="BV55" s="39">
        <v>31.95</v>
      </c>
      <c r="BW55" s="39">
        <v>32.1</v>
      </c>
      <c r="BX55" s="39">
        <v>32.25</v>
      </c>
      <c r="BY55" s="39">
        <v>32.409999999999997</v>
      </c>
      <c r="BZ55" s="39">
        <v>32.56</v>
      </c>
      <c r="CA55" s="39">
        <v>32.71</v>
      </c>
      <c r="CB55" s="39">
        <v>32.86</v>
      </c>
      <c r="CC55" s="39">
        <v>33.01</v>
      </c>
      <c r="CD55" s="39">
        <v>33.159999999999997</v>
      </c>
      <c r="CE55" s="39">
        <v>33.299999999999997</v>
      </c>
      <c r="CF55" s="39">
        <v>33.450000000000003</v>
      </c>
      <c r="CG55" s="39">
        <v>33.6</v>
      </c>
      <c r="CH55" s="39">
        <v>33.74</v>
      </c>
      <c r="CI55" s="39">
        <v>33.89</v>
      </c>
      <c r="CJ55" s="39">
        <v>34.03</v>
      </c>
      <c r="CK55" s="39">
        <v>34.17</v>
      </c>
      <c r="CL55" s="39">
        <v>34.31</v>
      </c>
      <c r="CM55" s="39">
        <v>34.450000000000003</v>
      </c>
      <c r="CN55" s="39">
        <v>34.590000000000003</v>
      </c>
      <c r="CO55" s="39">
        <v>34.729999999999997</v>
      </c>
      <c r="CP55" s="39">
        <v>34.869999999999997</v>
      </c>
      <c r="CQ55" s="39">
        <v>35.01</v>
      </c>
      <c r="CR55" s="39">
        <v>35.14</v>
      </c>
      <c r="CS55" s="39">
        <v>35.28</v>
      </c>
      <c r="CT55" s="39">
        <v>35.409999999999997</v>
      </c>
      <c r="CU55" s="39">
        <v>35.549999999999997</v>
      </c>
      <c r="CV55" s="39">
        <v>35.68</v>
      </c>
      <c r="CW55" s="39">
        <v>35.81</v>
      </c>
      <c r="CX55" s="39">
        <v>35.94</v>
      </c>
      <c r="CY55" s="39">
        <v>36.07</v>
      </c>
      <c r="CZ55" s="39">
        <v>36.200000000000003</v>
      </c>
      <c r="DA55" s="39">
        <v>36.33</v>
      </c>
      <c r="DB55" s="39">
        <v>36.46</v>
      </c>
      <c r="DC55" s="39">
        <v>36.58</v>
      </c>
      <c r="DD55" s="39">
        <v>36.71</v>
      </c>
      <c r="DE55" s="39">
        <v>36.840000000000003</v>
      </c>
      <c r="DF55" s="39">
        <v>36.96</v>
      </c>
      <c r="DG55" s="39">
        <v>37.08</v>
      </c>
      <c r="DH55" s="39">
        <v>37.200000000000003</v>
      </c>
      <c r="DI55" s="39">
        <v>37.33</v>
      </c>
      <c r="DJ55" s="39">
        <v>37.450000000000003</v>
      </c>
      <c r="DK55" s="39">
        <v>37.57</v>
      </c>
      <c r="DL55" s="39">
        <v>37.68</v>
      </c>
      <c r="DM55" s="39">
        <v>37.799999999999997</v>
      </c>
      <c r="DN55" s="39">
        <v>37.92</v>
      </c>
      <c r="DO55" s="39">
        <v>38.03</v>
      </c>
      <c r="DP55" s="39">
        <v>38.15</v>
      </c>
      <c r="DQ55" s="39">
        <v>38.26</v>
      </c>
      <c r="DR55" s="39">
        <v>38.380000000000003</v>
      </c>
    </row>
    <row r="56" spans="1:122">
      <c r="A56" s="37">
        <v>54</v>
      </c>
      <c r="B56" s="38"/>
      <c r="C56" s="38"/>
      <c r="D56" s="38"/>
      <c r="E56" s="38"/>
      <c r="F56" s="38"/>
      <c r="G56" s="38"/>
      <c r="H56" s="38"/>
      <c r="I56" s="38"/>
      <c r="J56" s="38"/>
      <c r="K56" s="38"/>
      <c r="L56" s="38"/>
      <c r="M56" s="38"/>
      <c r="N56" s="38"/>
      <c r="O56" s="38"/>
      <c r="P56" s="38"/>
      <c r="Q56" s="38"/>
      <c r="R56" s="38"/>
      <c r="S56" s="38"/>
      <c r="T56" s="38"/>
      <c r="U56" s="38"/>
      <c r="V56" s="39"/>
      <c r="W56" s="39">
        <v>22.67</v>
      </c>
      <c r="X56" s="39">
        <v>22.91</v>
      </c>
      <c r="Y56" s="39">
        <v>23.02</v>
      </c>
      <c r="Z56" s="39">
        <v>23.26</v>
      </c>
      <c r="AA56" s="39">
        <v>23.46</v>
      </c>
      <c r="AB56" s="39">
        <v>23.64</v>
      </c>
      <c r="AC56" s="39">
        <v>23.67</v>
      </c>
      <c r="AD56" s="39">
        <v>23.64</v>
      </c>
      <c r="AE56" s="39">
        <v>23.76</v>
      </c>
      <c r="AF56" s="39">
        <v>24</v>
      </c>
      <c r="AG56" s="39">
        <v>24.25</v>
      </c>
      <c r="AH56" s="39">
        <v>24.53</v>
      </c>
      <c r="AI56" s="39">
        <v>24.79</v>
      </c>
      <c r="AJ56" s="39">
        <v>25.07</v>
      </c>
      <c r="AK56" s="39">
        <v>25.36</v>
      </c>
      <c r="AL56" s="39">
        <v>25.69</v>
      </c>
      <c r="AM56" s="39">
        <v>26</v>
      </c>
      <c r="AN56" s="39">
        <v>26.21</v>
      </c>
      <c r="AO56" s="39">
        <v>26.37</v>
      </c>
      <c r="AP56" s="39">
        <v>26.54</v>
      </c>
      <c r="AQ56" s="39">
        <v>26.7</v>
      </c>
      <c r="AR56" s="39">
        <v>26.91</v>
      </c>
      <c r="AS56" s="39">
        <v>26.95</v>
      </c>
      <c r="AT56" s="39">
        <v>27.03</v>
      </c>
      <c r="AU56" s="39">
        <v>27.11</v>
      </c>
      <c r="AV56" s="39">
        <v>27.19</v>
      </c>
      <c r="AW56" s="39">
        <v>27.4</v>
      </c>
      <c r="AX56" s="39">
        <v>27.5</v>
      </c>
      <c r="AY56" s="39">
        <v>27.61</v>
      </c>
      <c r="AZ56" s="39">
        <v>27.71</v>
      </c>
      <c r="BA56" s="39">
        <v>27.8</v>
      </c>
      <c r="BB56" s="39">
        <v>27.92</v>
      </c>
      <c r="BC56" s="39">
        <v>28.05</v>
      </c>
      <c r="BD56" s="39">
        <v>28.19</v>
      </c>
      <c r="BE56" s="39">
        <v>28.34</v>
      </c>
      <c r="BF56" s="39">
        <v>28.5</v>
      </c>
      <c r="BG56" s="39">
        <v>28.66</v>
      </c>
      <c r="BH56" s="39">
        <v>28.83</v>
      </c>
      <c r="BI56" s="39">
        <v>28.98</v>
      </c>
      <c r="BJ56" s="39">
        <v>29.16</v>
      </c>
      <c r="BK56" s="39">
        <v>29.31</v>
      </c>
      <c r="BL56" s="39">
        <v>29.5</v>
      </c>
      <c r="BM56" s="39">
        <v>29.65</v>
      </c>
      <c r="BN56" s="39">
        <v>29.82</v>
      </c>
      <c r="BO56" s="39">
        <v>29.98</v>
      </c>
      <c r="BP56" s="39">
        <v>30.14</v>
      </c>
      <c r="BQ56" s="39">
        <v>30.29</v>
      </c>
      <c r="BR56" s="39">
        <v>30.45</v>
      </c>
      <c r="BS56" s="39">
        <v>30.61</v>
      </c>
      <c r="BT56" s="40">
        <v>30.76</v>
      </c>
      <c r="BU56" s="39">
        <v>30.92</v>
      </c>
      <c r="BV56" s="39">
        <v>31.07</v>
      </c>
      <c r="BW56" s="39">
        <v>31.22</v>
      </c>
      <c r="BX56" s="39">
        <v>31.37</v>
      </c>
      <c r="BY56" s="39">
        <v>31.53</v>
      </c>
      <c r="BZ56" s="39">
        <v>31.68</v>
      </c>
      <c r="CA56" s="39">
        <v>31.82</v>
      </c>
      <c r="CB56" s="39">
        <v>31.97</v>
      </c>
      <c r="CC56" s="39">
        <v>32.119999999999997</v>
      </c>
      <c r="CD56" s="39">
        <v>32.270000000000003</v>
      </c>
      <c r="CE56" s="39">
        <v>32.409999999999997</v>
      </c>
      <c r="CF56" s="39">
        <v>32.56</v>
      </c>
      <c r="CG56" s="39">
        <v>32.700000000000003</v>
      </c>
      <c r="CH56" s="39">
        <v>32.85</v>
      </c>
      <c r="CI56" s="39">
        <v>32.99</v>
      </c>
      <c r="CJ56" s="39">
        <v>33.130000000000003</v>
      </c>
      <c r="CK56" s="39">
        <v>33.270000000000003</v>
      </c>
      <c r="CL56" s="39">
        <v>33.409999999999997</v>
      </c>
      <c r="CM56" s="39">
        <v>33.549999999999997</v>
      </c>
      <c r="CN56" s="39">
        <v>33.69</v>
      </c>
      <c r="CO56" s="39">
        <v>33.83</v>
      </c>
      <c r="CP56" s="39">
        <v>33.96</v>
      </c>
      <c r="CQ56" s="39">
        <v>34.1</v>
      </c>
      <c r="CR56" s="39">
        <v>34.229999999999997</v>
      </c>
      <c r="CS56" s="39">
        <v>34.369999999999997</v>
      </c>
      <c r="CT56" s="39">
        <v>34.5</v>
      </c>
      <c r="CU56" s="39">
        <v>34.630000000000003</v>
      </c>
      <c r="CV56" s="39">
        <v>34.76</v>
      </c>
      <c r="CW56" s="39">
        <v>34.89</v>
      </c>
      <c r="CX56" s="39">
        <v>35.020000000000003</v>
      </c>
      <c r="CY56" s="39">
        <v>35.15</v>
      </c>
      <c r="CZ56" s="39">
        <v>35.28</v>
      </c>
      <c r="DA56" s="39">
        <v>35.409999999999997</v>
      </c>
      <c r="DB56" s="39">
        <v>35.53</v>
      </c>
      <c r="DC56" s="39">
        <v>35.659999999999997</v>
      </c>
      <c r="DD56" s="39">
        <v>35.78</v>
      </c>
      <c r="DE56" s="39">
        <v>35.909999999999997</v>
      </c>
      <c r="DF56" s="39">
        <v>36.03</v>
      </c>
      <c r="DG56" s="39">
        <v>36.15</v>
      </c>
      <c r="DH56" s="39">
        <v>36.270000000000003</v>
      </c>
      <c r="DI56" s="39">
        <v>36.39</v>
      </c>
      <c r="DJ56" s="39">
        <v>36.51</v>
      </c>
      <c r="DK56" s="39">
        <v>36.630000000000003</v>
      </c>
      <c r="DL56" s="39">
        <v>36.75</v>
      </c>
      <c r="DM56" s="39">
        <v>36.869999999999997</v>
      </c>
      <c r="DN56" s="39">
        <v>36.979999999999997</v>
      </c>
      <c r="DO56" s="39">
        <v>37.1</v>
      </c>
      <c r="DP56" s="39">
        <v>37.21</v>
      </c>
      <c r="DQ56" s="39">
        <v>37.32</v>
      </c>
      <c r="DR56" s="39">
        <v>37.44</v>
      </c>
    </row>
    <row r="57" spans="1:122">
      <c r="A57" s="37">
        <v>55</v>
      </c>
      <c r="B57" s="38"/>
      <c r="C57" s="38"/>
      <c r="D57" s="38"/>
      <c r="E57" s="38"/>
      <c r="F57" s="38"/>
      <c r="G57" s="38"/>
      <c r="H57" s="38"/>
      <c r="I57" s="38"/>
      <c r="J57" s="38"/>
      <c r="K57" s="38"/>
      <c r="L57" s="38"/>
      <c r="M57" s="38"/>
      <c r="N57" s="38"/>
      <c r="O57" s="38"/>
      <c r="P57" s="38"/>
      <c r="Q57" s="38"/>
      <c r="R57" s="38"/>
      <c r="S57" s="38"/>
      <c r="T57" s="38"/>
      <c r="U57" s="38"/>
      <c r="V57" s="39"/>
      <c r="W57" s="39">
        <v>21.91</v>
      </c>
      <c r="X57" s="39">
        <v>22.15</v>
      </c>
      <c r="Y57" s="39">
        <v>22.25</v>
      </c>
      <c r="Z57" s="39">
        <v>22.5</v>
      </c>
      <c r="AA57" s="39">
        <v>22.69</v>
      </c>
      <c r="AB57" s="39">
        <v>22.88</v>
      </c>
      <c r="AC57" s="39">
        <v>22.9</v>
      </c>
      <c r="AD57" s="39">
        <v>22.88</v>
      </c>
      <c r="AE57" s="39">
        <v>23.01</v>
      </c>
      <c r="AF57" s="39">
        <v>23.24</v>
      </c>
      <c r="AG57" s="39">
        <v>23.5</v>
      </c>
      <c r="AH57" s="39">
        <v>23.77</v>
      </c>
      <c r="AI57" s="39">
        <v>24.03</v>
      </c>
      <c r="AJ57" s="39">
        <v>24.29</v>
      </c>
      <c r="AK57" s="39">
        <v>24.59</v>
      </c>
      <c r="AL57" s="39">
        <v>24.91</v>
      </c>
      <c r="AM57" s="39">
        <v>25.22</v>
      </c>
      <c r="AN57" s="39">
        <v>25.43</v>
      </c>
      <c r="AO57" s="39">
        <v>25.59</v>
      </c>
      <c r="AP57" s="39">
        <v>25.75</v>
      </c>
      <c r="AQ57" s="39">
        <v>25.92</v>
      </c>
      <c r="AR57" s="39">
        <v>26.11</v>
      </c>
      <c r="AS57" s="39">
        <v>26.15</v>
      </c>
      <c r="AT57" s="39">
        <v>26.23</v>
      </c>
      <c r="AU57" s="39">
        <v>26.31</v>
      </c>
      <c r="AV57" s="39">
        <v>26.38</v>
      </c>
      <c r="AW57" s="39">
        <v>26.59</v>
      </c>
      <c r="AX57" s="39">
        <v>26.69</v>
      </c>
      <c r="AY57" s="39">
        <v>26.79</v>
      </c>
      <c r="AZ57" s="39">
        <v>26.89</v>
      </c>
      <c r="BA57" s="39">
        <v>26.98</v>
      </c>
      <c r="BB57" s="39">
        <v>27.09</v>
      </c>
      <c r="BC57" s="39">
        <v>27.23</v>
      </c>
      <c r="BD57" s="39">
        <v>27.37</v>
      </c>
      <c r="BE57" s="39">
        <v>27.52</v>
      </c>
      <c r="BF57" s="39">
        <v>27.68</v>
      </c>
      <c r="BG57" s="39">
        <v>27.83</v>
      </c>
      <c r="BH57" s="39">
        <v>28.01</v>
      </c>
      <c r="BI57" s="39">
        <v>28.15</v>
      </c>
      <c r="BJ57" s="39">
        <v>28.32</v>
      </c>
      <c r="BK57" s="39">
        <v>28.48</v>
      </c>
      <c r="BL57" s="39">
        <v>28.65</v>
      </c>
      <c r="BM57" s="39">
        <v>28.81</v>
      </c>
      <c r="BN57" s="39">
        <v>28.97</v>
      </c>
      <c r="BO57" s="39">
        <v>29.12</v>
      </c>
      <c r="BP57" s="39">
        <v>29.28</v>
      </c>
      <c r="BQ57" s="39">
        <v>29.44</v>
      </c>
      <c r="BR57" s="39">
        <v>29.59</v>
      </c>
      <c r="BS57" s="39">
        <v>29.74</v>
      </c>
      <c r="BT57" s="40">
        <v>29.9</v>
      </c>
      <c r="BU57" s="39">
        <v>30.05</v>
      </c>
      <c r="BV57" s="39">
        <v>30.2</v>
      </c>
      <c r="BW57" s="39">
        <v>30.35</v>
      </c>
      <c r="BX57" s="39">
        <v>30.5</v>
      </c>
      <c r="BY57" s="39">
        <v>30.65</v>
      </c>
      <c r="BZ57" s="39">
        <v>30.8</v>
      </c>
      <c r="CA57" s="39">
        <v>30.95</v>
      </c>
      <c r="CB57" s="39">
        <v>31.09</v>
      </c>
      <c r="CC57" s="39">
        <v>31.24</v>
      </c>
      <c r="CD57" s="39">
        <v>31.38</v>
      </c>
      <c r="CE57" s="39">
        <v>31.53</v>
      </c>
      <c r="CF57" s="39">
        <v>31.67</v>
      </c>
      <c r="CG57" s="39">
        <v>31.81</v>
      </c>
      <c r="CH57" s="39">
        <v>31.96</v>
      </c>
      <c r="CI57" s="39">
        <v>32.1</v>
      </c>
      <c r="CJ57" s="39">
        <v>32.24</v>
      </c>
      <c r="CK57" s="39">
        <v>32.380000000000003</v>
      </c>
      <c r="CL57" s="39">
        <v>32.520000000000003</v>
      </c>
      <c r="CM57" s="39">
        <v>32.65</v>
      </c>
      <c r="CN57" s="39">
        <v>32.79</v>
      </c>
      <c r="CO57" s="39">
        <v>32.93</v>
      </c>
      <c r="CP57" s="39">
        <v>33.06</v>
      </c>
      <c r="CQ57" s="39">
        <v>33.19</v>
      </c>
      <c r="CR57" s="39">
        <v>33.33</v>
      </c>
      <c r="CS57" s="39">
        <v>33.46</v>
      </c>
      <c r="CT57" s="39">
        <v>33.590000000000003</v>
      </c>
      <c r="CU57" s="39">
        <v>33.72</v>
      </c>
      <c r="CV57" s="39">
        <v>33.85</v>
      </c>
      <c r="CW57" s="39">
        <v>33.979999999999997</v>
      </c>
      <c r="CX57" s="39">
        <v>34.11</v>
      </c>
      <c r="CY57" s="39">
        <v>34.24</v>
      </c>
      <c r="CZ57" s="39">
        <v>34.369999999999997</v>
      </c>
      <c r="DA57" s="39">
        <v>34.49</v>
      </c>
      <c r="DB57" s="39">
        <v>34.619999999999997</v>
      </c>
      <c r="DC57" s="39">
        <v>34.74</v>
      </c>
      <c r="DD57" s="39">
        <v>34.86</v>
      </c>
      <c r="DE57" s="39">
        <v>34.99</v>
      </c>
      <c r="DF57" s="39">
        <v>35.11</v>
      </c>
      <c r="DG57" s="39">
        <v>35.229999999999997</v>
      </c>
      <c r="DH57" s="39">
        <v>35.35</v>
      </c>
      <c r="DI57" s="39">
        <v>35.47</v>
      </c>
      <c r="DJ57" s="39">
        <v>35.58</v>
      </c>
      <c r="DK57" s="39">
        <v>35.700000000000003</v>
      </c>
      <c r="DL57" s="39">
        <v>35.82</v>
      </c>
      <c r="DM57" s="39">
        <v>35.93</v>
      </c>
      <c r="DN57" s="39">
        <v>36.049999999999997</v>
      </c>
      <c r="DO57" s="39">
        <v>36.159999999999997</v>
      </c>
      <c r="DP57" s="39">
        <v>36.28</v>
      </c>
      <c r="DQ57" s="39">
        <v>36.39</v>
      </c>
      <c r="DR57" s="39">
        <v>36.5</v>
      </c>
    </row>
    <row r="58" spans="1:122">
      <c r="A58" s="37">
        <v>56</v>
      </c>
      <c r="B58" s="38"/>
      <c r="C58" s="38"/>
      <c r="D58" s="38"/>
      <c r="E58" s="38"/>
      <c r="F58" s="38"/>
      <c r="G58" s="38"/>
      <c r="H58" s="38"/>
      <c r="I58" s="38"/>
      <c r="J58" s="38"/>
      <c r="K58" s="38"/>
      <c r="L58" s="38"/>
      <c r="M58" s="38"/>
      <c r="N58" s="38"/>
      <c r="O58" s="38"/>
      <c r="P58" s="38"/>
      <c r="Q58" s="38"/>
      <c r="R58" s="38"/>
      <c r="S58" s="38"/>
      <c r="T58" s="38"/>
      <c r="U58" s="38"/>
      <c r="V58" s="39"/>
      <c r="W58" s="39">
        <v>21.16</v>
      </c>
      <c r="X58" s="39">
        <v>21.4</v>
      </c>
      <c r="Y58" s="39">
        <v>21.5</v>
      </c>
      <c r="Z58" s="39">
        <v>21.75</v>
      </c>
      <c r="AA58" s="39">
        <v>21.94</v>
      </c>
      <c r="AB58" s="39">
        <v>22.13</v>
      </c>
      <c r="AC58" s="39">
        <v>22.16</v>
      </c>
      <c r="AD58" s="39">
        <v>22.14</v>
      </c>
      <c r="AE58" s="39">
        <v>22.27</v>
      </c>
      <c r="AF58" s="39">
        <v>22.49</v>
      </c>
      <c r="AG58" s="39">
        <v>22.75</v>
      </c>
      <c r="AH58" s="39">
        <v>23.02</v>
      </c>
      <c r="AI58" s="39">
        <v>23.27</v>
      </c>
      <c r="AJ58" s="39">
        <v>23.54</v>
      </c>
      <c r="AK58" s="39">
        <v>23.84</v>
      </c>
      <c r="AL58" s="39">
        <v>24.15</v>
      </c>
      <c r="AM58" s="39">
        <v>24.45</v>
      </c>
      <c r="AN58" s="39">
        <v>24.66</v>
      </c>
      <c r="AO58" s="39">
        <v>24.81</v>
      </c>
      <c r="AP58" s="39">
        <v>24.98</v>
      </c>
      <c r="AQ58" s="39">
        <v>25.13</v>
      </c>
      <c r="AR58" s="39">
        <v>25.31</v>
      </c>
      <c r="AS58" s="39">
        <v>25.35</v>
      </c>
      <c r="AT58" s="39">
        <v>25.44</v>
      </c>
      <c r="AU58" s="39">
        <v>25.51</v>
      </c>
      <c r="AV58" s="39">
        <v>25.58</v>
      </c>
      <c r="AW58" s="39">
        <v>25.79</v>
      </c>
      <c r="AX58" s="39">
        <v>25.88</v>
      </c>
      <c r="AY58" s="39">
        <v>25.98</v>
      </c>
      <c r="AZ58" s="39">
        <v>26.08</v>
      </c>
      <c r="BA58" s="39">
        <v>26.17</v>
      </c>
      <c r="BB58" s="39">
        <v>26.27</v>
      </c>
      <c r="BC58" s="39">
        <v>26.41</v>
      </c>
      <c r="BD58" s="39">
        <v>26.56</v>
      </c>
      <c r="BE58" s="39">
        <v>26.71</v>
      </c>
      <c r="BF58" s="39">
        <v>26.86</v>
      </c>
      <c r="BG58" s="39">
        <v>27.01</v>
      </c>
      <c r="BH58" s="39">
        <v>27.18</v>
      </c>
      <c r="BI58" s="39">
        <v>27.32</v>
      </c>
      <c r="BJ58" s="39">
        <v>27.5</v>
      </c>
      <c r="BK58" s="39">
        <v>27.64</v>
      </c>
      <c r="BL58" s="39">
        <v>27.82</v>
      </c>
      <c r="BM58" s="39">
        <v>27.97</v>
      </c>
      <c r="BN58" s="39">
        <v>28.12</v>
      </c>
      <c r="BO58" s="39">
        <v>28.28</v>
      </c>
      <c r="BP58" s="39">
        <v>28.43</v>
      </c>
      <c r="BQ58" s="39">
        <v>28.59</v>
      </c>
      <c r="BR58" s="39">
        <v>28.74</v>
      </c>
      <c r="BS58" s="39">
        <v>28.89</v>
      </c>
      <c r="BT58" s="40">
        <v>29.04</v>
      </c>
      <c r="BU58" s="39">
        <v>29.19</v>
      </c>
      <c r="BV58" s="39">
        <v>29.34</v>
      </c>
      <c r="BW58" s="39">
        <v>29.49</v>
      </c>
      <c r="BX58" s="39">
        <v>29.64</v>
      </c>
      <c r="BY58" s="39">
        <v>29.79</v>
      </c>
      <c r="BZ58" s="39">
        <v>29.93</v>
      </c>
      <c r="CA58" s="39">
        <v>30.08</v>
      </c>
      <c r="CB58" s="39">
        <v>30.22</v>
      </c>
      <c r="CC58" s="39">
        <v>30.37</v>
      </c>
      <c r="CD58" s="39">
        <v>30.51</v>
      </c>
      <c r="CE58" s="39">
        <v>30.65</v>
      </c>
      <c r="CF58" s="39">
        <v>30.79</v>
      </c>
      <c r="CG58" s="39">
        <v>30.93</v>
      </c>
      <c r="CH58" s="39">
        <v>31.07</v>
      </c>
      <c r="CI58" s="39">
        <v>31.21</v>
      </c>
      <c r="CJ58" s="39">
        <v>31.35</v>
      </c>
      <c r="CK58" s="39">
        <v>31.49</v>
      </c>
      <c r="CL58" s="39">
        <v>31.63</v>
      </c>
      <c r="CM58" s="39">
        <v>31.76</v>
      </c>
      <c r="CN58" s="39">
        <v>31.9</v>
      </c>
      <c r="CO58" s="39">
        <v>32.03</v>
      </c>
      <c r="CP58" s="39">
        <v>32.17</v>
      </c>
      <c r="CQ58" s="39">
        <v>32.299999999999997</v>
      </c>
      <c r="CR58" s="39">
        <v>32.43</v>
      </c>
      <c r="CS58" s="39">
        <v>32.56</v>
      </c>
      <c r="CT58" s="39">
        <v>32.69</v>
      </c>
      <c r="CU58" s="39">
        <v>32.82</v>
      </c>
      <c r="CV58" s="39">
        <v>32.950000000000003</v>
      </c>
      <c r="CW58" s="39">
        <v>33.08</v>
      </c>
      <c r="CX58" s="39">
        <v>33.200000000000003</v>
      </c>
      <c r="CY58" s="39">
        <v>33.33</v>
      </c>
      <c r="CZ58" s="39">
        <v>33.46</v>
      </c>
      <c r="DA58" s="39">
        <v>33.58</v>
      </c>
      <c r="DB58" s="39">
        <v>33.700000000000003</v>
      </c>
      <c r="DC58" s="39">
        <v>33.83</v>
      </c>
      <c r="DD58" s="39">
        <v>33.950000000000003</v>
      </c>
      <c r="DE58" s="39">
        <v>34.07</v>
      </c>
      <c r="DF58" s="39">
        <v>34.19</v>
      </c>
      <c r="DG58" s="39">
        <v>34.31</v>
      </c>
      <c r="DH58" s="39">
        <v>34.43</v>
      </c>
      <c r="DI58" s="39">
        <v>34.549999999999997</v>
      </c>
      <c r="DJ58" s="39">
        <v>34.659999999999997</v>
      </c>
      <c r="DK58" s="39">
        <v>34.78</v>
      </c>
      <c r="DL58" s="39">
        <v>34.89</v>
      </c>
      <c r="DM58" s="39">
        <v>35.01</v>
      </c>
      <c r="DN58" s="39">
        <v>35.119999999999997</v>
      </c>
      <c r="DO58" s="39">
        <v>35.229999999999997</v>
      </c>
      <c r="DP58" s="39">
        <v>35.35</v>
      </c>
      <c r="DQ58" s="39">
        <v>35.46</v>
      </c>
      <c r="DR58" s="39">
        <v>35.57</v>
      </c>
    </row>
    <row r="59" spans="1:122">
      <c r="A59" s="37">
        <v>57</v>
      </c>
      <c r="B59" s="38"/>
      <c r="C59" s="38"/>
      <c r="D59" s="38"/>
      <c r="E59" s="38"/>
      <c r="F59" s="38"/>
      <c r="G59" s="38"/>
      <c r="H59" s="38"/>
      <c r="I59" s="38"/>
      <c r="J59" s="38"/>
      <c r="K59" s="38"/>
      <c r="L59" s="38"/>
      <c r="M59" s="38"/>
      <c r="N59" s="38"/>
      <c r="O59" s="38"/>
      <c r="P59" s="38"/>
      <c r="Q59" s="38"/>
      <c r="R59" s="38"/>
      <c r="S59" s="38"/>
      <c r="T59" s="38"/>
      <c r="U59" s="38"/>
      <c r="V59" s="39"/>
      <c r="W59" s="39">
        <v>20.43</v>
      </c>
      <c r="X59" s="39">
        <v>20.66</v>
      </c>
      <c r="Y59" s="39">
        <v>20.77</v>
      </c>
      <c r="Z59" s="39">
        <v>21.02</v>
      </c>
      <c r="AA59" s="39">
        <v>21.2</v>
      </c>
      <c r="AB59" s="39">
        <v>21.4</v>
      </c>
      <c r="AC59" s="39">
        <v>21.42</v>
      </c>
      <c r="AD59" s="39">
        <v>21.41</v>
      </c>
      <c r="AE59" s="39">
        <v>21.54</v>
      </c>
      <c r="AF59" s="39">
        <v>21.76</v>
      </c>
      <c r="AG59" s="39">
        <v>22.01</v>
      </c>
      <c r="AH59" s="39">
        <v>22.28</v>
      </c>
      <c r="AI59" s="39">
        <v>22.54</v>
      </c>
      <c r="AJ59" s="39">
        <v>22.81</v>
      </c>
      <c r="AK59" s="39">
        <v>23.09</v>
      </c>
      <c r="AL59" s="39">
        <v>23.4</v>
      </c>
      <c r="AM59" s="39">
        <v>23.69</v>
      </c>
      <c r="AN59" s="39">
        <v>23.89</v>
      </c>
      <c r="AO59" s="39">
        <v>24.05</v>
      </c>
      <c r="AP59" s="39">
        <v>24.2</v>
      </c>
      <c r="AQ59" s="39">
        <v>24.35</v>
      </c>
      <c r="AR59" s="39">
        <v>24.52</v>
      </c>
      <c r="AS59" s="39">
        <v>24.57</v>
      </c>
      <c r="AT59" s="39">
        <v>24.64</v>
      </c>
      <c r="AU59" s="39">
        <v>24.72</v>
      </c>
      <c r="AV59" s="39">
        <v>24.79</v>
      </c>
      <c r="AW59" s="39">
        <v>24.98</v>
      </c>
      <c r="AX59" s="39">
        <v>25.08</v>
      </c>
      <c r="AY59" s="39">
        <v>25.18</v>
      </c>
      <c r="AZ59" s="39">
        <v>25.28</v>
      </c>
      <c r="BA59" s="39">
        <v>25.37</v>
      </c>
      <c r="BB59" s="39">
        <v>25.47</v>
      </c>
      <c r="BC59" s="39">
        <v>25.6</v>
      </c>
      <c r="BD59" s="39">
        <v>25.75</v>
      </c>
      <c r="BE59" s="39">
        <v>25.89</v>
      </c>
      <c r="BF59" s="39">
        <v>26.05</v>
      </c>
      <c r="BG59" s="39">
        <v>26.19</v>
      </c>
      <c r="BH59" s="39">
        <v>26.36</v>
      </c>
      <c r="BI59" s="39">
        <v>26.51</v>
      </c>
      <c r="BJ59" s="39">
        <v>26.68</v>
      </c>
      <c r="BK59" s="39">
        <v>26.82</v>
      </c>
      <c r="BL59" s="39">
        <v>26.98</v>
      </c>
      <c r="BM59" s="39">
        <v>27.14</v>
      </c>
      <c r="BN59" s="39">
        <v>27.29</v>
      </c>
      <c r="BO59" s="39">
        <v>27.44</v>
      </c>
      <c r="BP59" s="39">
        <v>27.6</v>
      </c>
      <c r="BQ59" s="39">
        <v>27.75</v>
      </c>
      <c r="BR59" s="39">
        <v>27.9</v>
      </c>
      <c r="BS59" s="39">
        <v>28.05</v>
      </c>
      <c r="BT59" s="40">
        <v>28.2</v>
      </c>
      <c r="BU59" s="39">
        <v>28.34</v>
      </c>
      <c r="BV59" s="39">
        <v>28.49</v>
      </c>
      <c r="BW59" s="39">
        <v>28.64</v>
      </c>
      <c r="BX59" s="39">
        <v>28.78</v>
      </c>
      <c r="BY59" s="39">
        <v>28.93</v>
      </c>
      <c r="BZ59" s="39">
        <v>29.07</v>
      </c>
      <c r="CA59" s="39">
        <v>29.22</v>
      </c>
      <c r="CB59" s="39">
        <v>29.36</v>
      </c>
      <c r="CC59" s="39">
        <v>29.5</v>
      </c>
      <c r="CD59" s="39">
        <v>29.64</v>
      </c>
      <c r="CE59" s="39">
        <v>29.78</v>
      </c>
      <c r="CF59" s="39">
        <v>29.92</v>
      </c>
      <c r="CG59" s="39">
        <v>30.06</v>
      </c>
      <c r="CH59" s="39">
        <v>30.2</v>
      </c>
      <c r="CI59" s="39">
        <v>30.34</v>
      </c>
      <c r="CJ59" s="39">
        <v>30.47</v>
      </c>
      <c r="CK59" s="39">
        <v>30.61</v>
      </c>
      <c r="CL59" s="39">
        <v>30.74</v>
      </c>
      <c r="CM59" s="39">
        <v>30.88</v>
      </c>
      <c r="CN59" s="39">
        <v>31.01</v>
      </c>
      <c r="CO59" s="39">
        <v>31.15</v>
      </c>
      <c r="CP59" s="39">
        <v>31.28</v>
      </c>
      <c r="CQ59" s="39">
        <v>31.41</v>
      </c>
      <c r="CR59" s="39">
        <v>31.54</v>
      </c>
      <c r="CS59" s="39">
        <v>31.67</v>
      </c>
      <c r="CT59" s="39">
        <v>31.8</v>
      </c>
      <c r="CU59" s="39">
        <v>31.92</v>
      </c>
      <c r="CV59" s="39">
        <v>32.049999999999997</v>
      </c>
      <c r="CW59" s="39">
        <v>32.18</v>
      </c>
      <c r="CX59" s="39">
        <v>32.299999999999997</v>
      </c>
      <c r="CY59" s="39">
        <v>32.43</v>
      </c>
      <c r="CZ59" s="39">
        <v>32.549999999999997</v>
      </c>
      <c r="DA59" s="39">
        <v>32.67</v>
      </c>
      <c r="DB59" s="39">
        <v>32.799999999999997</v>
      </c>
      <c r="DC59" s="39">
        <v>32.92</v>
      </c>
      <c r="DD59" s="39">
        <v>33.04</v>
      </c>
      <c r="DE59" s="39">
        <v>33.159999999999997</v>
      </c>
      <c r="DF59" s="39">
        <v>33.28</v>
      </c>
      <c r="DG59" s="39">
        <v>33.4</v>
      </c>
      <c r="DH59" s="39">
        <v>33.51</v>
      </c>
      <c r="DI59" s="39">
        <v>33.630000000000003</v>
      </c>
      <c r="DJ59" s="39">
        <v>33.74</v>
      </c>
      <c r="DK59" s="39">
        <v>33.86</v>
      </c>
      <c r="DL59" s="39">
        <v>33.97</v>
      </c>
      <c r="DM59" s="39">
        <v>34.090000000000003</v>
      </c>
      <c r="DN59" s="39">
        <v>34.200000000000003</v>
      </c>
      <c r="DO59" s="39">
        <v>34.31</v>
      </c>
      <c r="DP59" s="39">
        <v>34.42</v>
      </c>
      <c r="DQ59" s="39">
        <v>34.53</v>
      </c>
      <c r="DR59" s="39">
        <v>34.64</v>
      </c>
    </row>
    <row r="60" spans="1:122">
      <c r="A60" s="37">
        <v>58</v>
      </c>
      <c r="B60" s="38"/>
      <c r="C60" s="38"/>
      <c r="D60" s="38"/>
      <c r="E60" s="38"/>
      <c r="F60" s="38"/>
      <c r="G60" s="38"/>
      <c r="H60" s="38"/>
      <c r="I60" s="38"/>
      <c r="J60" s="38"/>
      <c r="K60" s="38"/>
      <c r="L60" s="38"/>
      <c r="M60" s="38"/>
      <c r="N60" s="38"/>
      <c r="O60" s="38"/>
      <c r="P60" s="38"/>
      <c r="Q60" s="38"/>
      <c r="R60" s="38"/>
      <c r="S60" s="38"/>
      <c r="T60" s="38"/>
      <c r="U60" s="38"/>
      <c r="V60" s="39"/>
      <c r="W60" s="39">
        <v>19.71</v>
      </c>
      <c r="X60" s="39">
        <v>19.940000000000001</v>
      </c>
      <c r="Y60" s="39">
        <v>20.059999999999999</v>
      </c>
      <c r="Z60" s="39">
        <v>20.29</v>
      </c>
      <c r="AA60" s="39">
        <v>20.48</v>
      </c>
      <c r="AB60" s="39">
        <v>20.67</v>
      </c>
      <c r="AC60" s="39">
        <v>20.69</v>
      </c>
      <c r="AD60" s="39">
        <v>20.68</v>
      </c>
      <c r="AE60" s="39">
        <v>20.82</v>
      </c>
      <c r="AF60" s="39">
        <v>21.04</v>
      </c>
      <c r="AG60" s="39">
        <v>21.28</v>
      </c>
      <c r="AH60" s="39">
        <v>21.55</v>
      </c>
      <c r="AI60" s="39">
        <v>21.81</v>
      </c>
      <c r="AJ60" s="39">
        <v>22.08</v>
      </c>
      <c r="AK60" s="39">
        <v>22.35</v>
      </c>
      <c r="AL60" s="39">
        <v>22.66</v>
      </c>
      <c r="AM60" s="39">
        <v>22.95</v>
      </c>
      <c r="AN60" s="39">
        <v>23.15</v>
      </c>
      <c r="AO60" s="39">
        <v>23.29</v>
      </c>
      <c r="AP60" s="39">
        <v>23.44</v>
      </c>
      <c r="AQ60" s="39">
        <v>23.57</v>
      </c>
      <c r="AR60" s="39">
        <v>23.74</v>
      </c>
      <c r="AS60" s="39">
        <v>23.79</v>
      </c>
      <c r="AT60" s="39">
        <v>23.86</v>
      </c>
      <c r="AU60" s="39">
        <v>23.94</v>
      </c>
      <c r="AV60" s="39">
        <v>24</v>
      </c>
      <c r="AW60" s="39">
        <v>24.19</v>
      </c>
      <c r="AX60" s="39">
        <v>24.28</v>
      </c>
      <c r="AY60" s="39">
        <v>24.37</v>
      </c>
      <c r="AZ60" s="39">
        <v>24.48</v>
      </c>
      <c r="BA60" s="39">
        <v>24.56</v>
      </c>
      <c r="BB60" s="39">
        <v>24.67</v>
      </c>
      <c r="BC60" s="39">
        <v>24.81</v>
      </c>
      <c r="BD60" s="39">
        <v>24.95</v>
      </c>
      <c r="BE60" s="39">
        <v>25.1</v>
      </c>
      <c r="BF60" s="39">
        <v>25.25</v>
      </c>
      <c r="BG60" s="39">
        <v>25.4</v>
      </c>
      <c r="BH60" s="39">
        <v>25.55</v>
      </c>
      <c r="BI60" s="39">
        <v>25.7</v>
      </c>
      <c r="BJ60" s="39">
        <v>25.87</v>
      </c>
      <c r="BK60" s="39">
        <v>26.01</v>
      </c>
      <c r="BL60" s="39">
        <v>26.17</v>
      </c>
      <c r="BM60" s="39">
        <v>26.32</v>
      </c>
      <c r="BN60" s="39">
        <v>26.47</v>
      </c>
      <c r="BO60" s="39">
        <v>26.62</v>
      </c>
      <c r="BP60" s="39">
        <v>26.77</v>
      </c>
      <c r="BQ60" s="39">
        <v>26.92</v>
      </c>
      <c r="BR60" s="39">
        <v>27.07</v>
      </c>
      <c r="BS60" s="39">
        <v>27.21</v>
      </c>
      <c r="BT60" s="40">
        <v>27.36</v>
      </c>
      <c r="BU60" s="39">
        <v>27.51</v>
      </c>
      <c r="BV60" s="39">
        <v>27.65</v>
      </c>
      <c r="BW60" s="39">
        <v>27.79</v>
      </c>
      <c r="BX60" s="39">
        <v>27.94</v>
      </c>
      <c r="BY60" s="39">
        <v>28.08</v>
      </c>
      <c r="BZ60" s="39">
        <v>28.22</v>
      </c>
      <c r="CA60" s="39">
        <v>28.36</v>
      </c>
      <c r="CB60" s="39">
        <v>28.51</v>
      </c>
      <c r="CC60" s="39">
        <v>28.65</v>
      </c>
      <c r="CD60" s="39">
        <v>28.78</v>
      </c>
      <c r="CE60" s="39">
        <v>28.92</v>
      </c>
      <c r="CF60" s="39">
        <v>29.06</v>
      </c>
      <c r="CG60" s="39">
        <v>29.2</v>
      </c>
      <c r="CH60" s="39">
        <v>29.33</v>
      </c>
      <c r="CI60" s="39">
        <v>29.47</v>
      </c>
      <c r="CJ60" s="39">
        <v>29.6</v>
      </c>
      <c r="CK60" s="39">
        <v>29.74</v>
      </c>
      <c r="CL60" s="39">
        <v>29.87</v>
      </c>
      <c r="CM60" s="39">
        <v>30</v>
      </c>
      <c r="CN60" s="39">
        <v>30.14</v>
      </c>
      <c r="CO60" s="39">
        <v>30.27</v>
      </c>
      <c r="CP60" s="39">
        <v>30.4</v>
      </c>
      <c r="CQ60" s="39">
        <v>30.53</v>
      </c>
      <c r="CR60" s="39">
        <v>30.65</v>
      </c>
      <c r="CS60" s="39">
        <v>30.78</v>
      </c>
      <c r="CT60" s="39">
        <v>30.91</v>
      </c>
      <c r="CU60" s="39">
        <v>31.04</v>
      </c>
      <c r="CV60" s="39">
        <v>31.16</v>
      </c>
      <c r="CW60" s="39">
        <v>31.29</v>
      </c>
      <c r="CX60" s="39">
        <v>31.41</v>
      </c>
      <c r="CY60" s="39">
        <v>31.53</v>
      </c>
      <c r="CZ60" s="39">
        <v>31.65</v>
      </c>
      <c r="DA60" s="39">
        <v>31.78</v>
      </c>
      <c r="DB60" s="39">
        <v>31.9</v>
      </c>
      <c r="DC60" s="39">
        <v>32.020000000000003</v>
      </c>
      <c r="DD60" s="39">
        <v>32.14</v>
      </c>
      <c r="DE60" s="39">
        <v>32.25</v>
      </c>
      <c r="DF60" s="39">
        <v>32.369999999999997</v>
      </c>
      <c r="DG60" s="39">
        <v>32.49</v>
      </c>
      <c r="DH60" s="39">
        <v>32.6</v>
      </c>
      <c r="DI60" s="39">
        <v>32.72</v>
      </c>
      <c r="DJ60" s="39">
        <v>32.83</v>
      </c>
      <c r="DK60" s="39">
        <v>32.950000000000003</v>
      </c>
      <c r="DL60" s="39">
        <v>33.06</v>
      </c>
      <c r="DM60" s="39">
        <v>33.17</v>
      </c>
      <c r="DN60" s="39">
        <v>33.28</v>
      </c>
      <c r="DO60" s="39">
        <v>33.39</v>
      </c>
      <c r="DP60" s="39">
        <v>33.5</v>
      </c>
      <c r="DQ60" s="39">
        <v>33.61</v>
      </c>
      <c r="DR60" s="39">
        <v>33.72</v>
      </c>
    </row>
    <row r="61" spans="1:122">
      <c r="A61" s="37">
        <v>59</v>
      </c>
      <c r="B61" s="38"/>
      <c r="C61" s="38"/>
      <c r="D61" s="38"/>
      <c r="E61" s="38"/>
      <c r="F61" s="38"/>
      <c r="G61" s="38"/>
      <c r="H61" s="38"/>
      <c r="I61" s="38"/>
      <c r="J61" s="38"/>
      <c r="K61" s="38"/>
      <c r="L61" s="38"/>
      <c r="M61" s="38"/>
      <c r="N61" s="38"/>
      <c r="O61" s="38"/>
      <c r="P61" s="38"/>
      <c r="Q61" s="38"/>
      <c r="R61" s="38"/>
      <c r="S61" s="38"/>
      <c r="T61" s="38"/>
      <c r="U61" s="38"/>
      <c r="V61" s="39"/>
      <c r="W61" s="39">
        <v>19.010000000000002</v>
      </c>
      <c r="X61" s="39">
        <v>19.239999999999998</v>
      </c>
      <c r="Y61" s="39">
        <v>19.36</v>
      </c>
      <c r="Z61" s="39">
        <v>19.579999999999998</v>
      </c>
      <c r="AA61" s="39">
        <v>19.77</v>
      </c>
      <c r="AB61" s="39">
        <v>19.96</v>
      </c>
      <c r="AC61" s="39">
        <v>19.98</v>
      </c>
      <c r="AD61" s="39">
        <v>19.98</v>
      </c>
      <c r="AE61" s="39">
        <v>20.100000000000001</v>
      </c>
      <c r="AF61" s="39">
        <v>20.32</v>
      </c>
      <c r="AG61" s="39">
        <v>20.57</v>
      </c>
      <c r="AH61" s="39">
        <v>20.84</v>
      </c>
      <c r="AI61" s="39">
        <v>21.1</v>
      </c>
      <c r="AJ61" s="39">
        <v>21.36</v>
      </c>
      <c r="AK61" s="39">
        <v>21.63</v>
      </c>
      <c r="AL61" s="39">
        <v>21.93</v>
      </c>
      <c r="AM61" s="39">
        <v>22.21</v>
      </c>
      <c r="AN61" s="39">
        <v>22.4</v>
      </c>
      <c r="AO61" s="39">
        <v>22.54</v>
      </c>
      <c r="AP61" s="39">
        <v>22.68</v>
      </c>
      <c r="AQ61" s="39">
        <v>22.8</v>
      </c>
      <c r="AR61" s="39">
        <v>22.97</v>
      </c>
      <c r="AS61" s="39">
        <v>23.02</v>
      </c>
      <c r="AT61" s="39">
        <v>23.09</v>
      </c>
      <c r="AU61" s="39">
        <v>23.16</v>
      </c>
      <c r="AV61" s="39">
        <v>23.22</v>
      </c>
      <c r="AW61" s="39">
        <v>23.41</v>
      </c>
      <c r="AX61" s="39">
        <v>23.5</v>
      </c>
      <c r="AY61" s="39">
        <v>23.58</v>
      </c>
      <c r="AZ61" s="39">
        <v>23.69</v>
      </c>
      <c r="BA61" s="39">
        <v>23.78</v>
      </c>
      <c r="BB61" s="39">
        <v>23.9</v>
      </c>
      <c r="BC61" s="39">
        <v>24.03</v>
      </c>
      <c r="BD61" s="39">
        <v>24.17</v>
      </c>
      <c r="BE61" s="39">
        <v>24.31</v>
      </c>
      <c r="BF61" s="39">
        <v>24.46</v>
      </c>
      <c r="BG61" s="39">
        <v>24.61</v>
      </c>
      <c r="BH61" s="39">
        <v>24.76</v>
      </c>
      <c r="BI61" s="39">
        <v>24.91</v>
      </c>
      <c r="BJ61" s="39">
        <v>25.06</v>
      </c>
      <c r="BK61" s="39">
        <v>25.21</v>
      </c>
      <c r="BL61" s="39">
        <v>25.36</v>
      </c>
      <c r="BM61" s="39">
        <v>25.51</v>
      </c>
      <c r="BN61" s="39">
        <v>25.66</v>
      </c>
      <c r="BO61" s="39">
        <v>25.8</v>
      </c>
      <c r="BP61" s="39">
        <v>25.95</v>
      </c>
      <c r="BQ61" s="39">
        <v>26.1</v>
      </c>
      <c r="BR61" s="39">
        <v>26.24</v>
      </c>
      <c r="BS61" s="39">
        <v>26.39</v>
      </c>
      <c r="BT61" s="40">
        <v>26.53</v>
      </c>
      <c r="BU61" s="39">
        <v>26.68</v>
      </c>
      <c r="BV61" s="39">
        <v>26.82</v>
      </c>
      <c r="BW61" s="39">
        <v>26.96</v>
      </c>
      <c r="BX61" s="39">
        <v>27.1</v>
      </c>
      <c r="BY61" s="39">
        <v>27.24</v>
      </c>
      <c r="BZ61" s="39">
        <v>27.38</v>
      </c>
      <c r="CA61" s="39">
        <v>27.52</v>
      </c>
      <c r="CB61" s="39">
        <v>27.66</v>
      </c>
      <c r="CC61" s="39">
        <v>27.8</v>
      </c>
      <c r="CD61" s="39">
        <v>27.93</v>
      </c>
      <c r="CE61" s="39">
        <v>28.07</v>
      </c>
      <c r="CF61" s="39">
        <v>28.21</v>
      </c>
      <c r="CG61" s="39">
        <v>28.34</v>
      </c>
      <c r="CH61" s="39">
        <v>28.48</v>
      </c>
      <c r="CI61" s="39">
        <v>28.61</v>
      </c>
      <c r="CJ61" s="39">
        <v>28.74</v>
      </c>
      <c r="CK61" s="39">
        <v>28.87</v>
      </c>
      <c r="CL61" s="39">
        <v>29.01</v>
      </c>
      <c r="CM61" s="39">
        <v>29.14</v>
      </c>
      <c r="CN61" s="39">
        <v>29.27</v>
      </c>
      <c r="CO61" s="39">
        <v>29.39</v>
      </c>
      <c r="CP61" s="39">
        <v>29.52</v>
      </c>
      <c r="CQ61" s="39">
        <v>29.65</v>
      </c>
      <c r="CR61" s="39">
        <v>29.78</v>
      </c>
      <c r="CS61" s="39">
        <v>29.9</v>
      </c>
      <c r="CT61" s="39">
        <v>30.03</v>
      </c>
      <c r="CU61" s="39">
        <v>30.15</v>
      </c>
      <c r="CV61" s="39">
        <v>30.28</v>
      </c>
      <c r="CW61" s="39">
        <v>30.4</v>
      </c>
      <c r="CX61" s="39">
        <v>30.52</v>
      </c>
      <c r="CY61" s="39">
        <v>30.64</v>
      </c>
      <c r="CZ61" s="39">
        <v>30.76</v>
      </c>
      <c r="DA61" s="39">
        <v>30.88</v>
      </c>
      <c r="DB61" s="39">
        <v>31</v>
      </c>
      <c r="DC61" s="39">
        <v>31.12</v>
      </c>
      <c r="DD61" s="39">
        <v>31.24</v>
      </c>
      <c r="DE61" s="39">
        <v>31.35</v>
      </c>
      <c r="DF61" s="39">
        <v>31.47</v>
      </c>
      <c r="DG61" s="39">
        <v>31.58</v>
      </c>
      <c r="DH61" s="39">
        <v>31.7</v>
      </c>
      <c r="DI61" s="39">
        <v>31.81</v>
      </c>
      <c r="DJ61" s="39">
        <v>31.93</v>
      </c>
      <c r="DK61" s="39">
        <v>32.04</v>
      </c>
      <c r="DL61" s="39">
        <v>32.15</v>
      </c>
      <c r="DM61" s="39">
        <v>32.26</v>
      </c>
      <c r="DN61" s="39">
        <v>32.369999999999997</v>
      </c>
      <c r="DO61" s="39">
        <v>32.479999999999997</v>
      </c>
      <c r="DP61" s="39">
        <v>32.590000000000003</v>
      </c>
      <c r="DQ61" s="39">
        <v>32.69</v>
      </c>
      <c r="DR61" s="39">
        <v>32.799999999999997</v>
      </c>
    </row>
    <row r="62" spans="1:122">
      <c r="A62" s="37">
        <v>60</v>
      </c>
      <c r="B62" s="38"/>
      <c r="C62" s="38"/>
      <c r="D62" s="38"/>
      <c r="E62" s="38"/>
      <c r="F62" s="38"/>
      <c r="G62" s="38"/>
      <c r="H62" s="38"/>
      <c r="I62" s="38"/>
      <c r="J62" s="38"/>
      <c r="K62" s="38"/>
      <c r="L62" s="38"/>
      <c r="M62" s="38"/>
      <c r="N62" s="38"/>
      <c r="O62" s="38"/>
      <c r="P62" s="38"/>
      <c r="Q62" s="38"/>
      <c r="R62" s="38"/>
      <c r="S62" s="38"/>
      <c r="T62" s="38"/>
      <c r="U62" s="38"/>
      <c r="V62" s="39"/>
      <c r="W62" s="39">
        <v>18.32</v>
      </c>
      <c r="X62" s="39">
        <v>18.55</v>
      </c>
      <c r="Y62" s="39">
        <v>18.670000000000002</v>
      </c>
      <c r="Z62" s="39">
        <v>18.88</v>
      </c>
      <c r="AA62" s="39">
        <v>19.07</v>
      </c>
      <c r="AB62" s="39">
        <v>19.260000000000002</v>
      </c>
      <c r="AC62" s="39">
        <v>19.28</v>
      </c>
      <c r="AD62" s="39">
        <v>19.28</v>
      </c>
      <c r="AE62" s="39">
        <v>19.399999999999999</v>
      </c>
      <c r="AF62" s="39">
        <v>19.63</v>
      </c>
      <c r="AG62" s="39">
        <v>19.88</v>
      </c>
      <c r="AH62" s="39">
        <v>20.14</v>
      </c>
      <c r="AI62" s="39">
        <v>20.399999999999999</v>
      </c>
      <c r="AJ62" s="39">
        <v>20.65</v>
      </c>
      <c r="AK62" s="39">
        <v>20.92</v>
      </c>
      <c r="AL62" s="39">
        <v>21.22</v>
      </c>
      <c r="AM62" s="39">
        <v>21.47</v>
      </c>
      <c r="AN62" s="39">
        <v>21.66</v>
      </c>
      <c r="AO62" s="39">
        <v>21.79</v>
      </c>
      <c r="AP62" s="39">
        <v>21.92</v>
      </c>
      <c r="AQ62" s="39">
        <v>22.05</v>
      </c>
      <c r="AR62" s="39">
        <v>22.21</v>
      </c>
      <c r="AS62" s="39">
        <v>22.26</v>
      </c>
      <c r="AT62" s="39">
        <v>22.33</v>
      </c>
      <c r="AU62" s="39">
        <v>22.39</v>
      </c>
      <c r="AV62" s="39">
        <v>22.45</v>
      </c>
      <c r="AW62" s="39">
        <v>22.63</v>
      </c>
      <c r="AX62" s="39">
        <v>22.72</v>
      </c>
      <c r="AY62" s="39">
        <v>22.81</v>
      </c>
      <c r="AZ62" s="39">
        <v>22.91</v>
      </c>
      <c r="BA62" s="39">
        <v>23</v>
      </c>
      <c r="BB62" s="39">
        <v>23.12</v>
      </c>
      <c r="BC62" s="39">
        <v>23.26</v>
      </c>
      <c r="BD62" s="39">
        <v>23.39</v>
      </c>
      <c r="BE62" s="39">
        <v>23.54</v>
      </c>
      <c r="BF62" s="39">
        <v>23.68</v>
      </c>
      <c r="BG62" s="39">
        <v>23.83</v>
      </c>
      <c r="BH62" s="39">
        <v>23.98</v>
      </c>
      <c r="BI62" s="39">
        <v>24.12</v>
      </c>
      <c r="BJ62" s="39">
        <v>24.27</v>
      </c>
      <c r="BK62" s="39">
        <v>24.42</v>
      </c>
      <c r="BL62" s="39">
        <v>24.56</v>
      </c>
      <c r="BM62" s="39">
        <v>24.71</v>
      </c>
      <c r="BN62" s="39">
        <v>24.86</v>
      </c>
      <c r="BO62" s="39">
        <v>25</v>
      </c>
      <c r="BP62" s="39">
        <v>25.15</v>
      </c>
      <c r="BQ62" s="39">
        <v>25.29</v>
      </c>
      <c r="BR62" s="39">
        <v>25.43</v>
      </c>
      <c r="BS62" s="39">
        <v>25.57</v>
      </c>
      <c r="BT62" s="40">
        <v>25.72</v>
      </c>
      <c r="BU62" s="39">
        <v>25.86</v>
      </c>
      <c r="BV62" s="39">
        <v>26</v>
      </c>
      <c r="BW62" s="39">
        <v>26.14</v>
      </c>
      <c r="BX62" s="39">
        <v>26.27</v>
      </c>
      <c r="BY62" s="39">
        <v>26.41</v>
      </c>
      <c r="BZ62" s="39">
        <v>26.55</v>
      </c>
      <c r="CA62" s="39">
        <v>26.69</v>
      </c>
      <c r="CB62" s="39">
        <v>26.82</v>
      </c>
      <c r="CC62" s="39">
        <v>26.96</v>
      </c>
      <c r="CD62" s="39">
        <v>27.09</v>
      </c>
      <c r="CE62" s="39">
        <v>27.23</v>
      </c>
      <c r="CF62" s="39">
        <v>27.36</v>
      </c>
      <c r="CG62" s="39">
        <v>27.49</v>
      </c>
      <c r="CH62" s="39">
        <v>27.63</v>
      </c>
      <c r="CI62" s="39">
        <v>27.76</v>
      </c>
      <c r="CJ62" s="39">
        <v>27.89</v>
      </c>
      <c r="CK62" s="39">
        <v>28.02</v>
      </c>
      <c r="CL62" s="39">
        <v>28.15</v>
      </c>
      <c r="CM62" s="39">
        <v>28.28</v>
      </c>
      <c r="CN62" s="39">
        <v>28.4</v>
      </c>
      <c r="CO62" s="39">
        <v>28.53</v>
      </c>
      <c r="CP62" s="39">
        <v>28.66</v>
      </c>
      <c r="CQ62" s="39">
        <v>28.78</v>
      </c>
      <c r="CR62" s="39">
        <v>28.91</v>
      </c>
      <c r="CS62" s="39">
        <v>29.03</v>
      </c>
      <c r="CT62" s="39">
        <v>29.15</v>
      </c>
      <c r="CU62" s="39">
        <v>29.28</v>
      </c>
      <c r="CV62" s="39">
        <v>29.4</v>
      </c>
      <c r="CW62" s="39">
        <v>29.52</v>
      </c>
      <c r="CX62" s="39">
        <v>29.64</v>
      </c>
      <c r="CY62" s="39">
        <v>29.76</v>
      </c>
      <c r="CZ62" s="39">
        <v>29.88</v>
      </c>
      <c r="DA62" s="39">
        <v>30</v>
      </c>
      <c r="DB62" s="39">
        <v>30.11</v>
      </c>
      <c r="DC62" s="39">
        <v>30.23</v>
      </c>
      <c r="DD62" s="39">
        <v>30.35</v>
      </c>
      <c r="DE62" s="39">
        <v>30.46</v>
      </c>
      <c r="DF62" s="39">
        <v>30.57</v>
      </c>
      <c r="DG62" s="39">
        <v>30.69</v>
      </c>
      <c r="DH62" s="39">
        <v>30.8</v>
      </c>
      <c r="DI62" s="39">
        <v>30.91</v>
      </c>
      <c r="DJ62" s="39">
        <v>31.02</v>
      </c>
      <c r="DK62" s="39">
        <v>31.13</v>
      </c>
      <c r="DL62" s="39">
        <v>31.24</v>
      </c>
      <c r="DM62" s="39">
        <v>31.35</v>
      </c>
      <c r="DN62" s="39">
        <v>31.46</v>
      </c>
      <c r="DO62" s="39">
        <v>31.57</v>
      </c>
      <c r="DP62" s="39">
        <v>31.68</v>
      </c>
      <c r="DQ62" s="39">
        <v>31.78</v>
      </c>
      <c r="DR62" s="39">
        <v>31.89</v>
      </c>
    </row>
    <row r="63" spans="1:122">
      <c r="A63" s="37">
        <v>61</v>
      </c>
      <c r="B63" s="38"/>
      <c r="C63" s="38"/>
      <c r="D63" s="38"/>
      <c r="E63" s="38"/>
      <c r="F63" s="38"/>
      <c r="G63" s="38"/>
      <c r="H63" s="38"/>
      <c r="I63" s="38"/>
      <c r="J63" s="38"/>
      <c r="K63" s="38"/>
      <c r="L63" s="38"/>
      <c r="M63" s="38"/>
      <c r="N63" s="38"/>
      <c r="O63" s="38"/>
      <c r="P63" s="38"/>
      <c r="Q63" s="38"/>
      <c r="R63" s="38"/>
      <c r="S63" s="38"/>
      <c r="T63" s="38"/>
      <c r="U63" s="38"/>
      <c r="V63" s="39"/>
      <c r="W63" s="39">
        <v>17.64</v>
      </c>
      <c r="X63" s="39">
        <v>17.87</v>
      </c>
      <c r="Y63" s="39">
        <v>17.989999999999998</v>
      </c>
      <c r="Z63" s="39">
        <v>18.190000000000001</v>
      </c>
      <c r="AA63" s="39">
        <v>18.38</v>
      </c>
      <c r="AB63" s="39">
        <v>18.57</v>
      </c>
      <c r="AC63" s="39">
        <v>18.579999999999998</v>
      </c>
      <c r="AD63" s="39">
        <v>18.600000000000001</v>
      </c>
      <c r="AE63" s="39">
        <v>18.72</v>
      </c>
      <c r="AF63" s="39">
        <v>18.96</v>
      </c>
      <c r="AG63" s="39">
        <v>19.2</v>
      </c>
      <c r="AH63" s="39">
        <v>19.46</v>
      </c>
      <c r="AI63" s="39">
        <v>19.71</v>
      </c>
      <c r="AJ63" s="39">
        <v>19.95</v>
      </c>
      <c r="AK63" s="39">
        <v>20.22</v>
      </c>
      <c r="AL63" s="39">
        <v>20.5</v>
      </c>
      <c r="AM63" s="39">
        <v>20.75</v>
      </c>
      <c r="AN63" s="39">
        <v>20.92</v>
      </c>
      <c r="AO63" s="39">
        <v>21.05</v>
      </c>
      <c r="AP63" s="39">
        <v>21.17</v>
      </c>
      <c r="AQ63" s="39">
        <v>21.31</v>
      </c>
      <c r="AR63" s="39">
        <v>21.45</v>
      </c>
      <c r="AS63" s="39">
        <v>21.51</v>
      </c>
      <c r="AT63" s="39">
        <v>21.57</v>
      </c>
      <c r="AU63" s="39">
        <v>21.63</v>
      </c>
      <c r="AV63" s="39">
        <v>21.69</v>
      </c>
      <c r="AW63" s="39">
        <v>21.87</v>
      </c>
      <c r="AX63" s="39">
        <v>21.96</v>
      </c>
      <c r="AY63" s="39">
        <v>22.05</v>
      </c>
      <c r="AZ63" s="39">
        <v>22.15</v>
      </c>
      <c r="BA63" s="39">
        <v>22.24</v>
      </c>
      <c r="BB63" s="39">
        <v>22.36</v>
      </c>
      <c r="BC63" s="39">
        <v>22.49</v>
      </c>
      <c r="BD63" s="39">
        <v>22.63</v>
      </c>
      <c r="BE63" s="39">
        <v>22.77</v>
      </c>
      <c r="BF63" s="39">
        <v>22.91</v>
      </c>
      <c r="BG63" s="39">
        <v>23.06</v>
      </c>
      <c r="BH63" s="39">
        <v>23.2</v>
      </c>
      <c r="BI63" s="39">
        <v>23.35</v>
      </c>
      <c r="BJ63" s="39">
        <v>23.49</v>
      </c>
      <c r="BK63" s="39">
        <v>23.64</v>
      </c>
      <c r="BL63" s="39">
        <v>23.78</v>
      </c>
      <c r="BM63" s="39">
        <v>23.92</v>
      </c>
      <c r="BN63" s="39">
        <v>24.07</v>
      </c>
      <c r="BO63" s="39">
        <v>24.21</v>
      </c>
      <c r="BP63" s="39">
        <v>24.35</v>
      </c>
      <c r="BQ63" s="39">
        <v>24.49</v>
      </c>
      <c r="BR63" s="39">
        <v>24.63</v>
      </c>
      <c r="BS63" s="39">
        <v>24.77</v>
      </c>
      <c r="BT63" s="40">
        <v>24.91</v>
      </c>
      <c r="BU63" s="39">
        <v>25.05</v>
      </c>
      <c r="BV63" s="39">
        <v>25.18</v>
      </c>
      <c r="BW63" s="39">
        <v>25.32</v>
      </c>
      <c r="BX63" s="39">
        <v>25.46</v>
      </c>
      <c r="BY63" s="39">
        <v>25.59</v>
      </c>
      <c r="BZ63" s="39">
        <v>25.73</v>
      </c>
      <c r="CA63" s="39">
        <v>25.86</v>
      </c>
      <c r="CB63" s="39">
        <v>26</v>
      </c>
      <c r="CC63" s="39">
        <v>26.13</v>
      </c>
      <c r="CD63" s="39">
        <v>26.26</v>
      </c>
      <c r="CE63" s="39">
        <v>26.39</v>
      </c>
      <c r="CF63" s="39">
        <v>26.52</v>
      </c>
      <c r="CG63" s="39">
        <v>26.65</v>
      </c>
      <c r="CH63" s="39">
        <v>26.78</v>
      </c>
      <c r="CI63" s="39">
        <v>26.91</v>
      </c>
      <c r="CJ63" s="39">
        <v>27.04</v>
      </c>
      <c r="CK63" s="39">
        <v>27.17</v>
      </c>
      <c r="CL63" s="39">
        <v>27.3</v>
      </c>
      <c r="CM63" s="39">
        <v>27.42</v>
      </c>
      <c r="CN63" s="39">
        <v>27.55</v>
      </c>
      <c r="CO63" s="39">
        <v>27.67</v>
      </c>
      <c r="CP63" s="39">
        <v>27.8</v>
      </c>
      <c r="CQ63" s="39">
        <v>27.92</v>
      </c>
      <c r="CR63" s="39">
        <v>28.04</v>
      </c>
      <c r="CS63" s="39">
        <v>28.17</v>
      </c>
      <c r="CT63" s="39">
        <v>28.29</v>
      </c>
      <c r="CU63" s="39">
        <v>28.41</v>
      </c>
      <c r="CV63" s="39">
        <v>28.53</v>
      </c>
      <c r="CW63" s="39">
        <v>28.65</v>
      </c>
      <c r="CX63" s="39">
        <v>28.76</v>
      </c>
      <c r="CY63" s="39">
        <v>28.88</v>
      </c>
      <c r="CZ63" s="39">
        <v>29</v>
      </c>
      <c r="DA63" s="39">
        <v>29.12</v>
      </c>
      <c r="DB63" s="39">
        <v>29.23</v>
      </c>
      <c r="DC63" s="39">
        <v>29.35</v>
      </c>
      <c r="DD63" s="39">
        <v>29.46</v>
      </c>
      <c r="DE63" s="39">
        <v>29.57</v>
      </c>
      <c r="DF63" s="39">
        <v>29.69</v>
      </c>
      <c r="DG63" s="39">
        <v>29.8</v>
      </c>
      <c r="DH63" s="39">
        <v>29.91</v>
      </c>
      <c r="DI63" s="39">
        <v>30.02</v>
      </c>
      <c r="DJ63" s="39">
        <v>30.13</v>
      </c>
      <c r="DK63" s="39">
        <v>30.24</v>
      </c>
      <c r="DL63" s="39">
        <v>30.35</v>
      </c>
      <c r="DM63" s="39">
        <v>30.45</v>
      </c>
      <c r="DN63" s="39">
        <v>30.56</v>
      </c>
      <c r="DO63" s="39">
        <v>30.67</v>
      </c>
      <c r="DP63" s="39">
        <v>30.77</v>
      </c>
      <c r="DQ63" s="39">
        <v>30.87</v>
      </c>
      <c r="DR63" s="39">
        <v>30.98</v>
      </c>
    </row>
    <row r="64" spans="1:122">
      <c r="A64" s="37">
        <v>62</v>
      </c>
      <c r="B64" s="38"/>
      <c r="C64" s="38"/>
      <c r="D64" s="38"/>
      <c r="E64" s="38"/>
      <c r="F64" s="38"/>
      <c r="G64" s="38"/>
      <c r="H64" s="38"/>
      <c r="I64" s="38"/>
      <c r="J64" s="38"/>
      <c r="K64" s="38"/>
      <c r="L64" s="38"/>
      <c r="M64" s="38"/>
      <c r="N64" s="38"/>
      <c r="O64" s="38"/>
      <c r="P64" s="38"/>
      <c r="Q64" s="38"/>
      <c r="R64" s="38"/>
      <c r="S64" s="38"/>
      <c r="T64" s="38"/>
      <c r="U64" s="38"/>
      <c r="V64" s="39"/>
      <c r="W64" s="39">
        <v>16.98</v>
      </c>
      <c r="X64" s="39">
        <v>17.21</v>
      </c>
      <c r="Y64" s="39">
        <v>17.329999999999998</v>
      </c>
      <c r="Z64" s="39">
        <v>17.53</v>
      </c>
      <c r="AA64" s="39">
        <v>17.71</v>
      </c>
      <c r="AB64" s="39">
        <v>17.89</v>
      </c>
      <c r="AC64" s="39">
        <v>17.91</v>
      </c>
      <c r="AD64" s="39">
        <v>17.93</v>
      </c>
      <c r="AE64" s="39">
        <v>18.059999999999999</v>
      </c>
      <c r="AF64" s="39">
        <v>18.29</v>
      </c>
      <c r="AG64" s="39">
        <v>18.52</v>
      </c>
      <c r="AH64" s="39">
        <v>18.78</v>
      </c>
      <c r="AI64" s="39">
        <v>19.03</v>
      </c>
      <c r="AJ64" s="39">
        <v>19.27</v>
      </c>
      <c r="AK64" s="39">
        <v>19.53</v>
      </c>
      <c r="AL64" s="39">
        <v>19.79</v>
      </c>
      <c r="AM64" s="39">
        <v>20.03</v>
      </c>
      <c r="AN64" s="39">
        <v>20.2</v>
      </c>
      <c r="AO64" s="39">
        <v>20.32</v>
      </c>
      <c r="AP64" s="39">
        <v>20.440000000000001</v>
      </c>
      <c r="AQ64" s="39">
        <v>20.57</v>
      </c>
      <c r="AR64" s="39">
        <v>20.71</v>
      </c>
      <c r="AS64" s="39">
        <v>20.76</v>
      </c>
      <c r="AT64" s="39">
        <v>20.81</v>
      </c>
      <c r="AU64" s="39">
        <v>20.88</v>
      </c>
      <c r="AV64" s="39">
        <v>20.94</v>
      </c>
      <c r="AW64" s="39">
        <v>21.11</v>
      </c>
      <c r="AX64" s="39">
        <v>21.2</v>
      </c>
      <c r="AY64" s="39">
        <v>21.3</v>
      </c>
      <c r="AZ64" s="39">
        <v>21.39</v>
      </c>
      <c r="BA64" s="39">
        <v>21.49</v>
      </c>
      <c r="BB64" s="39">
        <v>21.6</v>
      </c>
      <c r="BC64" s="39">
        <v>21.74</v>
      </c>
      <c r="BD64" s="39">
        <v>21.87</v>
      </c>
      <c r="BE64" s="39">
        <v>22.01</v>
      </c>
      <c r="BF64" s="39">
        <v>22.16</v>
      </c>
      <c r="BG64" s="41">
        <v>22.3</v>
      </c>
      <c r="BH64" s="39">
        <v>22.44</v>
      </c>
      <c r="BI64" s="39">
        <v>22.58</v>
      </c>
      <c r="BJ64" s="39">
        <v>22.72</v>
      </c>
      <c r="BK64" s="39">
        <v>22.87</v>
      </c>
      <c r="BL64" s="39">
        <v>23.01</v>
      </c>
      <c r="BM64" s="39">
        <v>23.15</v>
      </c>
      <c r="BN64" s="39">
        <v>23.29</v>
      </c>
      <c r="BO64" s="39">
        <v>23.42</v>
      </c>
      <c r="BP64" s="39">
        <v>23.56</v>
      </c>
      <c r="BQ64" s="39">
        <v>23.7</v>
      </c>
      <c r="BR64" s="39">
        <v>23.84</v>
      </c>
      <c r="BS64" s="39">
        <v>23.97</v>
      </c>
      <c r="BT64" s="40">
        <v>24.11</v>
      </c>
      <c r="BU64" s="39">
        <v>24.25</v>
      </c>
      <c r="BV64" s="39">
        <v>24.38</v>
      </c>
      <c r="BW64" s="39">
        <v>24.52</v>
      </c>
      <c r="BX64" s="39">
        <v>24.65</v>
      </c>
      <c r="BY64" s="39">
        <v>24.78</v>
      </c>
      <c r="BZ64" s="39">
        <v>24.91</v>
      </c>
      <c r="CA64" s="39">
        <v>25.05</v>
      </c>
      <c r="CB64" s="39">
        <v>25.18</v>
      </c>
      <c r="CC64" s="39">
        <v>25.31</v>
      </c>
      <c r="CD64" s="39">
        <v>25.44</v>
      </c>
      <c r="CE64" s="39">
        <v>25.57</v>
      </c>
      <c r="CF64" s="39">
        <v>25.7</v>
      </c>
      <c r="CG64" s="39">
        <v>25.82</v>
      </c>
      <c r="CH64" s="39">
        <v>25.95</v>
      </c>
      <c r="CI64" s="39">
        <v>26.08</v>
      </c>
      <c r="CJ64" s="39">
        <v>26.2</v>
      </c>
      <c r="CK64" s="39">
        <v>26.33</v>
      </c>
      <c r="CL64" s="39">
        <v>26.45</v>
      </c>
      <c r="CM64" s="39">
        <v>26.58</v>
      </c>
      <c r="CN64" s="39">
        <v>26.7</v>
      </c>
      <c r="CO64" s="39">
        <v>26.82</v>
      </c>
      <c r="CP64" s="39">
        <v>26.95</v>
      </c>
      <c r="CQ64" s="39">
        <v>27.07</v>
      </c>
      <c r="CR64" s="39">
        <v>27.19</v>
      </c>
      <c r="CS64" s="39">
        <v>27.31</v>
      </c>
      <c r="CT64" s="39">
        <v>27.43</v>
      </c>
      <c r="CU64" s="39">
        <v>27.54</v>
      </c>
      <c r="CV64" s="39">
        <v>27.66</v>
      </c>
      <c r="CW64" s="39">
        <v>27.78</v>
      </c>
      <c r="CX64" s="39">
        <v>27.9</v>
      </c>
      <c r="CY64" s="39">
        <v>28.01</v>
      </c>
      <c r="CZ64" s="39">
        <v>28.13</v>
      </c>
      <c r="DA64" s="39">
        <v>28.24</v>
      </c>
      <c r="DB64" s="39">
        <v>28.35</v>
      </c>
      <c r="DC64" s="39">
        <v>28.47</v>
      </c>
      <c r="DD64" s="39">
        <v>28.58</v>
      </c>
      <c r="DE64" s="39">
        <v>28.69</v>
      </c>
      <c r="DF64" s="39">
        <v>28.8</v>
      </c>
      <c r="DG64" s="39">
        <v>28.91</v>
      </c>
      <c r="DH64" s="39">
        <v>29.02</v>
      </c>
      <c r="DI64" s="39">
        <v>29.13</v>
      </c>
      <c r="DJ64" s="39">
        <v>29.24</v>
      </c>
      <c r="DK64" s="39">
        <v>29.34</v>
      </c>
      <c r="DL64" s="39">
        <v>29.45</v>
      </c>
      <c r="DM64" s="39">
        <v>29.56</v>
      </c>
      <c r="DN64" s="39">
        <v>29.66</v>
      </c>
      <c r="DO64" s="39">
        <v>29.77</v>
      </c>
      <c r="DP64" s="39">
        <v>29.87</v>
      </c>
      <c r="DQ64" s="39">
        <v>29.97</v>
      </c>
      <c r="DR64" s="39">
        <v>30.07</v>
      </c>
    </row>
    <row r="65" spans="1:122">
      <c r="A65" s="37">
        <v>63</v>
      </c>
      <c r="B65" s="38"/>
      <c r="C65" s="38"/>
      <c r="D65" s="38"/>
      <c r="E65" s="38"/>
      <c r="F65" s="38"/>
      <c r="G65" s="38"/>
      <c r="H65" s="38"/>
      <c r="I65" s="38"/>
      <c r="J65" s="38"/>
      <c r="K65" s="38"/>
      <c r="L65" s="38"/>
      <c r="M65" s="38"/>
      <c r="N65" s="38"/>
      <c r="O65" s="38"/>
      <c r="P65" s="38"/>
      <c r="Q65" s="38"/>
      <c r="R65" s="38"/>
      <c r="S65" s="38"/>
      <c r="T65" s="38"/>
      <c r="U65" s="38"/>
      <c r="V65" s="39"/>
      <c r="W65" s="39">
        <v>16.329999999999998</v>
      </c>
      <c r="X65" s="39">
        <v>16.55</v>
      </c>
      <c r="Y65" s="39">
        <v>16.68</v>
      </c>
      <c r="Z65" s="39">
        <v>16.87</v>
      </c>
      <c r="AA65" s="39">
        <v>17.04</v>
      </c>
      <c r="AB65" s="39">
        <v>17.22</v>
      </c>
      <c r="AC65" s="39">
        <v>17.260000000000002</v>
      </c>
      <c r="AD65" s="39">
        <v>17.28</v>
      </c>
      <c r="AE65" s="39">
        <v>17.399999999999999</v>
      </c>
      <c r="AF65" s="39">
        <v>17.64</v>
      </c>
      <c r="AG65" s="39">
        <v>17.87</v>
      </c>
      <c r="AH65" s="39">
        <v>18.12</v>
      </c>
      <c r="AI65" s="39">
        <v>18.36</v>
      </c>
      <c r="AJ65" s="39">
        <v>18.59</v>
      </c>
      <c r="AK65" s="39">
        <v>18.84</v>
      </c>
      <c r="AL65" s="39">
        <v>19.100000000000001</v>
      </c>
      <c r="AM65" s="39">
        <v>19.309999999999999</v>
      </c>
      <c r="AN65" s="39">
        <v>19.48</v>
      </c>
      <c r="AO65" s="39">
        <v>19.600000000000001</v>
      </c>
      <c r="AP65" s="39">
        <v>19.71</v>
      </c>
      <c r="AQ65" s="39">
        <v>19.829999999999998</v>
      </c>
      <c r="AR65" s="39">
        <v>19.97</v>
      </c>
      <c r="AS65" s="39">
        <v>20.010000000000002</v>
      </c>
      <c r="AT65" s="39">
        <v>20.07</v>
      </c>
      <c r="AU65" s="39">
        <v>20.13</v>
      </c>
      <c r="AV65" s="39">
        <v>20.190000000000001</v>
      </c>
      <c r="AW65" s="39">
        <v>20.36</v>
      </c>
      <c r="AX65" s="39">
        <v>20.45</v>
      </c>
      <c r="AY65" s="39">
        <v>20.55</v>
      </c>
      <c r="AZ65" s="39">
        <v>20.64</v>
      </c>
      <c r="BA65" s="39">
        <v>20.74</v>
      </c>
      <c r="BB65" s="39">
        <v>20.87</v>
      </c>
      <c r="BC65" s="39">
        <v>21</v>
      </c>
      <c r="BD65" s="39">
        <v>21.12</v>
      </c>
      <c r="BE65" s="39">
        <v>21.27</v>
      </c>
      <c r="BF65" s="39">
        <v>21.41</v>
      </c>
      <c r="BG65" s="39">
        <v>21.55</v>
      </c>
      <c r="BH65" s="39">
        <v>21.69</v>
      </c>
      <c r="BI65" s="39">
        <v>21.83</v>
      </c>
      <c r="BJ65" s="39">
        <v>21.97</v>
      </c>
      <c r="BK65" s="39">
        <v>22.1</v>
      </c>
      <c r="BL65" s="39">
        <v>22.24</v>
      </c>
      <c r="BM65" s="39">
        <v>22.38</v>
      </c>
      <c r="BN65" s="39">
        <v>22.52</v>
      </c>
      <c r="BO65" s="39">
        <v>22.65</v>
      </c>
      <c r="BP65" s="39">
        <v>22.79</v>
      </c>
      <c r="BQ65" s="39">
        <v>22.92</v>
      </c>
      <c r="BR65" s="39">
        <v>23.06</v>
      </c>
      <c r="BS65" s="39">
        <v>23.19</v>
      </c>
      <c r="BT65" s="40">
        <v>23.32</v>
      </c>
      <c r="BU65" s="39">
        <v>23.45</v>
      </c>
      <c r="BV65" s="39">
        <v>23.59</v>
      </c>
      <c r="BW65" s="39">
        <v>23.72</v>
      </c>
      <c r="BX65" s="39">
        <v>23.85</v>
      </c>
      <c r="BY65" s="39">
        <v>23.98</v>
      </c>
      <c r="BZ65" s="39">
        <v>24.11</v>
      </c>
      <c r="CA65" s="39">
        <v>24.24</v>
      </c>
      <c r="CB65" s="39">
        <v>24.37</v>
      </c>
      <c r="CC65" s="39">
        <v>24.49</v>
      </c>
      <c r="CD65" s="39">
        <v>24.62</v>
      </c>
      <c r="CE65" s="39">
        <v>24.75</v>
      </c>
      <c r="CF65" s="39">
        <v>24.87</v>
      </c>
      <c r="CG65" s="39">
        <v>25</v>
      </c>
      <c r="CH65" s="39">
        <v>25.12</v>
      </c>
      <c r="CI65" s="39">
        <v>25.25</v>
      </c>
      <c r="CJ65" s="39">
        <v>25.37</v>
      </c>
      <c r="CK65" s="39">
        <v>25.5</v>
      </c>
      <c r="CL65" s="39">
        <v>25.62</v>
      </c>
      <c r="CM65" s="39">
        <v>25.74</v>
      </c>
      <c r="CN65" s="39">
        <v>25.86</v>
      </c>
      <c r="CO65" s="39">
        <v>25.98</v>
      </c>
      <c r="CP65" s="39">
        <v>26.1</v>
      </c>
      <c r="CQ65" s="39">
        <v>26.22</v>
      </c>
      <c r="CR65" s="39">
        <v>26.34</v>
      </c>
      <c r="CS65" s="39">
        <v>26.45</v>
      </c>
      <c r="CT65" s="39">
        <v>26.57</v>
      </c>
      <c r="CU65" s="39">
        <v>26.69</v>
      </c>
      <c r="CV65" s="39">
        <v>26.8</v>
      </c>
      <c r="CW65" s="39">
        <v>26.92</v>
      </c>
      <c r="CX65" s="39">
        <v>27.03</v>
      </c>
      <c r="CY65" s="39">
        <v>27.15</v>
      </c>
      <c r="CZ65" s="39">
        <v>27.26</v>
      </c>
      <c r="DA65" s="39">
        <v>27.37</v>
      </c>
      <c r="DB65" s="39">
        <v>27.48</v>
      </c>
      <c r="DC65" s="39">
        <v>27.59</v>
      </c>
      <c r="DD65" s="39">
        <v>27.7</v>
      </c>
      <c r="DE65" s="39">
        <v>27.81</v>
      </c>
      <c r="DF65" s="39">
        <v>27.92</v>
      </c>
      <c r="DG65" s="39">
        <v>28.03</v>
      </c>
      <c r="DH65" s="39">
        <v>28.14</v>
      </c>
      <c r="DI65" s="39">
        <v>28.25</v>
      </c>
      <c r="DJ65" s="39">
        <v>28.35</v>
      </c>
      <c r="DK65" s="39">
        <v>28.46</v>
      </c>
      <c r="DL65" s="39">
        <v>28.56</v>
      </c>
      <c r="DM65" s="39">
        <v>28.67</v>
      </c>
      <c r="DN65" s="39">
        <v>28.77</v>
      </c>
      <c r="DO65" s="39">
        <v>28.87</v>
      </c>
      <c r="DP65" s="39">
        <v>28.97</v>
      </c>
      <c r="DQ65" s="39">
        <v>29.07</v>
      </c>
      <c r="DR65" s="39">
        <v>29.17</v>
      </c>
    </row>
    <row r="66" spans="1:122">
      <c r="A66" s="37">
        <v>64</v>
      </c>
      <c r="B66" s="38"/>
      <c r="C66" s="38"/>
      <c r="D66" s="38"/>
      <c r="E66" s="38"/>
      <c r="F66" s="38"/>
      <c r="G66" s="38"/>
      <c r="H66" s="38"/>
      <c r="I66" s="38"/>
      <c r="J66" s="38"/>
      <c r="K66" s="38"/>
      <c r="L66" s="38"/>
      <c r="M66" s="38"/>
      <c r="N66" s="38"/>
      <c r="O66" s="38"/>
      <c r="P66" s="38"/>
      <c r="Q66" s="38"/>
      <c r="R66" s="38"/>
      <c r="S66" s="38"/>
      <c r="T66" s="38"/>
      <c r="U66" s="38"/>
      <c r="V66" s="39"/>
      <c r="W66" s="39">
        <v>15.71</v>
      </c>
      <c r="X66" s="39">
        <v>15.91</v>
      </c>
      <c r="Y66" s="39">
        <v>16.04</v>
      </c>
      <c r="Z66" s="39">
        <v>16.23</v>
      </c>
      <c r="AA66" s="39">
        <v>16.39</v>
      </c>
      <c r="AB66" s="39">
        <v>16.579999999999998</v>
      </c>
      <c r="AC66" s="39">
        <v>16.62</v>
      </c>
      <c r="AD66" s="39">
        <v>16.64</v>
      </c>
      <c r="AE66" s="39">
        <v>16.760000000000002</v>
      </c>
      <c r="AF66" s="39">
        <v>17</v>
      </c>
      <c r="AG66" s="39">
        <v>17.22</v>
      </c>
      <c r="AH66" s="39">
        <v>17.47</v>
      </c>
      <c r="AI66" s="39">
        <v>17.7</v>
      </c>
      <c r="AJ66" s="39">
        <v>17.91</v>
      </c>
      <c r="AK66" s="39">
        <v>18.149999999999999</v>
      </c>
      <c r="AL66" s="39">
        <v>18.41</v>
      </c>
      <c r="AM66" s="39">
        <v>18.61</v>
      </c>
      <c r="AN66" s="39">
        <v>18.77</v>
      </c>
      <c r="AO66" s="39">
        <v>18.89</v>
      </c>
      <c r="AP66" s="39">
        <v>18.989999999999998</v>
      </c>
      <c r="AQ66" s="39">
        <v>19.11</v>
      </c>
      <c r="AR66" s="39">
        <v>19.23</v>
      </c>
      <c r="AS66" s="39">
        <v>19.28</v>
      </c>
      <c r="AT66" s="39">
        <v>19.329999999999998</v>
      </c>
      <c r="AU66" s="39">
        <v>19.399999999999999</v>
      </c>
      <c r="AV66" s="39">
        <v>19.46</v>
      </c>
      <c r="AW66" s="39">
        <v>19.62</v>
      </c>
      <c r="AX66" s="39">
        <v>19.7</v>
      </c>
      <c r="AY66" s="39">
        <v>19.809999999999999</v>
      </c>
      <c r="AZ66" s="39">
        <v>19.899999999999999</v>
      </c>
      <c r="BA66" s="39">
        <v>20.010000000000002</v>
      </c>
      <c r="BB66" s="39">
        <v>20.14</v>
      </c>
      <c r="BC66" s="39">
        <v>20.27</v>
      </c>
      <c r="BD66" s="39">
        <v>20.399999999999999</v>
      </c>
      <c r="BE66" s="39">
        <v>20.54</v>
      </c>
      <c r="BF66" s="39">
        <v>20.68</v>
      </c>
      <c r="BG66" s="39">
        <v>20.81</v>
      </c>
      <c r="BH66" s="39">
        <v>20.95</v>
      </c>
      <c r="BI66" s="39">
        <v>21.08</v>
      </c>
      <c r="BJ66" s="39">
        <v>21.22</v>
      </c>
      <c r="BK66" s="39">
        <v>21.35</v>
      </c>
      <c r="BL66" s="39">
        <v>21.49</v>
      </c>
      <c r="BM66" s="39">
        <v>21.62</v>
      </c>
      <c r="BN66" s="39">
        <v>21.75</v>
      </c>
      <c r="BO66" s="39">
        <v>21.89</v>
      </c>
      <c r="BP66" s="39">
        <v>22.02</v>
      </c>
      <c r="BQ66" s="39">
        <v>22.15</v>
      </c>
      <c r="BR66" s="39">
        <v>22.28</v>
      </c>
      <c r="BS66" s="39">
        <v>22.41</v>
      </c>
      <c r="BT66" s="40">
        <v>22.54</v>
      </c>
      <c r="BU66" s="39">
        <v>22.67</v>
      </c>
      <c r="BV66" s="39">
        <v>22.8</v>
      </c>
      <c r="BW66" s="39">
        <v>22.93</v>
      </c>
      <c r="BX66" s="39">
        <v>23.06</v>
      </c>
      <c r="BY66" s="39">
        <v>23.18</v>
      </c>
      <c r="BZ66" s="39">
        <v>23.31</v>
      </c>
      <c r="CA66" s="39">
        <v>23.44</v>
      </c>
      <c r="CB66" s="39">
        <v>23.56</v>
      </c>
      <c r="CC66" s="39">
        <v>23.69</v>
      </c>
      <c r="CD66" s="39">
        <v>23.81</v>
      </c>
      <c r="CE66" s="39">
        <v>23.94</v>
      </c>
      <c r="CF66" s="39">
        <v>24.06</v>
      </c>
      <c r="CG66" s="39">
        <v>24.18</v>
      </c>
      <c r="CH66" s="39">
        <v>24.3</v>
      </c>
      <c r="CI66" s="39">
        <v>24.43</v>
      </c>
      <c r="CJ66" s="39">
        <v>24.55</v>
      </c>
      <c r="CK66" s="39">
        <v>24.67</v>
      </c>
      <c r="CL66" s="39">
        <v>24.79</v>
      </c>
      <c r="CM66" s="39">
        <v>24.91</v>
      </c>
      <c r="CN66" s="39">
        <v>25.03</v>
      </c>
      <c r="CO66" s="39">
        <v>25.14</v>
      </c>
      <c r="CP66" s="39">
        <v>25.26</v>
      </c>
      <c r="CQ66" s="39">
        <v>25.38</v>
      </c>
      <c r="CR66" s="39">
        <v>25.49</v>
      </c>
      <c r="CS66" s="39">
        <v>25.61</v>
      </c>
      <c r="CT66" s="39">
        <v>25.72</v>
      </c>
      <c r="CU66" s="39">
        <v>25.84</v>
      </c>
      <c r="CV66" s="39">
        <v>25.95</v>
      </c>
      <c r="CW66" s="39">
        <v>26.06</v>
      </c>
      <c r="CX66" s="39">
        <v>26.18</v>
      </c>
      <c r="CY66" s="39">
        <v>26.29</v>
      </c>
      <c r="CZ66" s="39">
        <v>26.4</v>
      </c>
      <c r="DA66" s="39">
        <v>26.51</v>
      </c>
      <c r="DB66" s="39">
        <v>26.62</v>
      </c>
      <c r="DC66" s="39">
        <v>26.73</v>
      </c>
      <c r="DD66" s="39">
        <v>26.83</v>
      </c>
      <c r="DE66" s="39">
        <v>26.94</v>
      </c>
      <c r="DF66" s="39">
        <v>27.05</v>
      </c>
      <c r="DG66" s="39">
        <v>27.15</v>
      </c>
      <c r="DH66" s="39">
        <v>27.26</v>
      </c>
      <c r="DI66" s="39">
        <v>27.37</v>
      </c>
      <c r="DJ66" s="39">
        <v>27.47</v>
      </c>
      <c r="DK66" s="39">
        <v>27.57</v>
      </c>
      <c r="DL66" s="39">
        <v>27.68</v>
      </c>
      <c r="DM66" s="39">
        <v>27.78</v>
      </c>
      <c r="DN66" s="39">
        <v>27.88</v>
      </c>
      <c r="DO66" s="39">
        <v>27.98</v>
      </c>
      <c r="DP66" s="39">
        <v>28.08</v>
      </c>
      <c r="DQ66" s="39">
        <v>28.18</v>
      </c>
      <c r="DR66" s="39">
        <v>28.28</v>
      </c>
    </row>
    <row r="67" spans="1:122">
      <c r="A67" s="37">
        <v>65</v>
      </c>
      <c r="B67" s="38"/>
      <c r="C67" s="38"/>
      <c r="D67" s="38"/>
      <c r="E67" s="38"/>
      <c r="F67" s="38"/>
      <c r="G67" s="38"/>
      <c r="H67" s="38"/>
      <c r="I67" s="38"/>
      <c r="J67" s="38"/>
      <c r="K67" s="38"/>
      <c r="L67" s="38"/>
      <c r="M67" s="38"/>
      <c r="N67" s="38"/>
      <c r="O67" s="38"/>
      <c r="P67" s="38"/>
      <c r="Q67" s="38"/>
      <c r="R67" s="38"/>
      <c r="S67" s="38"/>
      <c r="T67" s="38"/>
      <c r="U67" s="38"/>
      <c r="V67" s="39"/>
      <c r="W67" s="39">
        <v>15.08</v>
      </c>
      <c r="X67" s="39">
        <v>15.28</v>
      </c>
      <c r="Y67" s="39">
        <v>15.4</v>
      </c>
      <c r="Z67" s="39">
        <v>15.6</v>
      </c>
      <c r="AA67" s="39">
        <v>15.76</v>
      </c>
      <c r="AB67" s="39">
        <v>15.95</v>
      </c>
      <c r="AC67" s="39">
        <v>15.99</v>
      </c>
      <c r="AD67" s="39">
        <v>16.02</v>
      </c>
      <c r="AE67" s="39">
        <v>16.14</v>
      </c>
      <c r="AF67" s="39">
        <v>16.37</v>
      </c>
      <c r="AG67" s="39">
        <v>16.59</v>
      </c>
      <c r="AH67" s="39">
        <v>16.82</v>
      </c>
      <c r="AI67" s="39">
        <v>17.04</v>
      </c>
      <c r="AJ67" s="39">
        <v>17.239999999999998</v>
      </c>
      <c r="AK67" s="39">
        <v>17.48</v>
      </c>
      <c r="AL67" s="39">
        <v>17.72</v>
      </c>
      <c r="AM67" s="39">
        <v>17.91</v>
      </c>
      <c r="AN67" s="39">
        <v>18.07</v>
      </c>
      <c r="AO67" s="39">
        <v>18.18</v>
      </c>
      <c r="AP67" s="39">
        <v>18.27</v>
      </c>
      <c r="AQ67" s="39">
        <v>18.38</v>
      </c>
      <c r="AR67" s="39">
        <v>18.510000000000002</v>
      </c>
      <c r="AS67" s="39">
        <v>18.55</v>
      </c>
      <c r="AT67" s="39">
        <v>18.600000000000001</v>
      </c>
      <c r="AU67" s="39">
        <v>18.670000000000002</v>
      </c>
      <c r="AV67" s="39">
        <v>18.739999999999998</v>
      </c>
      <c r="AW67" s="39">
        <v>18.89</v>
      </c>
      <c r="AX67" s="39">
        <v>18.98</v>
      </c>
      <c r="AY67" s="39">
        <v>19.079999999999998</v>
      </c>
      <c r="AZ67" s="39">
        <v>19.18</v>
      </c>
      <c r="BA67" s="39">
        <v>19.29</v>
      </c>
      <c r="BB67" s="39">
        <v>19.420000000000002</v>
      </c>
      <c r="BC67" s="39">
        <v>19.559999999999999</v>
      </c>
      <c r="BD67" s="39">
        <v>19.690000000000001</v>
      </c>
      <c r="BE67" s="39">
        <v>19.82</v>
      </c>
      <c r="BF67" s="39">
        <v>19.95</v>
      </c>
      <c r="BG67" s="39">
        <v>20.079999999999998</v>
      </c>
      <c r="BH67" s="39">
        <v>20.22</v>
      </c>
      <c r="BI67" s="39">
        <v>20.350000000000001</v>
      </c>
      <c r="BJ67" s="39">
        <v>20.48</v>
      </c>
      <c r="BK67" s="39">
        <v>20.61</v>
      </c>
      <c r="BL67" s="39">
        <v>20.74</v>
      </c>
      <c r="BM67" s="39">
        <v>20.87</v>
      </c>
      <c r="BN67" s="39">
        <v>21</v>
      </c>
      <c r="BO67" s="39">
        <v>21.13</v>
      </c>
      <c r="BP67" s="39">
        <v>21.26</v>
      </c>
      <c r="BQ67" s="39">
        <v>21.39</v>
      </c>
      <c r="BR67" s="39">
        <v>21.51</v>
      </c>
      <c r="BS67" s="39">
        <v>21.64</v>
      </c>
      <c r="BT67" s="40">
        <v>21.77</v>
      </c>
      <c r="BU67" s="39">
        <v>21.9</v>
      </c>
      <c r="BV67" s="39">
        <v>22.02</v>
      </c>
      <c r="BW67" s="39">
        <v>22.15</v>
      </c>
      <c r="BX67" s="39">
        <v>22.27</v>
      </c>
      <c r="BY67" s="39">
        <v>22.4</v>
      </c>
      <c r="BZ67" s="39">
        <v>22.52</v>
      </c>
      <c r="CA67" s="39">
        <v>22.64</v>
      </c>
      <c r="CB67" s="39">
        <v>22.77</v>
      </c>
      <c r="CC67" s="39">
        <v>22.89</v>
      </c>
      <c r="CD67" s="39">
        <v>23.01</v>
      </c>
      <c r="CE67" s="39">
        <v>23.13</v>
      </c>
      <c r="CF67" s="39">
        <v>23.25</v>
      </c>
      <c r="CG67" s="39">
        <v>23.37</v>
      </c>
      <c r="CH67" s="39">
        <v>23.49</v>
      </c>
      <c r="CI67" s="39">
        <v>23.61</v>
      </c>
      <c r="CJ67" s="39">
        <v>23.73</v>
      </c>
      <c r="CK67" s="39">
        <v>23.85</v>
      </c>
      <c r="CL67" s="39">
        <v>23.96</v>
      </c>
      <c r="CM67" s="39">
        <v>24.08</v>
      </c>
      <c r="CN67" s="39">
        <v>24.2</v>
      </c>
      <c r="CO67" s="39">
        <v>24.31</v>
      </c>
      <c r="CP67" s="39">
        <v>24.43</v>
      </c>
      <c r="CQ67" s="39">
        <v>24.54</v>
      </c>
      <c r="CR67" s="39">
        <v>24.65</v>
      </c>
      <c r="CS67" s="39">
        <v>24.77</v>
      </c>
      <c r="CT67" s="39">
        <v>24.88</v>
      </c>
      <c r="CU67" s="39">
        <v>24.99</v>
      </c>
      <c r="CV67" s="39">
        <v>25.1</v>
      </c>
      <c r="CW67" s="39">
        <v>25.21</v>
      </c>
      <c r="CX67" s="39">
        <v>25.32</v>
      </c>
      <c r="CY67" s="39">
        <v>25.43</v>
      </c>
      <c r="CZ67" s="39">
        <v>25.54</v>
      </c>
      <c r="DA67" s="39">
        <v>25.65</v>
      </c>
      <c r="DB67" s="39">
        <v>25.76</v>
      </c>
      <c r="DC67" s="39">
        <v>25.86</v>
      </c>
      <c r="DD67" s="39">
        <v>25.97</v>
      </c>
      <c r="DE67" s="39">
        <v>26.07</v>
      </c>
      <c r="DF67" s="39">
        <v>26.18</v>
      </c>
      <c r="DG67" s="39">
        <v>26.28</v>
      </c>
      <c r="DH67" s="39">
        <v>26.39</v>
      </c>
      <c r="DI67" s="39">
        <v>26.49</v>
      </c>
      <c r="DJ67" s="39">
        <v>26.59</v>
      </c>
      <c r="DK67" s="39">
        <v>26.69</v>
      </c>
      <c r="DL67" s="39">
        <v>26.79</v>
      </c>
      <c r="DM67" s="39">
        <v>26.89</v>
      </c>
      <c r="DN67" s="39">
        <v>26.99</v>
      </c>
      <c r="DO67" s="39">
        <v>27.09</v>
      </c>
      <c r="DP67" s="39">
        <v>27.19</v>
      </c>
      <c r="DQ67" s="39">
        <v>27.29</v>
      </c>
      <c r="DR67" s="39">
        <v>27.39</v>
      </c>
    </row>
    <row r="68" spans="1:122">
      <c r="A68" s="37">
        <v>66</v>
      </c>
      <c r="B68" s="38"/>
      <c r="C68" s="38"/>
      <c r="D68" s="38"/>
      <c r="E68" s="38"/>
      <c r="F68" s="38"/>
      <c r="G68" s="38"/>
      <c r="H68" s="38"/>
      <c r="I68" s="38"/>
      <c r="J68" s="38"/>
      <c r="K68" s="38"/>
      <c r="L68" s="38"/>
      <c r="M68" s="38"/>
      <c r="N68" s="38"/>
      <c r="O68" s="38"/>
      <c r="P68" s="38"/>
      <c r="Q68" s="38"/>
      <c r="R68" s="38"/>
      <c r="S68" s="38"/>
      <c r="T68" s="38"/>
      <c r="U68" s="38"/>
      <c r="V68" s="39"/>
      <c r="W68" s="39">
        <v>14.48</v>
      </c>
      <c r="X68" s="39">
        <v>14.66</v>
      </c>
      <c r="Y68" s="39">
        <v>14.79</v>
      </c>
      <c r="Z68" s="39">
        <v>14.99</v>
      </c>
      <c r="AA68" s="39">
        <v>15.15</v>
      </c>
      <c r="AB68" s="39">
        <v>15.33</v>
      </c>
      <c r="AC68" s="39">
        <v>15.37</v>
      </c>
      <c r="AD68" s="39">
        <v>15.4</v>
      </c>
      <c r="AE68" s="39">
        <v>15.52</v>
      </c>
      <c r="AF68" s="39">
        <v>15.76</v>
      </c>
      <c r="AG68" s="39">
        <v>15.96</v>
      </c>
      <c r="AH68" s="39">
        <v>16.18</v>
      </c>
      <c r="AI68" s="39">
        <v>16.39</v>
      </c>
      <c r="AJ68" s="39">
        <v>16.579999999999998</v>
      </c>
      <c r="AK68" s="39">
        <v>16.8</v>
      </c>
      <c r="AL68" s="39">
        <v>17.04</v>
      </c>
      <c r="AM68" s="39">
        <v>17.22</v>
      </c>
      <c r="AN68" s="39">
        <v>17.37</v>
      </c>
      <c r="AO68" s="39">
        <v>17.48</v>
      </c>
      <c r="AP68" s="39">
        <v>17.559999999999999</v>
      </c>
      <c r="AQ68" s="39">
        <v>17.66</v>
      </c>
      <c r="AR68" s="39">
        <v>17.79</v>
      </c>
      <c r="AS68" s="39">
        <v>17.829999999999998</v>
      </c>
      <c r="AT68" s="39">
        <v>17.88</v>
      </c>
      <c r="AU68" s="39">
        <v>17.96</v>
      </c>
      <c r="AV68" s="39">
        <v>18.03</v>
      </c>
      <c r="AW68" s="39">
        <v>18.18</v>
      </c>
      <c r="AX68" s="39">
        <v>18.260000000000002</v>
      </c>
      <c r="AY68" s="39">
        <v>18.37</v>
      </c>
      <c r="AZ68" s="39">
        <v>18.48</v>
      </c>
      <c r="BA68" s="39">
        <v>18.59</v>
      </c>
      <c r="BB68" s="39">
        <v>18.72</v>
      </c>
      <c r="BC68" s="39">
        <v>18.850000000000001</v>
      </c>
      <c r="BD68" s="39">
        <v>18.98</v>
      </c>
      <c r="BE68" s="39">
        <v>19.11</v>
      </c>
      <c r="BF68" s="39">
        <v>19.23</v>
      </c>
      <c r="BG68" s="39">
        <v>19.36</v>
      </c>
      <c r="BH68" s="39">
        <v>19.489999999999998</v>
      </c>
      <c r="BI68" s="39">
        <v>19.62</v>
      </c>
      <c r="BJ68" s="39">
        <v>19.75</v>
      </c>
      <c r="BK68" s="39">
        <v>19.87</v>
      </c>
      <c r="BL68" s="39">
        <v>20</v>
      </c>
      <c r="BM68" s="39">
        <v>20.13</v>
      </c>
      <c r="BN68" s="39">
        <v>20.25</v>
      </c>
      <c r="BO68" s="39">
        <v>20.38</v>
      </c>
      <c r="BP68" s="39">
        <v>20.51</v>
      </c>
      <c r="BQ68" s="39">
        <v>20.63</v>
      </c>
      <c r="BR68" s="39">
        <v>20.76</v>
      </c>
      <c r="BS68" s="39">
        <v>20.88</v>
      </c>
      <c r="BT68" s="40">
        <v>21</v>
      </c>
      <c r="BU68" s="39">
        <v>21.13</v>
      </c>
      <c r="BV68" s="39">
        <v>21.25</v>
      </c>
      <c r="BW68" s="39">
        <v>21.37</v>
      </c>
      <c r="BX68" s="39">
        <v>21.49</v>
      </c>
      <c r="BY68" s="39">
        <v>21.61</v>
      </c>
      <c r="BZ68" s="39">
        <v>21.73</v>
      </c>
      <c r="CA68" s="39">
        <v>21.86</v>
      </c>
      <c r="CB68" s="39">
        <v>21.97</v>
      </c>
      <c r="CC68" s="39">
        <v>22.09</v>
      </c>
      <c r="CD68" s="39">
        <v>22.21</v>
      </c>
      <c r="CE68" s="39">
        <v>22.33</v>
      </c>
      <c r="CF68" s="39">
        <v>22.45</v>
      </c>
      <c r="CG68" s="39">
        <v>22.57</v>
      </c>
      <c r="CH68" s="39">
        <v>22.68</v>
      </c>
      <c r="CI68" s="39">
        <v>22.8</v>
      </c>
      <c r="CJ68" s="39">
        <v>22.91</v>
      </c>
      <c r="CK68" s="39">
        <v>23.03</v>
      </c>
      <c r="CL68" s="39">
        <v>23.14</v>
      </c>
      <c r="CM68" s="39">
        <v>23.26</v>
      </c>
      <c r="CN68" s="39">
        <v>23.37</v>
      </c>
      <c r="CO68" s="39">
        <v>23.48</v>
      </c>
      <c r="CP68" s="39">
        <v>23.6</v>
      </c>
      <c r="CQ68" s="39">
        <v>23.71</v>
      </c>
      <c r="CR68" s="39">
        <v>23.82</v>
      </c>
      <c r="CS68" s="39">
        <v>23.93</v>
      </c>
      <c r="CT68" s="39">
        <v>24.04</v>
      </c>
      <c r="CU68" s="39">
        <v>24.15</v>
      </c>
      <c r="CV68" s="39">
        <v>24.26</v>
      </c>
      <c r="CW68" s="39">
        <v>24.37</v>
      </c>
      <c r="CX68" s="39">
        <v>24.47</v>
      </c>
      <c r="CY68" s="39">
        <v>24.58</v>
      </c>
      <c r="CZ68" s="39">
        <v>24.69</v>
      </c>
      <c r="DA68" s="39">
        <v>24.79</v>
      </c>
      <c r="DB68" s="39">
        <v>24.9</v>
      </c>
      <c r="DC68" s="39">
        <v>25</v>
      </c>
      <c r="DD68" s="39">
        <v>25.11</v>
      </c>
      <c r="DE68" s="39">
        <v>25.21</v>
      </c>
      <c r="DF68" s="39">
        <v>25.31</v>
      </c>
      <c r="DG68" s="39">
        <v>25.41</v>
      </c>
      <c r="DH68" s="39">
        <v>25.52</v>
      </c>
      <c r="DI68" s="39">
        <v>25.62</v>
      </c>
      <c r="DJ68" s="39">
        <v>25.72</v>
      </c>
      <c r="DK68" s="39">
        <v>25.82</v>
      </c>
      <c r="DL68" s="39">
        <v>25.92</v>
      </c>
      <c r="DM68" s="39">
        <v>26.01</v>
      </c>
      <c r="DN68" s="39">
        <v>26.11</v>
      </c>
      <c r="DO68" s="39">
        <v>26.21</v>
      </c>
      <c r="DP68" s="39">
        <v>26.31</v>
      </c>
      <c r="DQ68" s="39">
        <v>26.4</v>
      </c>
      <c r="DR68" s="39">
        <v>26.5</v>
      </c>
    </row>
    <row r="69" spans="1:122">
      <c r="A69" s="37">
        <v>67</v>
      </c>
      <c r="B69" s="38"/>
      <c r="C69" s="38"/>
      <c r="D69" s="38"/>
      <c r="E69" s="38"/>
      <c r="F69" s="38"/>
      <c r="G69" s="38"/>
      <c r="H69" s="38"/>
      <c r="I69" s="38"/>
      <c r="J69" s="38"/>
      <c r="K69" s="38"/>
      <c r="L69" s="38"/>
      <c r="M69" s="38"/>
      <c r="N69" s="38"/>
      <c r="O69" s="38"/>
      <c r="P69" s="38"/>
      <c r="Q69" s="38"/>
      <c r="R69" s="38"/>
      <c r="S69" s="38"/>
      <c r="T69" s="38"/>
      <c r="U69" s="38"/>
      <c r="V69" s="39"/>
      <c r="W69" s="39">
        <v>13.88</v>
      </c>
      <c r="X69" s="39">
        <v>14.06</v>
      </c>
      <c r="Y69" s="39">
        <v>14.2</v>
      </c>
      <c r="Z69" s="39">
        <v>14.4</v>
      </c>
      <c r="AA69" s="39">
        <v>14.54</v>
      </c>
      <c r="AB69" s="39">
        <v>14.72</v>
      </c>
      <c r="AC69" s="39">
        <v>14.78</v>
      </c>
      <c r="AD69" s="39">
        <v>14.8</v>
      </c>
      <c r="AE69" s="39">
        <v>14.92</v>
      </c>
      <c r="AF69" s="39">
        <v>15.14</v>
      </c>
      <c r="AG69" s="39">
        <v>15.34</v>
      </c>
      <c r="AH69" s="39">
        <v>15.54</v>
      </c>
      <c r="AI69" s="39">
        <v>15.75</v>
      </c>
      <c r="AJ69" s="39">
        <v>15.92</v>
      </c>
      <c r="AK69" s="39">
        <v>16.14</v>
      </c>
      <c r="AL69" s="39">
        <v>16.37</v>
      </c>
      <c r="AM69" s="39">
        <v>16.55</v>
      </c>
      <c r="AN69" s="39">
        <v>16.68</v>
      </c>
      <c r="AO69" s="39">
        <v>16.78</v>
      </c>
      <c r="AP69" s="39">
        <v>16.87</v>
      </c>
      <c r="AQ69" s="39">
        <v>16.96</v>
      </c>
      <c r="AR69" s="39">
        <v>17.079999999999998</v>
      </c>
      <c r="AS69" s="39">
        <v>17.12</v>
      </c>
      <c r="AT69" s="39">
        <v>17.18</v>
      </c>
      <c r="AU69" s="39">
        <v>17.25</v>
      </c>
      <c r="AV69" s="39">
        <v>17.32</v>
      </c>
      <c r="AW69" s="39">
        <v>17.47</v>
      </c>
      <c r="AX69" s="39">
        <v>17.559999999999999</v>
      </c>
      <c r="AY69" s="39">
        <v>17.670000000000002</v>
      </c>
      <c r="AZ69" s="39">
        <v>17.77</v>
      </c>
      <c r="BA69" s="39">
        <v>17.899999999999999</v>
      </c>
      <c r="BB69" s="39">
        <v>18.02</v>
      </c>
      <c r="BC69" s="39">
        <v>18.149999999999999</v>
      </c>
      <c r="BD69" s="39">
        <v>18.27</v>
      </c>
      <c r="BE69" s="39">
        <v>18.399999999999999</v>
      </c>
      <c r="BF69" s="39">
        <v>18.52</v>
      </c>
      <c r="BG69" s="39">
        <v>18.649999999999999</v>
      </c>
      <c r="BH69" s="39">
        <v>18.77</v>
      </c>
      <c r="BI69" s="39">
        <v>18.899999999999999</v>
      </c>
      <c r="BJ69" s="39">
        <v>19.02</v>
      </c>
      <c r="BK69" s="39">
        <v>19.149999999999999</v>
      </c>
      <c r="BL69" s="39">
        <v>19.27</v>
      </c>
      <c r="BM69" s="39">
        <v>19.39</v>
      </c>
      <c r="BN69" s="39">
        <v>19.510000000000002</v>
      </c>
      <c r="BO69" s="39">
        <v>19.64</v>
      </c>
      <c r="BP69" s="39">
        <v>19.760000000000002</v>
      </c>
      <c r="BQ69" s="39">
        <v>19.88</v>
      </c>
      <c r="BR69" s="39">
        <v>20</v>
      </c>
      <c r="BS69" s="39">
        <v>20.12</v>
      </c>
      <c r="BT69" s="40">
        <v>20.239999999999998</v>
      </c>
      <c r="BU69" s="39">
        <v>20.36</v>
      </c>
      <c r="BV69" s="39">
        <v>20.48</v>
      </c>
      <c r="BW69" s="39">
        <v>20.6</v>
      </c>
      <c r="BX69" s="39">
        <v>20.72</v>
      </c>
      <c r="BY69" s="39">
        <v>20.84</v>
      </c>
      <c r="BZ69" s="39">
        <v>20.96</v>
      </c>
      <c r="CA69" s="39">
        <v>21.07</v>
      </c>
      <c r="CB69" s="39">
        <v>21.19</v>
      </c>
      <c r="CC69" s="39">
        <v>21.31</v>
      </c>
      <c r="CD69" s="39">
        <v>21.42</v>
      </c>
      <c r="CE69" s="39">
        <v>21.54</v>
      </c>
      <c r="CF69" s="39">
        <v>21.65</v>
      </c>
      <c r="CG69" s="39">
        <v>21.77</v>
      </c>
      <c r="CH69" s="39">
        <v>21.88</v>
      </c>
      <c r="CI69" s="39">
        <v>21.99</v>
      </c>
      <c r="CJ69" s="39">
        <v>22.1</v>
      </c>
      <c r="CK69" s="39">
        <v>22.22</v>
      </c>
      <c r="CL69" s="39">
        <v>22.33</v>
      </c>
      <c r="CM69" s="39">
        <v>22.44</v>
      </c>
      <c r="CN69" s="39">
        <v>22.55</v>
      </c>
      <c r="CO69" s="39">
        <v>22.66</v>
      </c>
      <c r="CP69" s="39">
        <v>22.77</v>
      </c>
      <c r="CQ69" s="39">
        <v>22.88</v>
      </c>
      <c r="CR69" s="39">
        <v>22.99</v>
      </c>
      <c r="CS69" s="39">
        <v>23.1</v>
      </c>
      <c r="CT69" s="39">
        <v>23.2</v>
      </c>
      <c r="CU69" s="39">
        <v>23.31</v>
      </c>
      <c r="CV69" s="39">
        <v>23.42</v>
      </c>
      <c r="CW69" s="39">
        <v>23.52</v>
      </c>
      <c r="CX69" s="39">
        <v>23.63</v>
      </c>
      <c r="CY69" s="39">
        <v>23.73</v>
      </c>
      <c r="CZ69" s="39">
        <v>23.84</v>
      </c>
      <c r="DA69" s="39">
        <v>23.94</v>
      </c>
      <c r="DB69" s="39">
        <v>24.04</v>
      </c>
      <c r="DC69" s="39">
        <v>24.14</v>
      </c>
      <c r="DD69" s="39">
        <v>24.25</v>
      </c>
      <c r="DE69" s="39">
        <v>24.35</v>
      </c>
      <c r="DF69" s="39">
        <v>24.45</v>
      </c>
      <c r="DG69" s="39">
        <v>24.55</v>
      </c>
      <c r="DH69" s="39">
        <v>24.65</v>
      </c>
      <c r="DI69" s="39">
        <v>24.75</v>
      </c>
      <c r="DJ69" s="39">
        <v>24.84</v>
      </c>
      <c r="DK69" s="39">
        <v>24.94</v>
      </c>
      <c r="DL69" s="39">
        <v>25.04</v>
      </c>
      <c r="DM69" s="39">
        <v>25.14</v>
      </c>
      <c r="DN69" s="39">
        <v>25.23</v>
      </c>
      <c r="DO69" s="39">
        <v>25.33</v>
      </c>
      <c r="DP69" s="39">
        <v>25.42</v>
      </c>
      <c r="DQ69" s="39">
        <v>25.52</v>
      </c>
      <c r="DR69" s="39">
        <v>25.61</v>
      </c>
    </row>
    <row r="70" spans="1:122">
      <c r="A70" s="37">
        <v>68</v>
      </c>
      <c r="B70" s="38"/>
      <c r="C70" s="38"/>
      <c r="D70" s="38"/>
      <c r="E70" s="38"/>
      <c r="F70" s="38"/>
      <c r="G70" s="38"/>
      <c r="H70" s="38"/>
      <c r="I70" s="38"/>
      <c r="J70" s="38"/>
      <c r="K70" s="38"/>
      <c r="L70" s="38"/>
      <c r="M70" s="38"/>
      <c r="N70" s="38"/>
      <c r="O70" s="38"/>
      <c r="P70" s="38"/>
      <c r="Q70" s="38"/>
      <c r="R70" s="38"/>
      <c r="S70" s="38"/>
      <c r="T70" s="38"/>
      <c r="U70" s="38"/>
      <c r="V70" s="39"/>
      <c r="W70" s="39">
        <v>13.3</v>
      </c>
      <c r="X70" s="39">
        <v>13.48</v>
      </c>
      <c r="Y70" s="39">
        <v>13.61</v>
      </c>
      <c r="Z70" s="39">
        <v>13.82</v>
      </c>
      <c r="AA70" s="39">
        <v>13.95</v>
      </c>
      <c r="AB70" s="39">
        <v>14.13</v>
      </c>
      <c r="AC70" s="39">
        <v>14.19</v>
      </c>
      <c r="AD70" s="39">
        <v>14.22</v>
      </c>
      <c r="AE70" s="39">
        <v>14.32</v>
      </c>
      <c r="AF70" s="39">
        <v>14.53</v>
      </c>
      <c r="AG70" s="39">
        <v>14.72</v>
      </c>
      <c r="AH70" s="39">
        <v>14.92</v>
      </c>
      <c r="AI70" s="39">
        <v>15.11</v>
      </c>
      <c r="AJ70" s="39">
        <v>15.28</v>
      </c>
      <c r="AK70" s="39">
        <v>15.49</v>
      </c>
      <c r="AL70" s="39">
        <v>15.7</v>
      </c>
      <c r="AM70" s="39">
        <v>15.87</v>
      </c>
      <c r="AN70" s="39">
        <v>16</v>
      </c>
      <c r="AO70" s="39">
        <v>16.09</v>
      </c>
      <c r="AP70" s="39">
        <v>16.170000000000002</v>
      </c>
      <c r="AQ70" s="39">
        <v>16.260000000000002</v>
      </c>
      <c r="AR70" s="39">
        <v>16.37</v>
      </c>
      <c r="AS70" s="39">
        <v>16.420000000000002</v>
      </c>
      <c r="AT70" s="39">
        <v>16.48</v>
      </c>
      <c r="AU70" s="39">
        <v>16.55</v>
      </c>
      <c r="AV70" s="39">
        <v>16.63</v>
      </c>
      <c r="AW70" s="39">
        <v>16.77</v>
      </c>
      <c r="AX70" s="39">
        <v>16.87</v>
      </c>
      <c r="AY70" s="39">
        <v>16.98</v>
      </c>
      <c r="AZ70" s="39">
        <v>17.09</v>
      </c>
      <c r="BA70" s="39">
        <v>17.21</v>
      </c>
      <c r="BB70" s="39">
        <v>17.34</v>
      </c>
      <c r="BC70" s="39">
        <v>17.46</v>
      </c>
      <c r="BD70" s="39">
        <v>17.579999999999998</v>
      </c>
      <c r="BE70" s="39">
        <v>17.7</v>
      </c>
      <c r="BF70" s="39">
        <v>17.82</v>
      </c>
      <c r="BG70" s="39">
        <v>17.940000000000001</v>
      </c>
      <c r="BH70" s="39">
        <v>18.059999999999999</v>
      </c>
      <c r="BI70" s="39">
        <v>18.18</v>
      </c>
      <c r="BJ70" s="39">
        <v>18.3</v>
      </c>
      <c r="BK70" s="39">
        <v>18.420000000000002</v>
      </c>
      <c r="BL70" s="39">
        <v>18.54</v>
      </c>
      <c r="BM70" s="39">
        <v>18.66</v>
      </c>
      <c r="BN70" s="39">
        <v>18.78</v>
      </c>
      <c r="BO70" s="39">
        <v>18.899999999999999</v>
      </c>
      <c r="BP70" s="39">
        <v>19.02</v>
      </c>
      <c r="BQ70" s="39">
        <v>19.14</v>
      </c>
      <c r="BR70" s="39">
        <v>19.25</v>
      </c>
      <c r="BS70" s="39">
        <v>19.37</v>
      </c>
      <c r="BT70" s="40">
        <v>19.489999999999998</v>
      </c>
      <c r="BU70" s="39">
        <v>19.600000000000001</v>
      </c>
      <c r="BV70" s="39">
        <v>19.72</v>
      </c>
      <c r="BW70" s="39">
        <v>19.84</v>
      </c>
      <c r="BX70" s="39">
        <v>19.95</v>
      </c>
      <c r="BY70" s="39">
        <v>20.07</v>
      </c>
      <c r="BZ70" s="39">
        <v>20.18</v>
      </c>
      <c r="CA70" s="39">
        <v>20.29</v>
      </c>
      <c r="CB70" s="39">
        <v>20.41</v>
      </c>
      <c r="CC70" s="39">
        <v>20.52</v>
      </c>
      <c r="CD70" s="39">
        <v>20.63</v>
      </c>
      <c r="CE70" s="39">
        <v>20.75</v>
      </c>
      <c r="CF70" s="39">
        <v>20.86</v>
      </c>
      <c r="CG70" s="39">
        <v>20.97</v>
      </c>
      <c r="CH70" s="39">
        <v>21.08</v>
      </c>
      <c r="CI70" s="39">
        <v>21.19</v>
      </c>
      <c r="CJ70" s="39">
        <v>21.3</v>
      </c>
      <c r="CK70" s="39">
        <v>21.41</v>
      </c>
      <c r="CL70" s="39">
        <v>21.52</v>
      </c>
      <c r="CM70" s="39">
        <v>21.63</v>
      </c>
      <c r="CN70" s="39">
        <v>21.73</v>
      </c>
      <c r="CO70" s="39">
        <v>21.84</v>
      </c>
      <c r="CP70" s="39">
        <v>21.95</v>
      </c>
      <c r="CQ70" s="39">
        <v>22.05</v>
      </c>
      <c r="CR70" s="39">
        <v>22.16</v>
      </c>
      <c r="CS70" s="39">
        <v>22.27</v>
      </c>
      <c r="CT70" s="39">
        <v>22.37</v>
      </c>
      <c r="CU70" s="39">
        <v>22.48</v>
      </c>
      <c r="CV70" s="39">
        <v>22.58</v>
      </c>
      <c r="CW70" s="39">
        <v>22.68</v>
      </c>
      <c r="CX70" s="39">
        <v>22.79</v>
      </c>
      <c r="CY70" s="39">
        <v>22.89</v>
      </c>
      <c r="CZ70" s="39">
        <v>22.99</v>
      </c>
      <c r="DA70" s="39">
        <v>23.09</v>
      </c>
      <c r="DB70" s="39">
        <v>23.19</v>
      </c>
      <c r="DC70" s="39">
        <v>23.29</v>
      </c>
      <c r="DD70" s="39">
        <v>23.39</v>
      </c>
      <c r="DE70" s="39">
        <v>23.49</v>
      </c>
      <c r="DF70" s="39">
        <v>23.59</v>
      </c>
      <c r="DG70" s="39">
        <v>23.69</v>
      </c>
      <c r="DH70" s="39">
        <v>23.78</v>
      </c>
      <c r="DI70" s="39">
        <v>23.88</v>
      </c>
      <c r="DJ70" s="39">
        <v>23.98</v>
      </c>
      <c r="DK70" s="39">
        <v>24.07</v>
      </c>
      <c r="DL70" s="39">
        <v>24.17</v>
      </c>
      <c r="DM70" s="39">
        <v>24.26</v>
      </c>
      <c r="DN70" s="39">
        <v>24.35</v>
      </c>
      <c r="DO70" s="39">
        <v>24.45</v>
      </c>
      <c r="DP70" s="39">
        <v>24.54</v>
      </c>
      <c r="DQ70" s="39">
        <v>24.63</v>
      </c>
      <c r="DR70" s="39">
        <v>24.72</v>
      </c>
    </row>
    <row r="71" spans="1:122">
      <c r="A71" s="37">
        <v>69</v>
      </c>
      <c r="B71" s="38"/>
      <c r="C71" s="38"/>
      <c r="D71" s="38"/>
      <c r="E71" s="38"/>
      <c r="F71" s="38"/>
      <c r="G71" s="38"/>
      <c r="H71" s="38"/>
      <c r="I71" s="38"/>
      <c r="J71" s="38"/>
      <c r="K71" s="38"/>
      <c r="L71" s="38"/>
      <c r="M71" s="38"/>
      <c r="N71" s="38"/>
      <c r="O71" s="38"/>
      <c r="P71" s="38"/>
      <c r="Q71" s="38"/>
      <c r="R71" s="38"/>
      <c r="S71" s="38"/>
      <c r="T71" s="38"/>
      <c r="U71" s="38"/>
      <c r="V71" s="39"/>
      <c r="W71" s="39">
        <v>12.74</v>
      </c>
      <c r="X71" s="39">
        <v>12.91</v>
      </c>
      <c r="Y71" s="39">
        <v>13.03</v>
      </c>
      <c r="Z71" s="39">
        <v>13.25</v>
      </c>
      <c r="AA71" s="39">
        <v>13.37</v>
      </c>
      <c r="AB71" s="39">
        <v>13.54</v>
      </c>
      <c r="AC71" s="39">
        <v>13.62</v>
      </c>
      <c r="AD71" s="39">
        <v>13.64</v>
      </c>
      <c r="AE71" s="39">
        <v>13.73</v>
      </c>
      <c r="AF71" s="39">
        <v>13.94</v>
      </c>
      <c r="AG71" s="39">
        <v>14.12</v>
      </c>
      <c r="AH71" s="39">
        <v>14.3</v>
      </c>
      <c r="AI71" s="39">
        <v>14.48</v>
      </c>
      <c r="AJ71" s="39">
        <v>14.66</v>
      </c>
      <c r="AK71" s="39">
        <v>14.85</v>
      </c>
      <c r="AL71" s="39">
        <v>15.04</v>
      </c>
      <c r="AM71" s="39">
        <v>15.2</v>
      </c>
      <c r="AN71" s="39">
        <v>15.31</v>
      </c>
      <c r="AO71" s="39">
        <v>15.4</v>
      </c>
      <c r="AP71" s="39">
        <v>15.48</v>
      </c>
      <c r="AQ71" s="39">
        <v>15.57</v>
      </c>
      <c r="AR71" s="39">
        <v>15.68</v>
      </c>
      <c r="AS71" s="39">
        <v>15.73</v>
      </c>
      <c r="AT71" s="39">
        <v>15.8</v>
      </c>
      <c r="AU71" s="39">
        <v>15.86</v>
      </c>
      <c r="AV71" s="39">
        <v>15.95</v>
      </c>
      <c r="AW71" s="39">
        <v>16.09</v>
      </c>
      <c r="AX71" s="39">
        <v>16.190000000000001</v>
      </c>
      <c r="AY71" s="39">
        <v>16.3</v>
      </c>
      <c r="AZ71" s="39">
        <v>16.420000000000002</v>
      </c>
      <c r="BA71" s="39">
        <v>16.54</v>
      </c>
      <c r="BB71" s="39">
        <v>16.649999999999999</v>
      </c>
      <c r="BC71" s="39">
        <v>16.77</v>
      </c>
      <c r="BD71" s="39">
        <v>16.89</v>
      </c>
      <c r="BE71" s="39">
        <v>17</v>
      </c>
      <c r="BF71" s="39">
        <v>17.12</v>
      </c>
      <c r="BG71" s="39">
        <v>17.239999999999998</v>
      </c>
      <c r="BH71" s="39">
        <v>17.350000000000001</v>
      </c>
      <c r="BI71" s="39">
        <v>17.47</v>
      </c>
      <c r="BJ71" s="39">
        <v>17.59</v>
      </c>
      <c r="BK71" s="39">
        <v>17.7</v>
      </c>
      <c r="BL71" s="39">
        <v>17.82</v>
      </c>
      <c r="BM71" s="39">
        <v>17.940000000000001</v>
      </c>
      <c r="BN71" s="39">
        <v>18.05</v>
      </c>
      <c r="BO71" s="39">
        <v>18.170000000000002</v>
      </c>
      <c r="BP71" s="39">
        <v>18.28</v>
      </c>
      <c r="BQ71" s="39">
        <v>18.399999999999999</v>
      </c>
      <c r="BR71" s="39">
        <v>18.510000000000002</v>
      </c>
      <c r="BS71" s="39">
        <v>18.62</v>
      </c>
      <c r="BT71" s="40">
        <v>18.739999999999998</v>
      </c>
      <c r="BU71" s="39">
        <v>18.850000000000001</v>
      </c>
      <c r="BV71" s="39">
        <v>18.96</v>
      </c>
      <c r="BW71" s="39">
        <v>19.07</v>
      </c>
      <c r="BX71" s="39">
        <v>19.190000000000001</v>
      </c>
      <c r="BY71" s="39">
        <v>19.3</v>
      </c>
      <c r="BZ71" s="39">
        <v>19.41</v>
      </c>
      <c r="CA71" s="39">
        <v>19.52</v>
      </c>
      <c r="CB71" s="39">
        <v>19.63</v>
      </c>
      <c r="CC71" s="39">
        <v>19.739999999999998</v>
      </c>
      <c r="CD71" s="39">
        <v>19.850000000000001</v>
      </c>
      <c r="CE71" s="39">
        <v>19.96</v>
      </c>
      <c r="CF71" s="39">
        <v>20.07</v>
      </c>
      <c r="CG71" s="39">
        <v>20.18</v>
      </c>
      <c r="CH71" s="39">
        <v>20.28</v>
      </c>
      <c r="CI71" s="39">
        <v>20.39</v>
      </c>
      <c r="CJ71" s="39">
        <v>20.5</v>
      </c>
      <c r="CK71" s="39">
        <v>20.6</v>
      </c>
      <c r="CL71" s="39">
        <v>20.71</v>
      </c>
      <c r="CM71" s="39">
        <v>20.82</v>
      </c>
      <c r="CN71" s="39">
        <v>20.92</v>
      </c>
      <c r="CO71" s="39">
        <v>21.03</v>
      </c>
      <c r="CP71" s="39">
        <v>21.13</v>
      </c>
      <c r="CQ71" s="39">
        <v>21.23</v>
      </c>
      <c r="CR71" s="39">
        <v>21.34</v>
      </c>
      <c r="CS71" s="39">
        <v>21.44</v>
      </c>
      <c r="CT71" s="39">
        <v>21.54</v>
      </c>
      <c r="CU71" s="39">
        <v>21.64</v>
      </c>
      <c r="CV71" s="39">
        <v>21.74</v>
      </c>
      <c r="CW71" s="39">
        <v>21.85</v>
      </c>
      <c r="CX71" s="39">
        <v>21.95</v>
      </c>
      <c r="CY71" s="39">
        <v>22.05</v>
      </c>
      <c r="CZ71" s="39">
        <v>22.15</v>
      </c>
      <c r="DA71" s="39">
        <v>22.24</v>
      </c>
      <c r="DB71" s="39">
        <v>22.34</v>
      </c>
      <c r="DC71" s="39">
        <v>22.44</v>
      </c>
      <c r="DD71" s="39">
        <v>22.54</v>
      </c>
      <c r="DE71" s="39">
        <v>22.63</v>
      </c>
      <c r="DF71" s="39">
        <v>22.73</v>
      </c>
      <c r="DG71" s="39">
        <v>22.83</v>
      </c>
      <c r="DH71" s="39">
        <v>22.92</v>
      </c>
      <c r="DI71" s="39">
        <v>23.01</v>
      </c>
      <c r="DJ71" s="39">
        <v>23.11</v>
      </c>
      <c r="DK71" s="39">
        <v>23.2</v>
      </c>
      <c r="DL71" s="39">
        <v>23.3</v>
      </c>
      <c r="DM71" s="39">
        <v>23.39</v>
      </c>
      <c r="DN71" s="39">
        <v>23.48</v>
      </c>
      <c r="DO71" s="39">
        <v>23.57</v>
      </c>
      <c r="DP71" s="39">
        <v>23.66</v>
      </c>
      <c r="DQ71" s="39">
        <v>23.75</v>
      </c>
      <c r="DR71" s="39">
        <v>23.84</v>
      </c>
    </row>
    <row r="72" spans="1:122">
      <c r="A72" s="37">
        <v>70</v>
      </c>
      <c r="B72" s="38"/>
      <c r="C72" s="38"/>
      <c r="D72" s="38"/>
      <c r="E72" s="38"/>
      <c r="F72" s="38"/>
      <c r="G72" s="38"/>
      <c r="H72" s="38"/>
      <c r="I72" s="38"/>
      <c r="J72" s="38"/>
      <c r="K72" s="38"/>
      <c r="L72" s="38"/>
      <c r="M72" s="38"/>
      <c r="N72" s="38"/>
      <c r="O72" s="38"/>
      <c r="P72" s="38"/>
      <c r="Q72" s="38"/>
      <c r="R72" s="38"/>
      <c r="S72" s="38"/>
      <c r="T72" s="38"/>
      <c r="U72" s="38"/>
      <c r="V72" s="39"/>
      <c r="W72" s="39">
        <v>12.18</v>
      </c>
      <c r="X72" s="39">
        <v>12.35</v>
      </c>
      <c r="Y72" s="39">
        <v>12.48</v>
      </c>
      <c r="Z72" s="39">
        <v>12.69</v>
      </c>
      <c r="AA72" s="39">
        <v>12.8</v>
      </c>
      <c r="AB72" s="39">
        <v>12.99</v>
      </c>
      <c r="AC72" s="39">
        <v>13.04</v>
      </c>
      <c r="AD72" s="39">
        <v>13.07</v>
      </c>
      <c r="AE72" s="39">
        <v>13.16</v>
      </c>
      <c r="AF72" s="39">
        <v>13.34</v>
      </c>
      <c r="AG72" s="39">
        <v>13.51</v>
      </c>
      <c r="AH72" s="39">
        <v>13.68</v>
      </c>
      <c r="AI72" s="39">
        <v>13.86</v>
      </c>
      <c r="AJ72" s="39">
        <v>14.03</v>
      </c>
      <c r="AK72" s="39">
        <v>14.21</v>
      </c>
      <c r="AL72" s="39">
        <v>14.39</v>
      </c>
      <c r="AM72" s="39">
        <v>14.53</v>
      </c>
      <c r="AN72" s="39">
        <v>14.64</v>
      </c>
      <c r="AO72" s="39">
        <v>14.73</v>
      </c>
      <c r="AP72" s="39">
        <v>14.8</v>
      </c>
      <c r="AQ72" s="39">
        <v>14.9</v>
      </c>
      <c r="AR72" s="39">
        <v>15</v>
      </c>
      <c r="AS72" s="39">
        <v>15.06</v>
      </c>
      <c r="AT72" s="39">
        <v>15.11</v>
      </c>
      <c r="AU72" s="39">
        <v>15.19</v>
      </c>
      <c r="AV72" s="39">
        <v>15.28</v>
      </c>
      <c r="AW72" s="39">
        <v>15.42</v>
      </c>
      <c r="AX72" s="39">
        <v>15.53</v>
      </c>
      <c r="AY72" s="39">
        <v>15.64</v>
      </c>
      <c r="AZ72" s="39">
        <v>15.75</v>
      </c>
      <c r="BA72" s="39">
        <v>15.86</v>
      </c>
      <c r="BB72" s="39">
        <v>15.97</v>
      </c>
      <c r="BC72" s="39">
        <v>16.09</v>
      </c>
      <c r="BD72" s="39">
        <v>16.2</v>
      </c>
      <c r="BE72" s="39">
        <v>16.309999999999999</v>
      </c>
      <c r="BF72" s="39">
        <v>16.43</v>
      </c>
      <c r="BG72" s="39">
        <v>16.54</v>
      </c>
      <c r="BH72" s="39">
        <v>16.649999999999999</v>
      </c>
      <c r="BI72" s="39">
        <v>16.77</v>
      </c>
      <c r="BJ72" s="39">
        <v>16.88</v>
      </c>
      <c r="BK72" s="39">
        <v>16.989999999999998</v>
      </c>
      <c r="BL72" s="39">
        <v>17.100000000000001</v>
      </c>
      <c r="BM72" s="39">
        <v>17.21</v>
      </c>
      <c r="BN72" s="39">
        <v>17.329999999999998</v>
      </c>
      <c r="BO72" s="39">
        <v>17.440000000000001</v>
      </c>
      <c r="BP72" s="39">
        <v>17.55</v>
      </c>
      <c r="BQ72" s="39">
        <v>17.66</v>
      </c>
      <c r="BR72" s="39">
        <v>17.77</v>
      </c>
      <c r="BS72" s="39">
        <v>17.88</v>
      </c>
      <c r="BT72" s="40">
        <v>17.989999999999998</v>
      </c>
      <c r="BU72" s="39">
        <v>18.100000000000001</v>
      </c>
      <c r="BV72" s="39">
        <v>18.21</v>
      </c>
      <c r="BW72" s="39">
        <v>18.32</v>
      </c>
      <c r="BX72" s="39">
        <v>18.43</v>
      </c>
      <c r="BY72" s="39">
        <v>18.53</v>
      </c>
      <c r="BZ72" s="39">
        <v>18.64</v>
      </c>
      <c r="CA72" s="39">
        <v>18.75</v>
      </c>
      <c r="CB72" s="39">
        <v>18.86</v>
      </c>
      <c r="CC72" s="39">
        <v>18.96</v>
      </c>
      <c r="CD72" s="39">
        <v>19.07</v>
      </c>
      <c r="CE72" s="39">
        <v>19.18</v>
      </c>
      <c r="CF72" s="39">
        <v>19.28</v>
      </c>
      <c r="CG72" s="39">
        <v>19.39</v>
      </c>
      <c r="CH72" s="39">
        <v>19.489999999999998</v>
      </c>
      <c r="CI72" s="39">
        <v>19.600000000000001</v>
      </c>
      <c r="CJ72" s="39">
        <v>19.7</v>
      </c>
      <c r="CK72" s="39">
        <v>19.8</v>
      </c>
      <c r="CL72" s="39">
        <v>19.91</v>
      </c>
      <c r="CM72" s="39">
        <v>20.010000000000002</v>
      </c>
      <c r="CN72" s="39">
        <v>20.11</v>
      </c>
      <c r="CO72" s="39">
        <v>20.21</v>
      </c>
      <c r="CP72" s="39">
        <v>20.309999999999999</v>
      </c>
      <c r="CQ72" s="39">
        <v>20.420000000000002</v>
      </c>
      <c r="CR72" s="39">
        <v>20.52</v>
      </c>
      <c r="CS72" s="39">
        <v>20.62</v>
      </c>
      <c r="CT72" s="39">
        <v>20.72</v>
      </c>
      <c r="CU72" s="39">
        <v>20.81</v>
      </c>
      <c r="CV72" s="39">
        <v>20.91</v>
      </c>
      <c r="CW72" s="39">
        <v>21.01</v>
      </c>
      <c r="CX72" s="39">
        <v>21.11</v>
      </c>
      <c r="CY72" s="39">
        <v>21.21</v>
      </c>
      <c r="CZ72" s="39">
        <v>21.3</v>
      </c>
      <c r="DA72" s="39">
        <v>21.4</v>
      </c>
      <c r="DB72" s="39">
        <v>21.5</v>
      </c>
      <c r="DC72" s="39">
        <v>21.59</v>
      </c>
      <c r="DD72" s="39">
        <v>21.69</v>
      </c>
      <c r="DE72" s="39">
        <v>21.78</v>
      </c>
      <c r="DF72" s="39">
        <v>21.87</v>
      </c>
      <c r="DG72" s="39">
        <v>21.97</v>
      </c>
      <c r="DH72" s="39">
        <v>22.06</v>
      </c>
      <c r="DI72" s="39">
        <v>22.15</v>
      </c>
      <c r="DJ72" s="39">
        <v>22.24</v>
      </c>
      <c r="DK72" s="39">
        <v>22.34</v>
      </c>
      <c r="DL72" s="39">
        <v>22.43</v>
      </c>
      <c r="DM72" s="39">
        <v>22.52</v>
      </c>
      <c r="DN72" s="39">
        <v>22.61</v>
      </c>
      <c r="DO72" s="39">
        <v>22.7</v>
      </c>
      <c r="DP72" s="39">
        <v>22.79</v>
      </c>
      <c r="DQ72" s="39">
        <v>22.87</v>
      </c>
      <c r="DR72" s="39">
        <v>22.96</v>
      </c>
    </row>
    <row r="73" spans="1:122">
      <c r="A73" s="37">
        <v>71</v>
      </c>
      <c r="B73" s="38"/>
      <c r="C73" s="38"/>
      <c r="D73" s="38"/>
      <c r="E73" s="38"/>
      <c r="F73" s="38"/>
      <c r="G73" s="38"/>
      <c r="H73" s="38"/>
      <c r="I73" s="38"/>
      <c r="J73" s="38"/>
      <c r="K73" s="38"/>
      <c r="L73" s="38"/>
      <c r="M73" s="38"/>
      <c r="N73" s="38"/>
      <c r="O73" s="38"/>
      <c r="P73" s="38"/>
      <c r="Q73" s="38"/>
      <c r="R73" s="38"/>
      <c r="S73" s="38"/>
      <c r="T73" s="38"/>
      <c r="U73" s="38"/>
      <c r="V73" s="39"/>
      <c r="W73" s="39">
        <v>11.64</v>
      </c>
      <c r="X73" s="39">
        <v>11.81</v>
      </c>
      <c r="Y73" s="39">
        <v>11.93</v>
      </c>
      <c r="Z73" s="39">
        <v>12.15</v>
      </c>
      <c r="AA73" s="39">
        <v>12.25</v>
      </c>
      <c r="AB73" s="39">
        <v>12.41</v>
      </c>
      <c r="AC73" s="39">
        <v>12.48</v>
      </c>
      <c r="AD73" s="39">
        <v>12.5</v>
      </c>
      <c r="AE73" s="39">
        <v>12.58</v>
      </c>
      <c r="AF73" s="39">
        <v>12.76</v>
      </c>
      <c r="AG73" s="39">
        <v>12.91</v>
      </c>
      <c r="AH73" s="39">
        <v>13.09</v>
      </c>
      <c r="AI73" s="39">
        <v>13.25</v>
      </c>
      <c r="AJ73" s="39">
        <v>13.41</v>
      </c>
      <c r="AK73" s="39">
        <v>13.56</v>
      </c>
      <c r="AL73" s="39">
        <v>13.74</v>
      </c>
      <c r="AM73" s="39">
        <v>13.87</v>
      </c>
      <c r="AN73" s="39">
        <v>13.98</v>
      </c>
      <c r="AO73" s="39">
        <v>14.07</v>
      </c>
      <c r="AP73" s="39">
        <v>14.14</v>
      </c>
      <c r="AQ73" s="39">
        <v>14.23</v>
      </c>
      <c r="AR73" s="39">
        <v>14.33</v>
      </c>
      <c r="AS73" s="39">
        <v>14.38</v>
      </c>
      <c r="AT73" s="39">
        <v>14.45</v>
      </c>
      <c r="AU73" s="39">
        <v>14.54</v>
      </c>
      <c r="AV73" s="39">
        <v>14.63</v>
      </c>
      <c r="AW73" s="39">
        <v>14.76</v>
      </c>
      <c r="AX73" s="39">
        <v>14.87</v>
      </c>
      <c r="AY73" s="39">
        <v>14.97</v>
      </c>
      <c r="AZ73" s="39">
        <v>15.08</v>
      </c>
      <c r="BA73" s="39">
        <v>15.19</v>
      </c>
      <c r="BB73" s="39">
        <v>15.3</v>
      </c>
      <c r="BC73" s="39">
        <v>15.41</v>
      </c>
      <c r="BD73" s="39">
        <v>15.52</v>
      </c>
      <c r="BE73" s="39">
        <v>15.63</v>
      </c>
      <c r="BF73" s="39">
        <v>15.74</v>
      </c>
      <c r="BG73" s="39">
        <v>15.85</v>
      </c>
      <c r="BH73" s="39">
        <v>15.96</v>
      </c>
      <c r="BI73" s="39">
        <v>16.059999999999999</v>
      </c>
      <c r="BJ73" s="39">
        <v>16.170000000000002</v>
      </c>
      <c r="BK73" s="39">
        <v>16.28</v>
      </c>
      <c r="BL73" s="39">
        <v>16.39</v>
      </c>
      <c r="BM73" s="39">
        <v>16.5</v>
      </c>
      <c r="BN73" s="39">
        <v>16.61</v>
      </c>
      <c r="BO73" s="39">
        <v>16.71</v>
      </c>
      <c r="BP73" s="39">
        <v>16.82</v>
      </c>
      <c r="BQ73" s="39">
        <v>16.93</v>
      </c>
      <c r="BR73" s="39">
        <v>17.03</v>
      </c>
      <c r="BS73" s="39">
        <v>17.14</v>
      </c>
      <c r="BT73" s="40">
        <v>17.25</v>
      </c>
      <c r="BU73" s="39">
        <v>17.350000000000001</v>
      </c>
      <c r="BV73" s="39">
        <v>17.46</v>
      </c>
      <c r="BW73" s="39">
        <v>17.559999999999999</v>
      </c>
      <c r="BX73" s="39">
        <v>17.670000000000002</v>
      </c>
      <c r="BY73" s="39">
        <v>17.77</v>
      </c>
      <c r="BZ73" s="39">
        <v>17.88</v>
      </c>
      <c r="CA73" s="39">
        <v>17.98</v>
      </c>
      <c r="CB73" s="39">
        <v>18.09</v>
      </c>
      <c r="CC73" s="39">
        <v>18.190000000000001</v>
      </c>
      <c r="CD73" s="39">
        <v>18.29</v>
      </c>
      <c r="CE73" s="39">
        <v>18.399999999999999</v>
      </c>
      <c r="CF73" s="39">
        <v>18.5</v>
      </c>
      <c r="CG73" s="39">
        <v>18.600000000000001</v>
      </c>
      <c r="CH73" s="39">
        <v>18.7</v>
      </c>
      <c r="CI73" s="39">
        <v>18.8</v>
      </c>
      <c r="CJ73" s="39">
        <v>18.899999999999999</v>
      </c>
      <c r="CK73" s="39">
        <v>19.010000000000002</v>
      </c>
      <c r="CL73" s="39">
        <v>19.11</v>
      </c>
      <c r="CM73" s="39">
        <v>19.21</v>
      </c>
      <c r="CN73" s="39">
        <v>19.3</v>
      </c>
      <c r="CO73" s="39">
        <v>19.399999999999999</v>
      </c>
      <c r="CP73" s="39">
        <v>19.5</v>
      </c>
      <c r="CQ73" s="39">
        <v>19.600000000000001</v>
      </c>
      <c r="CR73" s="39">
        <v>19.7</v>
      </c>
      <c r="CS73" s="39">
        <v>19.8</v>
      </c>
      <c r="CT73" s="39">
        <v>19.89</v>
      </c>
      <c r="CU73" s="39">
        <v>19.989999999999998</v>
      </c>
      <c r="CV73" s="39">
        <v>20.09</v>
      </c>
      <c r="CW73" s="39">
        <v>20.18</v>
      </c>
      <c r="CX73" s="39">
        <v>20.28</v>
      </c>
      <c r="CY73" s="39">
        <v>20.37</v>
      </c>
      <c r="CZ73" s="39">
        <v>20.47</v>
      </c>
      <c r="DA73" s="39">
        <v>20.56</v>
      </c>
      <c r="DB73" s="39">
        <v>20.65</v>
      </c>
      <c r="DC73" s="39">
        <v>20.75</v>
      </c>
      <c r="DD73" s="39">
        <v>20.84</v>
      </c>
      <c r="DE73" s="39">
        <v>20.93</v>
      </c>
      <c r="DF73" s="39">
        <v>21.02</v>
      </c>
      <c r="DG73" s="39">
        <v>21.11</v>
      </c>
      <c r="DH73" s="39">
        <v>21.2</v>
      </c>
      <c r="DI73" s="39">
        <v>21.29</v>
      </c>
      <c r="DJ73" s="39">
        <v>21.38</v>
      </c>
      <c r="DK73" s="39">
        <v>21.47</v>
      </c>
      <c r="DL73" s="39">
        <v>21.56</v>
      </c>
      <c r="DM73" s="39">
        <v>21.65</v>
      </c>
      <c r="DN73" s="39">
        <v>21.74</v>
      </c>
      <c r="DO73" s="39">
        <v>21.82</v>
      </c>
      <c r="DP73" s="39">
        <v>21.91</v>
      </c>
      <c r="DQ73" s="39">
        <v>22</v>
      </c>
      <c r="DR73" s="39">
        <v>22.08</v>
      </c>
    </row>
    <row r="74" spans="1:122">
      <c r="A74" s="37">
        <v>72</v>
      </c>
      <c r="B74" s="38"/>
      <c r="C74" s="38"/>
      <c r="D74" s="38"/>
      <c r="E74" s="38"/>
      <c r="F74" s="38"/>
      <c r="G74" s="38"/>
      <c r="H74" s="38"/>
      <c r="I74" s="38"/>
      <c r="J74" s="38"/>
      <c r="K74" s="38"/>
      <c r="L74" s="38"/>
      <c r="M74" s="38"/>
      <c r="N74" s="38"/>
      <c r="O74" s="38"/>
      <c r="P74" s="38"/>
      <c r="Q74" s="38"/>
      <c r="R74" s="38"/>
      <c r="S74" s="38"/>
      <c r="T74" s="38"/>
      <c r="U74" s="38"/>
      <c r="V74" s="39"/>
      <c r="W74" s="39">
        <v>11.12</v>
      </c>
      <c r="X74" s="39">
        <v>11.28</v>
      </c>
      <c r="Y74" s="39">
        <v>11.4</v>
      </c>
      <c r="Z74" s="39">
        <v>11.63</v>
      </c>
      <c r="AA74" s="39">
        <v>11.71</v>
      </c>
      <c r="AB74" s="39">
        <v>11.86</v>
      </c>
      <c r="AC74" s="39">
        <v>11.92</v>
      </c>
      <c r="AD74" s="39">
        <v>11.94</v>
      </c>
      <c r="AE74" s="39">
        <v>12.01</v>
      </c>
      <c r="AF74" s="39">
        <v>12.18</v>
      </c>
      <c r="AG74" s="39">
        <v>12.33</v>
      </c>
      <c r="AH74" s="39">
        <v>12.49</v>
      </c>
      <c r="AI74" s="39">
        <v>12.64</v>
      </c>
      <c r="AJ74" s="39">
        <v>12.79</v>
      </c>
      <c r="AK74" s="39">
        <v>12.93</v>
      </c>
      <c r="AL74" s="39">
        <v>13.1</v>
      </c>
      <c r="AM74" s="39">
        <v>13.23</v>
      </c>
      <c r="AN74" s="39">
        <v>13.32</v>
      </c>
      <c r="AO74" s="39">
        <v>13.41</v>
      </c>
      <c r="AP74" s="39">
        <v>13.48</v>
      </c>
      <c r="AQ74" s="39">
        <v>13.57</v>
      </c>
      <c r="AR74" s="39">
        <v>13.66</v>
      </c>
      <c r="AS74" s="39">
        <v>13.73</v>
      </c>
      <c r="AT74" s="39">
        <v>13.8</v>
      </c>
      <c r="AU74" s="39">
        <v>13.89</v>
      </c>
      <c r="AV74" s="39">
        <v>14</v>
      </c>
      <c r="AW74" s="39">
        <v>14.11</v>
      </c>
      <c r="AX74" s="39">
        <v>14.21</v>
      </c>
      <c r="AY74" s="39">
        <v>14.32</v>
      </c>
      <c r="AZ74" s="39">
        <v>14.42</v>
      </c>
      <c r="BA74" s="39">
        <v>14.53</v>
      </c>
      <c r="BB74" s="39">
        <v>14.63</v>
      </c>
      <c r="BC74" s="39">
        <v>14.74</v>
      </c>
      <c r="BD74" s="39">
        <v>14.84</v>
      </c>
      <c r="BE74" s="39">
        <v>14.95</v>
      </c>
      <c r="BF74" s="39">
        <v>15.05</v>
      </c>
      <c r="BG74" s="39">
        <v>15.16</v>
      </c>
      <c r="BH74" s="39">
        <v>15.26</v>
      </c>
      <c r="BI74" s="39">
        <v>15.37</v>
      </c>
      <c r="BJ74" s="39">
        <v>15.47</v>
      </c>
      <c r="BK74" s="39">
        <v>15.58</v>
      </c>
      <c r="BL74" s="39">
        <v>15.68</v>
      </c>
      <c r="BM74" s="39">
        <v>15.79</v>
      </c>
      <c r="BN74" s="39">
        <v>15.89</v>
      </c>
      <c r="BO74" s="39">
        <v>15.99</v>
      </c>
      <c r="BP74" s="39">
        <v>16.100000000000001</v>
      </c>
      <c r="BQ74" s="39">
        <v>16.2</v>
      </c>
      <c r="BR74" s="39">
        <v>16.3</v>
      </c>
      <c r="BS74" s="39">
        <v>16.41</v>
      </c>
      <c r="BT74" s="40">
        <v>16.510000000000002</v>
      </c>
      <c r="BU74" s="39">
        <v>16.61</v>
      </c>
      <c r="BV74" s="39">
        <v>16.71</v>
      </c>
      <c r="BW74" s="39">
        <v>16.82</v>
      </c>
      <c r="BX74" s="39">
        <v>16.920000000000002</v>
      </c>
      <c r="BY74" s="39">
        <v>17.02</v>
      </c>
      <c r="BZ74" s="39">
        <v>17.12</v>
      </c>
      <c r="CA74" s="39">
        <v>17.22</v>
      </c>
      <c r="CB74" s="39">
        <v>17.32</v>
      </c>
      <c r="CC74" s="39">
        <v>17.420000000000002</v>
      </c>
      <c r="CD74" s="39">
        <v>17.52</v>
      </c>
      <c r="CE74" s="39">
        <v>17.62</v>
      </c>
      <c r="CF74" s="39">
        <v>17.72</v>
      </c>
      <c r="CG74" s="39">
        <v>17.82</v>
      </c>
      <c r="CH74" s="39">
        <v>17.920000000000002</v>
      </c>
      <c r="CI74" s="39">
        <v>18.02</v>
      </c>
      <c r="CJ74" s="39">
        <v>18.12</v>
      </c>
      <c r="CK74" s="39">
        <v>18.21</v>
      </c>
      <c r="CL74" s="39">
        <v>18.309999999999999</v>
      </c>
      <c r="CM74" s="39">
        <v>18.41</v>
      </c>
      <c r="CN74" s="39">
        <v>18.5</v>
      </c>
      <c r="CO74" s="39">
        <v>18.600000000000001</v>
      </c>
      <c r="CP74" s="39">
        <v>18.7</v>
      </c>
      <c r="CQ74" s="39">
        <v>18.79</v>
      </c>
      <c r="CR74" s="39">
        <v>18.89</v>
      </c>
      <c r="CS74" s="39">
        <v>18.98</v>
      </c>
      <c r="CT74" s="39">
        <v>19.07</v>
      </c>
      <c r="CU74" s="39">
        <v>19.170000000000002</v>
      </c>
      <c r="CV74" s="39">
        <v>19.260000000000002</v>
      </c>
      <c r="CW74" s="39">
        <v>19.350000000000001</v>
      </c>
      <c r="CX74" s="39">
        <v>19.45</v>
      </c>
      <c r="CY74" s="39">
        <v>19.54</v>
      </c>
      <c r="CZ74" s="39">
        <v>19.63</v>
      </c>
      <c r="DA74" s="39">
        <v>19.72</v>
      </c>
      <c r="DB74" s="39">
        <v>19.809999999999999</v>
      </c>
      <c r="DC74" s="39">
        <v>19.899999999999999</v>
      </c>
      <c r="DD74" s="39">
        <v>19.989999999999998</v>
      </c>
      <c r="DE74" s="39">
        <v>20.079999999999998</v>
      </c>
      <c r="DF74" s="39">
        <v>20.170000000000002</v>
      </c>
      <c r="DG74" s="39">
        <v>20.260000000000002</v>
      </c>
      <c r="DH74" s="39">
        <v>20.350000000000001</v>
      </c>
      <c r="DI74" s="39">
        <v>20.440000000000001</v>
      </c>
      <c r="DJ74" s="39">
        <v>20.53</v>
      </c>
      <c r="DK74" s="39">
        <v>20.61</v>
      </c>
      <c r="DL74" s="39">
        <v>20.7</v>
      </c>
      <c r="DM74" s="39">
        <v>20.79</v>
      </c>
      <c r="DN74" s="39">
        <v>20.87</v>
      </c>
      <c r="DO74" s="39">
        <v>20.96</v>
      </c>
      <c r="DP74" s="39">
        <v>21.04</v>
      </c>
      <c r="DQ74" s="39">
        <v>21.13</v>
      </c>
      <c r="DR74" s="39">
        <v>21.21</v>
      </c>
    </row>
    <row r="75" spans="1:122">
      <c r="A75" s="37">
        <v>73</v>
      </c>
      <c r="B75" s="38"/>
      <c r="C75" s="38"/>
      <c r="D75" s="38"/>
      <c r="E75" s="38"/>
      <c r="F75" s="38"/>
      <c r="G75" s="38"/>
      <c r="H75" s="38"/>
      <c r="I75" s="38"/>
      <c r="J75" s="38"/>
      <c r="K75" s="38"/>
      <c r="L75" s="38"/>
      <c r="M75" s="38"/>
      <c r="N75" s="38"/>
      <c r="O75" s="38"/>
      <c r="P75" s="38"/>
      <c r="Q75" s="38"/>
      <c r="R75" s="38"/>
      <c r="S75" s="38"/>
      <c r="T75" s="38"/>
      <c r="U75" s="38"/>
      <c r="V75" s="39"/>
      <c r="W75" s="39">
        <v>10.62</v>
      </c>
      <c r="X75" s="39">
        <v>10.77</v>
      </c>
      <c r="Y75" s="39">
        <v>10.9</v>
      </c>
      <c r="Z75" s="39">
        <v>11.1</v>
      </c>
      <c r="AA75" s="39">
        <v>11.17</v>
      </c>
      <c r="AB75" s="39">
        <v>11.32</v>
      </c>
      <c r="AC75" s="39">
        <v>11.37</v>
      </c>
      <c r="AD75" s="39">
        <v>11.37</v>
      </c>
      <c r="AE75" s="39">
        <v>11.45</v>
      </c>
      <c r="AF75" s="39">
        <v>11.62</v>
      </c>
      <c r="AG75" s="39">
        <v>11.76</v>
      </c>
      <c r="AH75" s="39">
        <v>11.89</v>
      </c>
      <c r="AI75" s="39">
        <v>12.03</v>
      </c>
      <c r="AJ75" s="39">
        <v>12.17</v>
      </c>
      <c r="AK75" s="39">
        <v>12.31</v>
      </c>
      <c r="AL75" s="39">
        <v>12.47</v>
      </c>
      <c r="AM75" s="39">
        <v>12.58</v>
      </c>
      <c r="AN75" s="39">
        <v>12.68</v>
      </c>
      <c r="AO75" s="39">
        <v>12.77</v>
      </c>
      <c r="AP75" s="39">
        <v>12.84</v>
      </c>
      <c r="AQ75" s="39">
        <v>12.92</v>
      </c>
      <c r="AR75" s="39">
        <v>13.02</v>
      </c>
      <c r="AS75" s="39">
        <v>13.08</v>
      </c>
      <c r="AT75" s="39">
        <v>13.16</v>
      </c>
      <c r="AU75" s="39">
        <v>13.26</v>
      </c>
      <c r="AV75" s="39">
        <v>13.37</v>
      </c>
      <c r="AW75" s="39">
        <v>13.47</v>
      </c>
      <c r="AX75" s="39">
        <v>13.57</v>
      </c>
      <c r="AY75" s="39">
        <v>13.67</v>
      </c>
      <c r="AZ75" s="39">
        <v>13.77</v>
      </c>
      <c r="BA75" s="39">
        <v>13.87</v>
      </c>
      <c r="BB75" s="39">
        <v>13.97</v>
      </c>
      <c r="BC75" s="39">
        <v>14.07</v>
      </c>
      <c r="BD75" s="39">
        <v>14.17</v>
      </c>
      <c r="BE75" s="39">
        <v>14.27</v>
      </c>
      <c r="BF75" s="39">
        <v>14.37</v>
      </c>
      <c r="BG75" s="39">
        <v>14.47</v>
      </c>
      <c r="BH75" s="39">
        <v>14.58</v>
      </c>
      <c r="BI75" s="39">
        <v>14.68</v>
      </c>
      <c r="BJ75" s="39">
        <v>14.78</v>
      </c>
      <c r="BK75" s="39">
        <v>14.88</v>
      </c>
      <c r="BL75" s="39">
        <v>14.98</v>
      </c>
      <c r="BM75" s="39">
        <v>15.08</v>
      </c>
      <c r="BN75" s="39">
        <v>15.18</v>
      </c>
      <c r="BO75" s="39">
        <v>15.28</v>
      </c>
      <c r="BP75" s="39">
        <v>15.38</v>
      </c>
      <c r="BQ75" s="39">
        <v>15.48</v>
      </c>
      <c r="BR75" s="39">
        <v>15.58</v>
      </c>
      <c r="BS75" s="39">
        <v>15.68</v>
      </c>
      <c r="BT75" s="40">
        <v>15.78</v>
      </c>
      <c r="BU75" s="39">
        <v>15.88</v>
      </c>
      <c r="BV75" s="39">
        <v>15.98</v>
      </c>
      <c r="BW75" s="39">
        <v>16.07</v>
      </c>
      <c r="BX75" s="39">
        <v>16.170000000000002</v>
      </c>
      <c r="BY75" s="39">
        <v>16.27</v>
      </c>
      <c r="BZ75" s="39">
        <v>16.37</v>
      </c>
      <c r="CA75" s="39">
        <v>16.47</v>
      </c>
      <c r="CB75" s="39">
        <v>16.559999999999999</v>
      </c>
      <c r="CC75" s="39">
        <v>16.66</v>
      </c>
      <c r="CD75" s="39">
        <v>16.760000000000002</v>
      </c>
      <c r="CE75" s="39">
        <v>16.850000000000001</v>
      </c>
      <c r="CF75" s="39">
        <v>16.95</v>
      </c>
      <c r="CG75" s="39">
        <v>17.05</v>
      </c>
      <c r="CH75" s="39">
        <v>17.14</v>
      </c>
      <c r="CI75" s="39">
        <v>17.239999999999998</v>
      </c>
      <c r="CJ75" s="39">
        <v>17.329999999999998</v>
      </c>
      <c r="CK75" s="39">
        <v>17.43</v>
      </c>
      <c r="CL75" s="39">
        <v>17.52</v>
      </c>
      <c r="CM75" s="39">
        <v>17.61</v>
      </c>
      <c r="CN75" s="39">
        <v>17.71</v>
      </c>
      <c r="CO75" s="39">
        <v>17.8</v>
      </c>
      <c r="CP75" s="39">
        <v>17.89</v>
      </c>
      <c r="CQ75" s="39">
        <v>17.989999999999998</v>
      </c>
      <c r="CR75" s="39">
        <v>18.079999999999998</v>
      </c>
      <c r="CS75" s="39">
        <v>18.170000000000002</v>
      </c>
      <c r="CT75" s="39">
        <v>18.260000000000002</v>
      </c>
      <c r="CU75" s="39">
        <v>18.350000000000001</v>
      </c>
      <c r="CV75" s="39">
        <v>18.440000000000001</v>
      </c>
      <c r="CW75" s="39">
        <v>18.53</v>
      </c>
      <c r="CX75" s="39">
        <v>18.62</v>
      </c>
      <c r="CY75" s="39">
        <v>18.71</v>
      </c>
      <c r="CZ75" s="39">
        <v>18.8</v>
      </c>
      <c r="DA75" s="39">
        <v>18.89</v>
      </c>
      <c r="DB75" s="39">
        <v>18.98</v>
      </c>
      <c r="DC75" s="39">
        <v>19.07</v>
      </c>
      <c r="DD75" s="39">
        <v>19.16</v>
      </c>
      <c r="DE75" s="39">
        <v>19.239999999999998</v>
      </c>
      <c r="DF75" s="39">
        <v>19.329999999999998</v>
      </c>
      <c r="DG75" s="39">
        <v>19.420000000000002</v>
      </c>
      <c r="DH75" s="39">
        <v>19.5</v>
      </c>
      <c r="DI75" s="39">
        <v>19.59</v>
      </c>
      <c r="DJ75" s="39">
        <v>19.670000000000002</v>
      </c>
      <c r="DK75" s="39">
        <v>19.760000000000002</v>
      </c>
      <c r="DL75" s="39">
        <v>19.84</v>
      </c>
      <c r="DM75" s="39">
        <v>19.93</v>
      </c>
      <c r="DN75" s="39">
        <v>20.010000000000002</v>
      </c>
      <c r="DO75" s="39">
        <v>20.09</v>
      </c>
      <c r="DP75" s="39">
        <v>20.18</v>
      </c>
      <c r="DQ75" s="39">
        <v>20.260000000000002</v>
      </c>
      <c r="DR75" s="39">
        <v>20.34</v>
      </c>
    </row>
    <row r="76" spans="1:122">
      <c r="A76" s="37">
        <v>74</v>
      </c>
      <c r="B76" s="38"/>
      <c r="C76" s="38"/>
      <c r="D76" s="38"/>
      <c r="E76" s="38"/>
      <c r="F76" s="38"/>
      <c r="G76" s="38"/>
      <c r="H76" s="38"/>
      <c r="I76" s="38"/>
      <c r="J76" s="38"/>
      <c r="K76" s="38"/>
      <c r="L76" s="38"/>
      <c r="M76" s="38"/>
      <c r="N76" s="38"/>
      <c r="O76" s="38"/>
      <c r="P76" s="38"/>
      <c r="Q76" s="38"/>
      <c r="R76" s="38"/>
      <c r="S76" s="38"/>
      <c r="T76" s="38"/>
      <c r="U76" s="38"/>
      <c r="V76" s="39"/>
      <c r="W76" s="39">
        <v>10.119999999999999</v>
      </c>
      <c r="X76" s="39">
        <v>10.27</v>
      </c>
      <c r="Y76" s="39">
        <v>10.39</v>
      </c>
      <c r="Z76" s="39">
        <v>10.58</v>
      </c>
      <c r="AA76" s="39">
        <v>10.65</v>
      </c>
      <c r="AB76" s="39">
        <v>10.77</v>
      </c>
      <c r="AC76" s="39">
        <v>10.81</v>
      </c>
      <c r="AD76" s="39">
        <v>10.82</v>
      </c>
      <c r="AE76" s="39">
        <v>10.91</v>
      </c>
      <c r="AF76" s="39">
        <v>11.06</v>
      </c>
      <c r="AG76" s="39">
        <v>11.19</v>
      </c>
      <c r="AH76" s="39">
        <v>11.29</v>
      </c>
      <c r="AI76" s="39">
        <v>11.43</v>
      </c>
      <c r="AJ76" s="39">
        <v>11.57</v>
      </c>
      <c r="AK76" s="39">
        <v>11.7</v>
      </c>
      <c r="AL76" s="39">
        <v>11.84</v>
      </c>
      <c r="AM76" s="39">
        <v>11.95</v>
      </c>
      <c r="AN76" s="39">
        <v>12.04</v>
      </c>
      <c r="AO76" s="39">
        <v>12.14</v>
      </c>
      <c r="AP76" s="39">
        <v>12.19</v>
      </c>
      <c r="AQ76" s="39">
        <v>12.29</v>
      </c>
      <c r="AR76" s="39">
        <v>12.37</v>
      </c>
      <c r="AS76" s="39">
        <v>12.45</v>
      </c>
      <c r="AT76" s="39">
        <v>12.54</v>
      </c>
      <c r="AU76" s="39">
        <v>12.64</v>
      </c>
      <c r="AV76" s="39">
        <v>12.73</v>
      </c>
      <c r="AW76" s="39">
        <v>12.83</v>
      </c>
      <c r="AX76" s="39">
        <v>12.93</v>
      </c>
      <c r="AY76" s="39">
        <v>13.02</v>
      </c>
      <c r="AZ76" s="39">
        <v>13.12</v>
      </c>
      <c r="BA76" s="39">
        <v>13.21</v>
      </c>
      <c r="BB76" s="39">
        <v>13.31</v>
      </c>
      <c r="BC76" s="39">
        <v>13.41</v>
      </c>
      <c r="BD76" s="39">
        <v>13.51</v>
      </c>
      <c r="BE76" s="39">
        <v>13.6</v>
      </c>
      <c r="BF76" s="39">
        <v>13.7</v>
      </c>
      <c r="BG76" s="39">
        <v>13.8</v>
      </c>
      <c r="BH76" s="39">
        <v>13.89</v>
      </c>
      <c r="BI76" s="39">
        <v>13.99</v>
      </c>
      <c r="BJ76" s="39">
        <v>14.09</v>
      </c>
      <c r="BK76" s="39">
        <v>14.19</v>
      </c>
      <c r="BL76" s="39">
        <v>14.28</v>
      </c>
      <c r="BM76" s="39">
        <v>14.38</v>
      </c>
      <c r="BN76" s="39">
        <v>14.48</v>
      </c>
      <c r="BO76" s="39">
        <v>14.57</v>
      </c>
      <c r="BP76" s="39">
        <v>14.67</v>
      </c>
      <c r="BQ76" s="39">
        <v>14.77</v>
      </c>
      <c r="BR76" s="39">
        <v>14.86</v>
      </c>
      <c r="BS76" s="39">
        <v>14.96</v>
      </c>
      <c r="BT76" s="40">
        <v>15.05</v>
      </c>
      <c r="BU76" s="39">
        <v>15.15</v>
      </c>
      <c r="BV76" s="39">
        <v>15.24</v>
      </c>
      <c r="BW76" s="39">
        <v>15.34</v>
      </c>
      <c r="BX76" s="39">
        <v>15.43</v>
      </c>
      <c r="BY76" s="39">
        <v>15.53</v>
      </c>
      <c r="BZ76" s="39">
        <v>15.62</v>
      </c>
      <c r="CA76" s="39">
        <v>15.72</v>
      </c>
      <c r="CB76" s="39">
        <v>15.81</v>
      </c>
      <c r="CC76" s="39">
        <v>15.9</v>
      </c>
      <c r="CD76" s="39">
        <v>16</v>
      </c>
      <c r="CE76" s="39">
        <v>16.09</v>
      </c>
      <c r="CF76" s="39">
        <v>16.18</v>
      </c>
      <c r="CG76" s="39">
        <v>16.28</v>
      </c>
      <c r="CH76" s="39">
        <v>16.37</v>
      </c>
      <c r="CI76" s="39">
        <v>16.46</v>
      </c>
      <c r="CJ76" s="39">
        <v>16.55</v>
      </c>
      <c r="CK76" s="39">
        <v>16.64</v>
      </c>
      <c r="CL76" s="39">
        <v>16.739999999999998</v>
      </c>
      <c r="CM76" s="39">
        <v>16.829999999999998</v>
      </c>
      <c r="CN76" s="39">
        <v>16.920000000000002</v>
      </c>
      <c r="CO76" s="39">
        <v>17.010000000000002</v>
      </c>
      <c r="CP76" s="39">
        <v>17.100000000000001</v>
      </c>
      <c r="CQ76" s="39">
        <v>17.190000000000001</v>
      </c>
      <c r="CR76" s="39">
        <v>17.28</v>
      </c>
      <c r="CS76" s="39">
        <v>17.37</v>
      </c>
      <c r="CT76" s="39">
        <v>17.46</v>
      </c>
      <c r="CU76" s="39">
        <v>17.54</v>
      </c>
      <c r="CV76" s="39">
        <v>17.63</v>
      </c>
      <c r="CW76" s="39">
        <v>17.72</v>
      </c>
      <c r="CX76" s="39">
        <v>17.809999999999999</v>
      </c>
      <c r="CY76" s="39">
        <v>17.89</v>
      </c>
      <c r="CZ76" s="39">
        <v>17.98</v>
      </c>
      <c r="DA76" s="39">
        <v>18.07</v>
      </c>
      <c r="DB76" s="39">
        <v>18.149999999999999</v>
      </c>
      <c r="DC76" s="39">
        <v>18.239999999999998</v>
      </c>
      <c r="DD76" s="39">
        <v>18.32</v>
      </c>
      <c r="DE76" s="39">
        <v>18.41</v>
      </c>
      <c r="DF76" s="39">
        <v>18.489999999999998</v>
      </c>
      <c r="DG76" s="39">
        <v>18.579999999999998</v>
      </c>
      <c r="DH76" s="39">
        <v>18.66</v>
      </c>
      <c r="DI76" s="39">
        <v>18.739999999999998</v>
      </c>
      <c r="DJ76" s="39">
        <v>18.829999999999998</v>
      </c>
      <c r="DK76" s="39">
        <v>18.91</v>
      </c>
      <c r="DL76" s="39">
        <v>18.989999999999998</v>
      </c>
      <c r="DM76" s="39">
        <v>19.07</v>
      </c>
      <c r="DN76" s="39">
        <v>19.16</v>
      </c>
      <c r="DO76" s="39">
        <v>19.239999999999998</v>
      </c>
      <c r="DP76" s="39">
        <v>19.32</v>
      </c>
      <c r="DQ76" s="39">
        <v>19.399999999999999</v>
      </c>
      <c r="DR76" s="39">
        <v>19.48</v>
      </c>
    </row>
    <row r="77" spans="1:122">
      <c r="A77" s="37">
        <v>75</v>
      </c>
      <c r="B77" s="38"/>
      <c r="C77" s="38"/>
      <c r="D77" s="38"/>
      <c r="E77" s="38"/>
      <c r="F77" s="38"/>
      <c r="G77" s="38"/>
      <c r="H77" s="38"/>
      <c r="I77" s="38"/>
      <c r="J77" s="38"/>
      <c r="K77" s="38"/>
      <c r="L77" s="38"/>
      <c r="M77" s="38"/>
      <c r="N77" s="38"/>
      <c r="O77" s="38"/>
      <c r="P77" s="38"/>
      <c r="Q77" s="38"/>
      <c r="R77" s="38"/>
      <c r="S77" s="38"/>
      <c r="T77" s="38"/>
      <c r="U77" s="38"/>
      <c r="V77" s="39"/>
      <c r="W77" s="39">
        <v>9.65</v>
      </c>
      <c r="X77" s="39">
        <v>9.7799999999999994</v>
      </c>
      <c r="Y77" s="39">
        <v>9.89</v>
      </c>
      <c r="Z77" s="39">
        <v>10.07</v>
      </c>
      <c r="AA77" s="39">
        <v>10.119999999999999</v>
      </c>
      <c r="AB77" s="39">
        <v>10.24</v>
      </c>
      <c r="AC77" s="39">
        <v>10.27</v>
      </c>
      <c r="AD77" s="39">
        <v>10.29</v>
      </c>
      <c r="AE77" s="39">
        <v>10.37</v>
      </c>
      <c r="AF77" s="39">
        <v>10.5</v>
      </c>
      <c r="AG77" s="39">
        <v>10.62</v>
      </c>
      <c r="AH77" s="39">
        <v>10.71</v>
      </c>
      <c r="AI77" s="39">
        <v>10.85</v>
      </c>
      <c r="AJ77" s="39">
        <v>10.98</v>
      </c>
      <c r="AK77" s="39">
        <v>11.1</v>
      </c>
      <c r="AL77" s="39">
        <v>11.23</v>
      </c>
      <c r="AM77" s="39">
        <v>11.33</v>
      </c>
      <c r="AN77" s="39">
        <v>11.42</v>
      </c>
      <c r="AO77" s="39">
        <v>11.5</v>
      </c>
      <c r="AP77" s="39">
        <v>11.58</v>
      </c>
      <c r="AQ77" s="39">
        <v>11.66</v>
      </c>
      <c r="AR77" s="39">
        <v>11.75</v>
      </c>
      <c r="AS77" s="39">
        <v>11.84</v>
      </c>
      <c r="AT77" s="39">
        <v>11.92</v>
      </c>
      <c r="AU77" s="39">
        <v>12.01</v>
      </c>
      <c r="AV77" s="39">
        <v>12.11</v>
      </c>
      <c r="AW77" s="39">
        <v>12.2</v>
      </c>
      <c r="AX77" s="39">
        <v>12.29</v>
      </c>
      <c r="AY77" s="39">
        <v>12.38</v>
      </c>
      <c r="AZ77" s="39">
        <v>12.47</v>
      </c>
      <c r="BA77" s="39">
        <v>12.57</v>
      </c>
      <c r="BB77" s="39">
        <v>12.66</v>
      </c>
      <c r="BC77" s="39">
        <v>12.75</v>
      </c>
      <c r="BD77" s="39">
        <v>12.85</v>
      </c>
      <c r="BE77" s="39">
        <v>12.94</v>
      </c>
      <c r="BF77" s="39">
        <v>13.03</v>
      </c>
      <c r="BG77" s="39">
        <v>13.13</v>
      </c>
      <c r="BH77" s="39">
        <v>13.22</v>
      </c>
      <c r="BI77" s="39">
        <v>13.31</v>
      </c>
      <c r="BJ77" s="39">
        <v>13.41</v>
      </c>
      <c r="BK77" s="39">
        <v>13.5</v>
      </c>
      <c r="BL77" s="39">
        <v>13.59</v>
      </c>
      <c r="BM77" s="39">
        <v>13.69</v>
      </c>
      <c r="BN77" s="39">
        <v>13.78</v>
      </c>
      <c r="BO77" s="39">
        <v>13.87</v>
      </c>
      <c r="BP77" s="39">
        <v>13.96</v>
      </c>
      <c r="BQ77" s="39">
        <v>14.06</v>
      </c>
      <c r="BR77" s="39">
        <v>14.15</v>
      </c>
      <c r="BS77" s="39">
        <v>14.24</v>
      </c>
      <c r="BT77" s="40">
        <v>14.33</v>
      </c>
      <c r="BU77" s="39">
        <v>14.43</v>
      </c>
      <c r="BV77" s="39">
        <v>14.52</v>
      </c>
      <c r="BW77" s="39">
        <v>14.61</v>
      </c>
      <c r="BX77" s="39">
        <v>14.7</v>
      </c>
      <c r="BY77" s="39">
        <v>14.79</v>
      </c>
      <c r="BZ77" s="39">
        <v>14.88</v>
      </c>
      <c r="CA77" s="39">
        <v>14.97</v>
      </c>
      <c r="CB77" s="39">
        <v>15.07</v>
      </c>
      <c r="CC77" s="39">
        <v>15.16</v>
      </c>
      <c r="CD77" s="39">
        <v>15.25</v>
      </c>
      <c r="CE77" s="39">
        <v>15.34</v>
      </c>
      <c r="CF77" s="39">
        <v>15.43</v>
      </c>
      <c r="CG77" s="39">
        <v>15.52</v>
      </c>
      <c r="CH77" s="39">
        <v>15.6</v>
      </c>
      <c r="CI77" s="39">
        <v>15.69</v>
      </c>
      <c r="CJ77" s="39">
        <v>15.78</v>
      </c>
      <c r="CK77" s="39">
        <v>15.87</v>
      </c>
      <c r="CL77" s="39">
        <v>15.96</v>
      </c>
      <c r="CM77" s="39">
        <v>16.05</v>
      </c>
      <c r="CN77" s="39">
        <v>16.14</v>
      </c>
      <c r="CO77" s="39">
        <v>16.22</v>
      </c>
      <c r="CP77" s="39">
        <v>16.309999999999999</v>
      </c>
      <c r="CQ77" s="39">
        <v>16.399999999999999</v>
      </c>
      <c r="CR77" s="39">
        <v>16.48</v>
      </c>
      <c r="CS77" s="39">
        <v>16.57</v>
      </c>
      <c r="CT77" s="39">
        <v>16.66</v>
      </c>
      <c r="CU77" s="39">
        <v>16.739999999999998</v>
      </c>
      <c r="CV77" s="39">
        <v>16.829999999999998</v>
      </c>
      <c r="CW77" s="39">
        <v>16.91</v>
      </c>
      <c r="CX77" s="39">
        <v>17</v>
      </c>
      <c r="CY77" s="39">
        <v>17.079999999999998</v>
      </c>
      <c r="CZ77" s="39">
        <v>17.170000000000002</v>
      </c>
      <c r="DA77" s="39">
        <v>17.25</v>
      </c>
      <c r="DB77" s="39">
        <v>17.329999999999998</v>
      </c>
      <c r="DC77" s="39">
        <v>17.420000000000002</v>
      </c>
      <c r="DD77" s="39">
        <v>17.5</v>
      </c>
      <c r="DE77" s="39">
        <v>17.579999999999998</v>
      </c>
      <c r="DF77" s="39">
        <v>17.66</v>
      </c>
      <c r="DG77" s="39">
        <v>17.739999999999998</v>
      </c>
      <c r="DH77" s="39">
        <v>17.829999999999998</v>
      </c>
      <c r="DI77" s="39">
        <v>17.91</v>
      </c>
      <c r="DJ77" s="39">
        <v>17.989999999999998</v>
      </c>
      <c r="DK77" s="39">
        <v>18.07</v>
      </c>
      <c r="DL77" s="39">
        <v>18.149999999999999</v>
      </c>
      <c r="DM77" s="39">
        <v>18.23</v>
      </c>
      <c r="DN77" s="39">
        <v>18.309999999999999</v>
      </c>
      <c r="DO77" s="39">
        <v>18.39</v>
      </c>
      <c r="DP77" s="39">
        <v>18.46</v>
      </c>
      <c r="DQ77" s="39">
        <v>18.54</v>
      </c>
      <c r="DR77" s="39">
        <v>18.62</v>
      </c>
    </row>
    <row r="78" spans="1:122">
      <c r="A78" s="37">
        <v>76</v>
      </c>
      <c r="B78" s="38"/>
      <c r="C78" s="38"/>
      <c r="D78" s="38"/>
      <c r="E78" s="38"/>
      <c r="F78" s="38"/>
      <c r="G78" s="38"/>
      <c r="H78" s="38"/>
      <c r="I78" s="38"/>
      <c r="J78" s="38"/>
      <c r="K78" s="38"/>
      <c r="L78" s="38"/>
      <c r="M78" s="38"/>
      <c r="N78" s="38"/>
      <c r="O78" s="38"/>
      <c r="P78" s="38"/>
      <c r="Q78" s="38"/>
      <c r="R78" s="38"/>
      <c r="S78" s="38"/>
      <c r="T78" s="38"/>
      <c r="U78" s="38"/>
      <c r="V78" s="39"/>
      <c r="W78" s="39">
        <v>9.18</v>
      </c>
      <c r="X78" s="39">
        <v>9.3000000000000007</v>
      </c>
      <c r="Y78" s="39">
        <v>9.4</v>
      </c>
      <c r="Z78" s="39">
        <v>9.56</v>
      </c>
      <c r="AA78" s="39">
        <v>9.61</v>
      </c>
      <c r="AB78" s="39">
        <v>9.7100000000000009</v>
      </c>
      <c r="AC78" s="39">
        <v>9.75</v>
      </c>
      <c r="AD78" s="39">
        <v>9.77</v>
      </c>
      <c r="AE78" s="39">
        <v>9.83</v>
      </c>
      <c r="AF78" s="39">
        <v>9.9499999999999993</v>
      </c>
      <c r="AG78" s="39">
        <v>10.050000000000001</v>
      </c>
      <c r="AH78" s="39">
        <v>10.15</v>
      </c>
      <c r="AI78" s="39">
        <v>10.27</v>
      </c>
      <c r="AJ78" s="39">
        <v>10.39</v>
      </c>
      <c r="AK78" s="39">
        <v>10.51</v>
      </c>
      <c r="AL78" s="39">
        <v>10.63</v>
      </c>
      <c r="AM78" s="39">
        <v>10.73</v>
      </c>
      <c r="AN78" s="39">
        <v>10.8</v>
      </c>
      <c r="AO78" s="39">
        <v>10.9</v>
      </c>
      <c r="AP78" s="39">
        <v>10.97</v>
      </c>
      <c r="AQ78" s="39">
        <v>11.05</v>
      </c>
      <c r="AR78" s="39">
        <v>11.14</v>
      </c>
      <c r="AS78" s="39">
        <v>11.22</v>
      </c>
      <c r="AT78" s="39">
        <v>11.31</v>
      </c>
      <c r="AU78" s="39">
        <v>11.4</v>
      </c>
      <c r="AV78" s="39">
        <v>11.48</v>
      </c>
      <c r="AW78" s="39">
        <v>11.57</v>
      </c>
      <c r="AX78" s="39">
        <v>11.66</v>
      </c>
      <c r="AY78" s="39">
        <v>11.75</v>
      </c>
      <c r="AZ78" s="39">
        <v>11.84</v>
      </c>
      <c r="BA78" s="39">
        <v>11.93</v>
      </c>
      <c r="BB78" s="39">
        <v>12.01</v>
      </c>
      <c r="BC78" s="39">
        <v>12.1</v>
      </c>
      <c r="BD78" s="39">
        <v>12.19</v>
      </c>
      <c r="BE78" s="39">
        <v>12.28</v>
      </c>
      <c r="BF78" s="39">
        <v>12.37</v>
      </c>
      <c r="BG78" s="39">
        <v>12.46</v>
      </c>
      <c r="BH78" s="39">
        <v>12.55</v>
      </c>
      <c r="BI78" s="39">
        <v>12.64</v>
      </c>
      <c r="BJ78" s="39">
        <v>12.73</v>
      </c>
      <c r="BK78" s="39">
        <v>12.82</v>
      </c>
      <c r="BL78" s="39">
        <v>12.91</v>
      </c>
      <c r="BM78" s="39">
        <v>13</v>
      </c>
      <c r="BN78" s="39">
        <v>13.09</v>
      </c>
      <c r="BO78" s="39">
        <v>13.18</v>
      </c>
      <c r="BP78" s="39">
        <v>13.27</v>
      </c>
      <c r="BQ78" s="39">
        <v>13.36</v>
      </c>
      <c r="BR78" s="39">
        <v>13.45</v>
      </c>
      <c r="BS78" s="39">
        <v>13.53</v>
      </c>
      <c r="BT78" s="40">
        <v>13.62</v>
      </c>
      <c r="BU78" s="39">
        <v>13.71</v>
      </c>
      <c r="BV78" s="39">
        <v>13.8</v>
      </c>
      <c r="BW78" s="39">
        <v>13.89</v>
      </c>
      <c r="BX78" s="39">
        <v>13.98</v>
      </c>
      <c r="BY78" s="39">
        <v>14.06</v>
      </c>
      <c r="BZ78" s="39">
        <v>14.15</v>
      </c>
      <c r="CA78" s="39">
        <v>14.24</v>
      </c>
      <c r="CB78" s="39">
        <v>14.33</v>
      </c>
      <c r="CC78" s="39">
        <v>14.41</v>
      </c>
      <c r="CD78" s="39">
        <v>14.5</v>
      </c>
      <c r="CE78" s="39">
        <v>14.59</v>
      </c>
      <c r="CF78" s="39">
        <v>14.68</v>
      </c>
      <c r="CG78" s="39">
        <v>14.76</v>
      </c>
      <c r="CH78" s="39">
        <v>14.85</v>
      </c>
      <c r="CI78" s="39">
        <v>14.93</v>
      </c>
      <c r="CJ78" s="39">
        <v>15.02</v>
      </c>
      <c r="CK78" s="39">
        <v>15.11</v>
      </c>
      <c r="CL78" s="39">
        <v>15.19</v>
      </c>
      <c r="CM78" s="39">
        <v>15.28</v>
      </c>
      <c r="CN78" s="39">
        <v>15.36</v>
      </c>
      <c r="CO78" s="39">
        <v>15.45</v>
      </c>
      <c r="CP78" s="39">
        <v>15.53</v>
      </c>
      <c r="CQ78" s="39">
        <v>15.61</v>
      </c>
      <c r="CR78" s="39">
        <v>15.7</v>
      </c>
      <c r="CS78" s="39">
        <v>15.78</v>
      </c>
      <c r="CT78" s="39">
        <v>15.86</v>
      </c>
      <c r="CU78" s="39">
        <v>15.95</v>
      </c>
      <c r="CV78" s="39">
        <v>16.03</v>
      </c>
      <c r="CW78" s="39">
        <v>16.11</v>
      </c>
      <c r="CX78" s="39">
        <v>16.190000000000001</v>
      </c>
      <c r="CY78" s="39">
        <v>16.28</v>
      </c>
      <c r="CZ78" s="39">
        <v>16.36</v>
      </c>
      <c r="DA78" s="39">
        <v>16.440000000000001</v>
      </c>
      <c r="DB78" s="39">
        <v>16.52</v>
      </c>
      <c r="DC78" s="39">
        <v>16.600000000000001</v>
      </c>
      <c r="DD78" s="39">
        <v>16.68</v>
      </c>
      <c r="DE78" s="39">
        <v>16.760000000000002</v>
      </c>
      <c r="DF78" s="39">
        <v>16.84</v>
      </c>
      <c r="DG78" s="39">
        <v>16.920000000000002</v>
      </c>
      <c r="DH78" s="39">
        <v>17</v>
      </c>
      <c r="DI78" s="39">
        <v>17.079999999999998</v>
      </c>
      <c r="DJ78" s="39">
        <v>17.16</v>
      </c>
      <c r="DK78" s="39">
        <v>17.23</v>
      </c>
      <c r="DL78" s="39">
        <v>17.309999999999999</v>
      </c>
      <c r="DM78" s="39">
        <v>17.39</v>
      </c>
      <c r="DN78" s="39">
        <v>17.47</v>
      </c>
      <c r="DO78" s="39">
        <v>17.54</v>
      </c>
      <c r="DP78" s="39">
        <v>17.62</v>
      </c>
      <c r="DQ78" s="39">
        <v>17.690000000000001</v>
      </c>
      <c r="DR78" s="39">
        <v>17.77</v>
      </c>
    </row>
    <row r="79" spans="1:122">
      <c r="A79" s="37">
        <v>77</v>
      </c>
      <c r="B79" s="38"/>
      <c r="C79" s="38"/>
      <c r="D79" s="38"/>
      <c r="E79" s="38"/>
      <c r="F79" s="38"/>
      <c r="G79" s="38"/>
      <c r="H79" s="38"/>
      <c r="I79" s="38"/>
      <c r="J79" s="38"/>
      <c r="K79" s="38"/>
      <c r="L79" s="38"/>
      <c r="M79" s="38"/>
      <c r="N79" s="38"/>
      <c r="O79" s="38"/>
      <c r="P79" s="38"/>
      <c r="Q79" s="38"/>
      <c r="R79" s="38"/>
      <c r="S79" s="38"/>
      <c r="T79" s="38"/>
      <c r="U79" s="38"/>
      <c r="V79" s="39"/>
      <c r="W79" s="39">
        <v>8.7200000000000006</v>
      </c>
      <c r="X79" s="39">
        <v>8.83</v>
      </c>
      <c r="Y79" s="39">
        <v>8.91</v>
      </c>
      <c r="Z79" s="39">
        <v>9.0500000000000007</v>
      </c>
      <c r="AA79" s="39">
        <v>9.1</v>
      </c>
      <c r="AB79" s="39">
        <v>9.1999999999999993</v>
      </c>
      <c r="AC79" s="39">
        <v>9.2200000000000006</v>
      </c>
      <c r="AD79" s="39">
        <v>9.24</v>
      </c>
      <c r="AE79" s="39">
        <v>9.3000000000000007</v>
      </c>
      <c r="AF79" s="39">
        <v>9.4</v>
      </c>
      <c r="AG79" s="39">
        <v>9.5</v>
      </c>
      <c r="AH79" s="39">
        <v>9.59</v>
      </c>
      <c r="AI79" s="39">
        <v>9.6999999999999993</v>
      </c>
      <c r="AJ79" s="39">
        <v>9.82</v>
      </c>
      <c r="AK79" s="39">
        <v>9.93</v>
      </c>
      <c r="AL79" s="39">
        <v>10.06</v>
      </c>
      <c r="AM79" s="39">
        <v>10.130000000000001</v>
      </c>
      <c r="AN79" s="39">
        <v>10.210000000000001</v>
      </c>
      <c r="AO79" s="39">
        <v>10.3</v>
      </c>
      <c r="AP79" s="39">
        <v>10.38</v>
      </c>
      <c r="AQ79" s="39">
        <v>10.46</v>
      </c>
      <c r="AR79" s="39">
        <v>10.54</v>
      </c>
      <c r="AS79" s="39">
        <v>10.62</v>
      </c>
      <c r="AT79" s="39">
        <v>10.7</v>
      </c>
      <c r="AU79" s="39">
        <v>10.79</v>
      </c>
      <c r="AV79" s="39">
        <v>10.87</v>
      </c>
      <c r="AW79" s="39">
        <v>10.95</v>
      </c>
      <c r="AX79" s="39">
        <v>11.04</v>
      </c>
      <c r="AY79" s="39">
        <v>11.12</v>
      </c>
      <c r="AZ79" s="39">
        <v>11.21</v>
      </c>
      <c r="BA79" s="39">
        <v>11.29</v>
      </c>
      <c r="BB79" s="39">
        <v>11.38</v>
      </c>
      <c r="BC79" s="39">
        <v>11.46</v>
      </c>
      <c r="BD79" s="39">
        <v>11.55</v>
      </c>
      <c r="BE79" s="39">
        <v>11.64</v>
      </c>
      <c r="BF79" s="39">
        <v>11.72</v>
      </c>
      <c r="BG79" s="39">
        <v>11.81</v>
      </c>
      <c r="BH79" s="39">
        <v>11.89</v>
      </c>
      <c r="BI79" s="39">
        <v>11.98</v>
      </c>
      <c r="BJ79" s="39">
        <v>12.07</v>
      </c>
      <c r="BK79" s="39">
        <v>12.15</v>
      </c>
      <c r="BL79" s="39">
        <v>12.24</v>
      </c>
      <c r="BM79" s="39">
        <v>12.32</v>
      </c>
      <c r="BN79" s="39">
        <v>12.41</v>
      </c>
      <c r="BO79" s="39">
        <v>12.49</v>
      </c>
      <c r="BP79" s="39">
        <v>12.58</v>
      </c>
      <c r="BQ79" s="39">
        <v>12.67</v>
      </c>
      <c r="BR79" s="39">
        <v>12.75</v>
      </c>
      <c r="BS79" s="39">
        <v>12.84</v>
      </c>
      <c r="BT79" s="40">
        <v>12.92</v>
      </c>
      <c r="BU79" s="39">
        <v>13.01</v>
      </c>
      <c r="BV79" s="39">
        <v>13.09</v>
      </c>
      <c r="BW79" s="39">
        <v>13.18</v>
      </c>
      <c r="BX79" s="39">
        <v>13.26</v>
      </c>
      <c r="BY79" s="39">
        <v>13.35</v>
      </c>
      <c r="BZ79" s="39">
        <v>13.43</v>
      </c>
      <c r="CA79" s="39">
        <v>13.51</v>
      </c>
      <c r="CB79" s="39">
        <v>13.6</v>
      </c>
      <c r="CC79" s="39">
        <v>13.68</v>
      </c>
      <c r="CD79" s="39">
        <v>13.77</v>
      </c>
      <c r="CE79" s="39">
        <v>13.85</v>
      </c>
      <c r="CF79" s="39">
        <v>13.93</v>
      </c>
      <c r="CG79" s="39">
        <v>14.02</v>
      </c>
      <c r="CH79" s="39">
        <v>14.1</v>
      </c>
      <c r="CI79" s="39">
        <v>14.18</v>
      </c>
      <c r="CJ79" s="39">
        <v>14.27</v>
      </c>
      <c r="CK79" s="39">
        <v>14.35</v>
      </c>
      <c r="CL79" s="39">
        <v>14.43</v>
      </c>
      <c r="CM79" s="39">
        <v>14.51</v>
      </c>
      <c r="CN79" s="39">
        <v>14.59</v>
      </c>
      <c r="CO79" s="39">
        <v>14.68</v>
      </c>
      <c r="CP79" s="39">
        <v>14.76</v>
      </c>
      <c r="CQ79" s="39">
        <v>14.84</v>
      </c>
      <c r="CR79" s="39">
        <v>14.92</v>
      </c>
      <c r="CS79" s="39">
        <v>15</v>
      </c>
      <c r="CT79" s="39">
        <v>15.08</v>
      </c>
      <c r="CU79" s="39">
        <v>15.16</v>
      </c>
      <c r="CV79" s="39">
        <v>15.24</v>
      </c>
      <c r="CW79" s="39">
        <v>15.32</v>
      </c>
      <c r="CX79" s="39">
        <v>15.4</v>
      </c>
      <c r="CY79" s="39">
        <v>15.48</v>
      </c>
      <c r="CZ79" s="39">
        <v>15.56</v>
      </c>
      <c r="DA79" s="39">
        <v>15.64</v>
      </c>
      <c r="DB79" s="39">
        <v>15.72</v>
      </c>
      <c r="DC79" s="39">
        <v>15.79</v>
      </c>
      <c r="DD79" s="39">
        <v>15.87</v>
      </c>
      <c r="DE79" s="39">
        <v>15.95</v>
      </c>
      <c r="DF79" s="39">
        <v>16.03</v>
      </c>
      <c r="DG79" s="39">
        <v>16.100000000000001</v>
      </c>
      <c r="DH79" s="39">
        <v>16.18</v>
      </c>
      <c r="DI79" s="39">
        <v>16.260000000000002</v>
      </c>
      <c r="DJ79" s="39">
        <v>16.329999999999998</v>
      </c>
      <c r="DK79" s="39">
        <v>16.41</v>
      </c>
      <c r="DL79" s="39">
        <v>16.48</v>
      </c>
      <c r="DM79" s="39">
        <v>16.559999999999999</v>
      </c>
      <c r="DN79" s="39">
        <v>16.63</v>
      </c>
      <c r="DO79" s="39">
        <v>16.71</v>
      </c>
      <c r="DP79" s="39">
        <v>16.78</v>
      </c>
      <c r="DQ79" s="39">
        <v>16.850000000000001</v>
      </c>
      <c r="DR79" s="39">
        <v>16.93</v>
      </c>
    </row>
    <row r="80" spans="1:122">
      <c r="A80" s="37">
        <v>78</v>
      </c>
      <c r="B80" s="38"/>
      <c r="C80" s="38"/>
      <c r="D80" s="38"/>
      <c r="E80" s="38"/>
      <c r="F80" s="38"/>
      <c r="G80" s="38"/>
      <c r="H80" s="38"/>
      <c r="I80" s="38"/>
      <c r="J80" s="38"/>
      <c r="K80" s="38"/>
      <c r="L80" s="38"/>
      <c r="M80" s="38"/>
      <c r="N80" s="38"/>
      <c r="O80" s="38"/>
      <c r="P80" s="38"/>
      <c r="Q80" s="38"/>
      <c r="R80" s="38"/>
      <c r="S80" s="38"/>
      <c r="T80" s="38"/>
      <c r="U80" s="38"/>
      <c r="V80" s="39"/>
      <c r="W80" s="39">
        <v>8.27</v>
      </c>
      <c r="X80" s="39">
        <v>8.36</v>
      </c>
      <c r="Y80" s="39">
        <v>8.42</v>
      </c>
      <c r="Z80" s="39">
        <v>8.56</v>
      </c>
      <c r="AA80" s="39">
        <v>8.61</v>
      </c>
      <c r="AB80" s="39">
        <v>8.6999999999999993</v>
      </c>
      <c r="AC80" s="39">
        <v>8.7200000000000006</v>
      </c>
      <c r="AD80" s="39">
        <v>8.73</v>
      </c>
      <c r="AE80" s="39">
        <v>8.77</v>
      </c>
      <c r="AF80" s="39">
        <v>8.8699999999999992</v>
      </c>
      <c r="AG80" s="39">
        <v>8.9700000000000006</v>
      </c>
      <c r="AH80" s="39">
        <v>9.0399999999999991</v>
      </c>
      <c r="AI80" s="39">
        <v>9.16</v>
      </c>
      <c r="AJ80" s="39">
        <v>9.27</v>
      </c>
      <c r="AK80" s="39">
        <v>9.3800000000000008</v>
      </c>
      <c r="AL80" s="39">
        <v>9.4700000000000006</v>
      </c>
      <c r="AM80" s="39">
        <v>9.56</v>
      </c>
      <c r="AN80" s="39">
        <v>9.6300000000000008</v>
      </c>
      <c r="AO80" s="39">
        <v>9.7200000000000006</v>
      </c>
      <c r="AP80" s="39">
        <v>9.7899999999999991</v>
      </c>
      <c r="AQ80" s="39">
        <v>9.8699999999999992</v>
      </c>
      <c r="AR80" s="39">
        <v>9.9499999999999993</v>
      </c>
      <c r="AS80" s="39">
        <v>10.029999999999999</v>
      </c>
      <c r="AT80" s="39">
        <v>10.11</v>
      </c>
      <c r="AU80" s="39">
        <v>10.19</v>
      </c>
      <c r="AV80" s="39">
        <v>10.27</v>
      </c>
      <c r="AW80" s="39">
        <v>10.35</v>
      </c>
      <c r="AX80" s="39">
        <v>10.43</v>
      </c>
      <c r="AY80" s="39">
        <v>10.51</v>
      </c>
      <c r="AZ80" s="39">
        <v>10.59</v>
      </c>
      <c r="BA80" s="39">
        <v>10.67</v>
      </c>
      <c r="BB80" s="39">
        <v>10.75</v>
      </c>
      <c r="BC80" s="39">
        <v>10.83</v>
      </c>
      <c r="BD80" s="39">
        <v>10.92</v>
      </c>
      <c r="BE80" s="39">
        <v>11</v>
      </c>
      <c r="BF80" s="39">
        <v>11.08</v>
      </c>
      <c r="BG80" s="39">
        <v>11.16</v>
      </c>
      <c r="BH80" s="39">
        <v>11.24</v>
      </c>
      <c r="BI80" s="39">
        <v>11.33</v>
      </c>
      <c r="BJ80" s="39">
        <v>11.41</v>
      </c>
      <c r="BK80" s="39">
        <v>11.49</v>
      </c>
      <c r="BL80" s="39">
        <v>11.57</v>
      </c>
      <c r="BM80" s="39">
        <v>11.66</v>
      </c>
      <c r="BN80" s="39">
        <v>11.74</v>
      </c>
      <c r="BO80" s="39">
        <v>11.82</v>
      </c>
      <c r="BP80" s="39">
        <v>11.9</v>
      </c>
      <c r="BQ80" s="39">
        <v>11.98</v>
      </c>
      <c r="BR80" s="39">
        <v>12.07</v>
      </c>
      <c r="BS80" s="39">
        <v>12.15</v>
      </c>
      <c r="BT80" s="40">
        <v>12.23</v>
      </c>
      <c r="BU80" s="39">
        <v>12.31</v>
      </c>
      <c r="BV80" s="39">
        <v>12.39</v>
      </c>
      <c r="BW80" s="39">
        <v>12.47</v>
      </c>
      <c r="BX80" s="39">
        <v>12.56</v>
      </c>
      <c r="BY80" s="39">
        <v>12.64</v>
      </c>
      <c r="BZ80" s="39">
        <v>12.72</v>
      </c>
      <c r="CA80" s="39">
        <v>12.8</v>
      </c>
      <c r="CB80" s="39">
        <v>12.88</v>
      </c>
      <c r="CC80" s="39">
        <v>12.96</v>
      </c>
      <c r="CD80" s="39">
        <v>13.04</v>
      </c>
      <c r="CE80" s="39">
        <v>13.12</v>
      </c>
      <c r="CF80" s="39">
        <v>13.2</v>
      </c>
      <c r="CG80" s="39">
        <v>13.28</v>
      </c>
      <c r="CH80" s="39">
        <v>13.36</v>
      </c>
      <c r="CI80" s="39">
        <v>13.44</v>
      </c>
      <c r="CJ80" s="39">
        <v>13.52</v>
      </c>
      <c r="CK80" s="39">
        <v>13.6</v>
      </c>
      <c r="CL80" s="39">
        <v>13.68</v>
      </c>
      <c r="CM80" s="39">
        <v>13.76</v>
      </c>
      <c r="CN80" s="39">
        <v>13.84</v>
      </c>
      <c r="CO80" s="39">
        <v>13.92</v>
      </c>
      <c r="CP80" s="39">
        <v>14</v>
      </c>
      <c r="CQ80" s="39">
        <v>14.07</v>
      </c>
      <c r="CR80" s="39">
        <v>14.15</v>
      </c>
      <c r="CS80" s="39">
        <v>14.23</v>
      </c>
      <c r="CT80" s="39">
        <v>14.31</v>
      </c>
      <c r="CU80" s="39">
        <v>14.39</v>
      </c>
      <c r="CV80" s="39">
        <v>14.46</v>
      </c>
      <c r="CW80" s="39">
        <v>14.54</v>
      </c>
      <c r="CX80" s="39">
        <v>14.62</v>
      </c>
      <c r="CY80" s="39">
        <v>14.69</v>
      </c>
      <c r="CZ80" s="39">
        <v>14.77</v>
      </c>
      <c r="DA80" s="39">
        <v>14.85</v>
      </c>
      <c r="DB80" s="39">
        <v>14.92</v>
      </c>
      <c r="DC80" s="39">
        <v>15</v>
      </c>
      <c r="DD80" s="39">
        <v>15.07</v>
      </c>
      <c r="DE80" s="39">
        <v>15.15</v>
      </c>
      <c r="DF80" s="39">
        <v>15.22</v>
      </c>
      <c r="DG80" s="39">
        <v>15.3</v>
      </c>
      <c r="DH80" s="39">
        <v>15.37</v>
      </c>
      <c r="DI80" s="39">
        <v>15.44</v>
      </c>
      <c r="DJ80" s="39">
        <v>15.52</v>
      </c>
      <c r="DK80" s="39">
        <v>15.59</v>
      </c>
      <c r="DL80" s="39">
        <v>15.66</v>
      </c>
      <c r="DM80" s="39">
        <v>15.74</v>
      </c>
      <c r="DN80" s="39">
        <v>15.81</v>
      </c>
      <c r="DO80" s="39">
        <v>15.88</v>
      </c>
      <c r="DP80" s="39">
        <v>15.95</v>
      </c>
      <c r="DQ80" s="39">
        <v>16.02</v>
      </c>
      <c r="DR80" s="39">
        <v>16.09</v>
      </c>
    </row>
    <row r="81" spans="1:122">
      <c r="A81" s="37">
        <v>79</v>
      </c>
      <c r="B81" s="38"/>
      <c r="C81" s="38"/>
      <c r="D81" s="38"/>
      <c r="E81" s="38"/>
      <c r="F81" s="38"/>
      <c r="G81" s="38"/>
      <c r="H81" s="38"/>
      <c r="I81" s="38"/>
      <c r="J81" s="38"/>
      <c r="K81" s="38"/>
      <c r="L81" s="38"/>
      <c r="M81" s="38"/>
      <c r="N81" s="38"/>
      <c r="O81" s="38"/>
      <c r="P81" s="38"/>
      <c r="Q81" s="38"/>
      <c r="R81" s="38"/>
      <c r="S81" s="38"/>
      <c r="T81" s="38"/>
      <c r="U81" s="38"/>
      <c r="V81" s="39"/>
      <c r="W81" s="39">
        <v>7.83</v>
      </c>
      <c r="X81" s="39">
        <v>7.89</v>
      </c>
      <c r="Y81" s="39">
        <v>7.96</v>
      </c>
      <c r="Z81" s="39">
        <v>8.09</v>
      </c>
      <c r="AA81" s="39">
        <v>8.1300000000000008</v>
      </c>
      <c r="AB81" s="39">
        <v>8.1999999999999993</v>
      </c>
      <c r="AC81" s="39">
        <v>8.2200000000000006</v>
      </c>
      <c r="AD81" s="39">
        <v>8.2200000000000006</v>
      </c>
      <c r="AE81" s="39">
        <v>8.27</v>
      </c>
      <c r="AF81" s="39">
        <v>8.36</v>
      </c>
      <c r="AG81" s="39">
        <v>8.4499999999999993</v>
      </c>
      <c r="AH81" s="39">
        <v>8.52</v>
      </c>
      <c r="AI81" s="39">
        <v>8.6300000000000008</v>
      </c>
      <c r="AJ81" s="39">
        <v>8.73</v>
      </c>
      <c r="AK81" s="39">
        <v>8.81</v>
      </c>
      <c r="AL81" s="39">
        <v>8.92</v>
      </c>
      <c r="AM81" s="39">
        <v>8.99</v>
      </c>
      <c r="AN81" s="39">
        <v>9.07</v>
      </c>
      <c r="AO81" s="39">
        <v>9.15</v>
      </c>
      <c r="AP81" s="39">
        <v>9.2200000000000006</v>
      </c>
      <c r="AQ81" s="39">
        <v>9.3000000000000007</v>
      </c>
      <c r="AR81" s="39">
        <v>9.3699999999999992</v>
      </c>
      <c r="AS81" s="39">
        <v>9.4499999999999993</v>
      </c>
      <c r="AT81" s="39">
        <v>9.52</v>
      </c>
      <c r="AU81" s="39">
        <v>9.6</v>
      </c>
      <c r="AV81" s="39">
        <v>9.67</v>
      </c>
      <c r="AW81" s="39">
        <v>9.75</v>
      </c>
      <c r="AX81" s="39">
        <v>9.82</v>
      </c>
      <c r="AY81" s="39">
        <v>9.9</v>
      </c>
      <c r="AZ81" s="39">
        <v>9.98</v>
      </c>
      <c r="BA81" s="39">
        <v>10.06</v>
      </c>
      <c r="BB81" s="39">
        <v>10.14</v>
      </c>
      <c r="BC81" s="39">
        <v>10.210000000000001</v>
      </c>
      <c r="BD81" s="39">
        <v>10.29</v>
      </c>
      <c r="BE81" s="39">
        <v>10.37</v>
      </c>
      <c r="BF81" s="39">
        <v>10.45</v>
      </c>
      <c r="BG81" s="39">
        <v>10.53</v>
      </c>
      <c r="BH81" s="39">
        <v>10.61</v>
      </c>
      <c r="BI81" s="39">
        <v>10.69</v>
      </c>
      <c r="BJ81" s="39">
        <v>10.76</v>
      </c>
      <c r="BK81" s="39">
        <v>10.84</v>
      </c>
      <c r="BL81" s="39">
        <v>10.92</v>
      </c>
      <c r="BM81" s="39">
        <v>11</v>
      </c>
      <c r="BN81" s="39">
        <v>11.08</v>
      </c>
      <c r="BO81" s="39">
        <v>11.16</v>
      </c>
      <c r="BP81" s="39">
        <v>11.24</v>
      </c>
      <c r="BQ81" s="39">
        <v>11.31</v>
      </c>
      <c r="BR81" s="39">
        <v>11.39</v>
      </c>
      <c r="BS81" s="39">
        <v>11.47</v>
      </c>
      <c r="BT81" s="40">
        <v>11.55</v>
      </c>
      <c r="BU81" s="39">
        <v>11.63</v>
      </c>
      <c r="BV81" s="39">
        <v>11.71</v>
      </c>
      <c r="BW81" s="39">
        <v>11.78</v>
      </c>
      <c r="BX81" s="39">
        <v>11.86</v>
      </c>
      <c r="BY81" s="39">
        <v>11.94</v>
      </c>
      <c r="BZ81" s="39">
        <v>12.02</v>
      </c>
      <c r="CA81" s="39">
        <v>12.1</v>
      </c>
      <c r="CB81" s="39">
        <v>12.17</v>
      </c>
      <c r="CC81" s="39">
        <v>12.25</v>
      </c>
      <c r="CD81" s="39">
        <v>12.33</v>
      </c>
      <c r="CE81" s="39">
        <v>12.41</v>
      </c>
      <c r="CF81" s="39">
        <v>12.48</v>
      </c>
      <c r="CG81" s="39">
        <v>12.56</v>
      </c>
      <c r="CH81" s="39">
        <v>12.64</v>
      </c>
      <c r="CI81" s="39">
        <v>12.71</v>
      </c>
      <c r="CJ81" s="39">
        <v>12.79</v>
      </c>
      <c r="CK81" s="39">
        <v>12.87</v>
      </c>
      <c r="CL81" s="39">
        <v>12.94</v>
      </c>
      <c r="CM81" s="39">
        <v>13.02</v>
      </c>
      <c r="CN81" s="39">
        <v>13.1</v>
      </c>
      <c r="CO81" s="39">
        <v>13.17</v>
      </c>
      <c r="CP81" s="39">
        <v>13.25</v>
      </c>
      <c r="CQ81" s="39">
        <v>13.32</v>
      </c>
      <c r="CR81" s="39">
        <v>13.4</v>
      </c>
      <c r="CS81" s="39">
        <v>13.47</v>
      </c>
      <c r="CT81" s="39">
        <v>13.55</v>
      </c>
      <c r="CU81" s="39">
        <v>13.62</v>
      </c>
      <c r="CV81" s="39">
        <v>13.7</v>
      </c>
      <c r="CW81" s="39">
        <v>13.77</v>
      </c>
      <c r="CX81" s="39">
        <v>13.84</v>
      </c>
      <c r="CY81" s="39">
        <v>13.92</v>
      </c>
      <c r="CZ81" s="39">
        <v>13.99</v>
      </c>
      <c r="DA81" s="39">
        <v>14.07</v>
      </c>
      <c r="DB81" s="39">
        <v>14.14</v>
      </c>
      <c r="DC81" s="39">
        <v>14.21</v>
      </c>
      <c r="DD81" s="39">
        <v>14.28</v>
      </c>
      <c r="DE81" s="39">
        <v>14.36</v>
      </c>
      <c r="DF81" s="39">
        <v>14.43</v>
      </c>
      <c r="DG81" s="39">
        <v>14.5</v>
      </c>
      <c r="DH81" s="39">
        <v>14.57</v>
      </c>
      <c r="DI81" s="39">
        <v>14.64</v>
      </c>
      <c r="DJ81" s="39">
        <v>14.71</v>
      </c>
      <c r="DK81" s="39">
        <v>14.78</v>
      </c>
      <c r="DL81" s="39">
        <v>14.86</v>
      </c>
      <c r="DM81" s="39">
        <v>14.93</v>
      </c>
      <c r="DN81" s="39">
        <v>15</v>
      </c>
      <c r="DO81" s="39">
        <v>15.07</v>
      </c>
      <c r="DP81" s="39">
        <v>15.13</v>
      </c>
      <c r="DQ81" s="39">
        <v>15.2</v>
      </c>
      <c r="DR81" s="39">
        <v>15.27</v>
      </c>
    </row>
    <row r="82" spans="1:122">
      <c r="A82" s="37">
        <v>80</v>
      </c>
      <c r="B82" s="38"/>
      <c r="C82" s="38"/>
      <c r="D82" s="38"/>
      <c r="E82" s="38"/>
      <c r="F82" s="38"/>
      <c r="G82" s="38"/>
      <c r="H82" s="38"/>
      <c r="I82" s="38"/>
      <c r="J82" s="38"/>
      <c r="K82" s="38"/>
      <c r="L82" s="38"/>
      <c r="M82" s="38"/>
      <c r="N82" s="38"/>
      <c r="O82" s="38"/>
      <c r="P82" s="38"/>
      <c r="Q82" s="38"/>
      <c r="R82" s="38"/>
      <c r="S82" s="38"/>
      <c r="T82" s="38"/>
      <c r="U82" s="38"/>
      <c r="V82" s="39"/>
      <c r="W82" s="39">
        <v>7.38</v>
      </c>
      <c r="X82" s="39">
        <v>7.43</v>
      </c>
      <c r="Y82" s="39">
        <v>7.51</v>
      </c>
      <c r="Z82" s="39">
        <v>7.62</v>
      </c>
      <c r="AA82" s="39">
        <v>7.65</v>
      </c>
      <c r="AB82" s="39">
        <v>7.71</v>
      </c>
      <c r="AC82" s="39">
        <v>7.71</v>
      </c>
      <c r="AD82" s="39">
        <v>7.72</v>
      </c>
      <c r="AE82" s="39">
        <v>7.78</v>
      </c>
      <c r="AF82" s="39">
        <v>7.86</v>
      </c>
      <c r="AG82" s="39">
        <v>7.94</v>
      </c>
      <c r="AH82" s="39">
        <v>8.01</v>
      </c>
      <c r="AI82" s="39">
        <v>8.1199999999999992</v>
      </c>
      <c r="AJ82" s="39">
        <v>8.1999999999999993</v>
      </c>
      <c r="AK82" s="39">
        <v>8.2799999999999994</v>
      </c>
      <c r="AL82" s="39">
        <v>8.3699999999999992</v>
      </c>
      <c r="AM82" s="39">
        <v>8.4499999999999993</v>
      </c>
      <c r="AN82" s="39">
        <v>8.5299999999999994</v>
      </c>
      <c r="AO82" s="39">
        <v>8.6</v>
      </c>
      <c r="AP82" s="39">
        <v>8.66</v>
      </c>
      <c r="AQ82" s="39">
        <v>8.73</v>
      </c>
      <c r="AR82" s="39">
        <v>8.8000000000000007</v>
      </c>
      <c r="AS82" s="39">
        <v>8.8800000000000008</v>
      </c>
      <c r="AT82" s="39">
        <v>8.9499999999999993</v>
      </c>
      <c r="AU82" s="39">
        <v>9.02</v>
      </c>
      <c r="AV82" s="39">
        <v>9.09</v>
      </c>
      <c r="AW82" s="39">
        <v>9.16</v>
      </c>
      <c r="AX82" s="39">
        <v>9.24</v>
      </c>
      <c r="AY82" s="39">
        <v>9.31</v>
      </c>
      <c r="AZ82" s="39">
        <v>9.3800000000000008</v>
      </c>
      <c r="BA82" s="39">
        <v>9.4600000000000009</v>
      </c>
      <c r="BB82" s="39">
        <v>9.5299999999999994</v>
      </c>
      <c r="BC82" s="39">
        <v>9.61</v>
      </c>
      <c r="BD82" s="39">
        <v>9.68</v>
      </c>
      <c r="BE82" s="39">
        <v>9.76</v>
      </c>
      <c r="BF82" s="39">
        <v>9.83</v>
      </c>
      <c r="BG82" s="39">
        <v>9.91</v>
      </c>
      <c r="BH82" s="39">
        <v>9.98</v>
      </c>
      <c r="BI82" s="39">
        <v>10.06</v>
      </c>
      <c r="BJ82" s="39">
        <v>10.130000000000001</v>
      </c>
      <c r="BK82" s="39">
        <v>10.210000000000001</v>
      </c>
      <c r="BL82" s="39">
        <v>10.28</v>
      </c>
      <c r="BM82" s="39">
        <v>10.36</v>
      </c>
      <c r="BN82" s="39">
        <v>10.43</v>
      </c>
      <c r="BO82" s="39">
        <v>10.51</v>
      </c>
      <c r="BP82" s="39">
        <v>10.58</v>
      </c>
      <c r="BQ82" s="39">
        <v>10.66</v>
      </c>
      <c r="BR82" s="39">
        <v>10.73</v>
      </c>
      <c r="BS82" s="39">
        <v>10.81</v>
      </c>
      <c r="BT82" s="40">
        <v>10.88</v>
      </c>
      <c r="BU82" s="39">
        <v>10.96</v>
      </c>
      <c r="BV82" s="39">
        <v>11.03</v>
      </c>
      <c r="BW82" s="39">
        <v>11.11</v>
      </c>
      <c r="BX82" s="39">
        <v>11.18</v>
      </c>
      <c r="BY82" s="39">
        <v>11.26</v>
      </c>
      <c r="BZ82" s="39">
        <v>11.33</v>
      </c>
      <c r="CA82" s="39">
        <v>11.41</v>
      </c>
      <c r="CB82" s="39">
        <v>11.48</v>
      </c>
      <c r="CC82" s="39">
        <v>11.55</v>
      </c>
      <c r="CD82" s="39">
        <v>11.63</v>
      </c>
      <c r="CE82" s="39">
        <v>11.7</v>
      </c>
      <c r="CF82" s="39">
        <v>11.78</v>
      </c>
      <c r="CG82" s="39">
        <v>11.85</v>
      </c>
      <c r="CH82" s="39">
        <v>11.92</v>
      </c>
      <c r="CI82" s="39">
        <v>12</v>
      </c>
      <c r="CJ82" s="39">
        <v>12.07</v>
      </c>
      <c r="CK82" s="39">
        <v>12.14</v>
      </c>
      <c r="CL82" s="39">
        <v>12.22</v>
      </c>
      <c r="CM82" s="39">
        <v>12.29</v>
      </c>
      <c r="CN82" s="39">
        <v>12.36</v>
      </c>
      <c r="CO82" s="39">
        <v>12.44</v>
      </c>
      <c r="CP82" s="39">
        <v>12.51</v>
      </c>
      <c r="CQ82" s="39">
        <v>12.58</v>
      </c>
      <c r="CR82" s="39">
        <v>12.65</v>
      </c>
      <c r="CS82" s="39">
        <v>12.73</v>
      </c>
      <c r="CT82" s="39">
        <v>12.8</v>
      </c>
      <c r="CU82" s="39">
        <v>12.87</v>
      </c>
      <c r="CV82" s="39">
        <v>12.94</v>
      </c>
      <c r="CW82" s="39">
        <v>13.01</v>
      </c>
      <c r="CX82" s="39">
        <v>13.08</v>
      </c>
      <c r="CY82" s="39">
        <v>13.16</v>
      </c>
      <c r="CZ82" s="39">
        <v>13.23</v>
      </c>
      <c r="DA82" s="39">
        <v>13.3</v>
      </c>
      <c r="DB82" s="39">
        <v>13.37</v>
      </c>
      <c r="DC82" s="39">
        <v>13.44</v>
      </c>
      <c r="DD82" s="39">
        <v>13.51</v>
      </c>
      <c r="DE82" s="39">
        <v>13.58</v>
      </c>
      <c r="DF82" s="39">
        <v>13.65</v>
      </c>
      <c r="DG82" s="39">
        <v>13.72</v>
      </c>
      <c r="DH82" s="39">
        <v>13.79</v>
      </c>
      <c r="DI82" s="39">
        <v>13.85</v>
      </c>
      <c r="DJ82" s="39">
        <v>13.92</v>
      </c>
      <c r="DK82" s="39">
        <v>13.99</v>
      </c>
      <c r="DL82" s="39">
        <v>14.06</v>
      </c>
      <c r="DM82" s="39">
        <v>14.13</v>
      </c>
      <c r="DN82" s="39">
        <v>14.19</v>
      </c>
      <c r="DO82" s="39">
        <v>14.26</v>
      </c>
      <c r="DP82" s="39">
        <v>14.33</v>
      </c>
      <c r="DQ82" s="39">
        <v>14.39</v>
      </c>
      <c r="DR82" s="39">
        <v>14.46</v>
      </c>
    </row>
    <row r="83" spans="1:122">
      <c r="A83" s="37">
        <v>81</v>
      </c>
      <c r="B83" s="38"/>
      <c r="C83" s="38"/>
      <c r="D83" s="38"/>
      <c r="E83" s="38"/>
      <c r="F83" s="38"/>
      <c r="G83" s="38"/>
      <c r="H83" s="38"/>
      <c r="I83" s="38"/>
      <c r="J83" s="38"/>
      <c r="K83" s="38"/>
      <c r="L83" s="38"/>
      <c r="M83" s="38"/>
      <c r="N83" s="38"/>
      <c r="O83" s="38"/>
      <c r="P83" s="38"/>
      <c r="Q83" s="38"/>
      <c r="R83" s="38"/>
      <c r="S83" s="38"/>
      <c r="T83" s="38"/>
      <c r="U83" s="38"/>
      <c r="V83" s="39"/>
      <c r="W83" s="39">
        <v>6.95</v>
      </c>
      <c r="X83" s="39">
        <v>7.01</v>
      </c>
      <c r="Y83" s="39">
        <v>7.07</v>
      </c>
      <c r="Z83" s="39">
        <v>7.16</v>
      </c>
      <c r="AA83" s="39">
        <v>7.17</v>
      </c>
      <c r="AB83" s="39">
        <v>7.23</v>
      </c>
      <c r="AC83" s="39">
        <v>7.24</v>
      </c>
      <c r="AD83" s="39">
        <v>7.25</v>
      </c>
      <c r="AE83" s="39">
        <v>7.29</v>
      </c>
      <c r="AF83" s="39">
        <v>7.37</v>
      </c>
      <c r="AG83" s="39">
        <v>7.45</v>
      </c>
      <c r="AH83" s="39">
        <v>7.51</v>
      </c>
      <c r="AI83" s="39">
        <v>7.6</v>
      </c>
      <c r="AJ83" s="39">
        <v>7.69</v>
      </c>
      <c r="AK83" s="39">
        <v>7.76</v>
      </c>
      <c r="AL83" s="39">
        <v>7.85</v>
      </c>
      <c r="AM83" s="39">
        <v>7.92</v>
      </c>
      <c r="AN83" s="39">
        <v>7.99</v>
      </c>
      <c r="AO83" s="39">
        <v>8.0500000000000007</v>
      </c>
      <c r="AP83" s="39">
        <v>8.1199999999999992</v>
      </c>
      <c r="AQ83" s="39">
        <v>8.19</v>
      </c>
      <c r="AR83" s="39">
        <v>8.25</v>
      </c>
      <c r="AS83" s="39">
        <v>8.32</v>
      </c>
      <c r="AT83" s="39">
        <v>8.39</v>
      </c>
      <c r="AU83" s="39">
        <v>8.4600000000000009</v>
      </c>
      <c r="AV83" s="39">
        <v>8.52</v>
      </c>
      <c r="AW83" s="39">
        <v>8.59</v>
      </c>
      <c r="AX83" s="39">
        <v>8.66</v>
      </c>
      <c r="AY83" s="39">
        <v>8.73</v>
      </c>
      <c r="AZ83" s="39">
        <v>8.81</v>
      </c>
      <c r="BA83" s="39">
        <v>8.8800000000000008</v>
      </c>
      <c r="BB83" s="39">
        <v>8.9499999999999993</v>
      </c>
      <c r="BC83" s="39">
        <v>9.02</v>
      </c>
      <c r="BD83" s="39">
        <v>9.09</v>
      </c>
      <c r="BE83" s="39">
        <v>9.16</v>
      </c>
      <c r="BF83" s="39">
        <v>9.23</v>
      </c>
      <c r="BG83" s="39">
        <v>9.3000000000000007</v>
      </c>
      <c r="BH83" s="39">
        <v>9.3699999999999992</v>
      </c>
      <c r="BI83" s="39">
        <v>9.4499999999999993</v>
      </c>
      <c r="BJ83" s="39">
        <v>9.52</v>
      </c>
      <c r="BK83" s="39">
        <v>9.59</v>
      </c>
      <c r="BL83" s="39">
        <v>9.66</v>
      </c>
      <c r="BM83" s="39">
        <v>9.73</v>
      </c>
      <c r="BN83" s="39">
        <v>9.8000000000000007</v>
      </c>
      <c r="BO83" s="39">
        <v>9.8699999999999992</v>
      </c>
      <c r="BP83" s="39">
        <v>9.9499999999999993</v>
      </c>
      <c r="BQ83" s="39">
        <v>10.02</v>
      </c>
      <c r="BR83" s="39">
        <v>10.09</v>
      </c>
      <c r="BS83" s="39">
        <v>10.16</v>
      </c>
      <c r="BT83" s="40">
        <v>10.23</v>
      </c>
      <c r="BU83" s="39">
        <v>10.3</v>
      </c>
      <c r="BV83" s="39">
        <v>10.37</v>
      </c>
      <c r="BW83" s="39">
        <v>10.45</v>
      </c>
      <c r="BX83" s="39">
        <v>10.52</v>
      </c>
      <c r="BY83" s="39">
        <v>10.59</v>
      </c>
      <c r="BZ83" s="39">
        <v>10.66</v>
      </c>
      <c r="CA83" s="39">
        <v>10.73</v>
      </c>
      <c r="CB83" s="39">
        <v>10.8</v>
      </c>
      <c r="CC83" s="39">
        <v>10.87</v>
      </c>
      <c r="CD83" s="39">
        <v>10.94</v>
      </c>
      <c r="CE83" s="39">
        <v>11.02</v>
      </c>
      <c r="CF83" s="39">
        <v>11.09</v>
      </c>
      <c r="CG83" s="39">
        <v>11.16</v>
      </c>
      <c r="CH83" s="39">
        <v>11.23</v>
      </c>
      <c r="CI83" s="39">
        <v>11.3</v>
      </c>
      <c r="CJ83" s="39">
        <v>11.37</v>
      </c>
      <c r="CK83" s="39">
        <v>11.44</v>
      </c>
      <c r="CL83" s="39">
        <v>11.51</v>
      </c>
      <c r="CM83" s="39">
        <v>11.58</v>
      </c>
      <c r="CN83" s="39">
        <v>11.65</v>
      </c>
      <c r="CO83" s="39">
        <v>11.72</v>
      </c>
      <c r="CP83" s="39">
        <v>11.79</v>
      </c>
      <c r="CQ83" s="39">
        <v>11.86</v>
      </c>
      <c r="CR83" s="39">
        <v>11.93</v>
      </c>
      <c r="CS83" s="39">
        <v>12</v>
      </c>
      <c r="CT83" s="39">
        <v>12.07</v>
      </c>
      <c r="CU83" s="39">
        <v>12.13</v>
      </c>
      <c r="CV83" s="39">
        <v>12.2</v>
      </c>
      <c r="CW83" s="39">
        <v>12.27</v>
      </c>
      <c r="CX83" s="39">
        <v>12.34</v>
      </c>
      <c r="CY83" s="39">
        <v>12.41</v>
      </c>
      <c r="CZ83" s="39">
        <v>12.48</v>
      </c>
      <c r="DA83" s="39">
        <v>12.54</v>
      </c>
      <c r="DB83" s="39">
        <v>12.61</v>
      </c>
      <c r="DC83" s="39">
        <v>12.68</v>
      </c>
      <c r="DD83" s="39">
        <v>12.75</v>
      </c>
      <c r="DE83" s="39">
        <v>12.81</v>
      </c>
      <c r="DF83" s="39">
        <v>12.88</v>
      </c>
      <c r="DG83" s="39">
        <v>12.95</v>
      </c>
      <c r="DH83" s="39">
        <v>13.01</v>
      </c>
      <c r="DI83" s="39">
        <v>13.08</v>
      </c>
      <c r="DJ83" s="39">
        <v>13.14</v>
      </c>
      <c r="DK83" s="39">
        <v>13.21</v>
      </c>
      <c r="DL83" s="39">
        <v>13.28</v>
      </c>
      <c r="DM83" s="39">
        <v>13.34</v>
      </c>
      <c r="DN83" s="39">
        <v>13.41</v>
      </c>
      <c r="DO83" s="39">
        <v>13.47</v>
      </c>
      <c r="DP83" s="39">
        <v>13.54</v>
      </c>
      <c r="DQ83" s="39">
        <v>13.6</v>
      </c>
      <c r="DR83" s="39">
        <v>13.66</v>
      </c>
    </row>
    <row r="84" spans="1:122">
      <c r="A84" s="37">
        <v>82</v>
      </c>
      <c r="B84" s="38"/>
      <c r="C84" s="38"/>
      <c r="D84" s="38"/>
      <c r="E84" s="38"/>
      <c r="F84" s="38"/>
      <c r="G84" s="38"/>
      <c r="H84" s="38"/>
      <c r="I84" s="38"/>
      <c r="J84" s="38"/>
      <c r="K84" s="38"/>
      <c r="L84" s="38"/>
      <c r="M84" s="38"/>
      <c r="N84" s="38"/>
      <c r="O84" s="38"/>
      <c r="P84" s="38"/>
      <c r="Q84" s="38"/>
      <c r="R84" s="38"/>
      <c r="S84" s="38"/>
      <c r="T84" s="38"/>
      <c r="U84" s="38"/>
      <c r="V84" s="39"/>
      <c r="W84" s="39">
        <v>6.54</v>
      </c>
      <c r="X84" s="39">
        <v>6.58</v>
      </c>
      <c r="Y84" s="39">
        <v>6.64</v>
      </c>
      <c r="Z84" s="39">
        <v>6.71</v>
      </c>
      <c r="AA84" s="39">
        <v>6.71</v>
      </c>
      <c r="AB84" s="39">
        <v>6.77</v>
      </c>
      <c r="AC84" s="39">
        <v>6.79</v>
      </c>
      <c r="AD84" s="39">
        <v>6.79</v>
      </c>
      <c r="AE84" s="39">
        <v>6.83</v>
      </c>
      <c r="AF84" s="39">
        <v>6.89</v>
      </c>
      <c r="AG84" s="39">
        <v>6.99</v>
      </c>
      <c r="AH84" s="39">
        <v>7.03</v>
      </c>
      <c r="AI84" s="39">
        <v>7.13</v>
      </c>
      <c r="AJ84" s="39">
        <v>7.2</v>
      </c>
      <c r="AK84" s="39">
        <v>7.28</v>
      </c>
      <c r="AL84" s="39">
        <v>7.35</v>
      </c>
      <c r="AM84" s="39">
        <v>7.41</v>
      </c>
      <c r="AN84" s="39">
        <v>7.47</v>
      </c>
      <c r="AO84" s="39">
        <v>7.53</v>
      </c>
      <c r="AP84" s="39">
        <v>7.59</v>
      </c>
      <c r="AQ84" s="39">
        <v>7.66</v>
      </c>
      <c r="AR84" s="39">
        <v>7.72</v>
      </c>
      <c r="AS84" s="39">
        <v>7.78</v>
      </c>
      <c r="AT84" s="39">
        <v>7.85</v>
      </c>
      <c r="AU84" s="39">
        <v>7.91</v>
      </c>
      <c r="AV84" s="39">
        <v>7.98</v>
      </c>
      <c r="AW84" s="39">
        <v>8.0399999999999991</v>
      </c>
      <c r="AX84" s="39">
        <v>8.11</v>
      </c>
      <c r="AY84" s="39">
        <v>8.18</v>
      </c>
      <c r="AZ84" s="39">
        <v>8.24</v>
      </c>
      <c r="BA84" s="39">
        <v>8.31</v>
      </c>
      <c r="BB84" s="39">
        <v>8.3800000000000008</v>
      </c>
      <c r="BC84" s="39">
        <v>8.4499999999999993</v>
      </c>
      <c r="BD84" s="39">
        <v>8.51</v>
      </c>
      <c r="BE84" s="39">
        <v>8.58</v>
      </c>
      <c r="BF84" s="39">
        <v>8.65</v>
      </c>
      <c r="BG84" s="39">
        <v>8.7200000000000006</v>
      </c>
      <c r="BH84" s="39">
        <v>8.7799999999999994</v>
      </c>
      <c r="BI84" s="39">
        <v>8.85</v>
      </c>
      <c r="BJ84" s="39">
        <v>8.92</v>
      </c>
      <c r="BK84" s="39">
        <v>8.99</v>
      </c>
      <c r="BL84" s="39">
        <v>9.06</v>
      </c>
      <c r="BM84" s="39">
        <v>9.1199999999999992</v>
      </c>
      <c r="BN84" s="39">
        <v>9.19</v>
      </c>
      <c r="BO84" s="39">
        <v>9.26</v>
      </c>
      <c r="BP84" s="39">
        <v>9.33</v>
      </c>
      <c r="BQ84" s="39">
        <v>9.4</v>
      </c>
      <c r="BR84" s="39">
        <v>9.4600000000000009</v>
      </c>
      <c r="BS84" s="39">
        <v>9.5299999999999994</v>
      </c>
      <c r="BT84" s="40">
        <v>9.6</v>
      </c>
      <c r="BU84" s="39">
        <v>9.67</v>
      </c>
      <c r="BV84" s="39">
        <v>9.74</v>
      </c>
      <c r="BW84" s="39">
        <v>9.8000000000000007</v>
      </c>
      <c r="BX84" s="39">
        <v>9.8699999999999992</v>
      </c>
      <c r="BY84" s="39">
        <v>9.94</v>
      </c>
      <c r="BZ84" s="39">
        <v>10.01</v>
      </c>
      <c r="CA84" s="39">
        <v>10.08</v>
      </c>
      <c r="CB84" s="39">
        <v>10.14</v>
      </c>
      <c r="CC84" s="39">
        <v>10.210000000000001</v>
      </c>
      <c r="CD84" s="39">
        <v>10.28</v>
      </c>
      <c r="CE84" s="39">
        <v>10.35</v>
      </c>
      <c r="CF84" s="39">
        <v>10.41</v>
      </c>
      <c r="CG84" s="39">
        <v>10.48</v>
      </c>
      <c r="CH84" s="39">
        <v>10.55</v>
      </c>
      <c r="CI84" s="39">
        <v>10.62</v>
      </c>
      <c r="CJ84" s="39">
        <v>10.68</v>
      </c>
      <c r="CK84" s="39">
        <v>10.75</v>
      </c>
      <c r="CL84" s="39">
        <v>10.82</v>
      </c>
      <c r="CM84" s="39">
        <v>10.88</v>
      </c>
      <c r="CN84" s="39">
        <v>10.95</v>
      </c>
      <c r="CO84" s="39">
        <v>11.02</v>
      </c>
      <c r="CP84" s="39">
        <v>11.08</v>
      </c>
      <c r="CQ84" s="39">
        <v>11.15</v>
      </c>
      <c r="CR84" s="39">
        <v>11.22</v>
      </c>
      <c r="CS84" s="39">
        <v>11.28</v>
      </c>
      <c r="CT84" s="39">
        <v>11.35</v>
      </c>
      <c r="CU84" s="39">
        <v>11.42</v>
      </c>
      <c r="CV84" s="39">
        <v>11.48</v>
      </c>
      <c r="CW84" s="39">
        <v>11.55</v>
      </c>
      <c r="CX84" s="39">
        <v>11.61</v>
      </c>
      <c r="CY84" s="39">
        <v>11.68</v>
      </c>
      <c r="CZ84" s="39">
        <v>11.74</v>
      </c>
      <c r="DA84" s="39">
        <v>11.81</v>
      </c>
      <c r="DB84" s="39">
        <v>11.87</v>
      </c>
      <c r="DC84" s="39">
        <v>11.94</v>
      </c>
      <c r="DD84" s="39">
        <v>12</v>
      </c>
      <c r="DE84" s="39">
        <v>12.07</v>
      </c>
      <c r="DF84" s="39">
        <v>12.13</v>
      </c>
      <c r="DG84" s="39">
        <v>12.19</v>
      </c>
      <c r="DH84" s="39">
        <v>12.26</v>
      </c>
      <c r="DI84" s="39">
        <v>12.32</v>
      </c>
      <c r="DJ84" s="39">
        <v>12.38</v>
      </c>
      <c r="DK84" s="39">
        <v>12.45</v>
      </c>
      <c r="DL84" s="39">
        <v>12.51</v>
      </c>
      <c r="DM84" s="39">
        <v>12.57</v>
      </c>
      <c r="DN84" s="39">
        <v>12.63</v>
      </c>
      <c r="DO84" s="39">
        <v>12.7</v>
      </c>
      <c r="DP84" s="39">
        <v>12.76</v>
      </c>
      <c r="DQ84" s="39">
        <v>12.82</v>
      </c>
      <c r="DR84" s="39">
        <v>12.88</v>
      </c>
    </row>
    <row r="85" spans="1:122">
      <c r="A85" s="37">
        <v>83</v>
      </c>
      <c r="B85" s="38"/>
      <c r="C85" s="38"/>
      <c r="D85" s="38"/>
      <c r="E85" s="38"/>
      <c r="F85" s="38"/>
      <c r="G85" s="38"/>
      <c r="H85" s="38"/>
      <c r="I85" s="38"/>
      <c r="J85" s="38"/>
      <c r="K85" s="38"/>
      <c r="L85" s="38"/>
      <c r="M85" s="38"/>
      <c r="N85" s="38"/>
      <c r="O85" s="38"/>
      <c r="P85" s="38"/>
      <c r="Q85" s="38"/>
      <c r="R85" s="38"/>
      <c r="S85" s="38"/>
      <c r="T85" s="38"/>
      <c r="U85" s="38"/>
      <c r="V85" s="39"/>
      <c r="W85" s="39">
        <v>6.13</v>
      </c>
      <c r="X85" s="39">
        <v>6.17</v>
      </c>
      <c r="Y85" s="39">
        <v>6.21</v>
      </c>
      <c r="Z85" s="39">
        <v>6.26</v>
      </c>
      <c r="AA85" s="39">
        <v>6.28</v>
      </c>
      <c r="AB85" s="39">
        <v>6.34</v>
      </c>
      <c r="AC85" s="39">
        <v>6.33</v>
      </c>
      <c r="AD85" s="39">
        <v>6.34</v>
      </c>
      <c r="AE85" s="39">
        <v>6.38</v>
      </c>
      <c r="AF85" s="39">
        <v>6.46</v>
      </c>
      <c r="AG85" s="39">
        <v>6.53</v>
      </c>
      <c r="AH85" s="39">
        <v>6.57</v>
      </c>
      <c r="AI85" s="39">
        <v>6.66</v>
      </c>
      <c r="AJ85" s="39">
        <v>6.73</v>
      </c>
      <c r="AK85" s="39">
        <v>6.8</v>
      </c>
      <c r="AL85" s="39">
        <v>6.86</v>
      </c>
      <c r="AM85" s="39">
        <v>6.91</v>
      </c>
      <c r="AN85" s="39">
        <v>6.97</v>
      </c>
      <c r="AO85" s="39">
        <v>7.03</v>
      </c>
      <c r="AP85" s="39">
        <v>7.09</v>
      </c>
      <c r="AQ85" s="39">
        <v>7.15</v>
      </c>
      <c r="AR85" s="39">
        <v>7.21</v>
      </c>
      <c r="AS85" s="39">
        <v>7.27</v>
      </c>
      <c r="AT85" s="39">
        <v>7.33</v>
      </c>
      <c r="AU85" s="39">
        <v>7.39</v>
      </c>
      <c r="AV85" s="39">
        <v>7.45</v>
      </c>
      <c r="AW85" s="39">
        <v>7.51</v>
      </c>
      <c r="AX85" s="39">
        <v>7.58</v>
      </c>
      <c r="AY85" s="39">
        <v>7.64</v>
      </c>
      <c r="AZ85" s="39">
        <v>7.7</v>
      </c>
      <c r="BA85" s="39">
        <v>7.77</v>
      </c>
      <c r="BB85" s="39">
        <v>7.83</v>
      </c>
      <c r="BC85" s="39">
        <v>7.89</v>
      </c>
      <c r="BD85" s="39">
        <v>7.96</v>
      </c>
      <c r="BE85" s="39">
        <v>8.02</v>
      </c>
      <c r="BF85" s="39">
        <v>8.09</v>
      </c>
      <c r="BG85" s="39">
        <v>8.15</v>
      </c>
      <c r="BH85" s="39">
        <v>8.2100000000000009</v>
      </c>
      <c r="BI85" s="39">
        <v>8.2799999999999994</v>
      </c>
      <c r="BJ85" s="39">
        <v>8.34</v>
      </c>
      <c r="BK85" s="39">
        <v>8.41</v>
      </c>
      <c r="BL85" s="39">
        <v>8.4700000000000006</v>
      </c>
      <c r="BM85" s="39">
        <v>8.5399999999999991</v>
      </c>
      <c r="BN85" s="39">
        <v>8.6</v>
      </c>
      <c r="BO85" s="39">
        <v>8.67</v>
      </c>
      <c r="BP85" s="39">
        <v>8.73</v>
      </c>
      <c r="BQ85" s="39">
        <v>8.7899999999999991</v>
      </c>
      <c r="BR85" s="39">
        <v>8.86</v>
      </c>
      <c r="BS85" s="39">
        <v>8.92</v>
      </c>
      <c r="BT85" s="40">
        <v>8.99</v>
      </c>
      <c r="BU85" s="39">
        <v>9.0500000000000007</v>
      </c>
      <c r="BV85" s="39">
        <v>9.1199999999999992</v>
      </c>
      <c r="BW85" s="39">
        <v>9.18</v>
      </c>
      <c r="BX85" s="39">
        <v>9.25</v>
      </c>
      <c r="BY85" s="39">
        <v>9.31</v>
      </c>
      <c r="BZ85" s="39">
        <v>9.3800000000000008</v>
      </c>
      <c r="CA85" s="39">
        <v>9.44</v>
      </c>
      <c r="CB85" s="39">
        <v>9.5</v>
      </c>
      <c r="CC85" s="39">
        <v>9.57</v>
      </c>
      <c r="CD85" s="39">
        <v>9.6300000000000008</v>
      </c>
      <c r="CE85" s="39">
        <v>9.6999999999999993</v>
      </c>
      <c r="CF85" s="39">
        <v>9.76</v>
      </c>
      <c r="CG85" s="39">
        <v>9.83</v>
      </c>
      <c r="CH85" s="39">
        <v>9.89</v>
      </c>
      <c r="CI85" s="39">
        <v>9.9499999999999993</v>
      </c>
      <c r="CJ85" s="39">
        <v>10.02</v>
      </c>
      <c r="CK85" s="39">
        <v>10.08</v>
      </c>
      <c r="CL85" s="39">
        <v>10.15</v>
      </c>
      <c r="CM85" s="39">
        <v>10.210000000000001</v>
      </c>
      <c r="CN85" s="39">
        <v>10.27</v>
      </c>
      <c r="CO85" s="39">
        <v>10.34</v>
      </c>
      <c r="CP85" s="39">
        <v>10.4</v>
      </c>
      <c r="CQ85" s="39">
        <v>10.46</v>
      </c>
      <c r="CR85" s="39">
        <v>10.53</v>
      </c>
      <c r="CS85" s="39">
        <v>10.59</v>
      </c>
      <c r="CT85" s="39">
        <v>10.65</v>
      </c>
      <c r="CU85" s="39">
        <v>10.72</v>
      </c>
      <c r="CV85" s="39">
        <v>10.78</v>
      </c>
      <c r="CW85" s="39">
        <v>10.84</v>
      </c>
      <c r="CX85" s="39">
        <v>10.9</v>
      </c>
      <c r="CY85" s="39">
        <v>10.97</v>
      </c>
      <c r="CZ85" s="39">
        <v>11.03</v>
      </c>
      <c r="DA85" s="39">
        <v>11.09</v>
      </c>
      <c r="DB85" s="39">
        <v>11.15</v>
      </c>
      <c r="DC85" s="39">
        <v>11.21</v>
      </c>
      <c r="DD85" s="39">
        <v>11.28</v>
      </c>
      <c r="DE85" s="39">
        <v>11.34</v>
      </c>
      <c r="DF85" s="39">
        <v>11.4</v>
      </c>
      <c r="DG85" s="39">
        <v>11.46</v>
      </c>
      <c r="DH85" s="39">
        <v>11.52</v>
      </c>
      <c r="DI85" s="39">
        <v>11.58</v>
      </c>
      <c r="DJ85" s="39">
        <v>11.64</v>
      </c>
      <c r="DK85" s="39">
        <v>11.7</v>
      </c>
      <c r="DL85" s="39">
        <v>11.76</v>
      </c>
      <c r="DM85" s="39">
        <v>11.82</v>
      </c>
      <c r="DN85" s="39">
        <v>11.88</v>
      </c>
      <c r="DO85" s="39">
        <v>11.94</v>
      </c>
      <c r="DP85" s="39">
        <v>12</v>
      </c>
      <c r="DQ85" s="39">
        <v>12.06</v>
      </c>
      <c r="DR85" s="39">
        <v>12.12</v>
      </c>
    </row>
    <row r="86" spans="1:122">
      <c r="A86" s="37">
        <v>84</v>
      </c>
      <c r="B86" s="38"/>
      <c r="C86" s="38"/>
      <c r="D86" s="38"/>
      <c r="E86" s="38"/>
      <c r="F86" s="38"/>
      <c r="G86" s="38"/>
      <c r="H86" s="38"/>
      <c r="I86" s="38"/>
      <c r="J86" s="38"/>
      <c r="K86" s="38"/>
      <c r="L86" s="38"/>
      <c r="M86" s="38"/>
      <c r="N86" s="38"/>
      <c r="O86" s="38"/>
      <c r="P86" s="38"/>
      <c r="Q86" s="38"/>
      <c r="R86" s="38"/>
      <c r="S86" s="38"/>
      <c r="T86" s="38"/>
      <c r="U86" s="38"/>
      <c r="V86" s="39"/>
      <c r="W86" s="39">
        <v>5.74</v>
      </c>
      <c r="X86" s="39">
        <v>5.77</v>
      </c>
      <c r="Y86" s="39">
        <v>5.79</v>
      </c>
      <c r="Z86" s="39">
        <v>5.84</v>
      </c>
      <c r="AA86" s="39">
        <v>5.85</v>
      </c>
      <c r="AB86" s="39">
        <v>5.9</v>
      </c>
      <c r="AC86" s="39">
        <v>5.9</v>
      </c>
      <c r="AD86" s="39">
        <v>5.92</v>
      </c>
      <c r="AE86" s="39">
        <v>5.97</v>
      </c>
      <c r="AF86" s="39">
        <v>6.02</v>
      </c>
      <c r="AG86" s="39">
        <v>6.1</v>
      </c>
      <c r="AH86" s="39">
        <v>6.13</v>
      </c>
      <c r="AI86" s="39">
        <v>6.22</v>
      </c>
      <c r="AJ86" s="39">
        <v>6.28</v>
      </c>
      <c r="AK86" s="39">
        <v>6.34</v>
      </c>
      <c r="AL86" s="39">
        <v>6.39</v>
      </c>
      <c r="AM86" s="39">
        <v>6.44</v>
      </c>
      <c r="AN86" s="39">
        <v>6.5</v>
      </c>
      <c r="AO86" s="39">
        <v>6.55</v>
      </c>
      <c r="AP86" s="39">
        <v>6.61</v>
      </c>
      <c r="AQ86" s="39">
        <v>6.66</v>
      </c>
      <c r="AR86" s="39">
        <v>6.72</v>
      </c>
      <c r="AS86" s="39">
        <v>6.77</v>
      </c>
      <c r="AT86" s="39">
        <v>6.83</v>
      </c>
      <c r="AU86" s="39">
        <v>6.89</v>
      </c>
      <c r="AV86" s="39">
        <v>6.95</v>
      </c>
      <c r="AW86" s="39">
        <v>7.01</v>
      </c>
      <c r="AX86" s="39">
        <v>7.07</v>
      </c>
      <c r="AY86" s="39">
        <v>7.13</v>
      </c>
      <c r="AZ86" s="39">
        <v>7.19</v>
      </c>
      <c r="BA86" s="39">
        <v>7.25</v>
      </c>
      <c r="BB86" s="39">
        <v>7.31</v>
      </c>
      <c r="BC86" s="39">
        <v>7.37</v>
      </c>
      <c r="BD86" s="39">
        <v>7.43</v>
      </c>
      <c r="BE86" s="39">
        <v>7.49</v>
      </c>
      <c r="BF86" s="39">
        <v>7.55</v>
      </c>
      <c r="BG86" s="39">
        <v>7.61</v>
      </c>
      <c r="BH86" s="39">
        <v>7.67</v>
      </c>
      <c r="BI86" s="39">
        <v>7.73</v>
      </c>
      <c r="BJ86" s="39">
        <v>7.79</v>
      </c>
      <c r="BK86" s="39">
        <v>7.85</v>
      </c>
      <c r="BL86" s="39">
        <v>7.91</v>
      </c>
      <c r="BM86" s="39">
        <v>7.97</v>
      </c>
      <c r="BN86" s="39">
        <v>8.0299999999999994</v>
      </c>
      <c r="BO86" s="39">
        <v>8.1</v>
      </c>
      <c r="BP86" s="39">
        <v>8.16</v>
      </c>
      <c r="BQ86" s="39">
        <v>8.2200000000000006</v>
      </c>
      <c r="BR86" s="39">
        <v>8.2799999999999994</v>
      </c>
      <c r="BS86" s="39">
        <v>8.34</v>
      </c>
      <c r="BT86" s="40">
        <v>8.4</v>
      </c>
      <c r="BU86" s="39">
        <v>8.4600000000000009</v>
      </c>
      <c r="BV86" s="39">
        <v>8.52</v>
      </c>
      <c r="BW86" s="39">
        <v>8.58</v>
      </c>
      <c r="BX86" s="39">
        <v>8.65</v>
      </c>
      <c r="BY86" s="39">
        <v>8.7100000000000009</v>
      </c>
      <c r="BZ86" s="39">
        <v>8.77</v>
      </c>
      <c r="CA86" s="39">
        <v>8.83</v>
      </c>
      <c r="CB86" s="39">
        <v>8.89</v>
      </c>
      <c r="CC86" s="39">
        <v>8.9499999999999993</v>
      </c>
      <c r="CD86" s="39">
        <v>9.01</v>
      </c>
      <c r="CE86" s="39">
        <v>9.07</v>
      </c>
      <c r="CF86" s="39">
        <v>9.1300000000000008</v>
      </c>
      <c r="CG86" s="39">
        <v>9.19</v>
      </c>
      <c r="CH86" s="39">
        <v>9.26</v>
      </c>
      <c r="CI86" s="39">
        <v>9.32</v>
      </c>
      <c r="CJ86" s="39">
        <v>9.3800000000000008</v>
      </c>
      <c r="CK86" s="39">
        <v>9.44</v>
      </c>
      <c r="CL86" s="39">
        <v>9.5</v>
      </c>
      <c r="CM86" s="39">
        <v>9.56</v>
      </c>
      <c r="CN86" s="39">
        <v>9.6199999999999992</v>
      </c>
      <c r="CO86" s="39">
        <v>9.68</v>
      </c>
      <c r="CP86" s="39">
        <v>9.74</v>
      </c>
      <c r="CQ86" s="39">
        <v>9.8000000000000007</v>
      </c>
      <c r="CR86" s="39">
        <v>9.86</v>
      </c>
      <c r="CS86" s="39">
        <v>9.92</v>
      </c>
      <c r="CT86" s="39">
        <v>9.98</v>
      </c>
      <c r="CU86" s="39">
        <v>10.039999999999999</v>
      </c>
      <c r="CV86" s="39">
        <v>10.1</v>
      </c>
      <c r="CW86" s="39">
        <v>10.16</v>
      </c>
      <c r="CX86" s="39">
        <v>10.220000000000001</v>
      </c>
      <c r="CY86" s="39">
        <v>10.28</v>
      </c>
      <c r="CZ86" s="39">
        <v>10.34</v>
      </c>
      <c r="DA86" s="39">
        <v>10.4</v>
      </c>
      <c r="DB86" s="39">
        <v>10.45</v>
      </c>
      <c r="DC86" s="39">
        <v>10.51</v>
      </c>
      <c r="DD86" s="39">
        <v>10.57</v>
      </c>
      <c r="DE86" s="39">
        <v>10.63</v>
      </c>
      <c r="DF86" s="39">
        <v>10.69</v>
      </c>
      <c r="DG86" s="39">
        <v>10.75</v>
      </c>
      <c r="DH86" s="39">
        <v>10.8</v>
      </c>
      <c r="DI86" s="39">
        <v>10.86</v>
      </c>
      <c r="DJ86" s="39">
        <v>10.92</v>
      </c>
      <c r="DK86" s="39">
        <v>10.98</v>
      </c>
      <c r="DL86" s="39">
        <v>11.03</v>
      </c>
      <c r="DM86" s="39">
        <v>11.09</v>
      </c>
      <c r="DN86" s="39">
        <v>11.15</v>
      </c>
      <c r="DO86" s="39">
        <v>11.2</v>
      </c>
      <c r="DP86" s="39">
        <v>11.26</v>
      </c>
      <c r="DQ86" s="39">
        <v>11.32</v>
      </c>
      <c r="DR86" s="39">
        <v>11.37</v>
      </c>
    </row>
    <row r="87" spans="1:122">
      <c r="A87" s="37">
        <v>85</v>
      </c>
      <c r="B87" s="38"/>
      <c r="C87" s="38"/>
      <c r="D87" s="38"/>
      <c r="E87" s="38"/>
      <c r="F87" s="38"/>
      <c r="G87" s="38"/>
      <c r="H87" s="38"/>
      <c r="I87" s="38"/>
      <c r="J87" s="38"/>
      <c r="K87" s="38"/>
      <c r="L87" s="38"/>
      <c r="M87" s="38"/>
      <c r="N87" s="38"/>
      <c r="O87" s="38"/>
      <c r="P87" s="38"/>
      <c r="Q87" s="38"/>
      <c r="R87" s="38"/>
      <c r="S87" s="38"/>
      <c r="T87" s="38"/>
      <c r="U87" s="38"/>
      <c r="V87" s="39"/>
      <c r="W87" s="39">
        <v>5.36</v>
      </c>
      <c r="X87" s="39">
        <v>5.36</v>
      </c>
      <c r="Y87" s="39">
        <v>5.39</v>
      </c>
      <c r="Z87" s="39">
        <v>5.44</v>
      </c>
      <c r="AA87" s="39">
        <v>5.44</v>
      </c>
      <c r="AB87" s="39">
        <v>5.49</v>
      </c>
      <c r="AC87" s="39">
        <v>5.49</v>
      </c>
      <c r="AD87" s="39">
        <v>5.52</v>
      </c>
      <c r="AE87" s="39">
        <v>5.55</v>
      </c>
      <c r="AF87" s="39">
        <v>5.63</v>
      </c>
      <c r="AG87" s="39">
        <v>5.68</v>
      </c>
      <c r="AH87" s="39">
        <v>5.72</v>
      </c>
      <c r="AI87" s="39">
        <v>5.8</v>
      </c>
      <c r="AJ87" s="39">
        <v>5.85</v>
      </c>
      <c r="AK87" s="39">
        <v>5.9</v>
      </c>
      <c r="AL87" s="39">
        <v>5.94</v>
      </c>
      <c r="AM87" s="39">
        <v>6</v>
      </c>
      <c r="AN87" s="39">
        <v>6.05</v>
      </c>
      <c r="AO87" s="39">
        <v>6.1</v>
      </c>
      <c r="AP87" s="39">
        <v>6.15</v>
      </c>
      <c r="AQ87" s="39">
        <v>6.2</v>
      </c>
      <c r="AR87" s="39">
        <v>6.25</v>
      </c>
      <c r="AS87" s="39">
        <v>6.31</v>
      </c>
      <c r="AT87" s="39">
        <v>6.36</v>
      </c>
      <c r="AU87" s="39">
        <v>6.42</v>
      </c>
      <c r="AV87" s="39">
        <v>6.47</v>
      </c>
      <c r="AW87" s="39">
        <v>6.53</v>
      </c>
      <c r="AX87" s="39">
        <v>6.58</v>
      </c>
      <c r="AY87" s="39">
        <v>6.64</v>
      </c>
      <c r="AZ87" s="39">
        <v>6.7</v>
      </c>
      <c r="BA87" s="39">
        <v>6.75</v>
      </c>
      <c r="BB87" s="39">
        <v>6.81</v>
      </c>
      <c r="BC87" s="39">
        <v>6.87</v>
      </c>
      <c r="BD87" s="39">
        <v>6.92</v>
      </c>
      <c r="BE87" s="39">
        <v>6.98</v>
      </c>
      <c r="BF87" s="39">
        <v>7.04</v>
      </c>
      <c r="BG87" s="39">
        <v>7.09</v>
      </c>
      <c r="BH87" s="39">
        <v>7.15</v>
      </c>
      <c r="BI87" s="39">
        <v>7.21</v>
      </c>
      <c r="BJ87" s="39">
        <v>7.26</v>
      </c>
      <c r="BK87" s="39">
        <v>7.32</v>
      </c>
      <c r="BL87" s="39">
        <v>7.38</v>
      </c>
      <c r="BM87" s="39">
        <v>7.44</v>
      </c>
      <c r="BN87" s="39">
        <v>7.49</v>
      </c>
      <c r="BO87" s="39">
        <v>7.55</v>
      </c>
      <c r="BP87" s="39">
        <v>7.61</v>
      </c>
      <c r="BQ87" s="39">
        <v>7.67</v>
      </c>
      <c r="BR87" s="39">
        <v>7.72</v>
      </c>
      <c r="BS87" s="39">
        <v>7.78</v>
      </c>
      <c r="BT87" s="40">
        <v>7.84</v>
      </c>
      <c r="BU87" s="39">
        <v>7.9</v>
      </c>
      <c r="BV87" s="39">
        <v>7.95</v>
      </c>
      <c r="BW87" s="39">
        <v>8.01</v>
      </c>
      <c r="BX87" s="39">
        <v>8.07</v>
      </c>
      <c r="BY87" s="39">
        <v>8.1300000000000008</v>
      </c>
      <c r="BZ87" s="39">
        <v>8.18</v>
      </c>
      <c r="CA87" s="39">
        <v>8.24</v>
      </c>
      <c r="CB87" s="39">
        <v>8.3000000000000007</v>
      </c>
      <c r="CC87" s="39">
        <v>8.36</v>
      </c>
      <c r="CD87" s="39">
        <v>8.42</v>
      </c>
      <c r="CE87" s="39">
        <v>8.4700000000000006</v>
      </c>
      <c r="CF87" s="39">
        <v>8.5299999999999994</v>
      </c>
      <c r="CG87" s="39">
        <v>8.59</v>
      </c>
      <c r="CH87" s="39">
        <v>8.65</v>
      </c>
      <c r="CI87" s="39">
        <v>8.6999999999999993</v>
      </c>
      <c r="CJ87" s="39">
        <v>8.76</v>
      </c>
      <c r="CK87" s="39">
        <v>8.82</v>
      </c>
      <c r="CL87" s="39">
        <v>8.8699999999999992</v>
      </c>
      <c r="CM87" s="39">
        <v>8.93</v>
      </c>
      <c r="CN87" s="39">
        <v>8.99</v>
      </c>
      <c r="CO87" s="39">
        <v>9.0500000000000007</v>
      </c>
      <c r="CP87" s="39">
        <v>9.1</v>
      </c>
      <c r="CQ87" s="39">
        <v>9.16</v>
      </c>
      <c r="CR87" s="39">
        <v>9.2200000000000006</v>
      </c>
      <c r="CS87" s="39">
        <v>9.27</v>
      </c>
      <c r="CT87" s="39">
        <v>9.33</v>
      </c>
      <c r="CU87" s="39">
        <v>9.39</v>
      </c>
      <c r="CV87" s="39">
        <v>9.44</v>
      </c>
      <c r="CW87" s="39">
        <v>9.5</v>
      </c>
      <c r="CX87" s="39">
        <v>9.56</v>
      </c>
      <c r="CY87" s="39">
        <v>9.61</v>
      </c>
      <c r="CZ87" s="39">
        <v>9.67</v>
      </c>
      <c r="DA87" s="39">
        <v>9.7200000000000006</v>
      </c>
      <c r="DB87" s="39">
        <v>9.7799999999999994</v>
      </c>
      <c r="DC87" s="39">
        <v>9.84</v>
      </c>
      <c r="DD87" s="39">
        <v>9.89</v>
      </c>
      <c r="DE87" s="39">
        <v>9.9499999999999993</v>
      </c>
      <c r="DF87" s="39">
        <v>10</v>
      </c>
      <c r="DG87" s="39">
        <v>10.06</v>
      </c>
      <c r="DH87" s="39">
        <v>10.11</v>
      </c>
      <c r="DI87" s="39">
        <v>10.17</v>
      </c>
      <c r="DJ87" s="39">
        <v>10.220000000000001</v>
      </c>
      <c r="DK87" s="39">
        <v>10.28</v>
      </c>
      <c r="DL87" s="39">
        <v>10.33</v>
      </c>
      <c r="DM87" s="39">
        <v>10.38</v>
      </c>
      <c r="DN87" s="39">
        <v>10.44</v>
      </c>
      <c r="DO87" s="39">
        <v>10.49</v>
      </c>
      <c r="DP87" s="39">
        <v>10.55</v>
      </c>
      <c r="DQ87" s="39">
        <v>10.6</v>
      </c>
      <c r="DR87" s="39">
        <v>10.65</v>
      </c>
    </row>
    <row r="88" spans="1:122">
      <c r="A88" s="37">
        <v>86</v>
      </c>
      <c r="B88" s="38"/>
      <c r="C88" s="38"/>
      <c r="D88" s="38"/>
      <c r="E88" s="38"/>
      <c r="F88" s="38"/>
      <c r="G88" s="38"/>
      <c r="H88" s="38"/>
      <c r="I88" s="38"/>
      <c r="J88" s="38"/>
      <c r="K88" s="38"/>
      <c r="L88" s="38"/>
      <c r="M88" s="38"/>
      <c r="N88" s="38"/>
      <c r="O88" s="38"/>
      <c r="P88" s="38"/>
      <c r="Q88" s="38"/>
      <c r="R88" s="38"/>
      <c r="S88" s="38"/>
      <c r="T88" s="38"/>
      <c r="U88" s="38"/>
      <c r="V88" s="39"/>
      <c r="W88" s="39">
        <v>4.9800000000000004</v>
      </c>
      <c r="X88" s="39">
        <v>4.9800000000000004</v>
      </c>
      <c r="Y88" s="39">
        <v>5.0199999999999996</v>
      </c>
      <c r="Z88" s="39">
        <v>5.04</v>
      </c>
      <c r="AA88" s="39">
        <v>5.0599999999999996</v>
      </c>
      <c r="AB88" s="39">
        <v>5.0999999999999996</v>
      </c>
      <c r="AC88" s="39">
        <v>5.13</v>
      </c>
      <c r="AD88" s="39">
        <v>5.13</v>
      </c>
      <c r="AE88" s="39">
        <v>5.18</v>
      </c>
      <c r="AF88" s="39">
        <v>5.23</v>
      </c>
      <c r="AG88" s="39">
        <v>5.3</v>
      </c>
      <c r="AH88" s="39">
        <v>5.34</v>
      </c>
      <c r="AI88" s="39">
        <v>5.39</v>
      </c>
      <c r="AJ88" s="39">
        <v>5.44</v>
      </c>
      <c r="AK88" s="39">
        <v>5.48</v>
      </c>
      <c r="AL88" s="39">
        <v>5.53</v>
      </c>
      <c r="AM88" s="39">
        <v>5.57</v>
      </c>
      <c r="AN88" s="39">
        <v>5.62</v>
      </c>
      <c r="AO88" s="39">
        <v>5.67</v>
      </c>
      <c r="AP88" s="39">
        <v>5.72</v>
      </c>
      <c r="AQ88" s="39">
        <v>5.77</v>
      </c>
      <c r="AR88" s="39">
        <v>5.82</v>
      </c>
      <c r="AS88" s="39">
        <v>5.87</v>
      </c>
      <c r="AT88" s="39">
        <v>5.92</v>
      </c>
      <c r="AU88" s="39">
        <v>5.97</v>
      </c>
      <c r="AV88" s="39">
        <v>6.02</v>
      </c>
      <c r="AW88" s="39">
        <v>6.08</v>
      </c>
      <c r="AX88" s="39">
        <v>6.13</v>
      </c>
      <c r="AY88" s="39">
        <v>6.18</v>
      </c>
      <c r="AZ88" s="39">
        <v>6.23</v>
      </c>
      <c r="BA88" s="39">
        <v>6.29</v>
      </c>
      <c r="BB88" s="39">
        <v>6.34</v>
      </c>
      <c r="BC88" s="39">
        <v>6.39</v>
      </c>
      <c r="BD88" s="39">
        <v>6.45</v>
      </c>
      <c r="BE88" s="39">
        <v>6.5</v>
      </c>
      <c r="BF88" s="39">
        <v>6.55</v>
      </c>
      <c r="BG88" s="39">
        <v>6.61</v>
      </c>
      <c r="BH88" s="39">
        <v>6.66</v>
      </c>
      <c r="BI88" s="39">
        <v>6.71</v>
      </c>
      <c r="BJ88" s="39">
        <v>6.77</v>
      </c>
      <c r="BK88" s="39">
        <v>6.82</v>
      </c>
      <c r="BL88" s="39">
        <v>6.87</v>
      </c>
      <c r="BM88" s="39">
        <v>6.93</v>
      </c>
      <c r="BN88" s="39">
        <v>6.98</v>
      </c>
      <c r="BO88" s="39">
        <v>7.03</v>
      </c>
      <c r="BP88" s="39">
        <v>7.09</v>
      </c>
      <c r="BQ88" s="39">
        <v>7.14</v>
      </c>
      <c r="BR88" s="39">
        <v>7.2</v>
      </c>
      <c r="BS88" s="39">
        <v>7.25</v>
      </c>
      <c r="BT88" s="40">
        <v>7.3</v>
      </c>
      <c r="BU88" s="39">
        <v>7.36</v>
      </c>
      <c r="BV88" s="39">
        <v>7.41</v>
      </c>
      <c r="BW88" s="39">
        <v>7.47</v>
      </c>
      <c r="BX88" s="39">
        <v>7.52</v>
      </c>
      <c r="BY88" s="39">
        <v>7.57</v>
      </c>
      <c r="BZ88" s="39">
        <v>7.63</v>
      </c>
      <c r="CA88" s="39">
        <v>7.68</v>
      </c>
      <c r="CB88" s="39">
        <v>7.74</v>
      </c>
      <c r="CC88" s="39">
        <v>7.79</v>
      </c>
      <c r="CD88" s="39">
        <v>7.85</v>
      </c>
      <c r="CE88" s="39">
        <v>7.9</v>
      </c>
      <c r="CF88" s="39">
        <v>7.95</v>
      </c>
      <c r="CG88" s="39">
        <v>8.01</v>
      </c>
      <c r="CH88" s="39">
        <v>8.06</v>
      </c>
      <c r="CI88" s="39">
        <v>8.1199999999999992</v>
      </c>
      <c r="CJ88" s="39">
        <v>8.17</v>
      </c>
      <c r="CK88" s="39">
        <v>8.2200000000000006</v>
      </c>
      <c r="CL88" s="39">
        <v>8.2799999999999994</v>
      </c>
      <c r="CM88" s="39">
        <v>8.33</v>
      </c>
      <c r="CN88" s="39">
        <v>8.39</v>
      </c>
      <c r="CO88" s="39">
        <v>8.44</v>
      </c>
      <c r="CP88" s="39">
        <v>8.49</v>
      </c>
      <c r="CQ88" s="39">
        <v>8.5500000000000007</v>
      </c>
      <c r="CR88" s="39">
        <v>8.6</v>
      </c>
      <c r="CS88" s="39">
        <v>8.65</v>
      </c>
      <c r="CT88" s="39">
        <v>8.7100000000000009</v>
      </c>
      <c r="CU88" s="39">
        <v>8.76</v>
      </c>
      <c r="CV88" s="39">
        <v>8.81</v>
      </c>
      <c r="CW88" s="39">
        <v>8.8699999999999992</v>
      </c>
      <c r="CX88" s="39">
        <v>8.92</v>
      </c>
      <c r="CY88" s="39">
        <v>8.9700000000000006</v>
      </c>
      <c r="CZ88" s="39">
        <v>9.02</v>
      </c>
      <c r="DA88" s="39">
        <v>9.08</v>
      </c>
      <c r="DB88" s="39">
        <v>9.1300000000000008</v>
      </c>
      <c r="DC88" s="39">
        <v>9.18</v>
      </c>
      <c r="DD88" s="39">
        <v>9.23</v>
      </c>
      <c r="DE88" s="39">
        <v>9.2899999999999991</v>
      </c>
      <c r="DF88" s="39">
        <v>9.34</v>
      </c>
      <c r="DG88" s="39">
        <v>9.39</v>
      </c>
      <c r="DH88" s="39">
        <v>9.44</v>
      </c>
      <c r="DI88" s="39">
        <v>9.49</v>
      </c>
      <c r="DJ88" s="39">
        <v>9.5500000000000007</v>
      </c>
      <c r="DK88" s="39">
        <v>9.6</v>
      </c>
      <c r="DL88" s="39">
        <v>9.65</v>
      </c>
      <c r="DM88" s="39">
        <v>9.6999999999999993</v>
      </c>
      <c r="DN88" s="39">
        <v>9.75</v>
      </c>
      <c r="DO88" s="39">
        <v>9.8000000000000007</v>
      </c>
      <c r="DP88" s="39">
        <v>9.85</v>
      </c>
      <c r="DQ88" s="39">
        <v>9.9</v>
      </c>
      <c r="DR88" s="39">
        <v>9.9499999999999993</v>
      </c>
    </row>
    <row r="89" spans="1:122">
      <c r="A89" s="37">
        <v>87</v>
      </c>
      <c r="B89" s="38"/>
      <c r="C89" s="38"/>
      <c r="D89" s="38"/>
      <c r="E89" s="38"/>
      <c r="F89" s="38"/>
      <c r="G89" s="38"/>
      <c r="H89" s="38"/>
      <c r="I89" s="38"/>
      <c r="J89" s="38"/>
      <c r="K89" s="38"/>
      <c r="L89" s="38"/>
      <c r="M89" s="38"/>
      <c r="N89" s="38"/>
      <c r="O89" s="38"/>
      <c r="P89" s="38"/>
      <c r="Q89" s="38"/>
      <c r="R89" s="38"/>
      <c r="S89" s="38"/>
      <c r="T89" s="38"/>
      <c r="U89" s="38"/>
      <c r="V89" s="39"/>
      <c r="W89" s="39">
        <v>4.6399999999999997</v>
      </c>
      <c r="X89" s="39">
        <v>4.62</v>
      </c>
      <c r="Y89" s="39">
        <v>4.6399999999999997</v>
      </c>
      <c r="Z89" s="39">
        <v>4.68</v>
      </c>
      <c r="AA89" s="39">
        <v>4.7</v>
      </c>
      <c r="AB89" s="39">
        <v>4.76</v>
      </c>
      <c r="AC89" s="39">
        <v>4.74</v>
      </c>
      <c r="AD89" s="39">
        <v>4.78</v>
      </c>
      <c r="AE89" s="39">
        <v>4.8</v>
      </c>
      <c r="AF89" s="39">
        <v>4.88</v>
      </c>
      <c r="AG89" s="39">
        <v>4.93</v>
      </c>
      <c r="AH89" s="39">
        <v>4.97</v>
      </c>
      <c r="AI89" s="39">
        <v>5.01</v>
      </c>
      <c r="AJ89" s="39">
        <v>5.05</v>
      </c>
      <c r="AK89" s="39">
        <v>5.09</v>
      </c>
      <c r="AL89" s="39">
        <v>5.14</v>
      </c>
      <c r="AM89" s="39">
        <v>5.18</v>
      </c>
      <c r="AN89" s="39">
        <v>5.23</v>
      </c>
      <c r="AO89" s="39">
        <v>5.27</v>
      </c>
      <c r="AP89" s="39">
        <v>5.32</v>
      </c>
      <c r="AQ89" s="39">
        <v>5.36</v>
      </c>
      <c r="AR89" s="39">
        <v>5.41</v>
      </c>
      <c r="AS89" s="39">
        <v>5.46</v>
      </c>
      <c r="AT89" s="39">
        <v>5.5</v>
      </c>
      <c r="AU89" s="39">
        <v>5.55</v>
      </c>
      <c r="AV89" s="39">
        <v>5.6</v>
      </c>
      <c r="AW89" s="39">
        <v>5.65</v>
      </c>
      <c r="AX89" s="39">
        <v>5.7</v>
      </c>
      <c r="AY89" s="39">
        <v>5.75</v>
      </c>
      <c r="AZ89" s="39">
        <v>5.8</v>
      </c>
      <c r="BA89" s="39">
        <v>5.85</v>
      </c>
      <c r="BB89" s="39">
        <v>5.9</v>
      </c>
      <c r="BC89" s="39">
        <v>5.95</v>
      </c>
      <c r="BD89" s="39">
        <v>5.99</v>
      </c>
      <c r="BE89" s="39">
        <v>6.04</v>
      </c>
      <c r="BF89" s="39">
        <v>6.09</v>
      </c>
      <c r="BG89" s="39">
        <v>6.14</v>
      </c>
      <c r="BH89" s="39">
        <v>6.19</v>
      </c>
      <c r="BI89" s="39">
        <v>6.24</v>
      </c>
      <c r="BJ89" s="39">
        <v>6.29</v>
      </c>
      <c r="BK89" s="39">
        <v>6.34</v>
      </c>
      <c r="BL89" s="39">
        <v>6.39</v>
      </c>
      <c r="BM89" s="39">
        <v>6.44</v>
      </c>
      <c r="BN89" s="39">
        <v>6.49</v>
      </c>
      <c r="BO89" s="39">
        <v>6.54</v>
      </c>
      <c r="BP89" s="39">
        <v>6.6</v>
      </c>
      <c r="BQ89" s="39">
        <v>6.65</v>
      </c>
      <c r="BR89" s="39">
        <v>6.7</v>
      </c>
      <c r="BS89" s="39">
        <v>6.75</v>
      </c>
      <c r="BT89" s="40">
        <v>6.8</v>
      </c>
      <c r="BU89" s="39">
        <v>6.85</v>
      </c>
      <c r="BV89" s="39">
        <v>6.9</v>
      </c>
      <c r="BW89" s="39">
        <v>6.95</v>
      </c>
      <c r="BX89" s="39">
        <v>7</v>
      </c>
      <c r="BY89" s="39">
        <v>7.05</v>
      </c>
      <c r="BZ89" s="39">
        <v>7.1</v>
      </c>
      <c r="CA89" s="39">
        <v>7.15</v>
      </c>
      <c r="CB89" s="39">
        <v>7.2</v>
      </c>
      <c r="CC89" s="39">
        <v>7.25</v>
      </c>
      <c r="CD89" s="39">
        <v>7.3</v>
      </c>
      <c r="CE89" s="39">
        <v>7.35</v>
      </c>
      <c r="CF89" s="39">
        <v>7.4</v>
      </c>
      <c r="CG89" s="39">
        <v>7.46</v>
      </c>
      <c r="CH89" s="39">
        <v>7.51</v>
      </c>
      <c r="CI89" s="39">
        <v>7.56</v>
      </c>
      <c r="CJ89" s="39">
        <v>7.61</v>
      </c>
      <c r="CK89" s="39">
        <v>7.66</v>
      </c>
      <c r="CL89" s="39">
        <v>7.71</v>
      </c>
      <c r="CM89" s="39">
        <v>7.76</v>
      </c>
      <c r="CN89" s="39">
        <v>7.81</v>
      </c>
      <c r="CO89" s="39">
        <v>7.86</v>
      </c>
      <c r="CP89" s="39">
        <v>7.91</v>
      </c>
      <c r="CQ89" s="39">
        <v>7.96</v>
      </c>
      <c r="CR89" s="39">
        <v>8.01</v>
      </c>
      <c r="CS89" s="39">
        <v>8.06</v>
      </c>
      <c r="CT89" s="39">
        <v>8.11</v>
      </c>
      <c r="CU89" s="39">
        <v>8.16</v>
      </c>
      <c r="CV89" s="39">
        <v>8.2100000000000009</v>
      </c>
      <c r="CW89" s="39">
        <v>8.26</v>
      </c>
      <c r="CX89" s="39">
        <v>8.31</v>
      </c>
      <c r="CY89" s="39">
        <v>8.36</v>
      </c>
      <c r="CZ89" s="39">
        <v>8.41</v>
      </c>
      <c r="DA89" s="39">
        <v>8.4600000000000009</v>
      </c>
      <c r="DB89" s="39">
        <v>8.51</v>
      </c>
      <c r="DC89" s="39">
        <v>8.56</v>
      </c>
      <c r="DD89" s="39">
        <v>8.61</v>
      </c>
      <c r="DE89" s="39">
        <v>8.65</v>
      </c>
      <c r="DF89" s="39">
        <v>8.6999999999999993</v>
      </c>
      <c r="DG89" s="39">
        <v>8.75</v>
      </c>
      <c r="DH89" s="39">
        <v>8.8000000000000007</v>
      </c>
      <c r="DI89" s="39">
        <v>8.85</v>
      </c>
      <c r="DJ89" s="39">
        <v>8.9</v>
      </c>
      <c r="DK89" s="39">
        <v>8.9499999999999993</v>
      </c>
      <c r="DL89" s="39">
        <v>8.99</v>
      </c>
      <c r="DM89" s="39">
        <v>9.0399999999999991</v>
      </c>
      <c r="DN89" s="39">
        <v>9.09</v>
      </c>
      <c r="DO89" s="39">
        <v>9.14</v>
      </c>
      <c r="DP89" s="39">
        <v>9.19</v>
      </c>
      <c r="DQ89" s="39">
        <v>9.23</v>
      </c>
      <c r="DR89" s="39">
        <v>9.2799999999999994</v>
      </c>
    </row>
    <row r="90" spans="1:122">
      <c r="A90" s="37">
        <v>88</v>
      </c>
      <c r="B90" s="38"/>
      <c r="C90" s="38"/>
      <c r="D90" s="38"/>
      <c r="E90" s="38"/>
      <c r="F90" s="38"/>
      <c r="G90" s="38"/>
      <c r="H90" s="38"/>
      <c r="I90" s="38"/>
      <c r="J90" s="38"/>
      <c r="K90" s="38"/>
      <c r="L90" s="38"/>
      <c r="M90" s="38"/>
      <c r="N90" s="38"/>
      <c r="O90" s="38"/>
      <c r="P90" s="38"/>
      <c r="Q90" s="38"/>
      <c r="R90" s="38"/>
      <c r="S90" s="38"/>
      <c r="T90" s="38"/>
      <c r="U90" s="38"/>
      <c r="V90" s="39"/>
      <c r="W90" s="39">
        <v>4.3099999999999996</v>
      </c>
      <c r="X90" s="39">
        <v>4.2699999999999996</v>
      </c>
      <c r="Y90" s="39">
        <v>4.3099999999999996</v>
      </c>
      <c r="Z90" s="39">
        <v>4.34</v>
      </c>
      <c r="AA90" s="39">
        <v>4.38</v>
      </c>
      <c r="AB90" s="39">
        <v>4.4000000000000004</v>
      </c>
      <c r="AC90" s="39">
        <v>4.41</v>
      </c>
      <c r="AD90" s="39">
        <v>4.43</v>
      </c>
      <c r="AE90" s="39">
        <v>4.4800000000000004</v>
      </c>
      <c r="AF90" s="39">
        <v>4.53</v>
      </c>
      <c r="AG90" s="39">
        <v>4.58</v>
      </c>
      <c r="AH90" s="39">
        <v>4.62</v>
      </c>
      <c r="AI90" s="39">
        <v>4.6500000000000004</v>
      </c>
      <c r="AJ90" s="39">
        <v>4.6900000000000004</v>
      </c>
      <c r="AK90" s="39">
        <v>4.7300000000000004</v>
      </c>
      <c r="AL90" s="39">
        <v>4.7699999999999996</v>
      </c>
      <c r="AM90" s="39">
        <v>4.8099999999999996</v>
      </c>
      <c r="AN90" s="39">
        <v>4.8499999999999996</v>
      </c>
      <c r="AO90" s="39">
        <v>4.9000000000000004</v>
      </c>
      <c r="AP90" s="39">
        <v>4.9400000000000004</v>
      </c>
      <c r="AQ90" s="39">
        <v>4.9800000000000004</v>
      </c>
      <c r="AR90" s="39">
        <v>5.03</v>
      </c>
      <c r="AS90" s="39">
        <v>5.07</v>
      </c>
      <c r="AT90" s="39">
        <v>5.12</v>
      </c>
      <c r="AU90" s="39">
        <v>5.16</v>
      </c>
      <c r="AV90" s="39">
        <v>5.21</v>
      </c>
      <c r="AW90" s="39">
        <v>5.25</v>
      </c>
      <c r="AX90" s="39">
        <v>5.3</v>
      </c>
      <c r="AY90" s="39">
        <v>5.34</v>
      </c>
      <c r="AZ90" s="39">
        <v>5.39</v>
      </c>
      <c r="BA90" s="39">
        <v>5.43</v>
      </c>
      <c r="BB90" s="39">
        <v>5.48</v>
      </c>
      <c r="BC90" s="39">
        <v>5.52</v>
      </c>
      <c r="BD90" s="39">
        <v>5.57</v>
      </c>
      <c r="BE90" s="39">
        <v>5.62</v>
      </c>
      <c r="BF90" s="39">
        <v>5.66</v>
      </c>
      <c r="BG90" s="39">
        <v>5.71</v>
      </c>
      <c r="BH90" s="39">
        <v>5.76</v>
      </c>
      <c r="BI90" s="39">
        <v>5.8</v>
      </c>
      <c r="BJ90" s="39">
        <v>5.85</v>
      </c>
      <c r="BK90" s="39">
        <v>5.9</v>
      </c>
      <c r="BL90" s="39">
        <v>5.94</v>
      </c>
      <c r="BM90" s="39">
        <v>5.99</v>
      </c>
      <c r="BN90" s="39">
        <v>6.04</v>
      </c>
      <c r="BO90" s="39">
        <v>6.08</v>
      </c>
      <c r="BP90" s="39">
        <v>6.13</v>
      </c>
      <c r="BQ90" s="39">
        <v>6.18</v>
      </c>
      <c r="BR90" s="39">
        <v>6.22</v>
      </c>
      <c r="BS90" s="39">
        <v>6.27</v>
      </c>
      <c r="BT90" s="40">
        <v>6.32</v>
      </c>
      <c r="BU90" s="39">
        <v>6.36</v>
      </c>
      <c r="BV90" s="39">
        <v>6.41</v>
      </c>
      <c r="BW90" s="39">
        <v>6.46</v>
      </c>
      <c r="BX90" s="39">
        <v>6.51</v>
      </c>
      <c r="BY90" s="39">
        <v>6.55</v>
      </c>
      <c r="BZ90" s="39">
        <v>6.6</v>
      </c>
      <c r="CA90" s="39">
        <v>6.65</v>
      </c>
      <c r="CB90" s="39">
        <v>6.69</v>
      </c>
      <c r="CC90" s="39">
        <v>6.74</v>
      </c>
      <c r="CD90" s="39">
        <v>6.79</v>
      </c>
      <c r="CE90" s="39">
        <v>6.84</v>
      </c>
      <c r="CF90" s="39">
        <v>6.88</v>
      </c>
      <c r="CG90" s="39">
        <v>6.93</v>
      </c>
      <c r="CH90" s="39">
        <v>6.98</v>
      </c>
      <c r="CI90" s="39">
        <v>7.02</v>
      </c>
      <c r="CJ90" s="39">
        <v>7.07</v>
      </c>
      <c r="CK90" s="39">
        <v>7.12</v>
      </c>
      <c r="CL90" s="39">
        <v>7.16</v>
      </c>
      <c r="CM90" s="39">
        <v>7.21</v>
      </c>
      <c r="CN90" s="39">
        <v>7.26</v>
      </c>
      <c r="CO90" s="39">
        <v>7.31</v>
      </c>
      <c r="CP90" s="39">
        <v>7.35</v>
      </c>
      <c r="CQ90" s="39">
        <v>7.4</v>
      </c>
      <c r="CR90" s="39">
        <v>7.45</v>
      </c>
      <c r="CS90" s="39">
        <v>7.49</v>
      </c>
      <c r="CT90" s="39">
        <v>7.54</v>
      </c>
      <c r="CU90" s="39">
        <v>7.59</v>
      </c>
      <c r="CV90" s="39">
        <v>7.63</v>
      </c>
      <c r="CW90" s="39">
        <v>7.68</v>
      </c>
      <c r="CX90" s="39">
        <v>7.73</v>
      </c>
      <c r="CY90" s="39">
        <v>7.77</v>
      </c>
      <c r="CZ90" s="39">
        <v>7.82</v>
      </c>
      <c r="DA90" s="39">
        <v>7.86</v>
      </c>
      <c r="DB90" s="39">
        <v>7.91</v>
      </c>
      <c r="DC90" s="39">
        <v>7.96</v>
      </c>
      <c r="DD90" s="39">
        <v>8</v>
      </c>
      <c r="DE90" s="39">
        <v>8.0500000000000007</v>
      </c>
      <c r="DF90" s="39">
        <v>8.09</v>
      </c>
      <c r="DG90" s="39">
        <v>8.14</v>
      </c>
      <c r="DH90" s="39">
        <v>8.18</v>
      </c>
      <c r="DI90" s="39">
        <v>8.23</v>
      </c>
      <c r="DJ90" s="39">
        <v>8.27</v>
      </c>
      <c r="DK90" s="39">
        <v>8.32</v>
      </c>
      <c r="DL90" s="39">
        <v>8.36</v>
      </c>
      <c r="DM90" s="39">
        <v>8.41</v>
      </c>
      <c r="DN90" s="39">
        <v>8.4499999999999993</v>
      </c>
      <c r="DO90" s="39">
        <v>8.5</v>
      </c>
      <c r="DP90" s="39">
        <v>8.5399999999999991</v>
      </c>
      <c r="DQ90" s="39">
        <v>8.59</v>
      </c>
      <c r="DR90" s="39">
        <v>8.6300000000000008</v>
      </c>
    </row>
    <row r="91" spans="1:122">
      <c r="A91" s="37">
        <v>89</v>
      </c>
      <c r="B91" s="38"/>
      <c r="C91" s="38"/>
      <c r="D91" s="38"/>
      <c r="E91" s="38"/>
      <c r="F91" s="38"/>
      <c r="G91" s="38"/>
      <c r="H91" s="38"/>
      <c r="I91" s="38"/>
      <c r="J91" s="38"/>
      <c r="K91" s="38"/>
      <c r="L91" s="38"/>
      <c r="M91" s="38"/>
      <c r="N91" s="38"/>
      <c r="O91" s="38"/>
      <c r="P91" s="38"/>
      <c r="Q91" s="38"/>
      <c r="R91" s="38"/>
      <c r="S91" s="38"/>
      <c r="T91" s="38"/>
      <c r="U91" s="38"/>
      <c r="V91" s="39"/>
      <c r="W91" s="39">
        <v>3.96</v>
      </c>
      <c r="X91" s="39">
        <v>3.95</v>
      </c>
      <c r="Y91" s="39">
        <v>3.99</v>
      </c>
      <c r="Z91" s="39">
        <v>4.04</v>
      </c>
      <c r="AA91" s="39">
        <v>4.04</v>
      </c>
      <c r="AB91" s="39">
        <v>4.09</v>
      </c>
      <c r="AC91" s="39">
        <v>4.08</v>
      </c>
      <c r="AD91" s="39">
        <v>4.13</v>
      </c>
      <c r="AE91" s="39">
        <v>4.18</v>
      </c>
      <c r="AF91" s="39">
        <v>4.22</v>
      </c>
      <c r="AG91" s="39">
        <v>4.25</v>
      </c>
      <c r="AH91" s="39">
        <v>4.29</v>
      </c>
      <c r="AI91" s="39">
        <v>4.32</v>
      </c>
      <c r="AJ91" s="39">
        <v>4.3600000000000003</v>
      </c>
      <c r="AK91" s="39">
        <v>4.3899999999999997</v>
      </c>
      <c r="AL91" s="39">
        <v>4.43</v>
      </c>
      <c r="AM91" s="39">
        <v>4.47</v>
      </c>
      <c r="AN91" s="39">
        <v>4.51</v>
      </c>
      <c r="AO91" s="39">
        <v>4.55</v>
      </c>
      <c r="AP91" s="39">
        <v>4.59</v>
      </c>
      <c r="AQ91" s="39">
        <v>4.63</v>
      </c>
      <c r="AR91" s="39">
        <v>4.67</v>
      </c>
      <c r="AS91" s="39">
        <v>4.71</v>
      </c>
      <c r="AT91" s="39">
        <v>4.75</v>
      </c>
      <c r="AU91" s="39">
        <v>4.79</v>
      </c>
      <c r="AV91" s="39">
        <v>4.83</v>
      </c>
      <c r="AW91" s="39">
        <v>4.88</v>
      </c>
      <c r="AX91" s="39">
        <v>4.92</v>
      </c>
      <c r="AY91" s="39">
        <v>4.96</v>
      </c>
      <c r="AZ91" s="39">
        <v>5</v>
      </c>
      <c r="BA91" s="39">
        <v>5.04</v>
      </c>
      <c r="BB91" s="39">
        <v>5.09</v>
      </c>
      <c r="BC91" s="39">
        <v>5.13</v>
      </c>
      <c r="BD91" s="39">
        <v>5.17</v>
      </c>
      <c r="BE91" s="39">
        <v>5.21</v>
      </c>
      <c r="BF91" s="39">
        <v>5.26</v>
      </c>
      <c r="BG91" s="39">
        <v>5.3</v>
      </c>
      <c r="BH91" s="39">
        <v>5.34</v>
      </c>
      <c r="BI91" s="39">
        <v>5.39</v>
      </c>
      <c r="BJ91" s="39">
        <v>5.43</v>
      </c>
      <c r="BK91" s="39">
        <v>5.47</v>
      </c>
      <c r="BL91" s="39">
        <v>5.52</v>
      </c>
      <c r="BM91" s="39">
        <v>5.56</v>
      </c>
      <c r="BN91" s="39">
        <v>5.6</v>
      </c>
      <c r="BO91" s="39">
        <v>5.65</v>
      </c>
      <c r="BP91" s="39">
        <v>5.69</v>
      </c>
      <c r="BQ91" s="39">
        <v>5.73</v>
      </c>
      <c r="BR91" s="39">
        <v>5.78</v>
      </c>
      <c r="BS91" s="39">
        <v>5.82</v>
      </c>
      <c r="BT91" s="40">
        <v>5.86</v>
      </c>
      <c r="BU91" s="39">
        <v>5.91</v>
      </c>
      <c r="BV91" s="39">
        <v>5.95</v>
      </c>
      <c r="BW91" s="39">
        <v>5.99</v>
      </c>
      <c r="BX91" s="39">
        <v>6.04</v>
      </c>
      <c r="BY91" s="39">
        <v>6.08</v>
      </c>
      <c r="BZ91" s="39">
        <v>6.12</v>
      </c>
      <c r="CA91" s="39">
        <v>6.17</v>
      </c>
      <c r="CB91" s="39">
        <v>6.21</v>
      </c>
      <c r="CC91" s="39">
        <v>6.26</v>
      </c>
      <c r="CD91" s="39">
        <v>6.3</v>
      </c>
      <c r="CE91" s="39">
        <v>6.34</v>
      </c>
      <c r="CF91" s="39">
        <v>6.39</v>
      </c>
      <c r="CG91" s="39">
        <v>6.43</v>
      </c>
      <c r="CH91" s="39">
        <v>6.47</v>
      </c>
      <c r="CI91" s="39">
        <v>6.52</v>
      </c>
      <c r="CJ91" s="39">
        <v>6.56</v>
      </c>
      <c r="CK91" s="39">
        <v>6.6</v>
      </c>
      <c r="CL91" s="39">
        <v>6.65</v>
      </c>
      <c r="CM91" s="39">
        <v>6.69</v>
      </c>
      <c r="CN91" s="39">
        <v>6.73</v>
      </c>
      <c r="CO91" s="39">
        <v>6.78</v>
      </c>
      <c r="CP91" s="39">
        <v>6.82</v>
      </c>
      <c r="CQ91" s="39">
        <v>6.87</v>
      </c>
      <c r="CR91" s="39">
        <v>6.91</v>
      </c>
      <c r="CS91" s="39">
        <v>6.95</v>
      </c>
      <c r="CT91" s="39">
        <v>7</v>
      </c>
      <c r="CU91" s="39">
        <v>7.04</v>
      </c>
      <c r="CV91" s="39">
        <v>7.08</v>
      </c>
      <c r="CW91" s="39">
        <v>7.12</v>
      </c>
      <c r="CX91" s="39">
        <v>7.17</v>
      </c>
      <c r="CY91" s="39">
        <v>7.21</v>
      </c>
      <c r="CZ91" s="39">
        <v>7.25</v>
      </c>
      <c r="DA91" s="39">
        <v>7.3</v>
      </c>
      <c r="DB91" s="39">
        <v>7.34</v>
      </c>
      <c r="DC91" s="39">
        <v>7.38</v>
      </c>
      <c r="DD91" s="39">
        <v>7.42</v>
      </c>
      <c r="DE91" s="39">
        <v>7.47</v>
      </c>
      <c r="DF91" s="39">
        <v>7.51</v>
      </c>
      <c r="DG91" s="39">
        <v>7.55</v>
      </c>
      <c r="DH91" s="39">
        <v>7.59</v>
      </c>
      <c r="DI91" s="39">
        <v>7.64</v>
      </c>
      <c r="DJ91" s="39">
        <v>7.68</v>
      </c>
      <c r="DK91" s="39">
        <v>7.72</v>
      </c>
      <c r="DL91" s="39">
        <v>7.76</v>
      </c>
      <c r="DM91" s="39">
        <v>7.8</v>
      </c>
      <c r="DN91" s="39">
        <v>7.84</v>
      </c>
      <c r="DO91" s="39">
        <v>7.89</v>
      </c>
      <c r="DP91" s="39">
        <v>7.93</v>
      </c>
      <c r="DQ91" s="39">
        <v>7.97</v>
      </c>
      <c r="DR91" s="39">
        <v>8.01</v>
      </c>
    </row>
    <row r="92" spans="1:122">
      <c r="A92" s="37">
        <v>90</v>
      </c>
      <c r="B92" s="38"/>
      <c r="C92" s="38"/>
      <c r="D92" s="38"/>
      <c r="E92" s="38"/>
      <c r="F92" s="38"/>
      <c r="G92" s="38"/>
      <c r="H92" s="38"/>
      <c r="I92" s="38"/>
      <c r="J92" s="38"/>
      <c r="K92" s="38"/>
      <c r="L92" s="38"/>
      <c r="M92" s="38"/>
      <c r="N92" s="38"/>
      <c r="O92" s="38"/>
      <c r="P92" s="38"/>
      <c r="Q92" s="38"/>
      <c r="R92" s="38"/>
      <c r="S92" s="38"/>
      <c r="T92" s="38"/>
      <c r="U92" s="38"/>
      <c r="V92" s="39"/>
      <c r="W92" s="39">
        <v>3.67</v>
      </c>
      <c r="X92" s="39">
        <v>3.65</v>
      </c>
      <c r="Y92" s="39">
        <v>3.72</v>
      </c>
      <c r="Z92" s="39">
        <v>3.72</v>
      </c>
      <c r="AA92" s="39">
        <v>3.75</v>
      </c>
      <c r="AB92" s="39">
        <v>3.78</v>
      </c>
      <c r="AC92" s="39">
        <v>3.8</v>
      </c>
      <c r="AD92" s="39">
        <v>3.85</v>
      </c>
      <c r="AE92" s="39">
        <v>3.88</v>
      </c>
      <c r="AF92" s="39">
        <v>3.91</v>
      </c>
      <c r="AG92" s="39">
        <v>3.95</v>
      </c>
      <c r="AH92" s="39">
        <v>3.98</v>
      </c>
      <c r="AI92" s="39">
        <v>4.01</v>
      </c>
      <c r="AJ92" s="39">
        <v>4.05</v>
      </c>
      <c r="AK92" s="39">
        <v>4.08</v>
      </c>
      <c r="AL92" s="39">
        <v>4.1100000000000003</v>
      </c>
      <c r="AM92" s="39">
        <v>4.1500000000000004</v>
      </c>
      <c r="AN92" s="39">
        <v>4.18</v>
      </c>
      <c r="AO92" s="39">
        <v>4.22</v>
      </c>
      <c r="AP92" s="39">
        <v>4.25</v>
      </c>
      <c r="AQ92" s="39">
        <v>4.29</v>
      </c>
      <c r="AR92" s="39">
        <v>4.33</v>
      </c>
      <c r="AS92" s="39">
        <v>4.37</v>
      </c>
      <c r="AT92" s="39">
        <v>4.41</v>
      </c>
      <c r="AU92" s="39">
        <v>4.45</v>
      </c>
      <c r="AV92" s="39">
        <v>4.4800000000000004</v>
      </c>
      <c r="AW92" s="39">
        <v>4.5199999999999996</v>
      </c>
      <c r="AX92" s="39">
        <v>4.5599999999999996</v>
      </c>
      <c r="AY92" s="39">
        <v>4.5999999999999996</v>
      </c>
      <c r="AZ92" s="39">
        <v>4.6399999999999997</v>
      </c>
      <c r="BA92" s="39">
        <v>4.68</v>
      </c>
      <c r="BB92" s="39">
        <v>4.72</v>
      </c>
      <c r="BC92" s="39">
        <v>4.76</v>
      </c>
      <c r="BD92" s="39">
        <v>4.8</v>
      </c>
      <c r="BE92" s="39">
        <v>4.84</v>
      </c>
      <c r="BF92" s="39">
        <v>4.87</v>
      </c>
      <c r="BG92" s="39">
        <v>4.91</v>
      </c>
      <c r="BH92" s="39">
        <v>4.95</v>
      </c>
      <c r="BI92" s="39">
        <v>4.99</v>
      </c>
      <c r="BJ92" s="39">
        <v>5.03</v>
      </c>
      <c r="BK92" s="39">
        <v>5.07</v>
      </c>
      <c r="BL92" s="39">
        <v>5.1100000000000003</v>
      </c>
      <c r="BM92" s="39">
        <v>5.15</v>
      </c>
      <c r="BN92" s="39">
        <v>5.19</v>
      </c>
      <c r="BO92" s="39">
        <v>5.23</v>
      </c>
      <c r="BP92" s="39">
        <v>5.27</v>
      </c>
      <c r="BQ92" s="39">
        <v>5.31</v>
      </c>
      <c r="BR92" s="39">
        <v>5.35</v>
      </c>
      <c r="BS92" s="39">
        <v>5.39</v>
      </c>
      <c r="BT92" s="40">
        <v>5.43</v>
      </c>
      <c r="BU92" s="39">
        <v>5.47</v>
      </c>
      <c r="BV92" s="39">
        <v>5.51</v>
      </c>
      <c r="BW92" s="39">
        <v>5.55</v>
      </c>
      <c r="BX92" s="39">
        <v>5.59</v>
      </c>
      <c r="BY92" s="39">
        <v>5.63</v>
      </c>
      <c r="BZ92" s="39">
        <v>5.67</v>
      </c>
      <c r="CA92" s="39">
        <v>5.71</v>
      </c>
      <c r="CB92" s="39">
        <v>5.75</v>
      </c>
      <c r="CC92" s="39">
        <v>5.79</v>
      </c>
      <c r="CD92" s="39">
        <v>5.83</v>
      </c>
      <c r="CE92" s="39">
        <v>5.87</v>
      </c>
      <c r="CF92" s="39">
        <v>5.91</v>
      </c>
      <c r="CG92" s="39">
        <v>5.96</v>
      </c>
      <c r="CH92" s="39">
        <v>6</v>
      </c>
      <c r="CI92" s="39">
        <v>6.04</v>
      </c>
      <c r="CJ92" s="39">
        <v>6.08</v>
      </c>
      <c r="CK92" s="39">
        <v>6.12</v>
      </c>
      <c r="CL92" s="39">
        <v>6.16</v>
      </c>
      <c r="CM92" s="39">
        <v>6.2</v>
      </c>
      <c r="CN92" s="39">
        <v>6.24</v>
      </c>
      <c r="CO92" s="39">
        <v>6.28</v>
      </c>
      <c r="CP92" s="39">
        <v>6.32</v>
      </c>
      <c r="CQ92" s="39">
        <v>6.36</v>
      </c>
      <c r="CR92" s="39">
        <v>6.4</v>
      </c>
      <c r="CS92" s="39">
        <v>6.44</v>
      </c>
      <c r="CT92" s="39">
        <v>6.48</v>
      </c>
      <c r="CU92" s="39">
        <v>6.52</v>
      </c>
      <c r="CV92" s="39">
        <v>6.56</v>
      </c>
      <c r="CW92" s="39">
        <v>6.59</v>
      </c>
      <c r="CX92" s="39">
        <v>6.63</v>
      </c>
      <c r="CY92" s="39">
        <v>6.67</v>
      </c>
      <c r="CZ92" s="39">
        <v>6.71</v>
      </c>
      <c r="DA92" s="39">
        <v>6.75</v>
      </c>
      <c r="DB92" s="39">
        <v>6.79</v>
      </c>
      <c r="DC92" s="39">
        <v>6.83</v>
      </c>
      <c r="DD92" s="39">
        <v>6.87</v>
      </c>
      <c r="DE92" s="39">
        <v>6.91</v>
      </c>
      <c r="DF92" s="39">
        <v>6.95</v>
      </c>
      <c r="DG92" s="39">
        <v>6.99</v>
      </c>
      <c r="DH92" s="39">
        <v>7.03</v>
      </c>
      <c r="DI92" s="39">
        <v>7.07</v>
      </c>
      <c r="DJ92" s="39">
        <v>7.1</v>
      </c>
      <c r="DK92" s="39">
        <v>7.14</v>
      </c>
      <c r="DL92" s="39">
        <v>7.18</v>
      </c>
      <c r="DM92" s="39">
        <v>7.22</v>
      </c>
      <c r="DN92" s="39">
        <v>7.26</v>
      </c>
      <c r="DO92" s="39">
        <v>7.3</v>
      </c>
      <c r="DP92" s="39">
        <v>7.33</v>
      </c>
      <c r="DQ92" s="39">
        <v>7.37</v>
      </c>
      <c r="DR92" s="39">
        <v>7.41</v>
      </c>
    </row>
    <row r="93" spans="1:122">
      <c r="A93" s="37">
        <v>91</v>
      </c>
      <c r="B93" s="38"/>
      <c r="C93" s="38"/>
      <c r="D93" s="38"/>
      <c r="E93" s="38"/>
      <c r="F93" s="38"/>
      <c r="G93" s="38"/>
      <c r="H93" s="38"/>
      <c r="I93" s="38"/>
      <c r="J93" s="38"/>
      <c r="K93" s="38"/>
      <c r="L93" s="38"/>
      <c r="M93" s="38"/>
      <c r="N93" s="38"/>
      <c r="O93" s="38"/>
      <c r="P93" s="38"/>
      <c r="Q93" s="38"/>
      <c r="R93" s="38"/>
      <c r="S93" s="38"/>
      <c r="T93" s="38"/>
      <c r="U93" s="38"/>
      <c r="V93" s="39"/>
      <c r="W93" s="39">
        <v>3.39</v>
      </c>
      <c r="X93" s="39">
        <v>3.39</v>
      </c>
      <c r="Y93" s="39">
        <v>3.42</v>
      </c>
      <c r="Z93" s="39">
        <v>3.43</v>
      </c>
      <c r="AA93" s="39">
        <v>3.45</v>
      </c>
      <c r="AB93" s="39">
        <v>3.52</v>
      </c>
      <c r="AC93" s="39">
        <v>3.55</v>
      </c>
      <c r="AD93" s="39">
        <v>3.57</v>
      </c>
      <c r="AE93" s="39">
        <v>3.6</v>
      </c>
      <c r="AF93" s="39">
        <v>3.63</v>
      </c>
      <c r="AG93" s="39">
        <v>3.66</v>
      </c>
      <c r="AH93" s="39">
        <v>3.69</v>
      </c>
      <c r="AI93" s="39">
        <v>3.72</v>
      </c>
      <c r="AJ93" s="39">
        <v>3.75</v>
      </c>
      <c r="AK93" s="39">
        <v>3.78</v>
      </c>
      <c r="AL93" s="39">
        <v>3.81</v>
      </c>
      <c r="AM93" s="39">
        <v>3.84</v>
      </c>
      <c r="AN93" s="39">
        <v>3.88</v>
      </c>
      <c r="AO93" s="39">
        <v>3.91</v>
      </c>
      <c r="AP93" s="39">
        <v>3.95</v>
      </c>
      <c r="AQ93" s="39">
        <v>3.98</v>
      </c>
      <c r="AR93" s="39">
        <v>4.0199999999999996</v>
      </c>
      <c r="AS93" s="39">
        <v>4.05</v>
      </c>
      <c r="AT93" s="39">
        <v>4.09</v>
      </c>
      <c r="AU93" s="39">
        <v>4.12</v>
      </c>
      <c r="AV93" s="39">
        <v>4.16</v>
      </c>
      <c r="AW93" s="39">
        <v>4.1900000000000004</v>
      </c>
      <c r="AX93" s="39">
        <v>4.2300000000000004</v>
      </c>
      <c r="AY93" s="39">
        <v>4.26</v>
      </c>
      <c r="AZ93" s="39">
        <v>4.3</v>
      </c>
      <c r="BA93" s="39">
        <v>4.34</v>
      </c>
      <c r="BB93" s="39">
        <v>4.37</v>
      </c>
      <c r="BC93" s="39">
        <v>4.41</v>
      </c>
      <c r="BD93" s="39">
        <v>4.4400000000000004</v>
      </c>
      <c r="BE93" s="39">
        <v>4.4800000000000004</v>
      </c>
      <c r="BF93" s="39">
        <v>4.51</v>
      </c>
      <c r="BG93" s="39">
        <v>4.55</v>
      </c>
      <c r="BH93" s="39">
        <v>4.59</v>
      </c>
      <c r="BI93" s="39">
        <v>4.62</v>
      </c>
      <c r="BJ93" s="39">
        <v>4.66</v>
      </c>
      <c r="BK93" s="39">
        <v>4.7</v>
      </c>
      <c r="BL93" s="39">
        <v>4.7300000000000004</v>
      </c>
      <c r="BM93" s="39">
        <v>4.7699999999999996</v>
      </c>
      <c r="BN93" s="39">
        <v>4.8099999999999996</v>
      </c>
      <c r="BO93" s="39">
        <v>4.84</v>
      </c>
      <c r="BP93" s="39">
        <v>4.88</v>
      </c>
      <c r="BQ93" s="39">
        <v>4.92</v>
      </c>
      <c r="BR93" s="39">
        <v>4.95</v>
      </c>
      <c r="BS93" s="39">
        <v>4.99</v>
      </c>
      <c r="BT93" s="40">
        <v>5.03</v>
      </c>
      <c r="BU93" s="39">
        <v>5.0599999999999996</v>
      </c>
      <c r="BV93" s="39">
        <v>5.0999999999999996</v>
      </c>
      <c r="BW93" s="39">
        <v>5.14</v>
      </c>
      <c r="BX93" s="39">
        <v>5.17</v>
      </c>
      <c r="BY93" s="39">
        <v>5.21</v>
      </c>
      <c r="BZ93" s="39">
        <v>5.25</v>
      </c>
      <c r="CA93" s="39">
        <v>5.28</v>
      </c>
      <c r="CB93" s="39">
        <v>5.32</v>
      </c>
      <c r="CC93" s="39">
        <v>5.36</v>
      </c>
      <c r="CD93" s="39">
        <v>5.39</v>
      </c>
      <c r="CE93" s="39">
        <v>5.43</v>
      </c>
      <c r="CF93" s="39">
        <v>5.47</v>
      </c>
      <c r="CG93" s="39">
        <v>5.5</v>
      </c>
      <c r="CH93" s="39">
        <v>5.54</v>
      </c>
      <c r="CI93" s="39">
        <v>5.58</v>
      </c>
      <c r="CJ93" s="39">
        <v>5.61</v>
      </c>
      <c r="CK93" s="39">
        <v>5.65</v>
      </c>
      <c r="CL93" s="39">
        <v>5.69</v>
      </c>
      <c r="CM93" s="39">
        <v>5.72</v>
      </c>
      <c r="CN93" s="39">
        <v>5.76</v>
      </c>
      <c r="CO93" s="39">
        <v>5.8</v>
      </c>
      <c r="CP93" s="39">
        <v>5.83</v>
      </c>
      <c r="CQ93" s="39">
        <v>5.87</v>
      </c>
      <c r="CR93" s="39">
        <v>5.91</v>
      </c>
      <c r="CS93" s="39">
        <v>5.94</v>
      </c>
      <c r="CT93" s="39">
        <v>5.98</v>
      </c>
      <c r="CU93" s="39">
        <v>6.02</v>
      </c>
      <c r="CV93" s="39">
        <v>6.05</v>
      </c>
      <c r="CW93" s="39">
        <v>6.09</v>
      </c>
      <c r="CX93" s="39">
        <v>6.13</v>
      </c>
      <c r="CY93" s="39">
        <v>6.16</v>
      </c>
      <c r="CZ93" s="39">
        <v>6.2</v>
      </c>
      <c r="DA93" s="39">
        <v>6.23</v>
      </c>
      <c r="DB93" s="39">
        <v>6.27</v>
      </c>
      <c r="DC93" s="39">
        <v>6.31</v>
      </c>
      <c r="DD93" s="39">
        <v>6.34</v>
      </c>
      <c r="DE93" s="39">
        <v>6.38</v>
      </c>
      <c r="DF93" s="39">
        <v>6.41</v>
      </c>
      <c r="DG93" s="39">
        <v>6.45</v>
      </c>
      <c r="DH93" s="39">
        <v>6.48</v>
      </c>
      <c r="DI93" s="39">
        <v>6.52</v>
      </c>
      <c r="DJ93" s="39">
        <v>6.56</v>
      </c>
      <c r="DK93" s="39">
        <v>6.59</v>
      </c>
      <c r="DL93" s="39">
        <v>6.63</v>
      </c>
      <c r="DM93" s="39">
        <v>6.66</v>
      </c>
      <c r="DN93" s="39">
        <v>6.7</v>
      </c>
      <c r="DO93" s="39">
        <v>6.73</v>
      </c>
      <c r="DP93" s="39">
        <v>6.77</v>
      </c>
      <c r="DQ93" s="39">
        <v>6.8</v>
      </c>
      <c r="DR93" s="39">
        <v>6.83</v>
      </c>
    </row>
    <row r="94" spans="1:122">
      <c r="A94" s="37">
        <v>92</v>
      </c>
      <c r="B94" s="38"/>
      <c r="C94" s="38"/>
      <c r="D94" s="38"/>
      <c r="E94" s="38"/>
      <c r="F94" s="38"/>
      <c r="G94" s="38"/>
      <c r="H94" s="38"/>
      <c r="I94" s="38"/>
      <c r="J94" s="38"/>
      <c r="K94" s="38"/>
      <c r="L94" s="38"/>
      <c r="M94" s="38"/>
      <c r="N94" s="38"/>
      <c r="O94" s="38"/>
      <c r="P94" s="38"/>
      <c r="Q94" s="38"/>
      <c r="R94" s="38"/>
      <c r="S94" s="38"/>
      <c r="T94" s="38"/>
      <c r="U94" s="38"/>
      <c r="V94" s="39"/>
      <c r="W94" s="39">
        <v>3.17</v>
      </c>
      <c r="X94" s="39">
        <v>3.12</v>
      </c>
      <c r="Y94" s="39">
        <v>3.19</v>
      </c>
      <c r="Z94" s="39">
        <v>3.16</v>
      </c>
      <c r="AA94" s="39">
        <v>3.21</v>
      </c>
      <c r="AB94" s="39">
        <v>3.26</v>
      </c>
      <c r="AC94" s="39">
        <v>3.29</v>
      </c>
      <c r="AD94" s="39">
        <v>3.32</v>
      </c>
      <c r="AE94" s="39">
        <v>3.34</v>
      </c>
      <c r="AF94" s="39">
        <v>3.37</v>
      </c>
      <c r="AG94" s="39">
        <v>3.4</v>
      </c>
      <c r="AH94" s="39">
        <v>3.42</v>
      </c>
      <c r="AI94" s="39">
        <v>3.45</v>
      </c>
      <c r="AJ94" s="39">
        <v>3.48</v>
      </c>
      <c r="AK94" s="39">
        <v>3.51</v>
      </c>
      <c r="AL94" s="39">
        <v>3.53</v>
      </c>
      <c r="AM94" s="39">
        <v>3.56</v>
      </c>
      <c r="AN94" s="39">
        <v>3.59</v>
      </c>
      <c r="AO94" s="39">
        <v>3.63</v>
      </c>
      <c r="AP94" s="39">
        <v>3.66</v>
      </c>
      <c r="AQ94" s="39">
        <v>3.69</v>
      </c>
      <c r="AR94" s="39">
        <v>3.72</v>
      </c>
      <c r="AS94" s="39">
        <v>3.75</v>
      </c>
      <c r="AT94" s="39">
        <v>3.79</v>
      </c>
      <c r="AU94" s="39">
        <v>3.82</v>
      </c>
      <c r="AV94" s="39">
        <v>3.85</v>
      </c>
      <c r="AW94" s="39">
        <v>3.88</v>
      </c>
      <c r="AX94" s="39">
        <v>3.91</v>
      </c>
      <c r="AY94" s="39">
        <v>3.95</v>
      </c>
      <c r="AZ94" s="39">
        <v>3.98</v>
      </c>
      <c r="BA94" s="39">
        <v>4.01</v>
      </c>
      <c r="BB94" s="39">
        <v>4.05</v>
      </c>
      <c r="BC94" s="39">
        <v>4.08</v>
      </c>
      <c r="BD94" s="39">
        <v>4.1100000000000003</v>
      </c>
      <c r="BE94" s="39">
        <v>4.1399999999999997</v>
      </c>
      <c r="BF94" s="39">
        <v>4.18</v>
      </c>
      <c r="BG94" s="39">
        <v>4.21</v>
      </c>
      <c r="BH94" s="39">
        <v>4.24</v>
      </c>
      <c r="BI94" s="39">
        <v>4.28</v>
      </c>
      <c r="BJ94" s="39">
        <v>4.3099999999999996</v>
      </c>
      <c r="BK94" s="39">
        <v>4.34</v>
      </c>
      <c r="BL94" s="39">
        <v>4.38</v>
      </c>
      <c r="BM94" s="39">
        <v>4.41</v>
      </c>
      <c r="BN94" s="39">
        <v>4.4400000000000004</v>
      </c>
      <c r="BO94" s="39">
        <v>4.47</v>
      </c>
      <c r="BP94" s="39">
        <v>4.51</v>
      </c>
      <c r="BQ94" s="39">
        <v>4.54</v>
      </c>
      <c r="BR94" s="39">
        <v>4.58</v>
      </c>
      <c r="BS94" s="39">
        <v>4.6100000000000003</v>
      </c>
      <c r="BT94" s="40">
        <v>4.6399999999999997</v>
      </c>
      <c r="BU94" s="39">
        <v>4.68</v>
      </c>
      <c r="BV94" s="39">
        <v>4.71</v>
      </c>
      <c r="BW94" s="39">
        <v>4.74</v>
      </c>
      <c r="BX94" s="39">
        <v>4.78</v>
      </c>
      <c r="BY94" s="39">
        <v>4.8099999999999996</v>
      </c>
      <c r="BZ94" s="39">
        <v>4.84</v>
      </c>
      <c r="CA94" s="39">
        <v>4.88</v>
      </c>
      <c r="CB94" s="39">
        <v>4.91</v>
      </c>
      <c r="CC94" s="39">
        <v>4.9400000000000004</v>
      </c>
      <c r="CD94" s="39">
        <v>4.9800000000000004</v>
      </c>
      <c r="CE94" s="39">
        <v>5.01</v>
      </c>
      <c r="CF94" s="39">
        <v>5.04</v>
      </c>
      <c r="CG94" s="39">
        <v>5.08</v>
      </c>
      <c r="CH94" s="39">
        <v>5.1100000000000003</v>
      </c>
      <c r="CI94" s="39">
        <v>5.14</v>
      </c>
      <c r="CJ94" s="39">
        <v>5.18</v>
      </c>
      <c r="CK94" s="39">
        <v>5.21</v>
      </c>
      <c r="CL94" s="39">
        <v>5.24</v>
      </c>
      <c r="CM94" s="39">
        <v>5.28</v>
      </c>
      <c r="CN94" s="39">
        <v>5.31</v>
      </c>
      <c r="CO94" s="39">
        <v>5.34</v>
      </c>
      <c r="CP94" s="39">
        <v>5.38</v>
      </c>
      <c r="CQ94" s="39">
        <v>5.41</v>
      </c>
      <c r="CR94" s="39">
        <v>5.44</v>
      </c>
      <c r="CS94" s="39">
        <v>5.48</v>
      </c>
      <c r="CT94" s="39">
        <v>5.51</v>
      </c>
      <c r="CU94" s="39">
        <v>5.54</v>
      </c>
      <c r="CV94" s="39">
        <v>5.58</v>
      </c>
      <c r="CW94" s="39">
        <v>5.61</v>
      </c>
      <c r="CX94" s="39">
        <v>5.64</v>
      </c>
      <c r="CY94" s="39">
        <v>5.67</v>
      </c>
      <c r="CZ94" s="39">
        <v>5.71</v>
      </c>
      <c r="DA94" s="39">
        <v>5.74</v>
      </c>
      <c r="DB94" s="39">
        <v>5.77</v>
      </c>
      <c r="DC94" s="39">
        <v>5.8</v>
      </c>
      <c r="DD94" s="39">
        <v>5.84</v>
      </c>
      <c r="DE94" s="39">
        <v>5.87</v>
      </c>
      <c r="DF94" s="39">
        <v>5.9</v>
      </c>
      <c r="DG94" s="39">
        <v>5.93</v>
      </c>
      <c r="DH94" s="39">
        <v>5.97</v>
      </c>
      <c r="DI94" s="39">
        <v>6</v>
      </c>
      <c r="DJ94" s="39">
        <v>6.03</v>
      </c>
      <c r="DK94" s="39">
        <v>6.06</v>
      </c>
      <c r="DL94" s="39">
        <v>6.09</v>
      </c>
      <c r="DM94" s="39">
        <v>6.13</v>
      </c>
      <c r="DN94" s="39">
        <v>6.16</v>
      </c>
      <c r="DO94" s="39">
        <v>6.19</v>
      </c>
      <c r="DP94" s="39">
        <v>6.22</v>
      </c>
      <c r="DQ94" s="39">
        <v>6.25</v>
      </c>
      <c r="DR94" s="39">
        <v>6.28</v>
      </c>
    </row>
    <row r="95" spans="1:122">
      <c r="A95" s="37">
        <v>93</v>
      </c>
      <c r="B95" s="38"/>
      <c r="C95" s="38"/>
      <c r="D95" s="38"/>
      <c r="E95" s="38"/>
      <c r="F95" s="38"/>
      <c r="G95" s="38"/>
      <c r="H95" s="38"/>
      <c r="I95" s="38"/>
      <c r="J95" s="38"/>
      <c r="K95" s="38"/>
      <c r="L95" s="38"/>
      <c r="M95" s="38"/>
      <c r="N95" s="38"/>
      <c r="O95" s="38"/>
      <c r="P95" s="38"/>
      <c r="Q95" s="38"/>
      <c r="R95" s="38"/>
      <c r="S95" s="38"/>
      <c r="T95" s="38"/>
      <c r="U95" s="38"/>
      <c r="V95" s="39"/>
      <c r="W95" s="39">
        <v>2.93</v>
      </c>
      <c r="X95" s="39">
        <v>2.92</v>
      </c>
      <c r="Y95" s="39">
        <v>2.94</v>
      </c>
      <c r="Z95" s="39">
        <v>2.95</v>
      </c>
      <c r="AA95" s="39">
        <v>3.01</v>
      </c>
      <c r="AB95" s="39">
        <v>3.03</v>
      </c>
      <c r="AC95" s="39">
        <v>3.05</v>
      </c>
      <c r="AD95" s="39">
        <v>3.08</v>
      </c>
      <c r="AE95" s="39">
        <v>3.1</v>
      </c>
      <c r="AF95" s="39">
        <v>3.13</v>
      </c>
      <c r="AG95" s="39">
        <v>3.15</v>
      </c>
      <c r="AH95" s="39">
        <v>3.18</v>
      </c>
      <c r="AI95" s="39">
        <v>3.2</v>
      </c>
      <c r="AJ95" s="39">
        <v>3.22</v>
      </c>
      <c r="AK95" s="39">
        <v>3.25</v>
      </c>
      <c r="AL95" s="39">
        <v>3.27</v>
      </c>
      <c r="AM95" s="39">
        <v>3.3</v>
      </c>
      <c r="AN95" s="39">
        <v>3.33</v>
      </c>
      <c r="AO95" s="39">
        <v>3.36</v>
      </c>
      <c r="AP95" s="39">
        <v>3.39</v>
      </c>
      <c r="AQ95" s="39">
        <v>3.42</v>
      </c>
      <c r="AR95" s="39">
        <v>3.45</v>
      </c>
      <c r="AS95" s="39">
        <v>3.48</v>
      </c>
      <c r="AT95" s="39">
        <v>3.51</v>
      </c>
      <c r="AU95" s="39">
        <v>3.53</v>
      </c>
      <c r="AV95" s="39">
        <v>3.56</v>
      </c>
      <c r="AW95" s="39">
        <v>3.59</v>
      </c>
      <c r="AX95" s="39">
        <v>3.62</v>
      </c>
      <c r="AY95" s="39">
        <v>3.65</v>
      </c>
      <c r="AZ95" s="39">
        <v>3.68</v>
      </c>
      <c r="BA95" s="39">
        <v>3.71</v>
      </c>
      <c r="BB95" s="39">
        <v>3.74</v>
      </c>
      <c r="BC95" s="39">
        <v>3.77</v>
      </c>
      <c r="BD95" s="39">
        <v>3.8</v>
      </c>
      <c r="BE95" s="39">
        <v>3.83</v>
      </c>
      <c r="BF95" s="39">
        <v>3.86</v>
      </c>
      <c r="BG95" s="39">
        <v>3.89</v>
      </c>
      <c r="BH95" s="39">
        <v>3.92</v>
      </c>
      <c r="BI95" s="39">
        <v>3.95</v>
      </c>
      <c r="BJ95" s="39">
        <v>3.98</v>
      </c>
      <c r="BK95" s="39">
        <v>4.01</v>
      </c>
      <c r="BL95" s="39">
        <v>4.04</v>
      </c>
      <c r="BM95" s="39">
        <v>4.07</v>
      </c>
      <c r="BN95" s="39">
        <v>4.0999999999999996</v>
      </c>
      <c r="BO95" s="39">
        <v>4.13</v>
      </c>
      <c r="BP95" s="39">
        <v>4.16</v>
      </c>
      <c r="BQ95" s="39">
        <v>4.1900000000000004</v>
      </c>
      <c r="BR95" s="39">
        <v>4.22</v>
      </c>
      <c r="BS95" s="39">
        <v>4.25</v>
      </c>
      <c r="BT95" s="40">
        <v>4.28</v>
      </c>
      <c r="BU95" s="39">
        <v>4.3099999999999996</v>
      </c>
      <c r="BV95" s="39">
        <v>4.34</v>
      </c>
      <c r="BW95" s="39">
        <v>4.37</v>
      </c>
      <c r="BX95" s="39">
        <v>4.4000000000000004</v>
      </c>
      <c r="BY95" s="39">
        <v>4.43</v>
      </c>
      <c r="BZ95" s="39">
        <v>4.46</v>
      </c>
      <c r="CA95" s="39">
        <v>4.49</v>
      </c>
      <c r="CB95" s="39">
        <v>4.5199999999999996</v>
      </c>
      <c r="CC95" s="39">
        <v>4.55</v>
      </c>
      <c r="CD95" s="39">
        <v>4.58</v>
      </c>
      <c r="CE95" s="39">
        <v>4.6100000000000003</v>
      </c>
      <c r="CF95" s="39">
        <v>4.6399999999999997</v>
      </c>
      <c r="CG95" s="39">
        <v>4.67</v>
      </c>
      <c r="CH95" s="39">
        <v>4.7</v>
      </c>
      <c r="CI95" s="39">
        <v>4.7300000000000004</v>
      </c>
      <c r="CJ95" s="39">
        <v>4.76</v>
      </c>
      <c r="CK95" s="39">
        <v>4.79</v>
      </c>
      <c r="CL95" s="39">
        <v>4.82</v>
      </c>
      <c r="CM95" s="39">
        <v>4.8499999999999996</v>
      </c>
      <c r="CN95" s="39">
        <v>4.88</v>
      </c>
      <c r="CO95" s="39">
        <v>4.91</v>
      </c>
      <c r="CP95" s="39">
        <v>4.9400000000000004</v>
      </c>
      <c r="CQ95" s="39">
        <v>4.97</v>
      </c>
      <c r="CR95" s="39">
        <v>5</v>
      </c>
      <c r="CS95" s="39">
        <v>5.03</v>
      </c>
      <c r="CT95" s="39">
        <v>5.0599999999999996</v>
      </c>
      <c r="CU95" s="39">
        <v>5.09</v>
      </c>
      <c r="CV95" s="39">
        <v>5.12</v>
      </c>
      <c r="CW95" s="39">
        <v>5.15</v>
      </c>
      <c r="CX95" s="39">
        <v>5.18</v>
      </c>
      <c r="CY95" s="39">
        <v>5.21</v>
      </c>
      <c r="CZ95" s="39">
        <v>5.24</v>
      </c>
      <c r="DA95" s="39">
        <v>5.27</v>
      </c>
      <c r="DB95" s="39">
        <v>5.3</v>
      </c>
      <c r="DC95" s="39">
        <v>5.33</v>
      </c>
      <c r="DD95" s="39">
        <v>5.36</v>
      </c>
      <c r="DE95" s="39">
        <v>5.38</v>
      </c>
      <c r="DF95" s="39">
        <v>5.41</v>
      </c>
      <c r="DG95" s="39">
        <v>5.44</v>
      </c>
      <c r="DH95" s="39">
        <v>5.47</v>
      </c>
      <c r="DI95" s="39">
        <v>5.5</v>
      </c>
      <c r="DJ95" s="39">
        <v>5.53</v>
      </c>
      <c r="DK95" s="39">
        <v>5.56</v>
      </c>
      <c r="DL95" s="39">
        <v>5.59</v>
      </c>
      <c r="DM95" s="39">
        <v>5.61</v>
      </c>
      <c r="DN95" s="39">
        <v>5.64</v>
      </c>
      <c r="DO95" s="39">
        <v>5.67</v>
      </c>
      <c r="DP95" s="39">
        <v>5.7</v>
      </c>
      <c r="DQ95" s="39">
        <v>5.73</v>
      </c>
      <c r="DR95" s="39">
        <v>5.76</v>
      </c>
    </row>
    <row r="96" spans="1:122">
      <c r="A96" s="37">
        <v>94</v>
      </c>
      <c r="B96" s="38"/>
      <c r="C96" s="38"/>
      <c r="D96" s="38"/>
      <c r="E96" s="38"/>
      <c r="F96" s="38"/>
      <c r="G96" s="38"/>
      <c r="H96" s="38"/>
      <c r="I96" s="38"/>
      <c r="J96" s="38"/>
      <c r="K96" s="38"/>
      <c r="L96" s="38"/>
      <c r="M96" s="38"/>
      <c r="N96" s="38"/>
      <c r="O96" s="38"/>
      <c r="P96" s="38"/>
      <c r="Q96" s="38"/>
      <c r="R96" s="38"/>
      <c r="S96" s="38"/>
      <c r="T96" s="38"/>
      <c r="U96" s="38"/>
      <c r="V96" s="39"/>
      <c r="W96" s="39">
        <v>2.77</v>
      </c>
      <c r="X96" s="39">
        <v>2.67</v>
      </c>
      <c r="Y96" s="39">
        <v>2.73</v>
      </c>
      <c r="Z96" s="39">
        <v>2.76</v>
      </c>
      <c r="AA96" s="39">
        <v>2.79</v>
      </c>
      <c r="AB96" s="39">
        <v>2.81</v>
      </c>
      <c r="AC96" s="39">
        <v>2.84</v>
      </c>
      <c r="AD96" s="39">
        <v>2.86</v>
      </c>
      <c r="AE96" s="39">
        <v>2.88</v>
      </c>
      <c r="AF96" s="39">
        <v>2.9</v>
      </c>
      <c r="AG96" s="39">
        <v>2.92</v>
      </c>
      <c r="AH96" s="39">
        <v>2.95</v>
      </c>
      <c r="AI96" s="39">
        <v>2.97</v>
      </c>
      <c r="AJ96" s="39">
        <v>2.99</v>
      </c>
      <c r="AK96" s="39">
        <v>3.01</v>
      </c>
      <c r="AL96" s="39">
        <v>3.04</v>
      </c>
      <c r="AM96" s="39">
        <v>3.06</v>
      </c>
      <c r="AN96" s="39">
        <v>3.09</v>
      </c>
      <c r="AO96" s="39">
        <v>3.11</v>
      </c>
      <c r="AP96" s="39">
        <v>3.14</v>
      </c>
      <c r="AQ96" s="39">
        <v>3.17</v>
      </c>
      <c r="AR96" s="39">
        <v>3.19</v>
      </c>
      <c r="AS96" s="39">
        <v>3.22</v>
      </c>
      <c r="AT96" s="39">
        <v>3.25</v>
      </c>
      <c r="AU96" s="39">
        <v>3.27</v>
      </c>
      <c r="AV96" s="39">
        <v>3.3</v>
      </c>
      <c r="AW96" s="39">
        <v>3.32</v>
      </c>
      <c r="AX96" s="39">
        <v>3.35</v>
      </c>
      <c r="AY96" s="39">
        <v>3.38</v>
      </c>
      <c r="AZ96" s="39">
        <v>3.4</v>
      </c>
      <c r="BA96" s="39">
        <v>3.43</v>
      </c>
      <c r="BB96" s="39">
        <v>3.46</v>
      </c>
      <c r="BC96" s="39">
        <v>3.48</v>
      </c>
      <c r="BD96" s="39">
        <v>3.51</v>
      </c>
      <c r="BE96" s="39">
        <v>3.54</v>
      </c>
      <c r="BF96" s="39">
        <v>3.56</v>
      </c>
      <c r="BG96" s="39">
        <v>3.59</v>
      </c>
      <c r="BH96" s="39">
        <v>3.62</v>
      </c>
      <c r="BI96" s="39">
        <v>3.64</v>
      </c>
      <c r="BJ96" s="39">
        <v>3.67</v>
      </c>
      <c r="BK96" s="39">
        <v>3.7</v>
      </c>
      <c r="BL96" s="39">
        <v>3.73</v>
      </c>
      <c r="BM96" s="39">
        <v>3.75</v>
      </c>
      <c r="BN96" s="39">
        <v>3.78</v>
      </c>
      <c r="BO96" s="39">
        <v>3.81</v>
      </c>
      <c r="BP96" s="39">
        <v>3.83</v>
      </c>
      <c r="BQ96" s="39">
        <v>3.86</v>
      </c>
      <c r="BR96" s="39">
        <v>3.89</v>
      </c>
      <c r="BS96" s="39">
        <v>3.91</v>
      </c>
      <c r="BT96" s="40">
        <v>3.94</v>
      </c>
      <c r="BU96" s="39">
        <v>3.97</v>
      </c>
      <c r="BV96" s="39">
        <v>3.99</v>
      </c>
      <c r="BW96" s="39">
        <v>4.0199999999999996</v>
      </c>
      <c r="BX96" s="39">
        <v>4.05</v>
      </c>
      <c r="BY96" s="39">
        <v>4.08</v>
      </c>
      <c r="BZ96" s="39">
        <v>4.0999999999999996</v>
      </c>
      <c r="CA96" s="39">
        <v>4.13</v>
      </c>
      <c r="CB96" s="39">
        <v>4.16</v>
      </c>
      <c r="CC96" s="39">
        <v>4.18</v>
      </c>
      <c r="CD96" s="39">
        <v>4.21</v>
      </c>
      <c r="CE96" s="39">
        <v>4.24</v>
      </c>
      <c r="CF96" s="39">
        <v>4.26</v>
      </c>
      <c r="CG96" s="39">
        <v>4.29</v>
      </c>
      <c r="CH96" s="39">
        <v>4.32</v>
      </c>
      <c r="CI96" s="39">
        <v>4.34</v>
      </c>
      <c r="CJ96" s="39">
        <v>4.37</v>
      </c>
      <c r="CK96" s="39">
        <v>4.4000000000000004</v>
      </c>
      <c r="CL96" s="39">
        <v>4.42</v>
      </c>
      <c r="CM96" s="39">
        <v>4.45</v>
      </c>
      <c r="CN96" s="39">
        <v>4.4800000000000004</v>
      </c>
      <c r="CO96" s="39">
        <v>4.5</v>
      </c>
      <c r="CP96" s="39">
        <v>4.53</v>
      </c>
      <c r="CQ96" s="39">
        <v>4.5599999999999996</v>
      </c>
      <c r="CR96" s="39">
        <v>4.58</v>
      </c>
      <c r="CS96" s="39">
        <v>4.6100000000000003</v>
      </c>
      <c r="CT96" s="39">
        <v>4.6399999999999997</v>
      </c>
      <c r="CU96" s="39">
        <v>4.66</v>
      </c>
      <c r="CV96" s="39">
        <v>4.6900000000000004</v>
      </c>
      <c r="CW96" s="39">
        <v>4.72</v>
      </c>
      <c r="CX96" s="39">
        <v>4.74</v>
      </c>
      <c r="CY96" s="39">
        <v>4.7699999999999996</v>
      </c>
      <c r="CZ96" s="39">
        <v>4.79</v>
      </c>
      <c r="DA96" s="39">
        <v>4.82</v>
      </c>
      <c r="DB96" s="39">
        <v>4.8499999999999996</v>
      </c>
      <c r="DC96" s="39">
        <v>4.87</v>
      </c>
      <c r="DD96" s="39">
        <v>4.9000000000000004</v>
      </c>
      <c r="DE96" s="39">
        <v>4.92</v>
      </c>
      <c r="DF96" s="39">
        <v>4.95</v>
      </c>
      <c r="DG96" s="39">
        <v>4.97</v>
      </c>
      <c r="DH96" s="39">
        <v>5</v>
      </c>
      <c r="DI96" s="39">
        <v>5.03</v>
      </c>
      <c r="DJ96" s="39">
        <v>5.05</v>
      </c>
      <c r="DK96" s="39">
        <v>5.08</v>
      </c>
      <c r="DL96" s="39">
        <v>5.0999999999999996</v>
      </c>
      <c r="DM96" s="39">
        <v>5.13</v>
      </c>
      <c r="DN96" s="39">
        <v>5.15</v>
      </c>
      <c r="DO96" s="39">
        <v>5.18</v>
      </c>
      <c r="DP96" s="39">
        <v>5.2</v>
      </c>
      <c r="DQ96" s="39">
        <v>5.23</v>
      </c>
      <c r="DR96" s="39">
        <v>5.25</v>
      </c>
    </row>
    <row r="97" spans="1:122">
      <c r="A97" s="37">
        <v>95</v>
      </c>
      <c r="B97" s="38"/>
      <c r="C97" s="38"/>
      <c r="D97" s="38"/>
      <c r="E97" s="38"/>
      <c r="F97" s="38"/>
      <c r="G97" s="38"/>
      <c r="H97" s="38"/>
      <c r="I97" s="38"/>
      <c r="J97" s="38"/>
      <c r="K97" s="38"/>
      <c r="L97" s="38"/>
      <c r="M97" s="38"/>
      <c r="N97" s="38"/>
      <c r="O97" s="38"/>
      <c r="P97" s="38"/>
      <c r="Q97" s="38"/>
      <c r="R97" s="38"/>
      <c r="S97" s="38"/>
      <c r="T97" s="38"/>
      <c r="U97" s="38"/>
      <c r="V97" s="39"/>
      <c r="W97" s="39">
        <v>2.58</v>
      </c>
      <c r="X97" s="39">
        <v>2.4900000000000002</v>
      </c>
      <c r="Y97" s="39">
        <v>2.54</v>
      </c>
      <c r="Z97" s="39">
        <v>2.57</v>
      </c>
      <c r="AA97" s="39">
        <v>2.6</v>
      </c>
      <c r="AB97" s="39">
        <v>2.62</v>
      </c>
      <c r="AC97" s="39">
        <v>2.64</v>
      </c>
      <c r="AD97" s="39">
        <v>2.66</v>
      </c>
      <c r="AE97" s="39">
        <v>2.68</v>
      </c>
      <c r="AF97" s="39">
        <v>2.7</v>
      </c>
      <c r="AG97" s="39">
        <v>2.72</v>
      </c>
      <c r="AH97" s="39">
        <v>2.74</v>
      </c>
      <c r="AI97" s="39">
        <v>2.76</v>
      </c>
      <c r="AJ97" s="39">
        <v>2.78</v>
      </c>
      <c r="AK97" s="39">
        <v>2.8</v>
      </c>
      <c r="AL97" s="39">
        <v>2.82</v>
      </c>
      <c r="AM97" s="39">
        <v>2.84</v>
      </c>
      <c r="AN97" s="39">
        <v>2.87</v>
      </c>
      <c r="AO97" s="39">
        <v>2.89</v>
      </c>
      <c r="AP97" s="39">
        <v>2.91</v>
      </c>
      <c r="AQ97" s="39">
        <v>2.94</v>
      </c>
      <c r="AR97" s="39">
        <v>2.96</v>
      </c>
      <c r="AS97" s="39">
        <v>2.98</v>
      </c>
      <c r="AT97" s="39">
        <v>3.01</v>
      </c>
      <c r="AU97" s="39">
        <v>3.03</v>
      </c>
      <c r="AV97" s="39">
        <v>3.05</v>
      </c>
      <c r="AW97" s="39">
        <v>3.08</v>
      </c>
      <c r="AX97" s="39">
        <v>3.1</v>
      </c>
      <c r="AY97" s="39">
        <v>3.12</v>
      </c>
      <c r="AZ97" s="39">
        <v>3.15</v>
      </c>
      <c r="BA97" s="39">
        <v>3.17</v>
      </c>
      <c r="BB97" s="39">
        <v>3.2</v>
      </c>
      <c r="BC97" s="39">
        <v>3.22</v>
      </c>
      <c r="BD97" s="39">
        <v>3.24</v>
      </c>
      <c r="BE97" s="39">
        <v>3.27</v>
      </c>
      <c r="BF97" s="39">
        <v>3.29</v>
      </c>
      <c r="BG97" s="39">
        <v>3.31</v>
      </c>
      <c r="BH97" s="39">
        <v>3.34</v>
      </c>
      <c r="BI97" s="39">
        <v>3.36</v>
      </c>
      <c r="BJ97" s="39">
        <v>3.39</v>
      </c>
      <c r="BK97" s="39">
        <v>3.41</v>
      </c>
      <c r="BL97" s="39">
        <v>3.43</v>
      </c>
      <c r="BM97" s="39">
        <v>3.46</v>
      </c>
      <c r="BN97" s="39">
        <v>3.48</v>
      </c>
      <c r="BO97" s="39">
        <v>3.5</v>
      </c>
      <c r="BP97" s="39">
        <v>3.53</v>
      </c>
      <c r="BQ97" s="39">
        <v>3.55</v>
      </c>
      <c r="BR97" s="39">
        <v>3.58</v>
      </c>
      <c r="BS97" s="39">
        <v>3.6</v>
      </c>
      <c r="BT97" s="40">
        <v>3.62</v>
      </c>
      <c r="BU97" s="39">
        <v>3.65</v>
      </c>
      <c r="BV97" s="39">
        <v>3.67</v>
      </c>
      <c r="BW97" s="39">
        <v>3.69</v>
      </c>
      <c r="BX97" s="39">
        <v>3.72</v>
      </c>
      <c r="BY97" s="39">
        <v>3.74</v>
      </c>
      <c r="BZ97" s="39">
        <v>3.77</v>
      </c>
      <c r="CA97" s="39">
        <v>3.79</v>
      </c>
      <c r="CB97" s="39">
        <v>3.81</v>
      </c>
      <c r="CC97" s="39">
        <v>3.84</v>
      </c>
      <c r="CD97" s="39">
        <v>3.86</v>
      </c>
      <c r="CE97" s="39">
        <v>3.88</v>
      </c>
      <c r="CF97" s="39">
        <v>3.91</v>
      </c>
      <c r="CG97" s="39">
        <v>3.93</v>
      </c>
      <c r="CH97" s="39">
        <v>3.96</v>
      </c>
      <c r="CI97" s="39">
        <v>3.98</v>
      </c>
      <c r="CJ97" s="39">
        <v>4</v>
      </c>
      <c r="CK97" s="39">
        <v>4.03</v>
      </c>
      <c r="CL97" s="39">
        <v>4.05</v>
      </c>
      <c r="CM97" s="39">
        <v>4.07</v>
      </c>
      <c r="CN97" s="39">
        <v>4.0999999999999996</v>
      </c>
      <c r="CO97" s="39">
        <v>4.12</v>
      </c>
      <c r="CP97" s="39">
        <v>4.1399999999999997</v>
      </c>
      <c r="CQ97" s="39">
        <v>4.17</v>
      </c>
      <c r="CR97" s="39">
        <v>4.1900000000000004</v>
      </c>
      <c r="CS97" s="39">
        <v>4.21</v>
      </c>
      <c r="CT97" s="39">
        <v>4.2300000000000004</v>
      </c>
      <c r="CU97" s="39">
        <v>4.26</v>
      </c>
      <c r="CV97" s="39">
        <v>4.28</v>
      </c>
      <c r="CW97" s="39">
        <v>4.3</v>
      </c>
      <c r="CX97" s="39">
        <v>4.33</v>
      </c>
      <c r="CY97" s="39">
        <v>4.3499999999999996</v>
      </c>
      <c r="CZ97" s="39">
        <v>4.37</v>
      </c>
      <c r="DA97" s="39">
        <v>4.3899999999999997</v>
      </c>
      <c r="DB97" s="39">
        <v>4.42</v>
      </c>
      <c r="DC97" s="39">
        <v>4.4400000000000004</v>
      </c>
      <c r="DD97" s="39">
        <v>4.46</v>
      </c>
      <c r="DE97" s="39">
        <v>4.4800000000000004</v>
      </c>
      <c r="DF97" s="39">
        <v>4.51</v>
      </c>
      <c r="DG97" s="39">
        <v>4.53</v>
      </c>
      <c r="DH97" s="39">
        <v>4.55</v>
      </c>
      <c r="DI97" s="39">
        <v>4.57</v>
      </c>
      <c r="DJ97" s="39">
        <v>4.5999999999999996</v>
      </c>
      <c r="DK97" s="39">
        <v>4.62</v>
      </c>
      <c r="DL97" s="39">
        <v>4.6399999999999997</v>
      </c>
      <c r="DM97" s="39">
        <v>4.66</v>
      </c>
      <c r="DN97" s="39">
        <v>4.68</v>
      </c>
      <c r="DO97" s="39">
        <v>4.71</v>
      </c>
      <c r="DP97" s="39">
        <v>4.7300000000000004</v>
      </c>
      <c r="DQ97" s="39">
        <v>4.75</v>
      </c>
      <c r="DR97" s="39">
        <v>4.7699999999999996</v>
      </c>
    </row>
    <row r="98" spans="1:122">
      <c r="A98" s="37">
        <v>96</v>
      </c>
      <c r="B98" s="38"/>
      <c r="C98" s="38"/>
      <c r="D98" s="38"/>
      <c r="E98" s="38"/>
      <c r="F98" s="38"/>
      <c r="G98" s="38"/>
      <c r="H98" s="38"/>
      <c r="I98" s="38"/>
      <c r="J98" s="38"/>
      <c r="K98" s="38"/>
      <c r="L98" s="38"/>
      <c r="M98" s="38"/>
      <c r="N98" s="38"/>
      <c r="O98" s="38"/>
      <c r="P98" s="38"/>
      <c r="Q98" s="38"/>
      <c r="R98" s="38"/>
      <c r="S98" s="38"/>
      <c r="T98" s="38"/>
      <c r="U98" s="38"/>
      <c r="V98" s="39"/>
      <c r="W98" s="39">
        <v>2.41</v>
      </c>
      <c r="X98" s="39">
        <v>2.33</v>
      </c>
      <c r="Y98" s="39">
        <v>2.38</v>
      </c>
      <c r="Z98" s="39">
        <v>2.4</v>
      </c>
      <c r="AA98" s="39">
        <v>2.4300000000000002</v>
      </c>
      <c r="AB98" s="39">
        <v>2.4500000000000002</v>
      </c>
      <c r="AC98" s="39">
        <v>2.46</v>
      </c>
      <c r="AD98" s="39">
        <v>2.48</v>
      </c>
      <c r="AE98" s="39">
        <v>2.5</v>
      </c>
      <c r="AF98" s="39">
        <v>2.52</v>
      </c>
      <c r="AG98" s="39">
        <v>2.54</v>
      </c>
      <c r="AH98" s="39">
        <v>2.5499999999999998</v>
      </c>
      <c r="AI98" s="39">
        <v>2.57</v>
      </c>
      <c r="AJ98" s="39">
        <v>2.59</v>
      </c>
      <c r="AK98" s="39">
        <v>2.61</v>
      </c>
      <c r="AL98" s="39">
        <v>2.63</v>
      </c>
      <c r="AM98" s="39">
        <v>2.65</v>
      </c>
      <c r="AN98" s="39">
        <v>2.67</v>
      </c>
      <c r="AO98" s="39">
        <v>2.69</v>
      </c>
      <c r="AP98" s="39">
        <v>2.71</v>
      </c>
      <c r="AQ98" s="39">
        <v>2.73</v>
      </c>
      <c r="AR98" s="39">
        <v>2.75</v>
      </c>
      <c r="AS98" s="39">
        <v>2.77</v>
      </c>
      <c r="AT98" s="39">
        <v>2.79</v>
      </c>
      <c r="AU98" s="39">
        <v>2.81</v>
      </c>
      <c r="AV98" s="39">
        <v>2.84</v>
      </c>
      <c r="AW98" s="39">
        <v>2.86</v>
      </c>
      <c r="AX98" s="39">
        <v>2.88</v>
      </c>
      <c r="AY98" s="39">
        <v>2.9</v>
      </c>
      <c r="AZ98" s="39">
        <v>2.92</v>
      </c>
      <c r="BA98" s="39">
        <v>2.94</v>
      </c>
      <c r="BB98" s="39">
        <v>2.96</v>
      </c>
      <c r="BC98" s="39">
        <v>2.98</v>
      </c>
      <c r="BD98" s="39">
        <v>3</v>
      </c>
      <c r="BE98" s="39">
        <v>3.03</v>
      </c>
      <c r="BF98" s="39">
        <v>3.05</v>
      </c>
      <c r="BG98" s="39">
        <v>3.07</v>
      </c>
      <c r="BH98" s="39">
        <v>3.09</v>
      </c>
      <c r="BI98" s="39">
        <v>3.11</v>
      </c>
      <c r="BJ98" s="39">
        <v>3.13</v>
      </c>
      <c r="BK98" s="39">
        <v>3.15</v>
      </c>
      <c r="BL98" s="39">
        <v>3.17</v>
      </c>
      <c r="BM98" s="39">
        <v>3.2</v>
      </c>
      <c r="BN98" s="39">
        <v>3.22</v>
      </c>
      <c r="BO98" s="39">
        <v>3.24</v>
      </c>
      <c r="BP98" s="39">
        <v>3.26</v>
      </c>
      <c r="BQ98" s="39">
        <v>3.28</v>
      </c>
      <c r="BR98" s="39">
        <v>3.3</v>
      </c>
      <c r="BS98" s="39">
        <v>3.32</v>
      </c>
      <c r="BT98" s="40">
        <v>3.34</v>
      </c>
      <c r="BU98" s="39">
        <v>3.37</v>
      </c>
      <c r="BV98" s="39">
        <v>3.39</v>
      </c>
      <c r="BW98" s="39">
        <v>3.41</v>
      </c>
      <c r="BX98" s="39">
        <v>3.43</v>
      </c>
      <c r="BY98" s="39">
        <v>3.45</v>
      </c>
      <c r="BZ98" s="39">
        <v>3.47</v>
      </c>
      <c r="CA98" s="39">
        <v>3.49</v>
      </c>
      <c r="CB98" s="39">
        <v>3.51</v>
      </c>
      <c r="CC98" s="39">
        <v>3.53</v>
      </c>
      <c r="CD98" s="39">
        <v>3.55</v>
      </c>
      <c r="CE98" s="39">
        <v>3.58</v>
      </c>
      <c r="CF98" s="39">
        <v>3.6</v>
      </c>
      <c r="CG98" s="39">
        <v>3.62</v>
      </c>
      <c r="CH98" s="39">
        <v>3.64</v>
      </c>
      <c r="CI98" s="39">
        <v>3.66</v>
      </c>
      <c r="CJ98" s="39">
        <v>3.68</v>
      </c>
      <c r="CK98" s="39">
        <v>3.7</v>
      </c>
      <c r="CL98" s="39">
        <v>3.72</v>
      </c>
      <c r="CM98" s="39">
        <v>3.74</v>
      </c>
      <c r="CN98" s="39">
        <v>3.76</v>
      </c>
      <c r="CO98" s="39">
        <v>3.78</v>
      </c>
      <c r="CP98" s="39">
        <v>3.8</v>
      </c>
      <c r="CQ98" s="39">
        <v>3.82</v>
      </c>
      <c r="CR98" s="39">
        <v>3.84</v>
      </c>
      <c r="CS98" s="39">
        <v>3.86</v>
      </c>
      <c r="CT98" s="39">
        <v>3.88</v>
      </c>
      <c r="CU98" s="39">
        <v>3.9</v>
      </c>
      <c r="CV98" s="39">
        <v>3.92</v>
      </c>
      <c r="CW98" s="39">
        <v>3.94</v>
      </c>
      <c r="CX98" s="39">
        <v>3.96</v>
      </c>
      <c r="CY98" s="39">
        <v>3.98</v>
      </c>
      <c r="CZ98" s="39">
        <v>4</v>
      </c>
      <c r="DA98" s="39">
        <v>4.0199999999999996</v>
      </c>
      <c r="DB98" s="39">
        <v>4.04</v>
      </c>
      <c r="DC98" s="39">
        <v>4.0599999999999996</v>
      </c>
      <c r="DD98" s="39">
        <v>4.08</v>
      </c>
      <c r="DE98" s="39">
        <v>4.0999999999999996</v>
      </c>
      <c r="DF98" s="39">
        <v>4.12</v>
      </c>
      <c r="DG98" s="39">
        <v>4.1399999999999997</v>
      </c>
      <c r="DH98" s="39">
        <v>4.16</v>
      </c>
      <c r="DI98" s="39">
        <v>4.18</v>
      </c>
      <c r="DJ98" s="39">
        <v>4.2</v>
      </c>
      <c r="DK98" s="39">
        <v>4.22</v>
      </c>
      <c r="DL98" s="39">
        <v>4.24</v>
      </c>
      <c r="DM98" s="39">
        <v>4.26</v>
      </c>
      <c r="DN98" s="39">
        <v>4.28</v>
      </c>
      <c r="DO98" s="39">
        <v>4.3</v>
      </c>
      <c r="DP98" s="39">
        <v>4.32</v>
      </c>
      <c r="DQ98" s="39">
        <v>4.33</v>
      </c>
      <c r="DR98" s="39">
        <v>4.3499999999999996</v>
      </c>
    </row>
    <row r="99" spans="1:122">
      <c r="A99" s="37">
        <v>97</v>
      </c>
      <c r="B99" s="38"/>
      <c r="C99" s="38"/>
      <c r="D99" s="38"/>
      <c r="E99" s="38"/>
      <c r="F99" s="38"/>
      <c r="G99" s="38"/>
      <c r="H99" s="38"/>
      <c r="I99" s="38"/>
      <c r="J99" s="38"/>
      <c r="K99" s="38"/>
      <c r="L99" s="38"/>
      <c r="M99" s="38"/>
      <c r="N99" s="38"/>
      <c r="O99" s="38"/>
      <c r="P99" s="38"/>
      <c r="Q99" s="38"/>
      <c r="R99" s="38"/>
      <c r="S99" s="38"/>
      <c r="T99" s="38"/>
      <c r="U99" s="38"/>
      <c r="V99" s="39"/>
      <c r="W99" s="39">
        <v>2.25</v>
      </c>
      <c r="X99" s="39">
        <v>2.1800000000000002</v>
      </c>
      <c r="Y99" s="39">
        <v>2.23</v>
      </c>
      <c r="Z99" s="39">
        <v>2.25</v>
      </c>
      <c r="AA99" s="39">
        <v>2.27</v>
      </c>
      <c r="AB99" s="39">
        <v>2.29</v>
      </c>
      <c r="AC99" s="39">
        <v>2.31</v>
      </c>
      <c r="AD99" s="39">
        <v>2.3199999999999998</v>
      </c>
      <c r="AE99" s="39">
        <v>2.34</v>
      </c>
      <c r="AF99" s="39">
        <v>2.35</v>
      </c>
      <c r="AG99" s="39">
        <v>2.37</v>
      </c>
      <c r="AH99" s="39">
        <v>2.39</v>
      </c>
      <c r="AI99" s="39">
        <v>2.4</v>
      </c>
      <c r="AJ99" s="39">
        <v>2.42</v>
      </c>
      <c r="AK99" s="39">
        <v>2.44</v>
      </c>
      <c r="AL99" s="39">
        <v>2.4500000000000002</v>
      </c>
      <c r="AM99" s="39">
        <v>2.4700000000000002</v>
      </c>
      <c r="AN99" s="39">
        <v>2.4900000000000002</v>
      </c>
      <c r="AO99" s="39">
        <v>2.5099999999999998</v>
      </c>
      <c r="AP99" s="39">
        <v>2.5299999999999998</v>
      </c>
      <c r="AQ99" s="39">
        <v>2.5499999999999998</v>
      </c>
      <c r="AR99" s="39">
        <v>2.57</v>
      </c>
      <c r="AS99" s="39">
        <v>2.58</v>
      </c>
      <c r="AT99" s="39">
        <v>2.6</v>
      </c>
      <c r="AU99" s="39">
        <v>2.62</v>
      </c>
      <c r="AV99" s="39">
        <v>2.64</v>
      </c>
      <c r="AW99" s="39">
        <v>2.66</v>
      </c>
      <c r="AX99" s="39">
        <v>2.68</v>
      </c>
      <c r="AY99" s="39">
        <v>2.7</v>
      </c>
      <c r="AZ99" s="39">
        <v>2.72</v>
      </c>
      <c r="BA99" s="39">
        <v>2.74</v>
      </c>
      <c r="BB99" s="39">
        <v>2.76</v>
      </c>
      <c r="BC99" s="39">
        <v>2.78</v>
      </c>
      <c r="BD99" s="39">
        <v>2.79</v>
      </c>
      <c r="BE99" s="39">
        <v>2.81</v>
      </c>
      <c r="BF99" s="39">
        <v>2.83</v>
      </c>
      <c r="BG99" s="39">
        <v>2.85</v>
      </c>
      <c r="BH99" s="39">
        <v>2.87</v>
      </c>
      <c r="BI99" s="39">
        <v>2.89</v>
      </c>
      <c r="BJ99" s="39">
        <v>2.91</v>
      </c>
      <c r="BK99" s="39">
        <v>2.93</v>
      </c>
      <c r="BL99" s="39">
        <v>2.95</v>
      </c>
      <c r="BM99" s="39">
        <v>2.97</v>
      </c>
      <c r="BN99" s="39">
        <v>2.98</v>
      </c>
      <c r="BO99" s="39">
        <v>3</v>
      </c>
      <c r="BP99" s="39">
        <v>3.02</v>
      </c>
      <c r="BQ99" s="39">
        <v>3.04</v>
      </c>
      <c r="BR99" s="39">
        <v>3.06</v>
      </c>
      <c r="BS99" s="39">
        <v>3.08</v>
      </c>
      <c r="BT99" s="40">
        <v>3.1</v>
      </c>
      <c r="BU99" s="39">
        <v>3.12</v>
      </c>
      <c r="BV99" s="39">
        <v>3.14</v>
      </c>
      <c r="BW99" s="39">
        <v>3.15</v>
      </c>
      <c r="BX99" s="39">
        <v>3.17</v>
      </c>
      <c r="BY99" s="39">
        <v>3.19</v>
      </c>
      <c r="BZ99" s="39">
        <v>3.21</v>
      </c>
      <c r="CA99" s="39">
        <v>3.23</v>
      </c>
      <c r="CB99" s="39">
        <v>3.25</v>
      </c>
      <c r="CC99" s="39">
        <v>3.27</v>
      </c>
      <c r="CD99" s="39">
        <v>3.29</v>
      </c>
      <c r="CE99" s="39">
        <v>3.3</v>
      </c>
      <c r="CF99" s="39">
        <v>3.32</v>
      </c>
      <c r="CG99" s="39">
        <v>3.34</v>
      </c>
      <c r="CH99" s="39">
        <v>3.36</v>
      </c>
      <c r="CI99" s="39">
        <v>3.38</v>
      </c>
      <c r="CJ99" s="39">
        <v>3.4</v>
      </c>
      <c r="CK99" s="39">
        <v>3.41</v>
      </c>
      <c r="CL99" s="39">
        <v>3.43</v>
      </c>
      <c r="CM99" s="39">
        <v>3.45</v>
      </c>
      <c r="CN99" s="39">
        <v>3.47</v>
      </c>
      <c r="CO99" s="39">
        <v>3.49</v>
      </c>
      <c r="CP99" s="39">
        <v>3.51</v>
      </c>
      <c r="CQ99" s="39">
        <v>3.52</v>
      </c>
      <c r="CR99" s="39">
        <v>3.54</v>
      </c>
      <c r="CS99" s="39">
        <v>3.56</v>
      </c>
      <c r="CT99" s="39">
        <v>3.58</v>
      </c>
      <c r="CU99" s="39">
        <v>3.6</v>
      </c>
      <c r="CV99" s="39">
        <v>3.61</v>
      </c>
      <c r="CW99" s="39">
        <v>3.63</v>
      </c>
      <c r="CX99" s="39">
        <v>3.65</v>
      </c>
      <c r="CY99" s="39">
        <v>3.67</v>
      </c>
      <c r="CZ99" s="39">
        <v>3.68</v>
      </c>
      <c r="DA99" s="39">
        <v>3.7</v>
      </c>
      <c r="DB99" s="39">
        <v>3.72</v>
      </c>
      <c r="DC99" s="39">
        <v>3.74</v>
      </c>
      <c r="DD99" s="39">
        <v>3.75</v>
      </c>
      <c r="DE99" s="39">
        <v>3.77</v>
      </c>
      <c r="DF99" s="39">
        <v>3.79</v>
      </c>
      <c r="DG99" s="39">
        <v>3.81</v>
      </c>
      <c r="DH99" s="39">
        <v>3.82</v>
      </c>
      <c r="DI99" s="39">
        <v>3.84</v>
      </c>
      <c r="DJ99" s="39">
        <v>3.86</v>
      </c>
      <c r="DK99" s="39">
        <v>3.88</v>
      </c>
      <c r="DL99" s="39">
        <v>3.89</v>
      </c>
      <c r="DM99" s="39">
        <v>3.91</v>
      </c>
      <c r="DN99" s="39">
        <v>3.93</v>
      </c>
      <c r="DO99" s="39">
        <v>3.94</v>
      </c>
      <c r="DP99" s="39">
        <v>3.96</v>
      </c>
      <c r="DQ99" s="39">
        <v>3.98</v>
      </c>
      <c r="DR99" s="39">
        <v>3.99</v>
      </c>
    </row>
    <row r="100" spans="1:122">
      <c r="A100" s="37">
        <v>98</v>
      </c>
      <c r="B100" s="38"/>
      <c r="C100" s="38"/>
      <c r="D100" s="38"/>
      <c r="E100" s="38"/>
      <c r="F100" s="38"/>
      <c r="G100" s="38"/>
      <c r="H100" s="38"/>
      <c r="I100" s="38"/>
      <c r="J100" s="38"/>
      <c r="K100" s="38"/>
      <c r="L100" s="38"/>
      <c r="M100" s="38"/>
      <c r="N100" s="38"/>
      <c r="O100" s="38"/>
      <c r="P100" s="38"/>
      <c r="Q100" s="38"/>
      <c r="R100" s="38"/>
      <c r="S100" s="38"/>
      <c r="T100" s="38"/>
      <c r="U100" s="38"/>
      <c r="V100" s="39"/>
      <c r="W100" s="39">
        <v>2.12</v>
      </c>
      <c r="X100" s="39">
        <v>2.0499999999999998</v>
      </c>
      <c r="Y100" s="39">
        <v>2.09</v>
      </c>
      <c r="Z100" s="39">
        <v>2.11</v>
      </c>
      <c r="AA100" s="39">
        <v>2.13</v>
      </c>
      <c r="AB100" s="39">
        <v>2.15</v>
      </c>
      <c r="AC100" s="39">
        <v>2.16</v>
      </c>
      <c r="AD100" s="39">
        <v>2.1800000000000002</v>
      </c>
      <c r="AE100" s="39">
        <v>2.19</v>
      </c>
      <c r="AF100" s="39">
        <v>2.21</v>
      </c>
      <c r="AG100" s="39">
        <v>2.2200000000000002</v>
      </c>
      <c r="AH100" s="39">
        <v>2.2400000000000002</v>
      </c>
      <c r="AI100" s="39">
        <v>2.25</v>
      </c>
      <c r="AJ100" s="39">
        <v>2.27</v>
      </c>
      <c r="AK100" s="39">
        <v>2.2799999999999998</v>
      </c>
      <c r="AL100" s="39">
        <v>2.2999999999999998</v>
      </c>
      <c r="AM100" s="39">
        <v>2.3199999999999998</v>
      </c>
      <c r="AN100" s="39">
        <v>2.33</v>
      </c>
      <c r="AO100" s="39">
        <v>2.35</v>
      </c>
      <c r="AP100" s="39">
        <v>2.37</v>
      </c>
      <c r="AQ100" s="39">
        <v>2.38</v>
      </c>
      <c r="AR100" s="39">
        <v>2.4</v>
      </c>
      <c r="AS100" s="39">
        <v>2.42</v>
      </c>
      <c r="AT100" s="39">
        <v>2.44</v>
      </c>
      <c r="AU100" s="39">
        <v>2.4500000000000002</v>
      </c>
      <c r="AV100" s="39">
        <v>2.4700000000000002</v>
      </c>
      <c r="AW100" s="39">
        <v>2.4900000000000002</v>
      </c>
      <c r="AX100" s="39">
        <v>2.5</v>
      </c>
      <c r="AY100" s="39">
        <v>2.52</v>
      </c>
      <c r="AZ100" s="39">
        <v>2.54</v>
      </c>
      <c r="BA100" s="39">
        <v>2.56</v>
      </c>
      <c r="BB100" s="39">
        <v>2.57</v>
      </c>
      <c r="BC100" s="39">
        <v>2.59</v>
      </c>
      <c r="BD100" s="39">
        <v>2.61</v>
      </c>
      <c r="BE100" s="39">
        <v>2.63</v>
      </c>
      <c r="BF100" s="39">
        <v>2.64</v>
      </c>
      <c r="BG100" s="39">
        <v>2.66</v>
      </c>
      <c r="BH100" s="39">
        <v>2.68</v>
      </c>
      <c r="BI100" s="39">
        <v>2.69</v>
      </c>
      <c r="BJ100" s="39">
        <v>2.71</v>
      </c>
      <c r="BK100" s="39">
        <v>2.73</v>
      </c>
      <c r="BL100" s="39">
        <v>2.75</v>
      </c>
      <c r="BM100" s="39">
        <v>2.76</v>
      </c>
      <c r="BN100" s="39">
        <v>2.78</v>
      </c>
      <c r="BO100" s="39">
        <v>2.8</v>
      </c>
      <c r="BP100" s="39">
        <v>2.81</v>
      </c>
      <c r="BQ100" s="39">
        <v>2.83</v>
      </c>
      <c r="BR100" s="39">
        <v>2.85</v>
      </c>
      <c r="BS100" s="39">
        <v>2.86</v>
      </c>
      <c r="BT100" s="40">
        <v>2.88</v>
      </c>
      <c r="BU100" s="39">
        <v>2.9</v>
      </c>
      <c r="BV100" s="39">
        <v>2.92</v>
      </c>
      <c r="BW100" s="39">
        <v>2.93</v>
      </c>
      <c r="BX100" s="39">
        <v>2.95</v>
      </c>
      <c r="BY100" s="39">
        <v>2.97</v>
      </c>
      <c r="BZ100" s="39">
        <v>2.98</v>
      </c>
      <c r="CA100" s="39">
        <v>3</v>
      </c>
      <c r="CB100" s="39">
        <v>3.02</v>
      </c>
      <c r="CC100" s="39">
        <v>3.03</v>
      </c>
      <c r="CD100" s="39">
        <v>3.05</v>
      </c>
      <c r="CE100" s="39">
        <v>3.07</v>
      </c>
      <c r="CF100" s="39">
        <v>3.08</v>
      </c>
      <c r="CG100" s="39">
        <v>3.1</v>
      </c>
      <c r="CH100" s="39">
        <v>3.12</v>
      </c>
      <c r="CI100" s="39">
        <v>3.13</v>
      </c>
      <c r="CJ100" s="39">
        <v>3.15</v>
      </c>
      <c r="CK100" s="39">
        <v>3.17</v>
      </c>
      <c r="CL100" s="39">
        <v>3.18</v>
      </c>
      <c r="CM100" s="39">
        <v>3.2</v>
      </c>
      <c r="CN100" s="39">
        <v>3.22</v>
      </c>
      <c r="CO100" s="39">
        <v>3.23</v>
      </c>
      <c r="CP100" s="39">
        <v>3.25</v>
      </c>
      <c r="CQ100" s="39">
        <v>3.26</v>
      </c>
      <c r="CR100" s="39">
        <v>3.28</v>
      </c>
      <c r="CS100" s="39">
        <v>3.3</v>
      </c>
      <c r="CT100" s="39">
        <v>3.31</v>
      </c>
      <c r="CU100" s="39">
        <v>3.33</v>
      </c>
      <c r="CV100" s="39">
        <v>3.34</v>
      </c>
      <c r="CW100" s="39">
        <v>3.36</v>
      </c>
      <c r="CX100" s="39">
        <v>3.38</v>
      </c>
      <c r="CY100" s="39">
        <v>3.39</v>
      </c>
      <c r="CZ100" s="39">
        <v>3.41</v>
      </c>
      <c r="DA100" s="39">
        <v>3.42</v>
      </c>
      <c r="DB100" s="39">
        <v>3.44</v>
      </c>
      <c r="DC100" s="39">
        <v>3.45</v>
      </c>
      <c r="DD100" s="39">
        <v>3.47</v>
      </c>
      <c r="DE100" s="39">
        <v>3.48</v>
      </c>
      <c r="DF100" s="39">
        <v>3.5</v>
      </c>
      <c r="DG100" s="39">
        <v>3.52</v>
      </c>
      <c r="DH100" s="39">
        <v>3.53</v>
      </c>
      <c r="DI100" s="39">
        <v>3.55</v>
      </c>
      <c r="DJ100" s="39">
        <v>3.56</v>
      </c>
      <c r="DK100" s="39">
        <v>3.58</v>
      </c>
      <c r="DL100" s="39">
        <v>3.59</v>
      </c>
      <c r="DM100" s="39">
        <v>3.61</v>
      </c>
      <c r="DN100" s="39">
        <v>3.62</v>
      </c>
      <c r="DO100" s="39">
        <v>3.64</v>
      </c>
      <c r="DP100" s="39">
        <v>3.65</v>
      </c>
      <c r="DQ100" s="39">
        <v>3.67</v>
      </c>
      <c r="DR100" s="39">
        <v>3.68</v>
      </c>
    </row>
    <row r="101" spans="1:122">
      <c r="A101" s="37">
        <v>99</v>
      </c>
      <c r="B101" s="38"/>
      <c r="C101" s="38"/>
      <c r="D101" s="38"/>
      <c r="E101" s="38"/>
      <c r="F101" s="38"/>
      <c r="G101" s="38"/>
      <c r="H101" s="38"/>
      <c r="I101" s="38"/>
      <c r="J101" s="38"/>
      <c r="K101" s="38"/>
      <c r="L101" s="38"/>
      <c r="M101" s="38"/>
      <c r="N101" s="38"/>
      <c r="O101" s="38"/>
      <c r="P101" s="38"/>
      <c r="Q101" s="38"/>
      <c r="R101" s="38"/>
      <c r="S101" s="38"/>
      <c r="T101" s="38"/>
      <c r="U101" s="38"/>
      <c r="V101" s="39"/>
      <c r="W101" s="39">
        <v>2</v>
      </c>
      <c r="X101" s="39">
        <v>1.94</v>
      </c>
      <c r="Y101" s="39">
        <v>1.97</v>
      </c>
      <c r="Z101" s="39">
        <v>1.99</v>
      </c>
      <c r="AA101" s="39">
        <v>2.0099999999999998</v>
      </c>
      <c r="AB101" s="39">
        <v>2.02</v>
      </c>
      <c r="AC101" s="39">
        <v>2.04</v>
      </c>
      <c r="AD101" s="39">
        <v>2.0499999999999998</v>
      </c>
      <c r="AE101" s="39">
        <v>2.0699999999999998</v>
      </c>
      <c r="AF101" s="39">
        <v>2.08</v>
      </c>
      <c r="AG101" s="39">
        <v>2.09</v>
      </c>
      <c r="AH101" s="39">
        <v>2.11</v>
      </c>
      <c r="AI101" s="39">
        <v>2.12</v>
      </c>
      <c r="AJ101" s="39">
        <v>2.13</v>
      </c>
      <c r="AK101" s="39">
        <v>2.15</v>
      </c>
      <c r="AL101" s="39">
        <v>2.16</v>
      </c>
      <c r="AM101" s="39">
        <v>2.1800000000000002</v>
      </c>
      <c r="AN101" s="39">
        <v>2.19</v>
      </c>
      <c r="AO101" s="39">
        <v>2.21</v>
      </c>
      <c r="AP101" s="39">
        <v>2.2200000000000002</v>
      </c>
      <c r="AQ101" s="39">
        <v>2.2400000000000002</v>
      </c>
      <c r="AR101" s="39">
        <v>2.2599999999999998</v>
      </c>
      <c r="AS101" s="39">
        <v>2.27</v>
      </c>
      <c r="AT101" s="39">
        <v>2.29</v>
      </c>
      <c r="AU101" s="39">
        <v>2.2999999999999998</v>
      </c>
      <c r="AV101" s="39">
        <v>2.3199999999999998</v>
      </c>
      <c r="AW101" s="39">
        <v>2.33</v>
      </c>
      <c r="AX101" s="39">
        <v>2.35</v>
      </c>
      <c r="AY101" s="39">
        <v>2.37</v>
      </c>
      <c r="AZ101" s="39">
        <v>2.38</v>
      </c>
      <c r="BA101" s="39">
        <v>2.4</v>
      </c>
      <c r="BB101" s="39">
        <v>2.41</v>
      </c>
      <c r="BC101" s="39">
        <v>2.4300000000000002</v>
      </c>
      <c r="BD101" s="39">
        <v>2.44</v>
      </c>
      <c r="BE101" s="39">
        <v>2.46</v>
      </c>
      <c r="BF101" s="39">
        <v>2.4700000000000002</v>
      </c>
      <c r="BG101" s="39">
        <v>2.4900000000000002</v>
      </c>
      <c r="BH101" s="39">
        <v>2.5099999999999998</v>
      </c>
      <c r="BI101" s="39">
        <v>2.52</v>
      </c>
      <c r="BJ101" s="39">
        <v>2.54</v>
      </c>
      <c r="BK101" s="39">
        <v>2.5499999999999998</v>
      </c>
      <c r="BL101" s="39">
        <v>2.57</v>
      </c>
      <c r="BM101" s="39">
        <v>2.58</v>
      </c>
      <c r="BN101" s="39">
        <v>2.6</v>
      </c>
      <c r="BO101" s="39">
        <v>2.62</v>
      </c>
      <c r="BP101" s="39">
        <v>2.63</v>
      </c>
      <c r="BQ101" s="39">
        <v>2.65</v>
      </c>
      <c r="BR101" s="39">
        <v>2.66</v>
      </c>
      <c r="BS101" s="39">
        <v>2.68</v>
      </c>
      <c r="BT101" s="40">
        <v>2.69</v>
      </c>
      <c r="BU101" s="39">
        <v>2.71</v>
      </c>
      <c r="BV101" s="39">
        <v>2.72</v>
      </c>
      <c r="BW101" s="39">
        <v>2.74</v>
      </c>
      <c r="BX101" s="39">
        <v>2.75</v>
      </c>
      <c r="BY101" s="39">
        <v>2.77</v>
      </c>
      <c r="BZ101" s="39">
        <v>2.78</v>
      </c>
      <c r="CA101" s="39">
        <v>2.8</v>
      </c>
      <c r="CB101" s="39">
        <v>2.81</v>
      </c>
      <c r="CC101" s="39">
        <v>2.83</v>
      </c>
      <c r="CD101" s="39">
        <v>2.84</v>
      </c>
      <c r="CE101" s="39">
        <v>2.86</v>
      </c>
      <c r="CF101" s="39">
        <v>2.87</v>
      </c>
      <c r="CG101" s="39">
        <v>2.89</v>
      </c>
      <c r="CH101" s="39">
        <v>2.9</v>
      </c>
      <c r="CI101" s="39">
        <v>2.92</v>
      </c>
      <c r="CJ101" s="39">
        <v>2.93</v>
      </c>
      <c r="CK101" s="39">
        <v>2.95</v>
      </c>
      <c r="CL101" s="39">
        <v>2.96</v>
      </c>
      <c r="CM101" s="39">
        <v>2.98</v>
      </c>
      <c r="CN101" s="39">
        <v>2.99</v>
      </c>
      <c r="CO101" s="39">
        <v>3.01</v>
      </c>
      <c r="CP101" s="39">
        <v>3.02</v>
      </c>
      <c r="CQ101" s="39">
        <v>3.04</v>
      </c>
      <c r="CR101" s="39">
        <v>3.05</v>
      </c>
      <c r="CS101" s="39">
        <v>3.07</v>
      </c>
      <c r="CT101" s="39">
        <v>3.08</v>
      </c>
      <c r="CU101" s="39">
        <v>3.09</v>
      </c>
      <c r="CV101" s="39">
        <v>3.11</v>
      </c>
      <c r="CW101" s="39">
        <v>3.12</v>
      </c>
      <c r="CX101" s="39">
        <v>3.14</v>
      </c>
      <c r="CY101" s="39">
        <v>3.15</v>
      </c>
      <c r="CZ101" s="39">
        <v>3.17</v>
      </c>
      <c r="DA101" s="39">
        <v>3.18</v>
      </c>
      <c r="DB101" s="39">
        <v>3.19</v>
      </c>
      <c r="DC101" s="39">
        <v>3.21</v>
      </c>
      <c r="DD101" s="39">
        <v>3.22</v>
      </c>
      <c r="DE101" s="39">
        <v>3.23</v>
      </c>
      <c r="DF101" s="39">
        <v>3.25</v>
      </c>
      <c r="DG101" s="39">
        <v>3.26</v>
      </c>
      <c r="DH101" s="39">
        <v>3.28</v>
      </c>
      <c r="DI101" s="39">
        <v>3.29</v>
      </c>
      <c r="DJ101" s="39">
        <v>3.3</v>
      </c>
      <c r="DK101" s="39">
        <v>3.32</v>
      </c>
      <c r="DL101" s="39">
        <v>3.33</v>
      </c>
      <c r="DM101" s="39">
        <v>3.34</v>
      </c>
      <c r="DN101" s="39">
        <v>3.36</v>
      </c>
      <c r="DO101" s="39">
        <v>3.37</v>
      </c>
      <c r="DP101" s="39">
        <v>3.38</v>
      </c>
      <c r="DQ101" s="39">
        <v>3.4</v>
      </c>
      <c r="DR101" s="39">
        <v>3.41</v>
      </c>
    </row>
    <row r="102" spans="1:122">
      <c r="A102" s="37">
        <v>100</v>
      </c>
      <c r="B102" s="38"/>
      <c r="C102" s="38"/>
      <c r="D102" s="38"/>
      <c r="E102" s="38"/>
      <c r="F102" s="38"/>
      <c r="G102" s="38"/>
      <c r="H102" s="38"/>
      <c r="I102" s="38"/>
      <c r="J102" s="38"/>
      <c r="K102" s="38"/>
      <c r="L102" s="38"/>
      <c r="M102" s="38"/>
      <c r="N102" s="38"/>
      <c r="O102" s="38"/>
      <c r="P102" s="38"/>
      <c r="Q102" s="38"/>
      <c r="R102" s="38"/>
      <c r="S102" s="38"/>
      <c r="T102" s="38"/>
      <c r="U102" s="38"/>
      <c r="V102" s="39"/>
      <c r="W102" s="39">
        <v>1.89</v>
      </c>
      <c r="X102" s="39">
        <v>1.83</v>
      </c>
      <c r="Y102" s="39">
        <v>1.87</v>
      </c>
      <c r="Z102" s="39">
        <v>1.88</v>
      </c>
      <c r="AA102" s="39">
        <v>1.9</v>
      </c>
      <c r="AB102" s="39">
        <v>1.91</v>
      </c>
      <c r="AC102" s="39">
        <v>1.93</v>
      </c>
      <c r="AD102" s="39">
        <v>1.94</v>
      </c>
      <c r="AE102" s="39">
        <v>1.95</v>
      </c>
      <c r="AF102" s="39">
        <v>1.96</v>
      </c>
      <c r="AG102" s="39">
        <v>1.98</v>
      </c>
      <c r="AH102" s="39">
        <v>1.99</v>
      </c>
      <c r="AI102" s="39">
        <v>2</v>
      </c>
      <c r="AJ102" s="39">
        <v>2.0099999999999998</v>
      </c>
      <c r="AK102" s="39">
        <v>2.0299999999999998</v>
      </c>
      <c r="AL102" s="39">
        <v>2.04</v>
      </c>
      <c r="AM102" s="39">
        <v>2.0499999999999998</v>
      </c>
      <c r="AN102" s="39">
        <v>2.0699999999999998</v>
      </c>
      <c r="AO102" s="39">
        <v>2.08</v>
      </c>
      <c r="AP102" s="39">
        <v>2.1</v>
      </c>
      <c r="AQ102" s="39">
        <v>2.11</v>
      </c>
      <c r="AR102" s="39">
        <v>2.13</v>
      </c>
      <c r="AS102" s="39">
        <v>2.14</v>
      </c>
      <c r="AT102" s="39">
        <v>2.15</v>
      </c>
      <c r="AU102" s="39">
        <v>2.17</v>
      </c>
      <c r="AV102" s="39">
        <v>2.1800000000000002</v>
      </c>
      <c r="AW102" s="39">
        <v>2.2000000000000002</v>
      </c>
      <c r="AX102" s="39">
        <v>2.21</v>
      </c>
      <c r="AY102" s="39">
        <v>2.23</v>
      </c>
      <c r="AZ102" s="39">
        <v>2.2400000000000002</v>
      </c>
      <c r="BA102" s="39">
        <v>2.2599999999999998</v>
      </c>
      <c r="BB102" s="39">
        <v>2.27</v>
      </c>
      <c r="BC102" s="39">
        <v>2.2799999999999998</v>
      </c>
      <c r="BD102" s="39">
        <v>2.2999999999999998</v>
      </c>
      <c r="BE102" s="39">
        <v>2.31</v>
      </c>
      <c r="BF102" s="39">
        <v>2.33</v>
      </c>
      <c r="BG102" s="39">
        <v>2.34</v>
      </c>
      <c r="BH102" s="39">
        <v>2.36</v>
      </c>
      <c r="BI102" s="39">
        <v>2.37</v>
      </c>
      <c r="BJ102" s="39">
        <v>2.38</v>
      </c>
      <c r="BK102" s="39">
        <v>2.4</v>
      </c>
      <c r="BL102" s="39">
        <v>2.41</v>
      </c>
      <c r="BM102" s="39">
        <v>2.4300000000000002</v>
      </c>
      <c r="BN102" s="39">
        <v>2.44</v>
      </c>
      <c r="BO102" s="39">
        <v>2.46</v>
      </c>
      <c r="BP102" s="39">
        <v>2.4700000000000002</v>
      </c>
      <c r="BQ102" s="39">
        <v>2.48</v>
      </c>
      <c r="BR102" s="39">
        <v>2.5</v>
      </c>
      <c r="BS102" s="39">
        <v>2.5099999999999998</v>
      </c>
      <c r="BT102" s="40">
        <v>2.5299999999999998</v>
      </c>
      <c r="BU102" s="39">
        <v>2.54</v>
      </c>
      <c r="BV102" s="39">
        <v>2.5499999999999998</v>
      </c>
      <c r="BW102" s="39">
        <v>2.57</v>
      </c>
      <c r="BX102" s="39">
        <v>2.58</v>
      </c>
      <c r="BY102" s="39">
        <v>2.6</v>
      </c>
      <c r="BZ102" s="39">
        <v>2.61</v>
      </c>
      <c r="CA102" s="39">
        <v>2.62</v>
      </c>
      <c r="CB102" s="39">
        <v>2.64</v>
      </c>
      <c r="CC102" s="39">
        <v>2.65</v>
      </c>
      <c r="CD102" s="39">
        <v>2.66</v>
      </c>
      <c r="CE102" s="39">
        <v>2.68</v>
      </c>
      <c r="CF102" s="39">
        <v>2.69</v>
      </c>
      <c r="CG102" s="39">
        <v>2.7</v>
      </c>
      <c r="CH102" s="39">
        <v>2.72</v>
      </c>
      <c r="CI102" s="39">
        <v>2.73</v>
      </c>
      <c r="CJ102" s="39">
        <v>2.75</v>
      </c>
      <c r="CK102" s="39">
        <v>2.76</v>
      </c>
      <c r="CL102" s="39">
        <v>2.77</v>
      </c>
      <c r="CM102" s="39">
        <v>2.79</v>
      </c>
      <c r="CN102" s="39">
        <v>2.8</v>
      </c>
      <c r="CO102" s="39">
        <v>2.81</v>
      </c>
      <c r="CP102" s="39">
        <v>2.83</v>
      </c>
      <c r="CQ102" s="39">
        <v>2.84</v>
      </c>
      <c r="CR102" s="39">
        <v>2.85</v>
      </c>
      <c r="CS102" s="39">
        <v>2.86</v>
      </c>
      <c r="CT102" s="39">
        <v>2.88</v>
      </c>
      <c r="CU102" s="39">
        <v>2.89</v>
      </c>
      <c r="CV102" s="39">
        <v>2.9</v>
      </c>
      <c r="CW102" s="39">
        <v>2.92</v>
      </c>
      <c r="CX102" s="39">
        <v>2.93</v>
      </c>
      <c r="CY102" s="39">
        <v>2.94</v>
      </c>
      <c r="CZ102" s="39">
        <v>2.95</v>
      </c>
      <c r="DA102" s="39">
        <v>2.97</v>
      </c>
      <c r="DB102" s="39">
        <v>2.98</v>
      </c>
      <c r="DC102" s="39">
        <v>2.99</v>
      </c>
      <c r="DD102" s="39">
        <v>3.01</v>
      </c>
      <c r="DE102" s="39">
        <v>3.02</v>
      </c>
      <c r="DF102" s="39">
        <v>3.03</v>
      </c>
      <c r="DG102" s="39">
        <v>3.04</v>
      </c>
      <c r="DH102" s="39">
        <v>3.05</v>
      </c>
      <c r="DI102" s="39">
        <v>3.07</v>
      </c>
      <c r="DJ102" s="39">
        <v>3.08</v>
      </c>
      <c r="DK102" s="39">
        <v>3.09</v>
      </c>
      <c r="DL102" s="39">
        <v>3.1</v>
      </c>
      <c r="DM102" s="39">
        <v>3.12</v>
      </c>
      <c r="DN102" s="39">
        <v>3.13</v>
      </c>
      <c r="DO102" s="39">
        <v>3.14</v>
      </c>
      <c r="DP102" s="39">
        <v>3.15</v>
      </c>
      <c r="DQ102" s="39">
        <v>3.16</v>
      </c>
      <c r="DR102" s="39">
        <v>3.18</v>
      </c>
    </row>
    <row r="104" spans="1:122">
      <c r="B104" s="42" t="s">
        <v>3388</v>
      </c>
    </row>
  </sheetData>
  <hyperlinks>
    <hyperlink ref="B104" r:id="rId1" display="https://www.destatis.de/SiteGlobals/Forms/Suche/Expertensuche_Formular.html?resourceId=2402&amp;input_=2408&amp;pageLocale=de&amp;templateQueryString=generationensterbetafeln&amp;submit.x=0&amp;submit.y=0" xr:uid="{E1D9E2D8-8C17-42EA-853A-FD2EDE00C6C9}"/>
    <hyperlink ref="A1" r:id="rId2" display="https://view.officeapps.live.com/op/view.aspx?src=https%3A%2F%2Fwww.destatis.de%2FDE%2FThemen%2FGesellschaft-Umwelt%2FBevoelkerung%2FSterbefaelle-Lebenserwartung%2FPublikationen%2FDownloads-Sterbefaelle%2Fkohortensterbetafeln-5126101209005.xlsx%3F__blob%3DpublicationFile&amp;wdOrigin=BROWSELINK" xr:uid="{22738937-5FCD-4BFA-87E7-0EEEA32524A7}"/>
  </hyperlinks>
  <pageMargins left="0.7" right="0.7" top="0.78740157499999996" bottom="0.78740157499999996"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DE397-7A7C-4634-8AEC-79BD199475A4}">
  <sheetPr codeName="Tabelle19"/>
  <dimension ref="A1:F113"/>
  <sheetViews>
    <sheetView workbookViewId="0">
      <pane xSplit="5" ySplit="2" topLeftCell="F1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39" t="s">
        <v>2726</v>
      </c>
      <c r="C1" s="136" t="s">
        <v>2739</v>
      </c>
      <c r="D1" s="136" t="s">
        <v>2728</v>
      </c>
      <c r="E1" s="128" t="s">
        <v>3506</v>
      </c>
      <c r="F1" s="16" t="s">
        <v>17</v>
      </c>
    </row>
    <row r="2" spans="1:6" ht="39.75" customHeight="1">
      <c r="A2" s="138"/>
      <c r="B2" s="139"/>
      <c r="C2" s="136"/>
      <c r="D2" s="136"/>
      <c r="E2" s="134"/>
      <c r="F2" s="173" t="str" cm="1">
        <f t="array" ref="F2">_xlfn.TEXTJOIN("; ", TRUE, IF(Entscheidungen!A2:A100=F1, Entscheidungen!B2:B100, ""))</f>
        <v>OLG Köln, 17.05.2011 – II-27 UF 54/11; OLG Düsseldorf, 09.02.2015 – 8 UF 72/14</v>
      </c>
    </row>
    <row r="3" spans="1:6" ht="177">
      <c r="A3" s="17">
        <f>ROW()</f>
        <v>3</v>
      </c>
      <c r="B3" s="18" t="s">
        <v>2740</v>
      </c>
      <c r="C3" s="18"/>
      <c r="D3" s="18" t="str">
        <f>+E3</f>
        <v>Geltende Rechtsgrundlage</v>
      </c>
      <c r="E3" s="31" t="s">
        <v>2724</v>
      </c>
      <c r="F3" s="6" t="s">
        <v>3112</v>
      </c>
    </row>
    <row r="4" spans="1:6" ht="360">
      <c r="A4" s="17">
        <f>ROW()</f>
        <v>4</v>
      </c>
      <c r="B4" s="18" t="s">
        <v>2740</v>
      </c>
      <c r="C4" s="1"/>
      <c r="D4" s="18" t="str">
        <f t="shared" ref="D4:D34" si="0">+E4</f>
        <v>Grundprinzipien</v>
      </c>
      <c r="E4" s="32" t="s">
        <v>2709</v>
      </c>
      <c r="F4" s="6" t="s">
        <v>4767</v>
      </c>
    </row>
    <row r="5" spans="1:6" ht="188.25">
      <c r="A5" s="17">
        <f>ROW()</f>
        <v>5</v>
      </c>
      <c r="B5" s="18" t="s">
        <v>2740</v>
      </c>
      <c r="C5" s="1"/>
      <c r="D5" s="18" t="str">
        <f t="shared" si="0"/>
        <v>Gedecktes Risiko: Definition</v>
      </c>
      <c r="E5" s="32" t="s">
        <v>2891</v>
      </c>
      <c r="F5" s="6" t="s">
        <v>3113</v>
      </c>
    </row>
    <row r="6" spans="1:6" ht="144">
      <c r="A6" s="17">
        <f>ROW()</f>
        <v>6</v>
      </c>
      <c r="B6" s="18" t="s">
        <v>2740</v>
      </c>
      <c r="C6" s="18" t="s">
        <v>2653</v>
      </c>
      <c r="D6" s="18" t="str">
        <f t="shared" si="0"/>
        <v>Versicherte Personen</v>
      </c>
      <c r="E6" s="33" t="s">
        <v>2653</v>
      </c>
      <c r="F6" s="6" t="s">
        <v>3114</v>
      </c>
    </row>
    <row r="7" spans="1:6" ht="273">
      <c r="A7" s="17">
        <f>ROW()</f>
        <v>7</v>
      </c>
      <c r="B7" s="18" t="s">
        <v>2740</v>
      </c>
      <c r="C7" s="18" t="str">
        <f>+E6</f>
        <v>Versicherte Personen</v>
      </c>
      <c r="D7" s="18" t="str">
        <f t="shared" si="0"/>
        <v>Ausnahmen von der Versicherungspflicht</v>
      </c>
      <c r="E7" s="33" t="s">
        <v>2685</v>
      </c>
      <c r="F7" s="6" t="s">
        <v>125</v>
      </c>
    </row>
    <row r="8" spans="1:6" ht="194.25">
      <c r="A8" s="17">
        <f>ROW()</f>
        <v>8</v>
      </c>
      <c r="B8" s="18" t="s">
        <v>2740</v>
      </c>
      <c r="C8" s="19" t="s">
        <v>149</v>
      </c>
      <c r="D8" s="18" t="str">
        <f t="shared" si="0"/>
        <v>1. Anwartschaftszeit</v>
      </c>
      <c r="E8" s="33" t="s">
        <v>2744</v>
      </c>
      <c r="F8" s="6" t="s">
        <v>3115</v>
      </c>
    </row>
    <row r="9" spans="1:6" ht="409.5">
      <c r="A9" s="17">
        <f>ROW()</f>
        <v>9</v>
      </c>
      <c r="B9" s="18" t="s">
        <v>2740</v>
      </c>
      <c r="C9" s="19" t="s">
        <v>149</v>
      </c>
      <c r="D9" s="18" t="str">
        <f t="shared" si="0"/>
        <v xml:space="preserve">2. Begutachtungskriterien und Kategorien der Arbeitsunfähigkeit/Arbeitsfähigkeit  </v>
      </c>
      <c r="E9" s="33" t="s">
        <v>2745</v>
      </c>
      <c r="F9" s="6" t="s">
        <v>4768</v>
      </c>
    </row>
    <row r="10" spans="1:6" ht="409.5">
      <c r="A10" s="17">
        <f>ROW()</f>
        <v>10</v>
      </c>
      <c r="B10" s="18" t="s">
        <v>2740</v>
      </c>
      <c r="C10" s="19" t="s">
        <v>149</v>
      </c>
      <c r="D10" s="18" t="str">
        <f t="shared" si="0"/>
        <v>3. Zeitraum der Leistungszahlung</v>
      </c>
      <c r="E10" s="33" t="s">
        <v>2747</v>
      </c>
      <c r="F10" s="6" t="s">
        <v>4769</v>
      </c>
    </row>
    <row r="11" spans="1:6" ht="210">
      <c r="A11" s="17">
        <f>ROW()</f>
        <v>11</v>
      </c>
      <c r="B11" s="18" t="s">
        <v>2740</v>
      </c>
      <c r="C11" s="19" t="s">
        <v>2749</v>
      </c>
      <c r="D11" s="18" t="str">
        <f t="shared" si="0"/>
        <v>1. Gutachter</v>
      </c>
      <c r="E11" s="33" t="s">
        <v>2750</v>
      </c>
      <c r="F11" s="6" t="s">
        <v>3116</v>
      </c>
    </row>
    <row r="12" spans="1:6" ht="111.75">
      <c r="A12" s="17">
        <f>ROW()</f>
        <v>12</v>
      </c>
      <c r="B12" s="18" t="s">
        <v>2740</v>
      </c>
      <c r="C12" s="19" t="s">
        <v>2749</v>
      </c>
      <c r="D12" s="18" t="str">
        <f t="shared" si="0"/>
        <v xml:space="preserve">2. Überprüfung  </v>
      </c>
      <c r="E12" s="33" t="s">
        <v>2751</v>
      </c>
      <c r="F12" s="6" t="s">
        <v>3117</v>
      </c>
    </row>
    <row r="13" spans="1:6" ht="409.5">
      <c r="A13" s="17">
        <f>ROW()</f>
        <v>13</v>
      </c>
      <c r="B13" s="18" t="s">
        <v>2740</v>
      </c>
      <c r="C13" s="18" t="s">
        <v>2695</v>
      </c>
      <c r="D13" s="18" t="str">
        <f t="shared" si="0"/>
        <v>1. Berechnungsmethode bzw. Rentenformel</v>
      </c>
      <c r="E13" s="33" t="s">
        <v>2753</v>
      </c>
      <c r="F13" s="6" t="s">
        <v>4770</v>
      </c>
    </row>
    <row r="14" spans="1:6" ht="343.5">
      <c r="A14" s="17">
        <f>ROW()</f>
        <v>14</v>
      </c>
      <c r="B14" s="18" t="s">
        <v>2740</v>
      </c>
      <c r="C14" s="18" t="s">
        <v>2695</v>
      </c>
      <c r="D14" s="18" t="str">
        <f t="shared" si="0"/>
        <v>2. Referenzeinkommen bzw. Berechnungsgrundlage</v>
      </c>
      <c r="E14" s="33" t="s">
        <v>2754</v>
      </c>
      <c r="F14" s="6" t="s">
        <v>3118</v>
      </c>
    </row>
    <row r="15" spans="1:6" ht="375">
      <c r="A15" s="17">
        <f>ROW()</f>
        <v>15</v>
      </c>
      <c r="B15" s="18" t="s">
        <v>2740</v>
      </c>
      <c r="C15" s="18" t="s">
        <v>2695</v>
      </c>
      <c r="D15" s="18" t="str">
        <f t="shared" si="0"/>
        <v>3. Mindest- und Höchstleistungen</v>
      </c>
      <c r="E15" s="33" t="s">
        <v>2756</v>
      </c>
      <c r="F15" s="6" t="s">
        <v>4771</v>
      </c>
    </row>
    <row r="16" spans="1:6" ht="405">
      <c r="A16" s="17">
        <f>ROW()</f>
        <v>16</v>
      </c>
      <c r="B16" s="18" t="s">
        <v>2740</v>
      </c>
      <c r="C16" s="18" t="s">
        <v>2695</v>
      </c>
      <c r="D16" s="18" t="str">
        <f t="shared" si="0"/>
        <v>4. Anrechenbare oder als Beitragszeiten gewertete Zeiträume</v>
      </c>
      <c r="E16" s="33" t="s">
        <v>2757</v>
      </c>
      <c r="F16" s="6" t="s">
        <v>2845</v>
      </c>
    </row>
    <row r="17" spans="1:6" ht="250.5">
      <c r="A17" s="17">
        <f>ROW()</f>
        <v>17</v>
      </c>
      <c r="B17" s="18" t="s">
        <v>2740</v>
      </c>
      <c r="C17" s="18" t="s">
        <v>2695</v>
      </c>
      <c r="D17" s="18" t="str">
        <f t="shared" si="0"/>
        <v xml:space="preserve">5. Zulagen für Unterhaltsberechtigte  </v>
      </c>
      <c r="E17" s="33" t="s">
        <v>2759</v>
      </c>
      <c r="F17" s="6" t="s">
        <v>2247</v>
      </c>
    </row>
    <row r="18" spans="1:6" ht="135">
      <c r="A18" s="17">
        <f>ROW()</f>
        <v>18</v>
      </c>
      <c r="B18" s="18" t="s">
        <v>2740</v>
      </c>
      <c r="C18" s="18" t="str">
        <f>+E18</f>
        <v>Sonstige Leistungen</v>
      </c>
      <c r="D18" s="18" t="str">
        <f>+E18</f>
        <v>Sonstige Leistungen</v>
      </c>
      <c r="E18" s="32" t="s">
        <v>2678</v>
      </c>
      <c r="F18" s="6" t="s">
        <v>3119</v>
      </c>
    </row>
    <row r="19" spans="1:6" ht="360">
      <c r="A19" s="17">
        <f>ROW()</f>
        <v>19</v>
      </c>
      <c r="B19" s="18" t="s">
        <v>2740</v>
      </c>
      <c r="C19" s="18" t="s">
        <v>2761</v>
      </c>
      <c r="D19" s="18" t="str">
        <f t="shared" si="0"/>
        <v>Umschulung, berufsbezogene Rehabilitation</v>
      </c>
      <c r="E19" s="33" t="s">
        <v>2762</v>
      </c>
      <c r="F19" s="6" t="s">
        <v>3120</v>
      </c>
    </row>
    <row r="20" spans="1:6" ht="409.5">
      <c r="A20" s="17">
        <f>ROW()</f>
        <v>20</v>
      </c>
      <c r="B20" s="18" t="s">
        <v>2740</v>
      </c>
      <c r="C20" s="18" t="s">
        <v>2761</v>
      </c>
      <c r="D20" s="18" t="str">
        <f t="shared" si="0"/>
        <v xml:space="preserve">Bevorzugte und reservierte Beschäftigung von Menschen mit Behinderungen  </v>
      </c>
      <c r="E20" s="33" t="s">
        <v>2763</v>
      </c>
      <c r="F20" s="6" t="s">
        <v>3121</v>
      </c>
    </row>
    <row r="21" spans="1:6" ht="171.75">
      <c r="A21" s="17">
        <f>ROW()</f>
        <v>21</v>
      </c>
      <c r="B21" s="18" t="s">
        <v>2740</v>
      </c>
      <c r="C21" s="18" t="s">
        <v>2765</v>
      </c>
      <c r="D21" s="18" t="str">
        <f t="shared" si="0"/>
        <v>Indexbindung/Anpassung</v>
      </c>
      <c r="E21" s="32" t="s">
        <v>2766</v>
      </c>
      <c r="F21" s="6" t="s">
        <v>3122</v>
      </c>
    </row>
    <row r="22" spans="1:6" ht="242.25">
      <c r="A22" s="17">
        <f>ROW()</f>
        <v>22</v>
      </c>
      <c r="B22" s="18" t="s">
        <v>2740</v>
      </c>
      <c r="C22" s="18" t="s">
        <v>2765</v>
      </c>
      <c r="D22" s="18" t="str">
        <f>+E22</f>
        <v>Kumulation mit Erwerbseinkommen</v>
      </c>
      <c r="E22" s="32" t="s">
        <v>2723</v>
      </c>
      <c r="F22" s="6" t="s">
        <v>3123</v>
      </c>
    </row>
    <row r="23" spans="1:6" ht="275.25">
      <c r="A23" s="17">
        <f>ROW()</f>
        <v>23</v>
      </c>
      <c r="B23" s="18" t="s">
        <v>2740</v>
      </c>
      <c r="C23" s="18" t="s">
        <v>2765</v>
      </c>
      <c r="D23" s="18" t="str">
        <f t="shared" si="0"/>
        <v>Kumulation mit anderen Sozialleistungen</v>
      </c>
      <c r="E23" s="32" t="s">
        <v>2696</v>
      </c>
      <c r="F23" s="6" t="s">
        <v>3124</v>
      </c>
    </row>
    <row r="24" spans="1:6" ht="232.5">
      <c r="A24" s="17">
        <f>ROW()</f>
        <v>24</v>
      </c>
      <c r="B24" s="18" t="s">
        <v>2740</v>
      </c>
      <c r="C24" s="18" t="s">
        <v>2701</v>
      </c>
      <c r="D24" s="18" t="str">
        <f t="shared" si="0"/>
        <v>1. Besteuerung von Geldleistungen</v>
      </c>
      <c r="E24" s="33" t="s">
        <v>2770</v>
      </c>
      <c r="F24" s="6" t="s">
        <v>3125</v>
      </c>
    </row>
    <row r="25" spans="1:6" ht="387">
      <c r="A25" s="17">
        <f>ROW()</f>
        <v>25</v>
      </c>
      <c r="B25" s="18" t="s">
        <v>2740</v>
      </c>
      <c r="C25" s="18" t="s">
        <v>2701</v>
      </c>
      <c r="D25" s="18" t="str">
        <f t="shared" si="0"/>
        <v>2. Einkommensgrenze für Besteuerung von Geldleistungen</v>
      </c>
      <c r="E25" s="33" t="s">
        <v>2772</v>
      </c>
      <c r="F25" s="6" t="s">
        <v>3126</v>
      </c>
    </row>
    <row r="26" spans="1:6" ht="288.75">
      <c r="A26" s="17">
        <f>ROW()</f>
        <v>26</v>
      </c>
      <c r="B26" s="18" t="s">
        <v>2740</v>
      </c>
      <c r="C26" s="18" t="s">
        <v>2701</v>
      </c>
      <c r="D26" s="18" t="str">
        <f t="shared" si="0"/>
        <v>3. Auf Leistungen anfallende Sozialabgaben</v>
      </c>
      <c r="E26" s="33" t="s">
        <v>2773</v>
      </c>
      <c r="F26" s="6" t="s">
        <v>3127</v>
      </c>
    </row>
    <row r="27" spans="1:6" ht="138">
      <c r="A27" s="17">
        <f>ROW()</f>
        <v>27</v>
      </c>
      <c r="B27" s="18" t="s">
        <v>2740</v>
      </c>
      <c r="C27" s="18" t="s">
        <v>2775</v>
      </c>
      <c r="D27" s="18" t="str">
        <f t="shared" si="0"/>
        <v>Anwendungsbereich</v>
      </c>
      <c r="E27" s="33" t="s">
        <v>2708</v>
      </c>
      <c r="F27" s="6" t="s">
        <v>3128</v>
      </c>
    </row>
    <row r="28" spans="1:6" ht="110.25">
      <c r="A28" s="17">
        <f>ROW()</f>
        <v>28</v>
      </c>
      <c r="B28" s="18" t="s">
        <v>2740</v>
      </c>
      <c r="C28" s="18" t="s">
        <v>2775</v>
      </c>
      <c r="D28" s="18" t="str">
        <f t="shared" si="0"/>
        <v>Grundprinzipien</v>
      </c>
      <c r="E28" s="33" t="s">
        <v>2709</v>
      </c>
      <c r="F28" s="6" t="s">
        <v>3129</v>
      </c>
    </row>
    <row r="29" spans="1:6" ht="224.25">
      <c r="A29" s="17">
        <f>ROW()</f>
        <v>29</v>
      </c>
      <c r="B29" s="18" t="s">
        <v>2740</v>
      </c>
      <c r="C29" s="18" t="s">
        <v>2775</v>
      </c>
      <c r="D29" s="18" t="str">
        <f t="shared" si="0"/>
        <v>Voraussetzungen für die Deckung</v>
      </c>
      <c r="E29" s="33" t="s">
        <v>2710</v>
      </c>
      <c r="F29" s="6" t="s">
        <v>3130</v>
      </c>
    </row>
    <row r="30" spans="1:6" ht="409.5">
      <c r="A30" s="17">
        <f>ROW()</f>
        <v>30</v>
      </c>
      <c r="B30" s="18" t="s">
        <v>2740</v>
      </c>
      <c r="C30" s="18" t="s">
        <v>2775</v>
      </c>
      <c r="D30" s="19" t="str">
        <f t="shared" si="0"/>
        <v>Kombination von selbstständiger und unselbstständiger Tätigkeit</v>
      </c>
      <c r="E30" s="33" t="s">
        <v>2698</v>
      </c>
      <c r="F30" s="6" t="s">
        <v>3131</v>
      </c>
    </row>
    <row r="31" spans="1:6" ht="376.5">
      <c r="A31" s="17">
        <f>ROW()</f>
        <v>31</v>
      </c>
      <c r="B31" s="18" t="s">
        <v>2740</v>
      </c>
      <c r="C31" s="18" t="s">
        <v>2695</v>
      </c>
      <c r="D31" s="19" t="str">
        <f t="shared" si="0"/>
        <v xml:space="preserve">Voraussetzungen für den Zugang zu Diensten/Leistungen </v>
      </c>
      <c r="E31" s="33" t="s">
        <v>2699</v>
      </c>
      <c r="F31" s="6" t="s">
        <v>917</v>
      </c>
    </row>
    <row r="32" spans="1:6" ht="253.5">
      <c r="A32" s="17">
        <f>ROW()</f>
        <v>32</v>
      </c>
      <c r="B32" s="18" t="s">
        <v>2740</v>
      </c>
      <c r="C32" s="18" t="s">
        <v>2695</v>
      </c>
      <c r="D32" s="18" t="str">
        <f t="shared" si="0"/>
        <v>Beträge, Dauer und Kostenbeteiligung</v>
      </c>
      <c r="E32" s="33" t="s">
        <v>2700</v>
      </c>
      <c r="F32" s="6" t="s">
        <v>917</v>
      </c>
    </row>
    <row r="33" spans="1:6" ht="216">
      <c r="A33" s="17">
        <f>ROW()</f>
        <v>33</v>
      </c>
      <c r="B33" s="18" t="s">
        <v>2740</v>
      </c>
      <c r="C33" s="18" t="s">
        <v>2695</v>
      </c>
      <c r="D33" s="18" t="str">
        <f t="shared" si="0"/>
        <v>Besteuerung von Geldleistungen</v>
      </c>
      <c r="E33" s="33" t="s">
        <v>2681</v>
      </c>
      <c r="F33" s="6" t="s">
        <v>3132</v>
      </c>
    </row>
    <row r="34" spans="1:6" ht="276.75">
      <c r="A34" s="17">
        <f>ROW()</f>
        <v>34</v>
      </c>
      <c r="B34" s="18" t="s">
        <v>2740</v>
      </c>
      <c r="C34" s="18" t="s">
        <v>2695</v>
      </c>
      <c r="D34" s="18" t="str">
        <f t="shared" si="0"/>
        <v xml:space="preserve"> Auf Leistungen anfallende Sozialabgaben</v>
      </c>
      <c r="E34" s="33" t="s">
        <v>2779</v>
      </c>
      <c r="F34" s="6" t="s">
        <v>986</v>
      </c>
    </row>
    <row r="35" spans="1:6" ht="177">
      <c r="A35" s="17">
        <f>ROW()</f>
        <v>35</v>
      </c>
      <c r="B35" s="18" t="s">
        <v>2780</v>
      </c>
      <c r="C35" s="18" t="str">
        <f>+D35</f>
        <v>Geltende Rechtsgrundlage</v>
      </c>
      <c r="D35" s="18" t="str">
        <f>+E35</f>
        <v>Geltende Rechtsgrundlage</v>
      </c>
      <c r="E35" s="32" t="s">
        <v>2724</v>
      </c>
      <c r="F35" s="6" t="s">
        <v>48</v>
      </c>
    </row>
    <row r="36" spans="1:6" ht="165">
      <c r="A36" s="17">
        <f>ROW()</f>
        <v>36</v>
      </c>
      <c r="B36" s="18" t="s">
        <v>2780</v>
      </c>
      <c r="C36" s="18" t="str">
        <f>+D36</f>
        <v>Grundprinzipien</v>
      </c>
      <c r="D36" s="18" t="str">
        <f>+E36</f>
        <v>Grundprinzipien</v>
      </c>
      <c r="E36" s="32" t="s">
        <v>2709</v>
      </c>
      <c r="F36" s="6" t="s">
        <v>4772</v>
      </c>
    </row>
    <row r="37" spans="1:6" ht="159.75">
      <c r="A37" s="17">
        <f>ROW()</f>
        <v>37</v>
      </c>
      <c r="B37" s="18" t="s">
        <v>2780</v>
      </c>
      <c r="C37" s="18" t="s">
        <v>2708</v>
      </c>
      <c r="D37" s="18" t="str">
        <f>+E37</f>
        <v>1. Versicherte Personen</v>
      </c>
      <c r="E37" s="33" t="s">
        <v>2781</v>
      </c>
      <c r="F37" s="6" t="s">
        <v>111</v>
      </c>
    </row>
    <row r="38" spans="1:6" ht="371.25">
      <c r="A38" s="17">
        <f>ROW()</f>
        <v>38</v>
      </c>
      <c r="B38" s="18" t="s">
        <v>2780</v>
      </c>
      <c r="C38" s="18" t="s">
        <v>2708</v>
      </c>
      <c r="D38" s="18" t="str">
        <f t="shared" ref="D38:D58" si="1">+E38</f>
        <v>2. Ausnahmen von der Deckung  der Pflichtversicherung</v>
      </c>
      <c r="E38" s="33" t="s">
        <v>2782</v>
      </c>
      <c r="F38" s="6" t="s">
        <v>125</v>
      </c>
    </row>
    <row r="39" spans="1:6" ht="194.25">
      <c r="A39" s="17">
        <f>ROW()</f>
        <v>39</v>
      </c>
      <c r="B39" s="18" t="s">
        <v>2780</v>
      </c>
      <c r="C39" s="18" t="s">
        <v>149</v>
      </c>
      <c r="D39" s="18" t="str">
        <f t="shared" si="1"/>
        <v>1. Rentenalter</v>
      </c>
      <c r="E39" s="33" t="s">
        <v>2784</v>
      </c>
      <c r="F39" s="6" t="s">
        <v>4773</v>
      </c>
    </row>
    <row r="40" spans="1:6" ht="409.5">
      <c r="A40" s="17">
        <f>ROW()</f>
        <v>40</v>
      </c>
      <c r="B40" s="18" t="s">
        <v>2780</v>
      </c>
      <c r="C40" s="18" t="s">
        <v>149</v>
      </c>
      <c r="D40" s="18" t="str">
        <f t="shared" si="1"/>
        <v>2. Anwartschaftszeit und sonstige Anspruchsvoraussetzungen für den Bezug einer Altersrente</v>
      </c>
      <c r="E40" s="33" t="s">
        <v>2785</v>
      </c>
      <c r="F40" s="6" t="s">
        <v>198</v>
      </c>
    </row>
    <row r="41" spans="1:6" ht="194.25">
      <c r="A41" s="17">
        <f>ROW()</f>
        <v>41</v>
      </c>
      <c r="B41" s="18" t="s">
        <v>2780</v>
      </c>
      <c r="C41" s="18" t="s">
        <v>149</v>
      </c>
      <c r="D41" s="18" t="str">
        <f t="shared" si="1"/>
        <v>3. Vorruhestand</v>
      </c>
      <c r="E41" s="33" t="s">
        <v>2786</v>
      </c>
      <c r="F41" s="6" t="s">
        <v>229</v>
      </c>
    </row>
    <row r="42" spans="1:6" ht="264">
      <c r="A42" s="17">
        <f>ROW()</f>
        <v>42</v>
      </c>
      <c r="B42" s="18" t="s">
        <v>2780</v>
      </c>
      <c r="C42" s="18" t="s">
        <v>149</v>
      </c>
      <c r="D42" s="18" t="str">
        <f t="shared" si="1"/>
        <v>4. Beschwerliche und gefährliche Arbeit</v>
      </c>
      <c r="E42" s="33" t="s">
        <v>2787</v>
      </c>
      <c r="F42" s="6" t="s">
        <v>252</v>
      </c>
    </row>
    <row r="43" spans="1:6" ht="194.25">
      <c r="A43" s="17">
        <f>ROW()</f>
        <v>43</v>
      </c>
      <c r="B43" s="18" t="s">
        <v>2780</v>
      </c>
      <c r="C43" s="18" t="s">
        <v>149</v>
      </c>
      <c r="D43" s="18" t="str">
        <f t="shared" si="1"/>
        <v>5. Rentenaufschub</v>
      </c>
      <c r="E43" s="33" t="s">
        <v>2788</v>
      </c>
      <c r="F43" s="6" t="s">
        <v>287</v>
      </c>
    </row>
    <row r="44" spans="1:6" ht="174">
      <c r="A44" s="17">
        <f>ROW()</f>
        <v>44</v>
      </c>
      <c r="B44" s="18" t="s">
        <v>2780</v>
      </c>
      <c r="C44" s="18" t="s">
        <v>2695</v>
      </c>
      <c r="D44" s="18" t="str">
        <f t="shared" si="1"/>
        <v>1. Bestimmende Faktoren</v>
      </c>
      <c r="E44" s="33" t="s">
        <v>2789</v>
      </c>
      <c r="F44" s="6" t="s">
        <v>314</v>
      </c>
    </row>
    <row r="45" spans="1:6" ht="349.5">
      <c r="A45" s="17">
        <f>ROW()</f>
        <v>45</v>
      </c>
      <c r="B45" s="18" t="s">
        <v>2780</v>
      </c>
      <c r="C45" s="18" t="s">
        <v>2695</v>
      </c>
      <c r="D45" s="18" t="str">
        <f t="shared" si="1"/>
        <v>2. Berechnungsmethode, Rentenformel bzw. Beträge</v>
      </c>
      <c r="E45" s="33" t="s">
        <v>2790</v>
      </c>
      <c r="F45" s="6" t="s">
        <v>4774</v>
      </c>
    </row>
    <row r="46" spans="1:6" ht="343.5">
      <c r="A46" s="17">
        <f>ROW()</f>
        <v>46</v>
      </c>
      <c r="B46" s="18" t="s">
        <v>2780</v>
      </c>
      <c r="C46" s="18" t="s">
        <v>2695</v>
      </c>
      <c r="D46" s="18" t="str">
        <f t="shared" si="1"/>
        <v>3. Referenzeinkommen bzw. Berechnungsgrundlage</v>
      </c>
      <c r="E46" s="33" t="s">
        <v>2791</v>
      </c>
      <c r="F46" s="6" t="s">
        <v>376</v>
      </c>
    </row>
    <row r="47" spans="1:6" ht="405">
      <c r="A47" s="17">
        <f>ROW()</f>
        <v>47</v>
      </c>
      <c r="B47" s="18" t="s">
        <v>2780</v>
      </c>
      <c r="C47" s="18" t="s">
        <v>2695</v>
      </c>
      <c r="D47" s="18" t="str">
        <f t="shared" si="1"/>
        <v>4. Anrechenbare oder als Beitragszeiten gewertete Zeiträume</v>
      </c>
      <c r="E47" s="33" t="s">
        <v>2757</v>
      </c>
      <c r="F47" s="6" t="s">
        <v>373</v>
      </c>
    </row>
    <row r="48" spans="1:6" ht="243.75">
      <c r="A48" s="17">
        <f>ROW()</f>
        <v>48</v>
      </c>
      <c r="B48" s="18" t="s">
        <v>2780</v>
      </c>
      <c r="C48" s="18" t="s">
        <v>2695</v>
      </c>
      <c r="D48" s="18" t="str">
        <f t="shared" si="1"/>
        <v>5. Rückkauf von Versicherungszeiten</v>
      </c>
      <c r="E48" s="33" t="s">
        <v>2792</v>
      </c>
      <c r="F48" s="6" t="s">
        <v>373</v>
      </c>
    </row>
    <row r="49" spans="1:6" ht="246">
      <c r="A49" s="17">
        <f>ROW()</f>
        <v>49</v>
      </c>
      <c r="B49" s="18" t="s">
        <v>2780</v>
      </c>
      <c r="C49" s="18" t="s">
        <v>2695</v>
      </c>
      <c r="D49" s="18" t="str">
        <f t="shared" si="1"/>
        <v>6.  Zulagen für Unterhaltsberechtigte</v>
      </c>
      <c r="E49" s="33" t="s">
        <v>2892</v>
      </c>
      <c r="F49" s="6" t="s">
        <v>461</v>
      </c>
    </row>
    <row r="50" spans="1:6" ht="145.5">
      <c r="A50" s="17">
        <f>ROW()</f>
        <v>50</v>
      </c>
      <c r="B50" s="18" t="s">
        <v>2780</v>
      </c>
      <c r="C50" s="18" t="s">
        <v>2695</v>
      </c>
      <c r="D50" s="18" t="str">
        <f t="shared" si="1"/>
        <v>7. Besondere Zulagen</v>
      </c>
      <c r="E50" s="33" t="s">
        <v>2793</v>
      </c>
      <c r="F50" s="6" t="s">
        <v>486</v>
      </c>
    </row>
    <row r="51" spans="1:6" ht="360.75">
      <c r="A51" s="17">
        <f>ROW()</f>
        <v>51</v>
      </c>
      <c r="B51" s="18" t="s">
        <v>2780</v>
      </c>
      <c r="C51" s="18" t="s">
        <v>2695</v>
      </c>
      <c r="D51" s="18" t="str">
        <f t="shared" si="1"/>
        <v>8. Mindestrente und bedürftigkeitsabhängige Leistung</v>
      </c>
      <c r="E51" s="33" t="s">
        <v>2794</v>
      </c>
      <c r="F51" s="6" t="s">
        <v>516</v>
      </c>
    </row>
    <row r="52" spans="1:6" ht="101.25">
      <c r="A52" s="17">
        <f>ROW()</f>
        <v>52</v>
      </c>
      <c r="B52" s="18" t="s">
        <v>2780</v>
      </c>
      <c r="C52" s="18" t="s">
        <v>2695</v>
      </c>
      <c r="D52" s="18" t="str">
        <f t="shared" si="1"/>
        <v>9. Höchstrente</v>
      </c>
      <c r="E52" s="33" t="s">
        <v>2795</v>
      </c>
      <c r="F52" s="6" t="s">
        <v>516</v>
      </c>
    </row>
    <row r="53" spans="1:6" ht="119.25">
      <c r="A53" s="17">
        <f>ROW()</f>
        <v>53</v>
      </c>
      <c r="B53" s="18" t="s">
        <v>2780</v>
      </c>
      <c r="C53" s="18" t="s">
        <v>2695</v>
      </c>
      <c r="D53" s="18" t="str">
        <f t="shared" si="1"/>
        <v>10. Vorruhestand</v>
      </c>
      <c r="E53" s="33" t="s">
        <v>2796</v>
      </c>
      <c r="F53" s="6" t="s">
        <v>229</v>
      </c>
    </row>
    <row r="54" spans="1:6" ht="272.25">
      <c r="A54" s="17">
        <f>ROW()</f>
        <v>54</v>
      </c>
      <c r="B54" s="18" t="s">
        <v>2780</v>
      </c>
      <c r="C54" s="18" t="s">
        <v>2695</v>
      </c>
      <c r="D54" s="18" t="str">
        <f t="shared" si="1"/>
        <v>11. Beschwerliche und gefährliche Arbeit</v>
      </c>
      <c r="E54" s="33" t="s">
        <v>2797</v>
      </c>
      <c r="F54" s="6" t="s">
        <v>252</v>
      </c>
    </row>
    <row r="55" spans="1:6" ht="87.75">
      <c r="A55" s="17">
        <f>ROW()</f>
        <v>55</v>
      </c>
      <c r="B55" s="18" t="s">
        <v>2780</v>
      </c>
      <c r="C55" s="18" t="s">
        <v>2695</v>
      </c>
      <c r="D55" s="18" t="str">
        <f t="shared" si="1"/>
        <v>12. Teilrente</v>
      </c>
      <c r="E55" s="33" t="s">
        <v>2798</v>
      </c>
      <c r="F55" s="6" t="s">
        <v>618</v>
      </c>
    </row>
    <row r="56" spans="1:6" ht="171.75">
      <c r="A56" s="17">
        <f>ROW()</f>
        <v>56</v>
      </c>
      <c r="B56" s="18" t="s">
        <v>2780</v>
      </c>
      <c r="C56" s="18" t="s">
        <v>2695</v>
      </c>
      <c r="D56" s="18" t="str">
        <f t="shared" si="1"/>
        <v>13. Aufgeschobene Rente</v>
      </c>
      <c r="E56" s="33" t="s">
        <v>2893</v>
      </c>
      <c r="F56" s="6" t="s">
        <v>654</v>
      </c>
    </row>
    <row r="57" spans="1:6" ht="179.25">
      <c r="A57" s="17">
        <f>ROW()</f>
        <v>57</v>
      </c>
      <c r="B57" s="18" t="s">
        <v>2780</v>
      </c>
      <c r="C57" s="18" t="s">
        <v>2799</v>
      </c>
      <c r="D57" s="18" t="s">
        <v>2799</v>
      </c>
      <c r="E57" s="32" t="s">
        <v>2799</v>
      </c>
      <c r="F57" s="6" t="s">
        <v>685</v>
      </c>
    </row>
    <row r="58" spans="1:6" ht="246">
      <c r="A58" s="17">
        <f>ROW()</f>
        <v>58</v>
      </c>
      <c r="B58" s="18" t="s">
        <v>2780</v>
      </c>
      <c r="C58" s="18" t="s">
        <v>2799</v>
      </c>
      <c r="D58" s="18" t="str">
        <f t="shared" si="1"/>
        <v xml:space="preserve">Kumulation mit Erwerbseinkommen </v>
      </c>
      <c r="E58" s="32" t="s">
        <v>2697</v>
      </c>
      <c r="F58" s="6" t="s">
        <v>716</v>
      </c>
    </row>
    <row r="59" spans="1:6" ht="286.5">
      <c r="A59" s="17">
        <f>ROW()</f>
        <v>59</v>
      </c>
      <c r="B59" s="18" t="s">
        <v>2780</v>
      </c>
      <c r="C59" s="18" t="s">
        <v>2799</v>
      </c>
      <c r="D59" s="18" t="s">
        <v>2800</v>
      </c>
      <c r="E59" s="32" t="s">
        <v>2696</v>
      </c>
      <c r="F59" s="6" t="s">
        <v>747</v>
      </c>
    </row>
    <row r="60" spans="1:6" ht="225.75">
      <c r="A60" s="17">
        <f>ROW()</f>
        <v>60</v>
      </c>
      <c r="B60" s="18" t="s">
        <v>2780</v>
      </c>
      <c r="C60" s="18" t="s">
        <v>761</v>
      </c>
      <c r="D60" s="18" t="str">
        <f t="shared" ref="D60:D70" si="2">+E60</f>
        <v>1. Besteuerung von Renten</v>
      </c>
      <c r="E60" s="33" t="s">
        <v>2801</v>
      </c>
      <c r="F60" s="6" t="s">
        <v>772</v>
      </c>
    </row>
    <row r="61" spans="1:6" ht="335.25">
      <c r="A61" s="17">
        <f>ROW()</f>
        <v>61</v>
      </c>
      <c r="B61" s="18" t="s">
        <v>2780</v>
      </c>
      <c r="C61" s="18" t="s">
        <v>761</v>
      </c>
      <c r="D61" s="18" t="str">
        <f t="shared" si="2"/>
        <v>2. Einkommensgrenze für Besteuerung von Renten</v>
      </c>
      <c r="E61" s="33" t="s">
        <v>2802</v>
      </c>
      <c r="F61" s="6" t="s">
        <v>804</v>
      </c>
    </row>
    <row r="62" spans="1:6" ht="264">
      <c r="A62" s="17">
        <f>ROW()</f>
        <v>62</v>
      </c>
      <c r="B62" s="18" t="s">
        <v>2780</v>
      </c>
      <c r="C62" s="18" t="s">
        <v>761</v>
      </c>
      <c r="D62" s="18" t="str">
        <f t="shared" si="2"/>
        <v>3. Auf Renten anfallende Sozialabgaben</v>
      </c>
      <c r="E62" s="33" t="s">
        <v>2803</v>
      </c>
      <c r="F62" s="6" t="s">
        <v>829</v>
      </c>
    </row>
    <row r="63" spans="1:6" ht="138">
      <c r="A63" s="17">
        <f>ROW()</f>
        <v>63</v>
      </c>
      <c r="B63" s="18" t="s">
        <v>2804</v>
      </c>
      <c r="C63" s="18" t="str">
        <f>+E63</f>
        <v>Anwendungsbereich</v>
      </c>
      <c r="D63" s="18" t="str">
        <f t="shared" si="2"/>
        <v>Anwendungsbereich</v>
      </c>
      <c r="E63" s="33" t="s">
        <v>2708</v>
      </c>
      <c r="F63" s="6" t="s">
        <v>854</v>
      </c>
    </row>
    <row r="64" spans="1:6" ht="132.75">
      <c r="A64" s="17">
        <f>ROW()</f>
        <v>64</v>
      </c>
      <c r="B64" s="18" t="s">
        <v>2804</v>
      </c>
      <c r="C64" s="18" t="s">
        <v>2775</v>
      </c>
      <c r="D64" s="18" t="str">
        <f t="shared" si="2"/>
        <v>Grundprinzipien</v>
      </c>
      <c r="E64" s="33" t="s">
        <v>2709</v>
      </c>
      <c r="F64" s="6" t="s">
        <v>880</v>
      </c>
    </row>
    <row r="65" spans="1:6" ht="224.25">
      <c r="A65" s="17">
        <f>ROW()</f>
        <v>65</v>
      </c>
      <c r="B65" s="18" t="s">
        <v>2804</v>
      </c>
      <c r="C65" s="18" t="s">
        <v>2775</v>
      </c>
      <c r="D65" s="18" t="str">
        <f t="shared" si="2"/>
        <v>Voraussetzungen für die Deckung</v>
      </c>
      <c r="E65" s="33" t="s">
        <v>2710</v>
      </c>
      <c r="F65" s="6" t="s">
        <v>373</v>
      </c>
    </row>
    <row r="66" spans="1:6" ht="409.5">
      <c r="A66" s="17">
        <f>ROW()</f>
        <v>66</v>
      </c>
      <c r="B66" s="18" t="s">
        <v>2804</v>
      </c>
      <c r="C66" s="18" t="s">
        <v>2775</v>
      </c>
      <c r="D66" s="18" t="str">
        <f t="shared" si="2"/>
        <v>Kombination von selbstständiger und unselbstständiger Tätigkeit</v>
      </c>
      <c r="E66" s="33" t="s">
        <v>2698</v>
      </c>
      <c r="F66" s="6" t="s">
        <v>920</v>
      </c>
    </row>
    <row r="67" spans="1:6" ht="376.5">
      <c r="A67" s="17">
        <f>ROW()</f>
        <v>67</v>
      </c>
      <c r="B67" s="18" t="s">
        <v>2804</v>
      </c>
      <c r="C67" s="18" t="s">
        <v>2695</v>
      </c>
      <c r="D67" s="19" t="str">
        <f t="shared" si="2"/>
        <v xml:space="preserve">Voraussetzungen für den Zugang zu Diensten/Leistungen </v>
      </c>
      <c r="E67" s="33" t="s">
        <v>2699</v>
      </c>
      <c r="F67" s="6" t="s">
        <v>942</v>
      </c>
    </row>
    <row r="68" spans="1:6" ht="253.5">
      <c r="A68" s="17">
        <f>ROW()</f>
        <v>68</v>
      </c>
      <c r="B68" s="18" t="s">
        <v>2804</v>
      </c>
      <c r="C68" s="18" t="s">
        <v>2695</v>
      </c>
      <c r="D68" s="19" t="str">
        <f t="shared" si="2"/>
        <v>Beträge, Dauer und Kostenbeteiligung</v>
      </c>
      <c r="E68" s="33" t="s">
        <v>2700</v>
      </c>
      <c r="F68" s="6" t="s">
        <v>959</v>
      </c>
    </row>
    <row r="69" spans="1:6" ht="216">
      <c r="A69" s="17">
        <f>ROW()</f>
        <v>69</v>
      </c>
      <c r="B69" s="18" t="s">
        <v>2804</v>
      </c>
      <c r="C69" s="18" t="s">
        <v>2695</v>
      </c>
      <c r="D69" s="19" t="str">
        <f t="shared" si="2"/>
        <v>Besteuerung von Geldleistungen</v>
      </c>
      <c r="E69" s="33" t="s">
        <v>2681</v>
      </c>
      <c r="F69" s="6" t="s">
        <v>972</v>
      </c>
    </row>
    <row r="70" spans="1:6" ht="272.25">
      <c r="A70" s="17">
        <f>ROW()</f>
        <v>70</v>
      </c>
      <c r="B70" s="18" t="s">
        <v>2804</v>
      </c>
      <c r="C70" s="18" t="s">
        <v>2695</v>
      </c>
      <c r="D70" s="19" t="str">
        <f t="shared" si="2"/>
        <v>Auf Leistungen anfallende Sozialabgaben</v>
      </c>
      <c r="E70" s="33" t="s">
        <v>2683</v>
      </c>
      <c r="F70" s="6" t="s">
        <v>986</v>
      </c>
    </row>
    <row r="71" spans="1:6" ht="177">
      <c r="A71" s="17">
        <f>ROW()</f>
        <v>71</v>
      </c>
      <c r="B71" s="18" t="s">
        <v>2702</v>
      </c>
      <c r="C71" s="18" t="str">
        <f t="shared" ref="C71:D75" si="3">+D71</f>
        <v>Geltende Rechtsgrundlage</v>
      </c>
      <c r="D71" s="19" t="str">
        <f t="shared" si="3"/>
        <v>Geltende Rechtsgrundlage</v>
      </c>
      <c r="E71" s="32" t="s">
        <v>2724</v>
      </c>
      <c r="F71" s="6" t="s">
        <v>1005</v>
      </c>
    </row>
    <row r="72" spans="1:6" ht="110.25">
      <c r="A72" s="17">
        <f>ROW()</f>
        <v>72</v>
      </c>
      <c r="B72" s="18" t="s">
        <v>2702</v>
      </c>
      <c r="C72" s="18" t="str">
        <f t="shared" si="3"/>
        <v>Grundprinzipien</v>
      </c>
      <c r="D72" s="19" t="str">
        <f t="shared" si="3"/>
        <v>Grundprinzipien</v>
      </c>
      <c r="E72" s="32" t="s">
        <v>2709</v>
      </c>
      <c r="F72" s="6" t="s">
        <v>4775</v>
      </c>
    </row>
    <row r="73" spans="1:6" ht="315">
      <c r="A73" s="17">
        <f>ROW()</f>
        <v>73</v>
      </c>
      <c r="B73" s="18" t="s">
        <v>2702</v>
      </c>
      <c r="C73" s="19" t="str">
        <f t="shared" si="3"/>
        <v>Anwendungsbereich (in Bezug auf Verstorbene)</v>
      </c>
      <c r="D73" s="19" t="str">
        <f t="shared" si="3"/>
        <v>Anwendungsbereich (in Bezug auf Verstorbene)</v>
      </c>
      <c r="E73" s="32" t="s">
        <v>2725</v>
      </c>
      <c r="F73" s="6" t="s">
        <v>1063</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125</v>
      </c>
    </row>
    <row r="75" spans="1:6" ht="144.75">
      <c r="A75" s="17">
        <f>ROW()</f>
        <v>75</v>
      </c>
      <c r="B75" s="18" t="s">
        <v>2702</v>
      </c>
      <c r="C75" s="19" t="str">
        <f t="shared" si="3"/>
        <v>Berechtigte Personen</v>
      </c>
      <c r="D75" s="19" t="str">
        <f t="shared" si="3"/>
        <v>Berechtigte Personen</v>
      </c>
      <c r="E75" s="32" t="s">
        <v>2730</v>
      </c>
      <c r="F75" s="6" t="s">
        <v>1108</v>
      </c>
    </row>
    <row r="76" spans="1:6" ht="102">
      <c r="A76" s="17">
        <f>ROW()</f>
        <v>76</v>
      </c>
      <c r="B76" s="18" t="s">
        <v>2702</v>
      </c>
      <c r="C76" s="1"/>
      <c r="D76" s="1"/>
      <c r="E76" s="32" t="s">
        <v>2783</v>
      </c>
      <c r="F76" s="6"/>
    </row>
    <row r="77" spans="1:6" ht="189.75">
      <c r="A77" s="17">
        <f>ROW()</f>
        <v>77</v>
      </c>
      <c r="B77" s="18" t="s">
        <v>2702</v>
      </c>
      <c r="C77" s="18" t="s">
        <v>2805</v>
      </c>
      <c r="D77" s="18" t="str">
        <f t="shared" ref="D77:D90" si="4">+E77</f>
        <v>1. Verstorbener Versicherter</v>
      </c>
      <c r="E77" s="33" t="s">
        <v>2806</v>
      </c>
      <c r="F77" s="6" t="s">
        <v>1139</v>
      </c>
    </row>
    <row r="78" spans="1:6" ht="185.25">
      <c r="A78" s="17">
        <f>ROW()</f>
        <v>78</v>
      </c>
      <c r="B78" s="18" t="s">
        <v>2702</v>
      </c>
      <c r="C78" s="18" t="s">
        <v>2805</v>
      </c>
      <c r="D78" s="18" t="str">
        <f t="shared" si="4"/>
        <v>2. Hinterbliebener Ehegatte</v>
      </c>
      <c r="E78" s="33" t="s">
        <v>2807</v>
      </c>
      <c r="F78" s="6" t="s">
        <v>4776</v>
      </c>
    </row>
    <row r="79" spans="1:6" ht="181.5">
      <c r="A79" s="17">
        <f>ROW()</f>
        <v>79</v>
      </c>
      <c r="B79" s="18" t="s">
        <v>2702</v>
      </c>
      <c r="C79" s="18" t="s">
        <v>2805</v>
      </c>
      <c r="D79" s="18" t="str">
        <f t="shared" si="4"/>
        <v>3. Geschiedener Ehegatte</v>
      </c>
      <c r="E79" s="33" t="s">
        <v>2808</v>
      </c>
      <c r="F79" s="6" t="s">
        <v>4777</v>
      </c>
    </row>
    <row r="80" spans="1:6" ht="216">
      <c r="A80" s="17">
        <f>ROW()</f>
        <v>80</v>
      </c>
      <c r="B80" s="18" t="s">
        <v>2702</v>
      </c>
      <c r="C80" s="18" t="s">
        <v>2805</v>
      </c>
      <c r="D80" s="18" t="str">
        <f t="shared" si="4"/>
        <v>4. Hinterbliebene Lebenspartner</v>
      </c>
      <c r="E80" s="33" t="s">
        <v>2809</v>
      </c>
      <c r="F80" s="6" t="s">
        <v>4778</v>
      </c>
    </row>
    <row r="81" spans="1:6" ht="210">
      <c r="A81" s="17">
        <f>ROW()</f>
        <v>81</v>
      </c>
      <c r="B81" s="18" t="s">
        <v>2702</v>
      </c>
      <c r="C81" s="18" t="s">
        <v>2805</v>
      </c>
      <c r="D81" s="18" t="str">
        <f t="shared" si="4"/>
        <v>5. Kinder</v>
      </c>
      <c r="E81" s="33" t="s">
        <v>2810</v>
      </c>
      <c r="F81" s="6" t="s">
        <v>4779</v>
      </c>
    </row>
    <row r="82" spans="1:6" ht="181.5">
      <c r="A82" s="17">
        <f>ROW()</f>
        <v>82</v>
      </c>
      <c r="B82" s="18" t="s">
        <v>2702</v>
      </c>
      <c r="C82" s="18" t="s">
        <v>2805</v>
      </c>
      <c r="D82" s="18" t="str">
        <f t="shared" si="4"/>
        <v>6. Andere Personen</v>
      </c>
      <c r="E82" s="33" t="s">
        <v>2811</v>
      </c>
      <c r="F82" s="6" t="s">
        <v>373</v>
      </c>
    </row>
    <row r="83" spans="1:6" ht="409.5">
      <c r="A83" s="17">
        <f>ROW()</f>
        <v>83</v>
      </c>
      <c r="B83" s="18" t="s">
        <v>2702</v>
      </c>
      <c r="C83" s="18" t="s">
        <v>2695</v>
      </c>
      <c r="D83" s="19" t="str">
        <f t="shared" si="4"/>
        <v>1. Hinterbliebener Ehegatte, geschiedener Ehegatte, hinterbliebene Lebenspartner</v>
      </c>
      <c r="E83" s="33" t="s">
        <v>2812</v>
      </c>
      <c r="F83" s="6" t="s">
        <v>1299</v>
      </c>
    </row>
    <row r="84" spans="1:6" ht="280.5">
      <c r="A84" s="17">
        <f>ROW()</f>
        <v>84</v>
      </c>
      <c r="B84" s="18" t="s">
        <v>2702</v>
      </c>
      <c r="C84" s="18" t="s">
        <v>2695</v>
      </c>
      <c r="D84" s="19" t="str">
        <f t="shared" si="4"/>
        <v>2. Hinterbliebener Ehegatte: Wiederheirat</v>
      </c>
      <c r="E84" s="33" t="s">
        <v>2813</v>
      </c>
      <c r="F84" s="6" t="s">
        <v>1328</v>
      </c>
    </row>
    <row r="85" spans="1:6" ht="225">
      <c r="A85" s="17">
        <f>ROW()</f>
        <v>85</v>
      </c>
      <c r="B85" s="18" t="s">
        <v>2702</v>
      </c>
      <c r="C85" s="18" t="s">
        <v>2695</v>
      </c>
      <c r="D85" s="19" t="str">
        <f t="shared" si="4"/>
        <v>3. Kinder</v>
      </c>
      <c r="E85" s="33" t="s">
        <v>2814</v>
      </c>
      <c r="F85" s="6" t="s">
        <v>4780</v>
      </c>
    </row>
    <row r="86" spans="1:6" ht="147">
      <c r="A86" s="17">
        <f>ROW()</f>
        <v>86</v>
      </c>
      <c r="B86" s="18" t="s">
        <v>2702</v>
      </c>
      <c r="C86" s="18" t="s">
        <v>2695</v>
      </c>
      <c r="D86" s="19" t="str">
        <f t="shared" si="4"/>
        <v>4. Andere Berechtigte</v>
      </c>
      <c r="E86" s="33" t="s">
        <v>2815</v>
      </c>
      <c r="F86" s="6" t="s">
        <v>373</v>
      </c>
    </row>
    <row r="87" spans="1:6" ht="381">
      <c r="A87" s="17">
        <f>ROW()</f>
        <v>87</v>
      </c>
      <c r="B87" s="18" t="s">
        <v>2702</v>
      </c>
      <c r="C87" s="18" t="s">
        <v>2695</v>
      </c>
      <c r="D87" s="19" t="str">
        <f t="shared" si="4"/>
        <v xml:space="preserve"> 5. Höchster zahlbarer Gesamtbetrag für alle Berechtigten</v>
      </c>
      <c r="E87" s="33" t="s">
        <v>2816</v>
      </c>
      <c r="F87" s="6" t="s">
        <v>545</v>
      </c>
    </row>
    <row r="88" spans="1:6" ht="151.5">
      <c r="A88" s="17">
        <f>ROW()</f>
        <v>88</v>
      </c>
      <c r="B88" s="18" t="s">
        <v>2702</v>
      </c>
      <c r="C88" s="18" t="s">
        <v>2695</v>
      </c>
      <c r="D88" s="19" t="str">
        <f t="shared" si="4"/>
        <v>6. Sonstige Leistungen</v>
      </c>
      <c r="E88" s="33" t="s">
        <v>2817</v>
      </c>
      <c r="F88" s="6" t="s">
        <v>1429</v>
      </c>
    </row>
    <row r="89" spans="1:6" ht="126.75">
      <c r="A89" s="17">
        <f>ROW()</f>
        <v>89</v>
      </c>
      <c r="B89" s="18" t="s">
        <v>2702</v>
      </c>
      <c r="C89" s="18" t="s">
        <v>2695</v>
      </c>
      <c r="D89" s="19" t="str">
        <f>+E89</f>
        <v>7. Mindestleistung</v>
      </c>
      <c r="E89" s="33" t="s">
        <v>2818</v>
      </c>
      <c r="F89" s="6" t="s">
        <v>1457</v>
      </c>
    </row>
    <row r="90" spans="1:6" ht="122.25">
      <c r="A90" s="17">
        <f>ROW()</f>
        <v>90</v>
      </c>
      <c r="B90" s="18" t="s">
        <v>2702</v>
      </c>
      <c r="C90" s="18" t="s">
        <v>2695</v>
      </c>
      <c r="D90" s="19" t="str">
        <f t="shared" si="4"/>
        <v xml:space="preserve"> 8. Höchstleistung</v>
      </c>
      <c r="E90" s="33" t="s">
        <v>2819</v>
      </c>
      <c r="F90" s="6" t="s">
        <v>1481</v>
      </c>
    </row>
    <row r="91" spans="1:6" ht="179.25">
      <c r="A91" s="17">
        <f>ROW()</f>
        <v>91</v>
      </c>
      <c r="B91" s="18" t="s">
        <v>2702</v>
      </c>
      <c r="C91" s="18" t="s">
        <v>2799</v>
      </c>
      <c r="D91" s="19" t="str">
        <f>+C91</f>
        <v>Indexbindung / Anpassung</v>
      </c>
      <c r="E91" s="32" t="s">
        <v>2799</v>
      </c>
      <c r="F91" s="6" t="s">
        <v>1508</v>
      </c>
    </row>
    <row r="92" spans="1:6" ht="242.25">
      <c r="A92" s="17">
        <f>ROW()</f>
        <v>92</v>
      </c>
      <c r="B92" s="18" t="s">
        <v>2702</v>
      </c>
      <c r="C92" s="18" t="s">
        <v>2799</v>
      </c>
      <c r="D92" s="19" t="str">
        <f t="shared" ref="D92:D105" si="5">+E92</f>
        <v>Kumulation mit Erwerbseinkommen</v>
      </c>
      <c r="E92" s="32" t="s">
        <v>2723</v>
      </c>
      <c r="F92" s="6" t="s">
        <v>1538</v>
      </c>
    </row>
    <row r="93" spans="1:6" ht="275.25">
      <c r="A93" s="17">
        <f>ROW()</f>
        <v>93</v>
      </c>
      <c r="B93" s="18" t="s">
        <v>2702</v>
      </c>
      <c r="C93" s="18" t="s">
        <v>2799</v>
      </c>
      <c r="D93" s="19" t="str">
        <f t="shared" si="5"/>
        <v>Kumulation mit anderen Sozialleistungen</v>
      </c>
      <c r="E93" s="32" t="s">
        <v>2696</v>
      </c>
      <c r="F93" s="6" t="s">
        <v>1569</v>
      </c>
    </row>
    <row r="94" spans="1:6" ht="232.5">
      <c r="A94" s="17">
        <f>ROW()</f>
        <v>94</v>
      </c>
      <c r="B94" s="18" t="s">
        <v>2702</v>
      </c>
      <c r="C94" s="19" t="s">
        <v>2701</v>
      </c>
      <c r="D94" s="19" t="str">
        <f t="shared" si="5"/>
        <v>1. Besteuerung von Geldleistungen</v>
      </c>
      <c r="E94" s="33" t="s">
        <v>2770</v>
      </c>
      <c r="F94" s="6" t="s">
        <v>762</v>
      </c>
    </row>
    <row r="95" spans="1:6" ht="387">
      <c r="A95" s="17">
        <f>ROW()</f>
        <v>95</v>
      </c>
      <c r="B95" s="18" t="s">
        <v>2702</v>
      </c>
      <c r="C95" s="19" t="s">
        <v>2701</v>
      </c>
      <c r="D95" s="19" t="str">
        <f t="shared" si="5"/>
        <v>2. Einkommensgrenze für Besteuerung von Geldleistungen</v>
      </c>
      <c r="E95" s="33" t="s">
        <v>2772</v>
      </c>
      <c r="F95" s="6" t="s">
        <v>1615</v>
      </c>
    </row>
    <row r="96" spans="1:6" ht="288.75">
      <c r="A96" s="17">
        <f>ROW()</f>
        <v>96</v>
      </c>
      <c r="B96" s="18" t="s">
        <v>2702</v>
      </c>
      <c r="C96" s="19" t="s">
        <v>2701</v>
      </c>
      <c r="D96" s="19" t="str">
        <f t="shared" si="5"/>
        <v>3. Auf Leistungen anfallende Sozialabgaben</v>
      </c>
      <c r="E96" s="33" t="s">
        <v>2773</v>
      </c>
      <c r="F96" s="6" t="s">
        <v>1634</v>
      </c>
    </row>
    <row r="97" spans="1:6" ht="138">
      <c r="A97" s="17">
        <f>ROW()</f>
        <v>97</v>
      </c>
      <c r="B97" s="18" t="s">
        <v>2702</v>
      </c>
      <c r="C97" s="19" t="s">
        <v>2775</v>
      </c>
      <c r="D97" s="19" t="str">
        <f t="shared" si="5"/>
        <v>Anwendungsbereich</v>
      </c>
      <c r="E97" s="33" t="s">
        <v>2708</v>
      </c>
      <c r="F97" s="6" t="s">
        <v>1651</v>
      </c>
    </row>
    <row r="98" spans="1:6" ht="110.25">
      <c r="A98" s="17">
        <f>ROW()</f>
        <v>98</v>
      </c>
      <c r="B98" s="18" t="s">
        <v>2702</v>
      </c>
      <c r="C98" s="19" t="s">
        <v>2775</v>
      </c>
      <c r="D98" s="19" t="str">
        <f t="shared" si="5"/>
        <v>Grundprinzipien</v>
      </c>
      <c r="E98" s="33" t="s">
        <v>2709</v>
      </c>
      <c r="F98" s="6" t="s">
        <v>1667</v>
      </c>
    </row>
    <row r="99" spans="1:6" ht="224.25">
      <c r="A99" s="17">
        <f>ROW()</f>
        <v>99</v>
      </c>
      <c r="B99" s="18" t="s">
        <v>2702</v>
      </c>
      <c r="C99" s="19" t="s">
        <v>2775</v>
      </c>
      <c r="D99" s="19" t="str">
        <f t="shared" si="5"/>
        <v>Voraussetzungen für die Deckung</v>
      </c>
      <c r="E99" s="33" t="s">
        <v>2710</v>
      </c>
      <c r="F99" s="6" t="s">
        <v>899</v>
      </c>
    </row>
    <row r="100" spans="1:6" ht="409.5">
      <c r="A100" s="17">
        <f>ROW()</f>
        <v>100</v>
      </c>
      <c r="B100" s="18" t="s">
        <v>2702</v>
      </c>
      <c r="C100" s="19" t="s">
        <v>2775</v>
      </c>
      <c r="D100" s="19" t="str">
        <f t="shared" si="5"/>
        <v>Kombination von selbstständiger und unselbstständiger Tätigkeit</v>
      </c>
      <c r="E100" s="33" t="s">
        <v>2698</v>
      </c>
      <c r="F100" s="6" t="s">
        <v>920</v>
      </c>
    </row>
    <row r="101" spans="1:6" ht="376.5">
      <c r="A101" s="17">
        <f>ROW()</f>
        <v>101</v>
      </c>
      <c r="B101" s="18" t="s">
        <v>2702</v>
      </c>
      <c r="C101" s="19" t="s">
        <v>2775</v>
      </c>
      <c r="D101" s="19" t="str">
        <f t="shared" si="5"/>
        <v xml:space="preserve">Voraussetzungen für den Zugang zu Diensten/Leistungen </v>
      </c>
      <c r="E101" s="33" t="s">
        <v>2699</v>
      </c>
      <c r="F101" s="6" t="s">
        <v>942</v>
      </c>
    </row>
    <row r="102" spans="1:6" ht="253.5">
      <c r="A102" s="17">
        <f>ROW()</f>
        <v>102</v>
      </c>
      <c r="B102" s="18" t="s">
        <v>2702</v>
      </c>
      <c r="C102" s="19" t="s">
        <v>2775</v>
      </c>
      <c r="D102" s="19" t="str">
        <f t="shared" si="5"/>
        <v>Beträge, Dauer und Kostenbeteiligung</v>
      </c>
      <c r="E102" s="33" t="s">
        <v>2700</v>
      </c>
      <c r="F102" s="6" t="s">
        <v>959</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972</v>
      </c>
    </row>
    <row r="105" spans="1:6" ht="272.25">
      <c r="A105" s="17">
        <f>ROW()</f>
        <v>105</v>
      </c>
      <c r="B105" s="18" t="s">
        <v>2702</v>
      </c>
      <c r="C105" s="19" t="s">
        <v>2775</v>
      </c>
      <c r="D105" s="19" t="str">
        <f t="shared" si="5"/>
        <v>Auf Leistungen anfallende Sozialabgaben</v>
      </c>
      <c r="E105" s="33" t="s">
        <v>2683</v>
      </c>
      <c r="F105" s="6" t="s">
        <v>986</v>
      </c>
    </row>
    <row r="106" spans="1:6"/>
    <row r="107" spans="1:6"/>
    <row r="108" spans="1:6"/>
    <row r="109" spans="1:6"/>
    <row r="110" spans="1:6"/>
    <row r="111" spans="1:6"/>
    <row r="112" spans="1:6"/>
    <row r="113"/>
  </sheetData>
  <sheetProtection algorithmName="SHA-512" hashValue="WVtfgx0RYLaJmUNGDORUVEYunaooOHi4qWCxs4Ss7umnIgNh7PLyO/ukZpm2yCMnuYTeNfRfbk7RXy9Ro0BDaA==" saltValue="QpCJ/KbqkrzTHP3JvkKoBg==" spinCount="100000" sheet="1" objects="1" scenarios="1" formatColumns="0" autoFilter="0"/>
  <autoFilter ref="A2:F2" xr:uid="{6EEDE397-7A7C-4634-8AEC-79BD199475A4}"/>
  <pageMargins left="0.7" right="0.7" top="0.78740157499999996" bottom="0.78740157499999996"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61BD2-0941-4A32-B397-148BEE11D5D4}">
  <sheetPr codeName="Tabelle20"/>
  <dimension ref="A1:F105"/>
  <sheetViews>
    <sheetView workbookViewId="0">
      <pane xSplit="5" ySplit="2" topLeftCell="F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39" t="s">
        <v>2726</v>
      </c>
      <c r="C1" s="136" t="s">
        <v>2739</v>
      </c>
      <c r="D1" s="136" t="s">
        <v>2728</v>
      </c>
      <c r="E1" s="128" t="s">
        <v>3506</v>
      </c>
      <c r="F1" s="16" t="s">
        <v>18</v>
      </c>
    </row>
    <row r="2" spans="1:6" ht="39.75" customHeight="1">
      <c r="A2" s="138"/>
      <c r="B2" s="139"/>
      <c r="C2" s="136"/>
      <c r="D2" s="136"/>
      <c r="E2" s="134"/>
      <c r="F2" s="173" t="str" cm="1">
        <f t="array" ref="F2">_xlfn.TEXTJOIN("; ", TRUE, IF(Entscheidungen!A2:A100=F1, Entscheidungen!B2:B100, ""))</f>
        <v/>
      </c>
    </row>
    <row r="3" spans="1:6" ht="177">
      <c r="A3" s="17">
        <f>ROW()</f>
        <v>3</v>
      </c>
      <c r="B3" s="18" t="s">
        <v>2740</v>
      </c>
      <c r="C3" s="18"/>
      <c r="D3" s="18" t="str">
        <f>+E3</f>
        <v>Geltende Rechtsgrundlage</v>
      </c>
      <c r="E3" s="31" t="s">
        <v>2724</v>
      </c>
      <c r="F3" s="6" t="s">
        <v>3088</v>
      </c>
    </row>
    <row r="4" spans="1:6" ht="150">
      <c r="A4" s="17">
        <f>ROW()</f>
        <v>4</v>
      </c>
      <c r="B4" s="18" t="s">
        <v>2740</v>
      </c>
      <c r="C4" s="1"/>
      <c r="D4" s="18" t="str">
        <f t="shared" ref="D4:D34" si="0">+E4</f>
        <v>Grundprinzipien</v>
      </c>
      <c r="E4" s="32" t="s">
        <v>2709</v>
      </c>
      <c r="F4" s="6" t="s">
        <v>4781</v>
      </c>
    </row>
    <row r="5" spans="1:6" ht="188.25">
      <c r="A5" s="17">
        <f>ROW()</f>
        <v>5</v>
      </c>
      <c r="B5" s="18" t="s">
        <v>2740</v>
      </c>
      <c r="C5" s="1"/>
      <c r="D5" s="18" t="str">
        <f t="shared" si="0"/>
        <v>Gedecktes Risiko: Definition</v>
      </c>
      <c r="E5" s="32" t="s">
        <v>2891</v>
      </c>
      <c r="F5" s="6" t="s">
        <v>3089</v>
      </c>
    </row>
    <row r="6" spans="1:6" ht="144">
      <c r="A6" s="17">
        <f>ROW()</f>
        <v>6</v>
      </c>
      <c r="B6" s="18" t="s">
        <v>2740</v>
      </c>
      <c r="C6" s="18" t="s">
        <v>2653</v>
      </c>
      <c r="D6" s="18" t="str">
        <f t="shared" si="0"/>
        <v>Versicherte Personen</v>
      </c>
      <c r="E6" s="33" t="s">
        <v>2653</v>
      </c>
      <c r="F6" s="6" t="s">
        <v>3090</v>
      </c>
    </row>
    <row r="7" spans="1:6" ht="273">
      <c r="A7" s="17">
        <f>ROW()</f>
        <v>7</v>
      </c>
      <c r="B7" s="18" t="s">
        <v>2740</v>
      </c>
      <c r="C7" s="18" t="str">
        <f>+E6</f>
        <v>Versicherte Personen</v>
      </c>
      <c r="D7" s="18" t="str">
        <f t="shared" si="0"/>
        <v>Ausnahmen von der Versicherungspflicht</v>
      </c>
      <c r="E7" s="33" t="s">
        <v>2685</v>
      </c>
      <c r="F7" s="6" t="s">
        <v>125</v>
      </c>
    </row>
    <row r="8" spans="1:6" ht="194.25">
      <c r="A8" s="17">
        <f>ROW()</f>
        <v>8</v>
      </c>
      <c r="B8" s="18" t="s">
        <v>2740</v>
      </c>
      <c r="C8" s="19" t="s">
        <v>149</v>
      </c>
      <c r="D8" s="18" t="str">
        <f t="shared" si="0"/>
        <v>1. Anwartschaftszeit</v>
      </c>
      <c r="E8" s="33" t="s">
        <v>2744</v>
      </c>
      <c r="F8" s="6" t="s">
        <v>3091</v>
      </c>
    </row>
    <row r="9" spans="1:6" ht="409.5">
      <c r="A9" s="17">
        <f>ROW()</f>
        <v>9</v>
      </c>
      <c r="B9" s="18" t="s">
        <v>2740</v>
      </c>
      <c r="C9" s="19" t="s">
        <v>149</v>
      </c>
      <c r="D9" s="18" t="str">
        <f t="shared" si="0"/>
        <v xml:space="preserve">2. Begutachtungskriterien und Kategorien der Arbeitsunfähigkeit/Arbeitsfähigkeit  </v>
      </c>
      <c r="E9" s="33" t="s">
        <v>2745</v>
      </c>
      <c r="F9" s="6" t="s">
        <v>3092</v>
      </c>
    </row>
    <row r="10" spans="1:6" ht="222">
      <c r="A10" s="17">
        <f>ROW()</f>
        <v>10</v>
      </c>
      <c r="B10" s="18" t="s">
        <v>2740</v>
      </c>
      <c r="C10" s="19" t="s">
        <v>149</v>
      </c>
      <c r="D10" s="18" t="str">
        <f t="shared" si="0"/>
        <v>3. Zeitraum der Leistungszahlung</v>
      </c>
      <c r="E10" s="33" t="s">
        <v>2747</v>
      </c>
      <c r="F10" s="6" t="s">
        <v>3093</v>
      </c>
    </row>
    <row r="11" spans="1:6" ht="135">
      <c r="A11" s="17">
        <f>ROW()</f>
        <v>11</v>
      </c>
      <c r="B11" s="18" t="s">
        <v>2740</v>
      </c>
      <c r="C11" s="19" t="s">
        <v>2749</v>
      </c>
      <c r="D11" s="18" t="str">
        <f t="shared" si="0"/>
        <v>1. Gutachter</v>
      </c>
      <c r="E11" s="33" t="s">
        <v>2750</v>
      </c>
      <c r="F11" s="6" t="s">
        <v>3094</v>
      </c>
    </row>
    <row r="12" spans="1:6" ht="111.75">
      <c r="A12" s="17">
        <f>ROW()</f>
        <v>12</v>
      </c>
      <c r="B12" s="18" t="s">
        <v>2740</v>
      </c>
      <c r="C12" s="19" t="s">
        <v>2749</v>
      </c>
      <c r="D12" s="18" t="str">
        <f t="shared" si="0"/>
        <v xml:space="preserve">2. Überprüfung  </v>
      </c>
      <c r="E12" s="33" t="s">
        <v>2751</v>
      </c>
      <c r="F12" s="6" t="s">
        <v>3095</v>
      </c>
    </row>
    <row r="13" spans="1:6" ht="291.75">
      <c r="A13" s="17">
        <f>ROW()</f>
        <v>13</v>
      </c>
      <c r="B13" s="18" t="s">
        <v>2740</v>
      </c>
      <c r="C13" s="18" t="s">
        <v>2695</v>
      </c>
      <c r="D13" s="18" t="str">
        <f t="shared" si="0"/>
        <v>1. Berechnungsmethode bzw. Rentenformel</v>
      </c>
      <c r="E13" s="33" t="s">
        <v>2753</v>
      </c>
      <c r="F13" s="6" t="s">
        <v>3096</v>
      </c>
    </row>
    <row r="14" spans="1:6" ht="343.5">
      <c r="A14" s="17">
        <f>ROW()</f>
        <v>14</v>
      </c>
      <c r="B14" s="18" t="s">
        <v>2740</v>
      </c>
      <c r="C14" s="18" t="s">
        <v>2695</v>
      </c>
      <c r="D14" s="18" t="str">
        <f t="shared" si="0"/>
        <v>2. Referenzeinkommen bzw. Berechnungsgrundlage</v>
      </c>
      <c r="E14" s="33" t="s">
        <v>2754</v>
      </c>
      <c r="F14" s="6" t="s">
        <v>3097</v>
      </c>
    </row>
    <row r="15" spans="1:6" ht="226.5">
      <c r="A15" s="17">
        <f>ROW()</f>
        <v>15</v>
      </c>
      <c r="B15" s="18" t="s">
        <v>2740</v>
      </c>
      <c r="C15" s="18" t="s">
        <v>2695</v>
      </c>
      <c r="D15" s="18" t="str">
        <f t="shared" si="0"/>
        <v>3. Mindest- und Höchstleistungen</v>
      </c>
      <c r="E15" s="33" t="s">
        <v>2756</v>
      </c>
      <c r="F15" s="6" t="s">
        <v>3098</v>
      </c>
    </row>
    <row r="16" spans="1:6" ht="405">
      <c r="A16" s="17">
        <f>ROW()</f>
        <v>16</v>
      </c>
      <c r="B16" s="18" t="s">
        <v>2740</v>
      </c>
      <c r="C16" s="18" t="s">
        <v>2695</v>
      </c>
      <c r="D16" s="18" t="str">
        <f t="shared" si="0"/>
        <v>4. Anrechenbare oder als Beitragszeiten gewertete Zeiträume</v>
      </c>
      <c r="E16" s="33" t="s">
        <v>2757</v>
      </c>
      <c r="F16" s="6" t="s">
        <v>3099</v>
      </c>
    </row>
    <row r="17" spans="1:6" ht="250.5">
      <c r="A17" s="17">
        <f>ROW()</f>
        <v>17</v>
      </c>
      <c r="B17" s="18" t="s">
        <v>2740</v>
      </c>
      <c r="C17" s="18" t="s">
        <v>2695</v>
      </c>
      <c r="D17" s="18" t="str">
        <f t="shared" si="0"/>
        <v xml:space="preserve">5. Zulagen für Unterhaltsberechtigte  </v>
      </c>
      <c r="E17" s="33" t="s">
        <v>2759</v>
      </c>
      <c r="F17" s="6" t="s">
        <v>3100</v>
      </c>
    </row>
    <row r="18" spans="1:6" ht="135">
      <c r="A18" s="17">
        <f>ROW()</f>
        <v>18</v>
      </c>
      <c r="B18" s="18" t="s">
        <v>2740</v>
      </c>
      <c r="C18" s="18" t="str">
        <f>+E18</f>
        <v>Sonstige Leistungen</v>
      </c>
      <c r="D18" s="18" t="str">
        <f>+E18</f>
        <v>Sonstige Leistungen</v>
      </c>
      <c r="E18" s="32" t="s">
        <v>2678</v>
      </c>
      <c r="F18" s="6" t="s">
        <v>3101</v>
      </c>
    </row>
    <row r="19" spans="1:6" ht="300.75">
      <c r="A19" s="17">
        <f>ROW()</f>
        <v>19</v>
      </c>
      <c r="B19" s="18" t="s">
        <v>2740</v>
      </c>
      <c r="C19" s="18" t="s">
        <v>2761</v>
      </c>
      <c r="D19" s="18" t="str">
        <f t="shared" si="0"/>
        <v>Umschulung, berufsbezogene Rehabilitation</v>
      </c>
      <c r="E19" s="33" t="s">
        <v>2762</v>
      </c>
      <c r="F19" s="6" t="s">
        <v>3102</v>
      </c>
    </row>
    <row r="20" spans="1:6" ht="409.5">
      <c r="A20" s="17">
        <f>ROW()</f>
        <v>20</v>
      </c>
      <c r="B20" s="18" t="s">
        <v>2740</v>
      </c>
      <c r="C20" s="18" t="s">
        <v>2761</v>
      </c>
      <c r="D20" s="18" t="str">
        <f t="shared" si="0"/>
        <v xml:space="preserve">Bevorzugte und reservierte Beschäftigung von Menschen mit Behinderungen  </v>
      </c>
      <c r="E20" s="33" t="s">
        <v>2763</v>
      </c>
      <c r="F20" s="6" t="s">
        <v>3103</v>
      </c>
    </row>
    <row r="21" spans="1:6" ht="171.75">
      <c r="A21" s="17">
        <f>ROW()</f>
        <v>21</v>
      </c>
      <c r="B21" s="18" t="s">
        <v>2740</v>
      </c>
      <c r="C21" s="18" t="s">
        <v>2765</v>
      </c>
      <c r="D21" s="18" t="str">
        <f t="shared" si="0"/>
        <v>Indexbindung/Anpassung</v>
      </c>
      <c r="E21" s="32" t="s">
        <v>2766</v>
      </c>
      <c r="F21" s="6" t="s">
        <v>3104</v>
      </c>
    </row>
    <row r="22" spans="1:6" ht="242.25">
      <c r="A22" s="17">
        <f>ROW()</f>
        <v>22</v>
      </c>
      <c r="B22" s="18" t="s">
        <v>2740</v>
      </c>
      <c r="C22" s="18" t="s">
        <v>2765</v>
      </c>
      <c r="D22" s="18" t="str">
        <f>+E22</f>
        <v>Kumulation mit Erwerbseinkommen</v>
      </c>
      <c r="E22" s="32" t="s">
        <v>2723</v>
      </c>
      <c r="F22" s="6" t="s">
        <v>3105</v>
      </c>
    </row>
    <row r="23" spans="1:6" ht="275.25">
      <c r="A23" s="17">
        <f>ROW()</f>
        <v>23</v>
      </c>
      <c r="B23" s="18" t="s">
        <v>2740</v>
      </c>
      <c r="C23" s="18" t="s">
        <v>2765</v>
      </c>
      <c r="D23" s="18" t="str">
        <f t="shared" si="0"/>
        <v>Kumulation mit anderen Sozialleistungen</v>
      </c>
      <c r="E23" s="32" t="s">
        <v>2696</v>
      </c>
      <c r="F23" s="6" t="s">
        <v>3106</v>
      </c>
    </row>
    <row r="24" spans="1:6" ht="232.5">
      <c r="A24" s="17">
        <f>ROW()</f>
        <v>24</v>
      </c>
      <c r="B24" s="18" t="s">
        <v>2740</v>
      </c>
      <c r="C24" s="18" t="s">
        <v>2701</v>
      </c>
      <c r="D24" s="18" t="str">
        <f t="shared" si="0"/>
        <v>1. Besteuerung von Geldleistungen</v>
      </c>
      <c r="E24" s="33" t="s">
        <v>2770</v>
      </c>
      <c r="F24" s="6" t="s">
        <v>3107</v>
      </c>
    </row>
    <row r="25" spans="1:6" ht="387">
      <c r="A25" s="17">
        <f>ROW()</f>
        <v>25</v>
      </c>
      <c r="B25" s="18" t="s">
        <v>2740</v>
      </c>
      <c r="C25" s="18" t="s">
        <v>2701</v>
      </c>
      <c r="D25" s="18" t="str">
        <f t="shared" si="0"/>
        <v>2. Einkommensgrenze für Besteuerung von Geldleistungen</v>
      </c>
      <c r="E25" s="33" t="s">
        <v>2772</v>
      </c>
      <c r="F25" s="6" t="s">
        <v>3108</v>
      </c>
    </row>
    <row r="26" spans="1:6" ht="288.75">
      <c r="A26" s="17">
        <f>ROW()</f>
        <v>26</v>
      </c>
      <c r="B26" s="18" t="s">
        <v>2740</v>
      </c>
      <c r="C26" s="18" t="s">
        <v>2701</v>
      </c>
      <c r="D26" s="18" t="str">
        <f t="shared" si="0"/>
        <v>3. Auf Leistungen anfallende Sozialabgaben</v>
      </c>
      <c r="E26" s="33" t="s">
        <v>2773</v>
      </c>
      <c r="F26" s="6" t="s">
        <v>3109</v>
      </c>
    </row>
    <row r="27" spans="1:6" ht="138">
      <c r="A27" s="17">
        <f>ROW()</f>
        <v>27</v>
      </c>
      <c r="B27" s="18" t="s">
        <v>2740</v>
      </c>
      <c r="C27" s="18" t="s">
        <v>2775</v>
      </c>
      <c r="D27" s="18" t="str">
        <f t="shared" si="0"/>
        <v>Anwendungsbereich</v>
      </c>
      <c r="E27" s="33" t="s">
        <v>2708</v>
      </c>
      <c r="F27" s="6" t="s">
        <v>1652</v>
      </c>
    </row>
    <row r="28" spans="1:6" ht="110.25">
      <c r="A28" s="17">
        <f>ROW()</f>
        <v>28</v>
      </c>
      <c r="B28" s="18" t="s">
        <v>2740</v>
      </c>
      <c r="C28" s="18" t="s">
        <v>2775</v>
      </c>
      <c r="D28" s="18" t="str">
        <f t="shared" si="0"/>
        <v>Grundprinzipien</v>
      </c>
      <c r="E28" s="33" t="s">
        <v>2709</v>
      </c>
      <c r="F28" s="6" t="s">
        <v>3110</v>
      </c>
    </row>
    <row r="29" spans="1:6" ht="224.25">
      <c r="A29" s="17">
        <f>ROW()</f>
        <v>29</v>
      </c>
      <c r="B29" s="18" t="s">
        <v>2740</v>
      </c>
      <c r="C29" s="18" t="s">
        <v>2775</v>
      </c>
      <c r="D29" s="18" t="str">
        <f t="shared" si="0"/>
        <v>Voraussetzungen für die Deckung</v>
      </c>
      <c r="E29" s="33" t="s">
        <v>2710</v>
      </c>
      <c r="F29" s="6" t="s">
        <v>1678</v>
      </c>
    </row>
    <row r="30" spans="1:6" ht="409.5">
      <c r="A30" s="17">
        <f>ROW()</f>
        <v>30</v>
      </c>
      <c r="B30" s="18" t="s">
        <v>2740</v>
      </c>
      <c r="C30" s="18" t="s">
        <v>2775</v>
      </c>
      <c r="D30" s="19" t="str">
        <f t="shared" si="0"/>
        <v>Kombination von selbstständiger und unselbstständiger Tätigkeit</v>
      </c>
      <c r="E30" s="33" t="s">
        <v>2698</v>
      </c>
      <c r="F30" s="6" t="s">
        <v>920</v>
      </c>
    </row>
    <row r="31" spans="1:6" ht="376.5">
      <c r="A31" s="17">
        <f>ROW()</f>
        <v>31</v>
      </c>
      <c r="B31" s="18" t="s">
        <v>2740</v>
      </c>
      <c r="C31" s="18" t="s">
        <v>2695</v>
      </c>
      <c r="D31" s="19" t="str">
        <f t="shared" si="0"/>
        <v xml:space="preserve">Voraussetzungen für den Zugang zu Diensten/Leistungen </v>
      </c>
      <c r="E31" s="33" t="s">
        <v>2699</v>
      </c>
      <c r="F31" s="6" t="s">
        <v>942</v>
      </c>
    </row>
    <row r="32" spans="1:6" ht="253.5">
      <c r="A32" s="17">
        <f>ROW()</f>
        <v>32</v>
      </c>
      <c r="B32" s="18" t="s">
        <v>2740</v>
      </c>
      <c r="C32" s="18" t="s">
        <v>2695</v>
      </c>
      <c r="D32" s="18" t="str">
        <f t="shared" si="0"/>
        <v>Beträge, Dauer und Kostenbeteiligung</v>
      </c>
      <c r="E32" s="33" t="s">
        <v>2700</v>
      </c>
      <c r="F32" s="6" t="s">
        <v>942</v>
      </c>
    </row>
    <row r="33" spans="1:6" ht="216">
      <c r="A33" s="17">
        <f>ROW()</f>
        <v>33</v>
      </c>
      <c r="B33" s="18" t="s">
        <v>2740</v>
      </c>
      <c r="C33" s="18" t="s">
        <v>2695</v>
      </c>
      <c r="D33" s="18" t="str">
        <f t="shared" si="0"/>
        <v>Besteuerung von Geldleistungen</v>
      </c>
      <c r="E33" s="33" t="s">
        <v>2681</v>
      </c>
      <c r="F33" s="6" t="s">
        <v>3111</v>
      </c>
    </row>
    <row r="34" spans="1:6" ht="276.75">
      <c r="A34" s="17">
        <f>ROW()</f>
        <v>34</v>
      </c>
      <c r="B34" s="18" t="s">
        <v>2740</v>
      </c>
      <c r="C34" s="18" t="s">
        <v>2695</v>
      </c>
      <c r="D34" s="18" t="str">
        <f t="shared" si="0"/>
        <v xml:space="preserve"> Auf Leistungen anfallende Sozialabgaben</v>
      </c>
      <c r="E34" s="33" t="s">
        <v>2779</v>
      </c>
      <c r="F34" s="6" t="s">
        <v>942</v>
      </c>
    </row>
    <row r="35" spans="1:6" ht="177">
      <c r="A35" s="17">
        <f>ROW()</f>
        <v>35</v>
      </c>
      <c r="B35" s="18" t="s">
        <v>2780</v>
      </c>
      <c r="C35" s="18" t="str">
        <f>+D35</f>
        <v>Geltende Rechtsgrundlage</v>
      </c>
      <c r="D35" s="18" t="str">
        <f>+E35</f>
        <v>Geltende Rechtsgrundlage</v>
      </c>
      <c r="E35" s="32" t="s">
        <v>2724</v>
      </c>
      <c r="F35" s="6" t="s">
        <v>49</v>
      </c>
    </row>
    <row r="36" spans="1:6" ht="390">
      <c r="A36" s="17">
        <f>ROW()</f>
        <v>36</v>
      </c>
      <c r="B36" s="18" t="s">
        <v>2780</v>
      </c>
      <c r="C36" s="18" t="str">
        <f>+D36</f>
        <v>Grundprinzipien</v>
      </c>
      <c r="D36" s="18" t="str">
        <f>+E36</f>
        <v>Grundprinzipien</v>
      </c>
      <c r="E36" s="32" t="s">
        <v>2709</v>
      </c>
      <c r="F36" s="6" t="s">
        <v>4782</v>
      </c>
    </row>
    <row r="37" spans="1:6" ht="159.75">
      <c r="A37" s="17">
        <f>ROW()</f>
        <v>37</v>
      </c>
      <c r="B37" s="18" t="s">
        <v>2780</v>
      </c>
      <c r="C37" s="18" t="s">
        <v>2708</v>
      </c>
      <c r="D37" s="18" t="str">
        <f>+E37</f>
        <v>1. Versicherte Personen</v>
      </c>
      <c r="E37" s="33" t="s">
        <v>2781</v>
      </c>
      <c r="F37" s="6" t="s">
        <v>112</v>
      </c>
    </row>
    <row r="38" spans="1:6" ht="371.25">
      <c r="A38" s="17">
        <f>ROW()</f>
        <v>38</v>
      </c>
      <c r="B38" s="18" t="s">
        <v>2780</v>
      </c>
      <c r="C38" s="18" t="s">
        <v>2708</v>
      </c>
      <c r="D38" s="18" t="str">
        <f t="shared" ref="D38:D58" si="1">+E38</f>
        <v>2. Ausnahmen von der Deckung  der Pflichtversicherung</v>
      </c>
      <c r="E38" s="33" t="s">
        <v>2782</v>
      </c>
      <c r="F38" s="6" t="s">
        <v>125</v>
      </c>
    </row>
    <row r="39" spans="1:6" ht="194.25">
      <c r="A39" s="17">
        <f>ROW()</f>
        <v>39</v>
      </c>
      <c r="B39" s="18" t="s">
        <v>2780</v>
      </c>
      <c r="C39" s="18" t="s">
        <v>149</v>
      </c>
      <c r="D39" s="18" t="str">
        <f t="shared" si="1"/>
        <v>1. Rentenalter</v>
      </c>
      <c r="E39" s="33" t="s">
        <v>2784</v>
      </c>
      <c r="F39" s="6" t="s">
        <v>168</v>
      </c>
    </row>
    <row r="40" spans="1:6" ht="409.5">
      <c r="A40" s="17">
        <f>ROW()</f>
        <v>40</v>
      </c>
      <c r="B40" s="18" t="s">
        <v>2780</v>
      </c>
      <c r="C40" s="18" t="s">
        <v>149</v>
      </c>
      <c r="D40" s="18" t="str">
        <f t="shared" si="1"/>
        <v>2. Anwartschaftszeit und sonstige Anspruchsvoraussetzungen für den Bezug einer Altersrente</v>
      </c>
      <c r="E40" s="33" t="s">
        <v>2785</v>
      </c>
      <c r="F40" s="6" t="s">
        <v>199</v>
      </c>
    </row>
    <row r="41" spans="1:6" ht="194.25">
      <c r="A41" s="17">
        <f>ROW()</f>
        <v>41</v>
      </c>
      <c r="B41" s="18" t="s">
        <v>2780</v>
      </c>
      <c r="C41" s="18" t="s">
        <v>149</v>
      </c>
      <c r="D41" s="18" t="str">
        <f t="shared" si="1"/>
        <v>3. Vorruhestand</v>
      </c>
      <c r="E41" s="33" t="s">
        <v>2786</v>
      </c>
      <c r="F41" s="6" t="s">
        <v>230</v>
      </c>
    </row>
    <row r="42" spans="1:6" ht="264">
      <c r="A42" s="17">
        <f>ROW()</f>
        <v>42</v>
      </c>
      <c r="B42" s="18" t="s">
        <v>2780</v>
      </c>
      <c r="C42" s="18" t="s">
        <v>149</v>
      </c>
      <c r="D42" s="18" t="str">
        <f t="shared" si="1"/>
        <v>4. Beschwerliche und gefährliche Arbeit</v>
      </c>
      <c r="E42" s="33" t="s">
        <v>2787</v>
      </c>
      <c r="F42" s="6" t="s">
        <v>260</v>
      </c>
    </row>
    <row r="43" spans="1:6" ht="194.25">
      <c r="A43" s="17">
        <f>ROW()</f>
        <v>43</v>
      </c>
      <c r="B43" s="18" t="s">
        <v>2780</v>
      </c>
      <c r="C43" s="18" t="s">
        <v>149</v>
      </c>
      <c r="D43" s="18" t="str">
        <f t="shared" si="1"/>
        <v>5. Rentenaufschub</v>
      </c>
      <c r="E43" s="33" t="s">
        <v>2788</v>
      </c>
      <c r="F43" s="6" t="s">
        <v>288</v>
      </c>
    </row>
    <row r="44" spans="1:6" ht="174">
      <c r="A44" s="17">
        <f>ROW()</f>
        <v>44</v>
      </c>
      <c r="B44" s="18" t="s">
        <v>2780</v>
      </c>
      <c r="C44" s="18" t="s">
        <v>2695</v>
      </c>
      <c r="D44" s="18" t="str">
        <f t="shared" si="1"/>
        <v>1. Bestimmende Faktoren</v>
      </c>
      <c r="E44" s="33" t="s">
        <v>2789</v>
      </c>
      <c r="F44" s="6" t="s">
        <v>4783</v>
      </c>
    </row>
    <row r="45" spans="1:6" ht="409.5">
      <c r="A45" s="17">
        <f>ROW()</f>
        <v>45</v>
      </c>
      <c r="B45" s="18" t="s">
        <v>2780</v>
      </c>
      <c r="C45" s="18" t="s">
        <v>2695</v>
      </c>
      <c r="D45" s="18" t="str">
        <f t="shared" si="1"/>
        <v>2. Berechnungsmethode, Rentenformel bzw. Beträge</v>
      </c>
      <c r="E45" s="33" t="s">
        <v>2790</v>
      </c>
      <c r="F45" s="6" t="s">
        <v>346</v>
      </c>
    </row>
    <row r="46" spans="1:6" ht="343.5">
      <c r="A46" s="17">
        <f>ROW()</f>
        <v>46</v>
      </c>
      <c r="B46" s="18" t="s">
        <v>2780</v>
      </c>
      <c r="C46" s="18" t="s">
        <v>2695</v>
      </c>
      <c r="D46" s="18" t="str">
        <f t="shared" si="1"/>
        <v>3. Referenzeinkommen bzw. Berechnungsgrundlage</v>
      </c>
      <c r="E46" s="33" t="s">
        <v>2791</v>
      </c>
      <c r="F46" s="6" t="s">
        <v>377</v>
      </c>
    </row>
    <row r="47" spans="1:6" ht="405">
      <c r="A47" s="17">
        <f>ROW()</f>
        <v>47</v>
      </c>
      <c r="B47" s="18" t="s">
        <v>2780</v>
      </c>
      <c r="C47" s="18" t="s">
        <v>2695</v>
      </c>
      <c r="D47" s="18" t="str">
        <f t="shared" si="1"/>
        <v>4. Anrechenbare oder als Beitragszeiten gewertete Zeiträume</v>
      </c>
      <c r="E47" s="33" t="s">
        <v>2757</v>
      </c>
      <c r="F47" s="6" t="s">
        <v>4784</v>
      </c>
    </row>
    <row r="48" spans="1:6" ht="243.75">
      <c r="A48" s="17">
        <f>ROW()</f>
        <v>48</v>
      </c>
      <c r="B48" s="18" t="s">
        <v>2780</v>
      </c>
      <c r="C48" s="18" t="s">
        <v>2695</v>
      </c>
      <c r="D48" s="18" t="str">
        <f t="shared" si="1"/>
        <v>5. Rückkauf von Versicherungszeiten</v>
      </c>
      <c r="E48" s="33" t="s">
        <v>2792</v>
      </c>
      <c r="F48" s="6" t="s">
        <v>437</v>
      </c>
    </row>
    <row r="49" spans="1:6" ht="246">
      <c r="A49" s="17">
        <f>ROW()</f>
        <v>49</v>
      </c>
      <c r="B49" s="18" t="s">
        <v>2780</v>
      </c>
      <c r="C49" s="18" t="s">
        <v>2695</v>
      </c>
      <c r="D49" s="18" t="str">
        <f t="shared" si="1"/>
        <v>6.  Zulagen für Unterhaltsberechtigte</v>
      </c>
      <c r="E49" s="33" t="s">
        <v>2892</v>
      </c>
      <c r="F49" s="6" t="s">
        <v>447</v>
      </c>
    </row>
    <row r="50" spans="1:6" ht="145.5">
      <c r="A50" s="17">
        <f>ROW()</f>
        <v>50</v>
      </c>
      <c r="B50" s="18" t="s">
        <v>2780</v>
      </c>
      <c r="C50" s="18" t="s">
        <v>2695</v>
      </c>
      <c r="D50" s="18" t="str">
        <f t="shared" si="1"/>
        <v>7. Besondere Zulagen</v>
      </c>
      <c r="E50" s="33" t="s">
        <v>2793</v>
      </c>
      <c r="F50" s="6" t="s">
        <v>474</v>
      </c>
    </row>
    <row r="51" spans="1:6" ht="360.75">
      <c r="A51" s="17">
        <f>ROW()</f>
        <v>51</v>
      </c>
      <c r="B51" s="18" t="s">
        <v>2780</v>
      </c>
      <c r="C51" s="18" t="s">
        <v>2695</v>
      </c>
      <c r="D51" s="18" t="str">
        <f t="shared" si="1"/>
        <v>8. Mindestrente und bedürftigkeitsabhängige Leistung</v>
      </c>
      <c r="E51" s="33" t="s">
        <v>2794</v>
      </c>
      <c r="F51" s="6" t="s">
        <v>517</v>
      </c>
    </row>
    <row r="52" spans="1:6" ht="101.25">
      <c r="A52" s="17">
        <f>ROW()</f>
        <v>52</v>
      </c>
      <c r="B52" s="18" t="s">
        <v>2780</v>
      </c>
      <c r="C52" s="18" t="s">
        <v>2695</v>
      </c>
      <c r="D52" s="18" t="str">
        <f t="shared" si="1"/>
        <v>9. Höchstrente</v>
      </c>
      <c r="E52" s="33" t="s">
        <v>2795</v>
      </c>
      <c r="F52" s="6" t="s">
        <v>545</v>
      </c>
    </row>
    <row r="53" spans="1:6" ht="119.25">
      <c r="A53" s="17">
        <f>ROW()</f>
        <v>53</v>
      </c>
      <c r="B53" s="18" t="s">
        <v>2780</v>
      </c>
      <c r="C53" s="18" t="s">
        <v>2695</v>
      </c>
      <c r="D53" s="18" t="str">
        <f t="shared" si="1"/>
        <v>10. Vorruhestand</v>
      </c>
      <c r="E53" s="33" t="s">
        <v>2796</v>
      </c>
      <c r="F53" s="6" t="s">
        <v>573</v>
      </c>
    </row>
    <row r="54" spans="1:6" ht="272.25">
      <c r="A54" s="17">
        <f>ROW()</f>
        <v>54</v>
      </c>
      <c r="B54" s="18" t="s">
        <v>2780</v>
      </c>
      <c r="C54" s="18" t="s">
        <v>2695</v>
      </c>
      <c r="D54" s="18" t="str">
        <f t="shared" si="1"/>
        <v>11. Beschwerliche und gefährliche Arbeit</v>
      </c>
      <c r="E54" s="33" t="s">
        <v>2797</v>
      </c>
      <c r="F54" s="6" t="s">
        <v>599</v>
      </c>
    </row>
    <row r="55" spans="1:6" ht="120">
      <c r="A55" s="17">
        <f>ROW()</f>
        <v>55</v>
      </c>
      <c r="B55" s="18" t="s">
        <v>2780</v>
      </c>
      <c r="C55" s="18" t="s">
        <v>2695</v>
      </c>
      <c r="D55" s="18" t="str">
        <f t="shared" si="1"/>
        <v>12. Teilrente</v>
      </c>
      <c r="E55" s="33" t="s">
        <v>2798</v>
      </c>
      <c r="F55" s="6" t="s">
        <v>626</v>
      </c>
    </row>
    <row r="56" spans="1:6" ht="171.75">
      <c r="A56" s="17">
        <f>ROW()</f>
        <v>56</v>
      </c>
      <c r="B56" s="18" t="s">
        <v>2780</v>
      </c>
      <c r="C56" s="18" t="s">
        <v>2695</v>
      </c>
      <c r="D56" s="18" t="str">
        <f t="shared" si="1"/>
        <v>13. Aufgeschobene Rente</v>
      </c>
      <c r="E56" s="33" t="s">
        <v>2893</v>
      </c>
      <c r="F56" s="6" t="s">
        <v>655</v>
      </c>
    </row>
    <row r="57" spans="1:6" ht="179.25">
      <c r="A57" s="17">
        <f>ROW()</f>
        <v>57</v>
      </c>
      <c r="B57" s="18" t="s">
        <v>2780</v>
      </c>
      <c r="C57" s="18" t="s">
        <v>2799</v>
      </c>
      <c r="D57" s="18" t="s">
        <v>2799</v>
      </c>
      <c r="E57" s="32" t="s">
        <v>2799</v>
      </c>
      <c r="F57" s="6" t="s">
        <v>4785</v>
      </c>
    </row>
    <row r="58" spans="1:6" ht="246">
      <c r="A58" s="17">
        <f>ROW()</f>
        <v>58</v>
      </c>
      <c r="B58" s="18" t="s">
        <v>2780</v>
      </c>
      <c r="C58" s="18" t="s">
        <v>2799</v>
      </c>
      <c r="D58" s="18" t="str">
        <f t="shared" si="1"/>
        <v xml:space="preserve">Kumulation mit Erwerbseinkommen </v>
      </c>
      <c r="E58" s="32" t="s">
        <v>2697</v>
      </c>
      <c r="F58" s="6" t="s">
        <v>717</v>
      </c>
    </row>
    <row r="59" spans="1:6" ht="286.5">
      <c r="A59" s="17">
        <f>ROW()</f>
        <v>59</v>
      </c>
      <c r="B59" s="18" t="s">
        <v>2780</v>
      </c>
      <c r="C59" s="18" t="s">
        <v>2799</v>
      </c>
      <c r="D59" s="18" t="s">
        <v>2800</v>
      </c>
      <c r="E59" s="32" t="s">
        <v>2696</v>
      </c>
      <c r="F59" s="6" t="s">
        <v>748</v>
      </c>
    </row>
    <row r="60" spans="1:6" ht="225.75">
      <c r="A60" s="17">
        <f>ROW()</f>
        <v>60</v>
      </c>
      <c r="B60" s="18" t="s">
        <v>2780</v>
      </c>
      <c r="C60" s="18" t="s">
        <v>761</v>
      </c>
      <c r="D60" s="18" t="str">
        <f t="shared" ref="D60:D70" si="2">+E60</f>
        <v>1. Besteuerung von Renten</v>
      </c>
      <c r="E60" s="33" t="s">
        <v>2801</v>
      </c>
      <c r="F60" s="6" t="s">
        <v>772</v>
      </c>
    </row>
    <row r="61" spans="1:6" ht="335.25">
      <c r="A61" s="17">
        <f>ROW()</f>
        <v>61</v>
      </c>
      <c r="B61" s="18" t="s">
        <v>2780</v>
      </c>
      <c r="C61" s="18" t="s">
        <v>761</v>
      </c>
      <c r="D61" s="18" t="str">
        <f t="shared" si="2"/>
        <v>2. Einkommensgrenze für Besteuerung von Renten</v>
      </c>
      <c r="E61" s="33" t="s">
        <v>2802</v>
      </c>
      <c r="F61" s="6" t="s">
        <v>805</v>
      </c>
    </row>
    <row r="62" spans="1:6" ht="264">
      <c r="A62" s="17">
        <f>ROW()</f>
        <v>62</v>
      </c>
      <c r="B62" s="18" t="s">
        <v>2780</v>
      </c>
      <c r="C62" s="18" t="s">
        <v>761</v>
      </c>
      <c r="D62" s="18" t="str">
        <f t="shared" si="2"/>
        <v>3. Auf Renten anfallende Sozialabgaben</v>
      </c>
      <c r="E62" s="33" t="s">
        <v>2803</v>
      </c>
      <c r="F62" s="6" t="s">
        <v>830</v>
      </c>
    </row>
    <row r="63" spans="1:6" ht="138">
      <c r="A63" s="17">
        <f>ROW()</f>
        <v>63</v>
      </c>
      <c r="B63" s="18" t="s">
        <v>2804</v>
      </c>
      <c r="C63" s="18" t="str">
        <f>+E63</f>
        <v>Anwendungsbereich</v>
      </c>
      <c r="D63" s="18" t="str">
        <f t="shared" si="2"/>
        <v>Anwendungsbereich</v>
      </c>
      <c r="E63" s="33" t="s">
        <v>2708</v>
      </c>
      <c r="F63" s="6" t="s">
        <v>855</v>
      </c>
    </row>
    <row r="64" spans="1:6" ht="132.75">
      <c r="A64" s="17">
        <f>ROW()</f>
        <v>64</v>
      </c>
      <c r="B64" s="18" t="s">
        <v>2804</v>
      </c>
      <c r="C64" s="18" t="s">
        <v>2775</v>
      </c>
      <c r="D64" s="18" t="str">
        <f t="shared" si="2"/>
        <v>Grundprinzipien</v>
      </c>
      <c r="E64" s="33" t="s">
        <v>2709</v>
      </c>
      <c r="F64" s="6" t="s">
        <v>881</v>
      </c>
    </row>
    <row r="65" spans="1:6" ht="224.25">
      <c r="A65" s="17">
        <f>ROW()</f>
        <v>65</v>
      </c>
      <c r="B65" s="18" t="s">
        <v>2804</v>
      </c>
      <c r="C65" s="18" t="s">
        <v>2775</v>
      </c>
      <c r="D65" s="18" t="str">
        <f t="shared" si="2"/>
        <v>Voraussetzungen für die Deckung</v>
      </c>
      <c r="E65" s="33" t="s">
        <v>2710</v>
      </c>
      <c r="F65" s="6" t="s">
        <v>907</v>
      </c>
    </row>
    <row r="66" spans="1:6" ht="409.5">
      <c r="A66" s="17">
        <f>ROW()</f>
        <v>66</v>
      </c>
      <c r="B66" s="18" t="s">
        <v>2804</v>
      </c>
      <c r="C66" s="18" t="s">
        <v>2775</v>
      </c>
      <c r="D66" s="18" t="str">
        <f t="shared" si="2"/>
        <v>Kombination von selbstständiger und unselbstständiger Tätigkeit</v>
      </c>
      <c r="E66" s="33" t="s">
        <v>2698</v>
      </c>
      <c r="F66" s="6" t="s">
        <v>920</v>
      </c>
    </row>
    <row r="67" spans="1:6" ht="376.5">
      <c r="A67" s="17">
        <f>ROW()</f>
        <v>67</v>
      </c>
      <c r="B67" s="18" t="s">
        <v>2804</v>
      </c>
      <c r="C67" s="18" t="s">
        <v>2695</v>
      </c>
      <c r="D67" s="19" t="str">
        <f t="shared" si="2"/>
        <v xml:space="preserve">Voraussetzungen für den Zugang zu Diensten/Leistungen </v>
      </c>
      <c r="E67" s="33" t="s">
        <v>2699</v>
      </c>
      <c r="F67" s="6" t="s">
        <v>942</v>
      </c>
    </row>
    <row r="68" spans="1:6" ht="253.5">
      <c r="A68" s="17">
        <f>ROW()</f>
        <v>68</v>
      </c>
      <c r="B68" s="18" t="s">
        <v>2804</v>
      </c>
      <c r="C68" s="18" t="s">
        <v>2695</v>
      </c>
      <c r="D68" s="19" t="str">
        <f t="shared" si="2"/>
        <v>Beträge, Dauer und Kostenbeteiligung</v>
      </c>
      <c r="E68" s="33" t="s">
        <v>2700</v>
      </c>
      <c r="F68" s="6" t="s">
        <v>942</v>
      </c>
    </row>
    <row r="69" spans="1:6" ht="216">
      <c r="A69" s="17">
        <f>ROW()</f>
        <v>69</v>
      </c>
      <c r="B69" s="18" t="s">
        <v>2804</v>
      </c>
      <c r="C69" s="18" t="s">
        <v>2695</v>
      </c>
      <c r="D69" s="19" t="str">
        <f t="shared" si="2"/>
        <v>Besteuerung von Geldleistungen</v>
      </c>
      <c r="E69" s="33" t="s">
        <v>2681</v>
      </c>
      <c r="F69" s="6" t="s">
        <v>973</v>
      </c>
    </row>
    <row r="70" spans="1:6" ht="272.25">
      <c r="A70" s="17">
        <f>ROW()</f>
        <v>70</v>
      </c>
      <c r="B70" s="18" t="s">
        <v>2804</v>
      </c>
      <c r="C70" s="18" t="s">
        <v>2695</v>
      </c>
      <c r="D70" s="19" t="str">
        <f t="shared" si="2"/>
        <v>Auf Leistungen anfallende Sozialabgaben</v>
      </c>
      <c r="E70" s="33" t="s">
        <v>2683</v>
      </c>
      <c r="F70" s="6" t="s">
        <v>942</v>
      </c>
    </row>
    <row r="71" spans="1:6" ht="177">
      <c r="A71" s="17">
        <f>ROW()</f>
        <v>71</v>
      </c>
      <c r="B71" s="18" t="s">
        <v>2702</v>
      </c>
      <c r="C71" s="18" t="str">
        <f t="shared" ref="C71:D75" si="3">+D71</f>
        <v>Geltende Rechtsgrundlage</v>
      </c>
      <c r="D71" s="19" t="str">
        <f t="shared" si="3"/>
        <v>Geltende Rechtsgrundlage</v>
      </c>
      <c r="E71" s="32" t="s">
        <v>2724</v>
      </c>
      <c r="F71" s="6" t="s">
        <v>1006</v>
      </c>
    </row>
    <row r="72" spans="1:6" ht="195">
      <c r="A72" s="17">
        <f>ROW()</f>
        <v>72</v>
      </c>
      <c r="B72" s="18" t="s">
        <v>2702</v>
      </c>
      <c r="C72" s="18" t="str">
        <f t="shared" si="3"/>
        <v>Grundprinzipien</v>
      </c>
      <c r="D72" s="19" t="str">
        <f t="shared" si="3"/>
        <v>Grundprinzipien</v>
      </c>
      <c r="E72" s="32" t="s">
        <v>2709</v>
      </c>
      <c r="F72" s="6" t="s">
        <v>1034</v>
      </c>
    </row>
    <row r="73" spans="1:6" ht="315">
      <c r="A73" s="17">
        <f>ROW()</f>
        <v>73</v>
      </c>
      <c r="B73" s="18" t="s">
        <v>2702</v>
      </c>
      <c r="C73" s="19" t="str">
        <f t="shared" si="3"/>
        <v>Anwendungsbereich (in Bezug auf Verstorbene)</v>
      </c>
      <c r="D73" s="19" t="str">
        <f t="shared" si="3"/>
        <v>Anwendungsbereich (in Bezug auf Verstorbene)</v>
      </c>
      <c r="E73" s="32" t="s">
        <v>2725</v>
      </c>
      <c r="F73" s="6" t="s">
        <v>1050</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125</v>
      </c>
    </row>
    <row r="75" spans="1:6" ht="144.75">
      <c r="A75" s="17">
        <f>ROW()</f>
        <v>75</v>
      </c>
      <c r="B75" s="18" t="s">
        <v>2702</v>
      </c>
      <c r="C75" s="19" t="str">
        <f t="shared" si="3"/>
        <v>Berechtigte Personen</v>
      </c>
      <c r="D75" s="19" t="str">
        <f t="shared" si="3"/>
        <v>Berechtigte Personen</v>
      </c>
      <c r="E75" s="32" t="s">
        <v>2730</v>
      </c>
      <c r="F75" s="6" t="s">
        <v>1109</v>
      </c>
    </row>
    <row r="76" spans="1:6" ht="102">
      <c r="A76" s="17">
        <f>ROW()</f>
        <v>76</v>
      </c>
      <c r="B76" s="18" t="s">
        <v>2702</v>
      </c>
      <c r="C76" s="1"/>
      <c r="D76" s="1"/>
      <c r="E76" s="32" t="s">
        <v>2783</v>
      </c>
      <c r="F76" s="6"/>
    </row>
    <row r="77" spans="1:6" ht="189.75">
      <c r="A77" s="17">
        <f>ROW()</f>
        <v>77</v>
      </c>
      <c r="B77" s="18" t="s">
        <v>2702</v>
      </c>
      <c r="C77" s="18" t="s">
        <v>2805</v>
      </c>
      <c r="D77" s="18" t="str">
        <f t="shared" ref="D77:D90" si="4">+E77</f>
        <v>1. Verstorbener Versicherter</v>
      </c>
      <c r="E77" s="33" t="s">
        <v>2806</v>
      </c>
      <c r="F77" s="6" t="s">
        <v>1140</v>
      </c>
    </row>
    <row r="78" spans="1:6" ht="185.25">
      <c r="A78" s="17">
        <f>ROW()</f>
        <v>78</v>
      </c>
      <c r="B78" s="18" t="s">
        <v>2702</v>
      </c>
      <c r="C78" s="18" t="s">
        <v>2805</v>
      </c>
      <c r="D78" s="18" t="str">
        <f t="shared" si="4"/>
        <v>2. Hinterbliebener Ehegatte</v>
      </c>
      <c r="E78" s="33" t="s">
        <v>2807</v>
      </c>
      <c r="F78" s="6" t="s">
        <v>1171</v>
      </c>
    </row>
    <row r="79" spans="1:6" ht="181.5">
      <c r="A79" s="17">
        <f>ROW()</f>
        <v>79</v>
      </c>
      <c r="B79" s="18" t="s">
        <v>2702</v>
      </c>
      <c r="C79" s="18" t="s">
        <v>2805</v>
      </c>
      <c r="D79" s="18" t="str">
        <f t="shared" si="4"/>
        <v>3. Geschiedener Ehegatte</v>
      </c>
      <c r="E79" s="33" t="s">
        <v>2808</v>
      </c>
      <c r="F79" s="6" t="s">
        <v>1200</v>
      </c>
    </row>
    <row r="80" spans="1:6" ht="216">
      <c r="A80" s="17">
        <f>ROW()</f>
        <v>80</v>
      </c>
      <c r="B80" s="18" t="s">
        <v>2702</v>
      </c>
      <c r="C80" s="18" t="s">
        <v>2805</v>
      </c>
      <c r="D80" s="18" t="str">
        <f t="shared" si="4"/>
        <v>4. Hinterbliebene Lebenspartner</v>
      </c>
      <c r="E80" s="33" t="s">
        <v>2809</v>
      </c>
      <c r="F80" s="6" t="s">
        <v>1225</v>
      </c>
    </row>
    <row r="81" spans="1:6" ht="181.5">
      <c r="A81" s="17">
        <f>ROW()</f>
        <v>81</v>
      </c>
      <c r="B81" s="18" t="s">
        <v>2702</v>
      </c>
      <c r="C81" s="18" t="s">
        <v>2805</v>
      </c>
      <c r="D81" s="18" t="str">
        <f t="shared" si="4"/>
        <v>5. Kinder</v>
      </c>
      <c r="E81" s="33" t="s">
        <v>2810</v>
      </c>
      <c r="F81" s="6" t="s">
        <v>1252</v>
      </c>
    </row>
    <row r="82" spans="1:6" ht="181.5">
      <c r="A82" s="17">
        <f>ROW()</f>
        <v>82</v>
      </c>
      <c r="B82" s="18" t="s">
        <v>2702</v>
      </c>
      <c r="C82" s="18" t="s">
        <v>2805</v>
      </c>
      <c r="D82" s="18" t="str">
        <f t="shared" si="4"/>
        <v>6. Andere Personen</v>
      </c>
      <c r="E82" s="33" t="s">
        <v>2811</v>
      </c>
      <c r="F82" s="6" t="s">
        <v>373</v>
      </c>
    </row>
    <row r="83" spans="1:6" ht="409.5">
      <c r="A83" s="17">
        <f>ROW()</f>
        <v>83</v>
      </c>
      <c r="B83" s="18" t="s">
        <v>2702</v>
      </c>
      <c r="C83" s="18" t="s">
        <v>2695</v>
      </c>
      <c r="D83" s="19" t="str">
        <f t="shared" si="4"/>
        <v>1. Hinterbliebener Ehegatte, geschiedener Ehegatte, hinterbliebene Lebenspartner</v>
      </c>
      <c r="E83" s="33" t="s">
        <v>2812</v>
      </c>
      <c r="F83" s="6" t="s">
        <v>1300</v>
      </c>
    </row>
    <row r="84" spans="1:6" ht="280.5">
      <c r="A84" s="17">
        <f>ROW()</f>
        <v>84</v>
      </c>
      <c r="B84" s="18" t="s">
        <v>2702</v>
      </c>
      <c r="C84" s="18" t="s">
        <v>2695</v>
      </c>
      <c r="D84" s="19" t="str">
        <f t="shared" si="4"/>
        <v>2. Hinterbliebener Ehegatte: Wiederheirat</v>
      </c>
      <c r="E84" s="33" t="s">
        <v>2813</v>
      </c>
      <c r="F84" s="6" t="s">
        <v>1329</v>
      </c>
    </row>
    <row r="85" spans="1:6" ht="195">
      <c r="A85" s="17">
        <f>ROW()</f>
        <v>85</v>
      </c>
      <c r="B85" s="18" t="s">
        <v>2702</v>
      </c>
      <c r="C85" s="18" t="s">
        <v>2695</v>
      </c>
      <c r="D85" s="19" t="str">
        <f t="shared" si="4"/>
        <v>3. Kinder</v>
      </c>
      <c r="E85" s="33" t="s">
        <v>2814</v>
      </c>
      <c r="F85" s="6" t="s">
        <v>4786</v>
      </c>
    </row>
    <row r="86" spans="1:6" ht="147">
      <c r="A86" s="17">
        <f>ROW()</f>
        <v>86</v>
      </c>
      <c r="B86" s="18" t="s">
        <v>2702</v>
      </c>
      <c r="C86" s="18" t="s">
        <v>2695</v>
      </c>
      <c r="D86" s="19" t="str">
        <f t="shared" si="4"/>
        <v>4. Andere Berechtigte</v>
      </c>
      <c r="E86" s="33" t="s">
        <v>2815</v>
      </c>
      <c r="F86" s="6" t="s">
        <v>373</v>
      </c>
    </row>
    <row r="87" spans="1:6" ht="381">
      <c r="A87" s="17">
        <f>ROW()</f>
        <v>87</v>
      </c>
      <c r="B87" s="18" t="s">
        <v>2702</v>
      </c>
      <c r="C87" s="18" t="s">
        <v>2695</v>
      </c>
      <c r="D87" s="19" t="str">
        <f t="shared" si="4"/>
        <v xml:space="preserve"> 5. Höchster zahlbarer Gesamtbetrag für alle Berechtigten</v>
      </c>
      <c r="E87" s="33" t="s">
        <v>2816</v>
      </c>
      <c r="F87" s="6" t="s">
        <v>545</v>
      </c>
    </row>
    <row r="88" spans="1:6" ht="151.5">
      <c r="A88" s="17">
        <f>ROW()</f>
        <v>88</v>
      </c>
      <c r="B88" s="18" t="s">
        <v>2702</v>
      </c>
      <c r="C88" s="18" t="s">
        <v>2695</v>
      </c>
      <c r="D88" s="19" t="str">
        <f t="shared" si="4"/>
        <v>6. Sonstige Leistungen</v>
      </c>
      <c r="E88" s="33" t="s">
        <v>2817</v>
      </c>
      <c r="F88" s="6" t="s">
        <v>1430</v>
      </c>
    </row>
    <row r="89" spans="1:6" ht="126.75">
      <c r="A89" s="17">
        <f>ROW()</f>
        <v>89</v>
      </c>
      <c r="B89" s="18" t="s">
        <v>2702</v>
      </c>
      <c r="C89" s="18" t="s">
        <v>2695</v>
      </c>
      <c r="D89" s="19" t="str">
        <f>+E89</f>
        <v>7. Mindestleistung</v>
      </c>
      <c r="E89" s="33" t="s">
        <v>2818</v>
      </c>
      <c r="F89" s="6" t="s">
        <v>1458</v>
      </c>
    </row>
    <row r="90" spans="1:6" ht="122.25">
      <c r="A90" s="17">
        <f>ROW()</f>
        <v>90</v>
      </c>
      <c r="B90" s="18" t="s">
        <v>2702</v>
      </c>
      <c r="C90" s="18" t="s">
        <v>2695</v>
      </c>
      <c r="D90" s="19" t="str">
        <f t="shared" si="4"/>
        <v xml:space="preserve"> 8. Höchstleistung</v>
      </c>
      <c r="E90" s="33" t="s">
        <v>2819</v>
      </c>
      <c r="F90" s="6" t="s">
        <v>1482</v>
      </c>
    </row>
    <row r="91" spans="1:6" ht="179.25">
      <c r="A91" s="17">
        <f>ROW()</f>
        <v>91</v>
      </c>
      <c r="B91" s="18" t="s">
        <v>2702</v>
      </c>
      <c r="C91" s="18" t="s">
        <v>2799</v>
      </c>
      <c r="D91" s="19" t="str">
        <f>+C91</f>
        <v>Indexbindung / Anpassung</v>
      </c>
      <c r="E91" s="32" t="s">
        <v>2799</v>
      </c>
      <c r="F91" s="6" t="s">
        <v>1509</v>
      </c>
    </row>
    <row r="92" spans="1:6" ht="242.25">
      <c r="A92" s="17">
        <f>ROW()</f>
        <v>92</v>
      </c>
      <c r="B92" s="18" t="s">
        <v>2702</v>
      </c>
      <c r="C92" s="18" t="s">
        <v>2799</v>
      </c>
      <c r="D92" s="19" t="str">
        <f t="shared" ref="D92:D105" si="5">+E92</f>
        <v>Kumulation mit Erwerbseinkommen</v>
      </c>
      <c r="E92" s="32" t="s">
        <v>2723</v>
      </c>
      <c r="F92" s="6" t="s">
        <v>1539</v>
      </c>
    </row>
    <row r="93" spans="1:6" ht="275.25">
      <c r="A93" s="17">
        <f>ROW()</f>
        <v>93</v>
      </c>
      <c r="B93" s="18" t="s">
        <v>2702</v>
      </c>
      <c r="C93" s="18" t="s">
        <v>2799</v>
      </c>
      <c r="D93" s="19" t="str">
        <f t="shared" si="5"/>
        <v>Kumulation mit anderen Sozialleistungen</v>
      </c>
      <c r="E93" s="32" t="s">
        <v>2696</v>
      </c>
      <c r="F93" s="6" t="s">
        <v>1570</v>
      </c>
    </row>
    <row r="94" spans="1:6" ht="232.5">
      <c r="A94" s="17">
        <f>ROW()</f>
        <v>94</v>
      </c>
      <c r="B94" s="18" t="s">
        <v>2702</v>
      </c>
      <c r="C94" s="19" t="s">
        <v>2701</v>
      </c>
      <c r="D94" s="19" t="str">
        <f t="shared" si="5"/>
        <v>1. Besteuerung von Geldleistungen</v>
      </c>
      <c r="E94" s="33" t="s">
        <v>2770</v>
      </c>
      <c r="F94" s="6" t="s">
        <v>1593</v>
      </c>
    </row>
    <row r="95" spans="1:6" ht="387">
      <c r="A95" s="17">
        <f>ROW()</f>
        <v>95</v>
      </c>
      <c r="B95" s="18" t="s">
        <v>2702</v>
      </c>
      <c r="C95" s="19" t="s">
        <v>2701</v>
      </c>
      <c r="D95" s="19" t="str">
        <f t="shared" si="5"/>
        <v>2. Einkommensgrenze für Besteuerung von Geldleistungen</v>
      </c>
      <c r="E95" s="33" t="s">
        <v>2772</v>
      </c>
      <c r="F95" s="6" t="s">
        <v>1616</v>
      </c>
    </row>
    <row r="96" spans="1:6" ht="288.75">
      <c r="A96" s="17">
        <f>ROW()</f>
        <v>96</v>
      </c>
      <c r="B96" s="18" t="s">
        <v>2702</v>
      </c>
      <c r="C96" s="19" t="s">
        <v>2701</v>
      </c>
      <c r="D96" s="19" t="str">
        <f t="shared" si="5"/>
        <v>3. Auf Leistungen anfallende Sozialabgaben</v>
      </c>
      <c r="E96" s="33" t="s">
        <v>2773</v>
      </c>
      <c r="F96" s="6" t="s">
        <v>1635</v>
      </c>
    </row>
    <row r="97" spans="1:6" ht="138">
      <c r="A97" s="17">
        <f>ROW()</f>
        <v>97</v>
      </c>
      <c r="B97" s="18" t="s">
        <v>2702</v>
      </c>
      <c r="C97" s="19" t="s">
        <v>2775</v>
      </c>
      <c r="D97" s="19" t="str">
        <f t="shared" si="5"/>
        <v>Anwendungsbereich</v>
      </c>
      <c r="E97" s="33" t="s">
        <v>2708</v>
      </c>
      <c r="F97" s="6" t="s">
        <v>1652</v>
      </c>
    </row>
    <row r="98" spans="1:6" ht="110.25">
      <c r="A98" s="17">
        <f>ROW()</f>
        <v>98</v>
      </c>
      <c r="B98" s="18" t="s">
        <v>2702</v>
      </c>
      <c r="C98" s="19" t="s">
        <v>2775</v>
      </c>
      <c r="D98" s="19" t="str">
        <f t="shared" si="5"/>
        <v>Grundprinzipien</v>
      </c>
      <c r="E98" s="33" t="s">
        <v>2709</v>
      </c>
      <c r="F98" s="6" t="s">
        <v>881</v>
      </c>
    </row>
    <row r="99" spans="1:6" ht="224.25">
      <c r="A99" s="17">
        <f>ROW()</f>
        <v>99</v>
      </c>
      <c r="B99" s="18" t="s">
        <v>2702</v>
      </c>
      <c r="C99" s="19" t="s">
        <v>2775</v>
      </c>
      <c r="D99" s="19" t="str">
        <f t="shared" si="5"/>
        <v>Voraussetzungen für die Deckung</v>
      </c>
      <c r="E99" s="33" t="s">
        <v>2710</v>
      </c>
      <c r="F99" s="6" t="s">
        <v>1678</v>
      </c>
    </row>
    <row r="100" spans="1:6" ht="409.5">
      <c r="A100" s="17">
        <f>ROW()</f>
        <v>100</v>
      </c>
      <c r="B100" s="18" t="s">
        <v>2702</v>
      </c>
      <c r="C100" s="19" t="s">
        <v>2775</v>
      </c>
      <c r="D100" s="19" t="str">
        <f t="shared" si="5"/>
        <v>Kombination von selbstständiger und unselbstständiger Tätigkeit</v>
      </c>
      <c r="E100" s="33" t="s">
        <v>2698</v>
      </c>
      <c r="F100" s="6" t="s">
        <v>920</v>
      </c>
    </row>
    <row r="101" spans="1:6" ht="376.5">
      <c r="A101" s="17">
        <f>ROW()</f>
        <v>101</v>
      </c>
      <c r="B101" s="18" t="s">
        <v>2702</v>
      </c>
      <c r="C101" s="19" t="s">
        <v>2775</v>
      </c>
      <c r="D101" s="19" t="str">
        <f t="shared" si="5"/>
        <v xml:space="preserve">Voraussetzungen für den Zugang zu Diensten/Leistungen </v>
      </c>
      <c r="E101" s="33" t="s">
        <v>2699</v>
      </c>
      <c r="F101" s="6" t="s">
        <v>942</v>
      </c>
    </row>
    <row r="102" spans="1:6" ht="253.5">
      <c r="A102" s="17">
        <f>ROW()</f>
        <v>102</v>
      </c>
      <c r="B102" s="18" t="s">
        <v>2702</v>
      </c>
      <c r="C102" s="19" t="s">
        <v>2775</v>
      </c>
      <c r="D102" s="19" t="str">
        <f t="shared" si="5"/>
        <v>Beträge, Dauer und Kostenbeteiligung</v>
      </c>
      <c r="E102" s="33" t="s">
        <v>2700</v>
      </c>
      <c r="F102" s="6" t="s">
        <v>942</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942</v>
      </c>
    </row>
    <row r="105" spans="1:6" ht="272.25">
      <c r="A105" s="17">
        <f>ROW()</f>
        <v>105</v>
      </c>
      <c r="B105" s="18" t="s">
        <v>2702</v>
      </c>
      <c r="C105" s="19" t="s">
        <v>2775</v>
      </c>
      <c r="D105" s="19" t="str">
        <f t="shared" si="5"/>
        <v>Auf Leistungen anfallende Sozialabgaben</v>
      </c>
      <c r="E105" s="33" t="s">
        <v>2683</v>
      </c>
      <c r="F105" s="6" t="s">
        <v>942</v>
      </c>
    </row>
  </sheetData>
  <sheetProtection algorithmName="SHA-512" hashValue="NfkaNrzDygxsz7LZBAawGeSDDKx87vPgNljC8j1JmApwcaTti7QT6VXt26+3n1aTfWdg8BhVlM/B3aTZkB8ssA==" saltValue="TtU0PbYjIqpFAT/nw5oVtQ==" spinCount="100000" sheet="1" objects="1" scenarios="1" formatColumns="0" autoFilter="0"/>
  <autoFilter ref="A2:F2" xr:uid="{88061BD2-0941-4A32-B397-148BEE11D5D4}"/>
  <pageMargins left="0.7" right="0.7" top="0.78740157499999996" bottom="0.78740157499999996"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15D1F-1D07-4596-8D79-300672BC6B03}">
  <sheetPr codeName="Tabelle21"/>
  <dimension ref="A1:F105"/>
  <sheetViews>
    <sheetView workbookViewId="0">
      <pane xSplit="5" ySplit="2" topLeftCell="F3" activePane="bottomRight" state="frozen"/>
      <selection activeCell="F2" sqref="F2"/>
      <selection pane="topRight" activeCell="F2" sqref="F2"/>
      <selection pane="bottomLeft" activeCell="F2" sqref="F2"/>
      <selection pane="bottomRight" activeCell="F3" sqref="F3"/>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39" t="s">
        <v>2726</v>
      </c>
      <c r="C1" s="136" t="s">
        <v>2739</v>
      </c>
      <c r="D1" s="136" t="s">
        <v>2728</v>
      </c>
      <c r="E1" s="128" t="s">
        <v>3506</v>
      </c>
      <c r="F1" s="16" t="s">
        <v>19</v>
      </c>
    </row>
    <row r="2" spans="1:6" ht="39.75" customHeight="1">
      <c r="A2" s="138"/>
      <c r="B2" s="139"/>
      <c r="C2" s="136"/>
      <c r="D2" s="136"/>
      <c r="E2" s="134"/>
      <c r="F2" s="173" t="str" cm="1">
        <f t="array" ref="F2">_xlfn.TEXTJOIN("; ", TRUE, IF(Entscheidungen!A2:A100=F1, Entscheidungen!B2:B100, ""))</f>
        <v>AG Schöneberg, 13.07.2015 – 21 F 62/14; AG Schöneberg, 13.07.2015 – 21 F 62/14; KG Berlin, 16.02.2016 – 3 UF 140/15; KG Berlin, 16.02.2016 – 3 UF 140/15; OLG Stuttgart, 26.06.2025 – 11 UF 241/24</v>
      </c>
    </row>
    <row r="3" spans="1:6" ht="177">
      <c r="A3" s="17">
        <f>ROW()</f>
        <v>3</v>
      </c>
      <c r="B3" s="18" t="s">
        <v>2740</v>
      </c>
      <c r="C3" s="18"/>
      <c r="D3" s="18" t="str">
        <f>+E3</f>
        <v>Geltende Rechtsgrundlage</v>
      </c>
      <c r="E3" s="31" t="s">
        <v>2724</v>
      </c>
      <c r="F3" s="6" t="s">
        <v>3067</v>
      </c>
    </row>
    <row r="4" spans="1:6" ht="195">
      <c r="A4" s="17">
        <f>ROW()</f>
        <v>4</v>
      </c>
      <c r="B4" s="18" t="s">
        <v>2740</v>
      </c>
      <c r="C4" s="1"/>
      <c r="D4" s="18" t="str">
        <f t="shared" ref="D4:D34" si="0">+E4</f>
        <v>Grundprinzipien</v>
      </c>
      <c r="E4" s="32" t="s">
        <v>2709</v>
      </c>
      <c r="F4" s="6" t="s">
        <v>4787</v>
      </c>
    </row>
    <row r="5" spans="1:6" ht="375">
      <c r="A5" s="17">
        <f>ROW()</f>
        <v>5</v>
      </c>
      <c r="B5" s="18" t="s">
        <v>2740</v>
      </c>
      <c r="C5" s="1"/>
      <c r="D5" s="18" t="str">
        <f t="shared" si="0"/>
        <v>Gedecktes Risiko: Definition</v>
      </c>
      <c r="E5" s="32" t="s">
        <v>2891</v>
      </c>
      <c r="F5" s="6" t="s">
        <v>4788</v>
      </c>
    </row>
    <row r="6" spans="1:6" ht="144">
      <c r="A6" s="17">
        <f>ROW()</f>
        <v>6</v>
      </c>
      <c r="B6" s="18" t="s">
        <v>2740</v>
      </c>
      <c r="C6" s="18" t="s">
        <v>2653</v>
      </c>
      <c r="D6" s="18" t="str">
        <f t="shared" si="0"/>
        <v>Versicherte Personen</v>
      </c>
      <c r="E6" s="33" t="s">
        <v>2653</v>
      </c>
      <c r="F6" s="6" t="s">
        <v>4789</v>
      </c>
    </row>
    <row r="7" spans="1:6" ht="273">
      <c r="A7" s="17">
        <f>ROW()</f>
        <v>7</v>
      </c>
      <c r="B7" s="18" t="s">
        <v>2740</v>
      </c>
      <c r="C7" s="18" t="str">
        <f>+E6</f>
        <v>Versicherte Personen</v>
      </c>
      <c r="D7" s="18" t="str">
        <f t="shared" si="0"/>
        <v>Ausnahmen von der Versicherungspflicht</v>
      </c>
      <c r="E7" s="33" t="s">
        <v>2685</v>
      </c>
      <c r="F7" s="6" t="s">
        <v>3068</v>
      </c>
    </row>
    <row r="8" spans="1:6" ht="194.25">
      <c r="A8" s="17">
        <f>ROW()</f>
        <v>8</v>
      </c>
      <c r="B8" s="18" t="s">
        <v>2740</v>
      </c>
      <c r="C8" s="19" t="s">
        <v>149</v>
      </c>
      <c r="D8" s="18" t="str">
        <f t="shared" si="0"/>
        <v>1. Anwartschaftszeit</v>
      </c>
      <c r="E8" s="33" t="s">
        <v>2744</v>
      </c>
      <c r="F8" s="6" t="s">
        <v>3069</v>
      </c>
    </row>
    <row r="9" spans="1:6" ht="409.5">
      <c r="A9" s="17">
        <f>ROW()</f>
        <v>9</v>
      </c>
      <c r="B9" s="18" t="s">
        <v>2740</v>
      </c>
      <c r="C9" s="19" t="s">
        <v>149</v>
      </c>
      <c r="D9" s="18" t="str">
        <f t="shared" si="0"/>
        <v xml:space="preserve">2. Begutachtungskriterien und Kategorien der Arbeitsunfähigkeit/Arbeitsfähigkeit  </v>
      </c>
      <c r="E9" s="33" t="s">
        <v>2745</v>
      </c>
      <c r="F9" s="6" t="s">
        <v>3070</v>
      </c>
    </row>
    <row r="10" spans="1:6" ht="222">
      <c r="A10" s="17">
        <f>ROW()</f>
        <v>10</v>
      </c>
      <c r="B10" s="18" t="s">
        <v>2740</v>
      </c>
      <c r="C10" s="19" t="s">
        <v>149</v>
      </c>
      <c r="D10" s="18" t="str">
        <f t="shared" si="0"/>
        <v>3. Zeitraum der Leistungszahlung</v>
      </c>
      <c r="E10" s="33" t="s">
        <v>2747</v>
      </c>
      <c r="F10" s="6" t="s">
        <v>4790</v>
      </c>
    </row>
    <row r="11" spans="1:6" ht="270">
      <c r="A11" s="17">
        <f>ROW()</f>
        <v>11</v>
      </c>
      <c r="B11" s="18" t="s">
        <v>2740</v>
      </c>
      <c r="C11" s="19" t="s">
        <v>2749</v>
      </c>
      <c r="D11" s="18" t="str">
        <f t="shared" si="0"/>
        <v>1. Gutachter</v>
      </c>
      <c r="E11" s="33" t="s">
        <v>2750</v>
      </c>
      <c r="F11" s="6" t="s">
        <v>3071</v>
      </c>
    </row>
    <row r="12" spans="1:6" ht="180">
      <c r="A12" s="17">
        <f>ROW()</f>
        <v>12</v>
      </c>
      <c r="B12" s="18" t="s">
        <v>2740</v>
      </c>
      <c r="C12" s="19" t="s">
        <v>2749</v>
      </c>
      <c r="D12" s="18" t="str">
        <f t="shared" si="0"/>
        <v xml:space="preserve">2. Überprüfung  </v>
      </c>
      <c r="E12" s="33" t="s">
        <v>2751</v>
      </c>
      <c r="F12" s="6" t="s">
        <v>3072</v>
      </c>
    </row>
    <row r="13" spans="1:6" ht="291.75">
      <c r="A13" s="17">
        <f>ROW()</f>
        <v>13</v>
      </c>
      <c r="B13" s="18" t="s">
        <v>2740</v>
      </c>
      <c r="C13" s="18" t="s">
        <v>2695</v>
      </c>
      <c r="D13" s="18" t="str">
        <f t="shared" si="0"/>
        <v>1. Berechnungsmethode bzw. Rentenformel</v>
      </c>
      <c r="E13" s="33" t="s">
        <v>2753</v>
      </c>
      <c r="F13" s="6" t="s">
        <v>3073</v>
      </c>
    </row>
    <row r="14" spans="1:6" ht="343.5">
      <c r="A14" s="17">
        <f>ROW()</f>
        <v>14</v>
      </c>
      <c r="B14" s="18" t="s">
        <v>2740</v>
      </c>
      <c r="C14" s="18" t="s">
        <v>2695</v>
      </c>
      <c r="D14" s="18" t="str">
        <f t="shared" si="0"/>
        <v>2. Referenzeinkommen bzw. Berechnungsgrundlage</v>
      </c>
      <c r="E14" s="33" t="s">
        <v>2754</v>
      </c>
      <c r="F14" s="6" t="s">
        <v>3074</v>
      </c>
    </row>
    <row r="15" spans="1:6" ht="345">
      <c r="A15" s="17">
        <f>ROW()</f>
        <v>15</v>
      </c>
      <c r="B15" s="18" t="s">
        <v>2740</v>
      </c>
      <c r="C15" s="18" t="s">
        <v>2695</v>
      </c>
      <c r="D15" s="18" t="str">
        <f t="shared" si="0"/>
        <v>3. Mindest- und Höchstleistungen</v>
      </c>
      <c r="E15" s="33" t="s">
        <v>2756</v>
      </c>
      <c r="F15" s="6" t="s">
        <v>4791</v>
      </c>
    </row>
    <row r="16" spans="1:6" ht="405">
      <c r="A16" s="17">
        <f>ROW()</f>
        <v>16</v>
      </c>
      <c r="B16" s="18" t="s">
        <v>2740</v>
      </c>
      <c r="C16" s="18" t="s">
        <v>2695</v>
      </c>
      <c r="D16" s="18" t="str">
        <f t="shared" si="0"/>
        <v>4. Anrechenbare oder als Beitragszeiten gewertete Zeiträume</v>
      </c>
      <c r="E16" s="33" t="s">
        <v>2757</v>
      </c>
      <c r="F16" s="6" t="s">
        <v>4792</v>
      </c>
    </row>
    <row r="17" spans="1:6" ht="250.5">
      <c r="A17" s="17">
        <f>ROW()</f>
        <v>17</v>
      </c>
      <c r="B17" s="18" t="s">
        <v>2740</v>
      </c>
      <c r="C17" s="18" t="s">
        <v>2695</v>
      </c>
      <c r="D17" s="18" t="str">
        <f t="shared" si="0"/>
        <v xml:space="preserve">5. Zulagen für Unterhaltsberechtigte  </v>
      </c>
      <c r="E17" s="33" t="s">
        <v>2759</v>
      </c>
      <c r="F17" s="6" t="s">
        <v>3075</v>
      </c>
    </row>
    <row r="18" spans="1:6" ht="135">
      <c r="A18" s="17">
        <f>ROW()</f>
        <v>18</v>
      </c>
      <c r="B18" s="18" t="s">
        <v>2740</v>
      </c>
      <c r="C18" s="18" t="str">
        <f>+E18</f>
        <v>Sonstige Leistungen</v>
      </c>
      <c r="D18" s="18" t="str">
        <f>+E18</f>
        <v>Sonstige Leistungen</v>
      </c>
      <c r="E18" s="32" t="s">
        <v>2678</v>
      </c>
      <c r="F18" s="6" t="s">
        <v>3076</v>
      </c>
    </row>
    <row r="19" spans="1:6" ht="409.5">
      <c r="A19" s="17">
        <f>ROW()</f>
        <v>19</v>
      </c>
      <c r="B19" s="18" t="s">
        <v>2740</v>
      </c>
      <c r="C19" s="18" t="s">
        <v>2761</v>
      </c>
      <c r="D19" s="18" t="str">
        <f t="shared" si="0"/>
        <v>Umschulung, berufsbezogene Rehabilitation</v>
      </c>
      <c r="E19" s="33" t="s">
        <v>2762</v>
      </c>
      <c r="F19" s="6" t="s">
        <v>4793</v>
      </c>
    </row>
    <row r="20" spans="1:6" ht="409.5">
      <c r="A20" s="17">
        <f>ROW()</f>
        <v>20</v>
      </c>
      <c r="B20" s="18" t="s">
        <v>2740</v>
      </c>
      <c r="C20" s="18" t="s">
        <v>2761</v>
      </c>
      <c r="D20" s="18" t="str">
        <f t="shared" si="0"/>
        <v xml:space="preserve">Bevorzugte und reservierte Beschäftigung von Menschen mit Behinderungen  </v>
      </c>
      <c r="E20" s="33" t="s">
        <v>2763</v>
      </c>
      <c r="F20" s="6" t="s">
        <v>4794</v>
      </c>
    </row>
    <row r="21" spans="1:6" ht="171.75">
      <c r="A21" s="17">
        <f>ROW()</f>
        <v>21</v>
      </c>
      <c r="B21" s="18" t="s">
        <v>2740</v>
      </c>
      <c r="C21" s="18" t="s">
        <v>2765</v>
      </c>
      <c r="D21" s="18" t="str">
        <f t="shared" si="0"/>
        <v>Indexbindung/Anpassung</v>
      </c>
      <c r="E21" s="32" t="s">
        <v>2766</v>
      </c>
      <c r="F21" s="6" t="s">
        <v>4795</v>
      </c>
    </row>
    <row r="22" spans="1:6" ht="242.25">
      <c r="A22" s="17">
        <f>ROW()</f>
        <v>22</v>
      </c>
      <c r="B22" s="18" t="s">
        <v>2740</v>
      </c>
      <c r="C22" s="18" t="s">
        <v>2765</v>
      </c>
      <c r="D22" s="18" t="str">
        <f>+E22</f>
        <v>Kumulation mit Erwerbseinkommen</v>
      </c>
      <c r="E22" s="32" t="s">
        <v>2723</v>
      </c>
      <c r="F22" s="6" t="s">
        <v>3077</v>
      </c>
    </row>
    <row r="23" spans="1:6" ht="275.25">
      <c r="A23" s="17">
        <f>ROW()</f>
        <v>23</v>
      </c>
      <c r="B23" s="18" t="s">
        <v>2740</v>
      </c>
      <c r="C23" s="18" t="s">
        <v>2765</v>
      </c>
      <c r="D23" s="18" t="str">
        <f t="shared" si="0"/>
        <v>Kumulation mit anderen Sozialleistungen</v>
      </c>
      <c r="E23" s="32" t="s">
        <v>2696</v>
      </c>
      <c r="F23" s="6" t="s">
        <v>3078</v>
      </c>
    </row>
    <row r="24" spans="1:6" ht="232.5">
      <c r="A24" s="17">
        <f>ROW()</f>
        <v>24</v>
      </c>
      <c r="B24" s="18" t="s">
        <v>2740</v>
      </c>
      <c r="C24" s="18" t="s">
        <v>2701</v>
      </c>
      <c r="D24" s="18" t="str">
        <f t="shared" si="0"/>
        <v>1. Besteuerung von Geldleistungen</v>
      </c>
      <c r="E24" s="33" t="s">
        <v>2770</v>
      </c>
      <c r="F24" s="6" t="s">
        <v>772</v>
      </c>
    </row>
    <row r="25" spans="1:6" ht="387">
      <c r="A25" s="17">
        <f>ROW()</f>
        <v>25</v>
      </c>
      <c r="B25" s="18" t="s">
        <v>2740</v>
      </c>
      <c r="C25" s="18" t="s">
        <v>2701</v>
      </c>
      <c r="D25" s="18" t="str">
        <f t="shared" si="0"/>
        <v>2. Einkommensgrenze für Besteuerung von Geldleistungen</v>
      </c>
      <c r="E25" s="33" t="s">
        <v>2772</v>
      </c>
      <c r="F25" s="6" t="s">
        <v>3079</v>
      </c>
    </row>
    <row r="26" spans="1:6" ht="288.75">
      <c r="A26" s="17">
        <f>ROW()</f>
        <v>26</v>
      </c>
      <c r="B26" s="18" t="s">
        <v>2740</v>
      </c>
      <c r="C26" s="18" t="s">
        <v>2701</v>
      </c>
      <c r="D26" s="18" t="str">
        <f t="shared" si="0"/>
        <v>3. Auf Leistungen anfallende Sozialabgaben</v>
      </c>
      <c r="E26" s="33" t="s">
        <v>2773</v>
      </c>
      <c r="F26" s="6" t="s">
        <v>3080</v>
      </c>
    </row>
    <row r="27" spans="1:6" ht="138">
      <c r="A27" s="17">
        <f>ROW()</f>
        <v>27</v>
      </c>
      <c r="B27" s="18" t="s">
        <v>2740</v>
      </c>
      <c r="C27" s="18" t="s">
        <v>2775</v>
      </c>
      <c r="D27" s="18" t="str">
        <f t="shared" si="0"/>
        <v>Anwendungsbereich</v>
      </c>
      <c r="E27" s="33" t="s">
        <v>2708</v>
      </c>
      <c r="F27" s="6" t="s">
        <v>3081</v>
      </c>
    </row>
    <row r="28" spans="1:6" ht="330">
      <c r="A28" s="17">
        <f>ROW()</f>
        <v>28</v>
      </c>
      <c r="B28" s="18" t="s">
        <v>2740</v>
      </c>
      <c r="C28" s="18" t="s">
        <v>2775</v>
      </c>
      <c r="D28" s="18" t="str">
        <f t="shared" si="0"/>
        <v>Grundprinzipien</v>
      </c>
      <c r="E28" s="33" t="s">
        <v>2709</v>
      </c>
      <c r="F28" s="6" t="s">
        <v>4796</v>
      </c>
    </row>
    <row r="29" spans="1:6" ht="224.25">
      <c r="A29" s="17">
        <f>ROW()</f>
        <v>29</v>
      </c>
      <c r="B29" s="18" t="s">
        <v>2740</v>
      </c>
      <c r="C29" s="18" t="s">
        <v>2775</v>
      </c>
      <c r="D29" s="18" t="str">
        <f t="shared" si="0"/>
        <v>Voraussetzungen für die Deckung</v>
      </c>
      <c r="E29" s="33" t="s">
        <v>2710</v>
      </c>
      <c r="F29" s="6" t="s">
        <v>3082</v>
      </c>
    </row>
    <row r="30" spans="1:6" ht="409.5">
      <c r="A30" s="17">
        <f>ROW()</f>
        <v>30</v>
      </c>
      <c r="B30" s="18" t="s">
        <v>2740</v>
      </c>
      <c r="C30" s="18" t="s">
        <v>2775</v>
      </c>
      <c r="D30" s="19" t="str">
        <f t="shared" si="0"/>
        <v>Kombination von selbstständiger und unselbstständiger Tätigkeit</v>
      </c>
      <c r="E30" s="33" t="s">
        <v>2698</v>
      </c>
      <c r="F30" s="6" t="s">
        <v>929</v>
      </c>
    </row>
    <row r="31" spans="1:6" ht="376.5">
      <c r="A31" s="17">
        <f>ROW()</f>
        <v>31</v>
      </c>
      <c r="B31" s="18" t="s">
        <v>2740</v>
      </c>
      <c r="C31" s="18" t="s">
        <v>2695</v>
      </c>
      <c r="D31" s="19" t="str">
        <f t="shared" si="0"/>
        <v xml:space="preserve">Voraussetzungen für den Zugang zu Diensten/Leistungen </v>
      </c>
      <c r="E31" s="33" t="s">
        <v>2699</v>
      </c>
      <c r="F31" s="6" t="s">
        <v>3083</v>
      </c>
    </row>
    <row r="32" spans="1:6" ht="253.5">
      <c r="A32" s="17">
        <f>ROW()</f>
        <v>32</v>
      </c>
      <c r="B32" s="18" t="s">
        <v>2740</v>
      </c>
      <c r="C32" s="18" t="s">
        <v>2695</v>
      </c>
      <c r="D32" s="18" t="str">
        <f t="shared" si="0"/>
        <v>Beträge, Dauer und Kostenbeteiligung</v>
      </c>
      <c r="E32" s="33" t="s">
        <v>2700</v>
      </c>
      <c r="F32" s="6" t="s">
        <v>3084</v>
      </c>
    </row>
    <row r="33" spans="1:6" ht="216">
      <c r="A33" s="17">
        <f>ROW()</f>
        <v>33</v>
      </c>
      <c r="B33" s="18" t="s">
        <v>2740</v>
      </c>
      <c r="C33" s="18" t="s">
        <v>2695</v>
      </c>
      <c r="D33" s="18" t="str">
        <f t="shared" si="0"/>
        <v>Besteuerung von Geldleistungen</v>
      </c>
      <c r="E33" s="33" t="s">
        <v>2681</v>
      </c>
      <c r="F33" s="6" t="s">
        <v>3085</v>
      </c>
    </row>
    <row r="34" spans="1:6" ht="276.75">
      <c r="A34" s="17">
        <f>ROW()</f>
        <v>34</v>
      </c>
      <c r="B34" s="18" t="s">
        <v>2740</v>
      </c>
      <c r="C34" s="18" t="s">
        <v>2695</v>
      </c>
      <c r="D34" s="18" t="str">
        <f t="shared" si="0"/>
        <v xml:space="preserve"> Auf Leistungen anfallende Sozialabgaben</v>
      </c>
      <c r="E34" s="33" t="s">
        <v>2779</v>
      </c>
      <c r="F34" s="6" t="s">
        <v>947</v>
      </c>
    </row>
    <row r="35" spans="1:6" ht="177">
      <c r="A35" s="17">
        <f>ROW()</f>
        <v>35</v>
      </c>
      <c r="B35" s="18" t="s">
        <v>2780</v>
      </c>
      <c r="C35" s="18" t="str">
        <f>+D35</f>
        <v>Geltende Rechtsgrundlage</v>
      </c>
      <c r="D35" s="18" t="str">
        <f>+E35</f>
        <v>Geltende Rechtsgrundlage</v>
      </c>
      <c r="E35" s="32" t="s">
        <v>2724</v>
      </c>
      <c r="F35" s="6" t="s">
        <v>50</v>
      </c>
    </row>
    <row r="36" spans="1:6" ht="135">
      <c r="A36" s="17">
        <f>ROW()</f>
        <v>36</v>
      </c>
      <c r="B36" s="18" t="s">
        <v>2780</v>
      </c>
      <c r="C36" s="18" t="str">
        <f>+D36</f>
        <v>Grundprinzipien</v>
      </c>
      <c r="D36" s="18" t="str">
        <f>+E36</f>
        <v>Grundprinzipien</v>
      </c>
      <c r="E36" s="32" t="s">
        <v>2709</v>
      </c>
      <c r="F36" s="6" t="s">
        <v>81</v>
      </c>
    </row>
    <row r="37" spans="1:6" ht="159.75">
      <c r="A37" s="17">
        <f>ROW()</f>
        <v>37</v>
      </c>
      <c r="B37" s="18" t="s">
        <v>2780</v>
      </c>
      <c r="C37" s="18" t="s">
        <v>2708</v>
      </c>
      <c r="D37" s="18" t="str">
        <f>+E37</f>
        <v>1. Versicherte Personen</v>
      </c>
      <c r="E37" s="33" t="s">
        <v>2781</v>
      </c>
      <c r="F37" s="6" t="s">
        <v>4797</v>
      </c>
    </row>
    <row r="38" spans="1:6" ht="371.25">
      <c r="A38" s="17">
        <f>ROW()</f>
        <v>38</v>
      </c>
      <c r="B38" s="18" t="s">
        <v>2780</v>
      </c>
      <c r="C38" s="18" t="s">
        <v>2708</v>
      </c>
      <c r="D38" s="18" t="str">
        <f t="shared" ref="D38:D58" si="1">+E38</f>
        <v>2. Ausnahmen von der Deckung  der Pflichtversicherung</v>
      </c>
      <c r="E38" s="33" t="s">
        <v>2782</v>
      </c>
      <c r="F38" s="6" t="s">
        <v>139</v>
      </c>
    </row>
    <row r="39" spans="1:6" ht="194.25">
      <c r="A39" s="17">
        <f>ROW()</f>
        <v>39</v>
      </c>
      <c r="B39" s="18" t="s">
        <v>2780</v>
      </c>
      <c r="C39" s="18" t="s">
        <v>149</v>
      </c>
      <c r="D39" s="18" t="str">
        <f t="shared" si="1"/>
        <v>1. Rentenalter</v>
      </c>
      <c r="E39" s="33" t="s">
        <v>2784</v>
      </c>
      <c r="F39" s="13" t="s">
        <v>3086</v>
      </c>
    </row>
    <row r="40" spans="1:6" ht="409.5">
      <c r="A40" s="17">
        <f>ROW()</f>
        <v>40</v>
      </c>
      <c r="B40" s="18" t="s">
        <v>2780</v>
      </c>
      <c r="C40" s="18" t="s">
        <v>149</v>
      </c>
      <c r="D40" s="18" t="str">
        <f t="shared" si="1"/>
        <v>2. Anwartschaftszeit und sonstige Anspruchsvoraussetzungen für den Bezug einer Altersrente</v>
      </c>
      <c r="E40" s="33" t="s">
        <v>2785</v>
      </c>
      <c r="F40" s="6" t="s">
        <v>3087</v>
      </c>
    </row>
    <row r="41" spans="1:6" ht="194.25">
      <c r="A41" s="17">
        <f>ROW()</f>
        <v>41</v>
      </c>
      <c r="B41" s="18" t="s">
        <v>2780</v>
      </c>
      <c r="C41" s="18" t="s">
        <v>149</v>
      </c>
      <c r="D41" s="18" t="str">
        <f t="shared" si="1"/>
        <v>3. Vorruhestand</v>
      </c>
      <c r="E41" s="33" t="s">
        <v>2786</v>
      </c>
      <c r="F41" s="6" t="s">
        <v>231</v>
      </c>
    </row>
    <row r="42" spans="1:6" ht="264">
      <c r="A42" s="17">
        <f>ROW()</f>
        <v>42</v>
      </c>
      <c r="B42" s="18" t="s">
        <v>2780</v>
      </c>
      <c r="C42" s="18" t="s">
        <v>149</v>
      </c>
      <c r="D42" s="18" t="str">
        <f t="shared" si="1"/>
        <v>4. Beschwerliche und gefährliche Arbeit</v>
      </c>
      <c r="E42" s="33" t="s">
        <v>2787</v>
      </c>
      <c r="F42" s="6" t="s">
        <v>4798</v>
      </c>
    </row>
    <row r="43" spans="1:6" ht="194.25">
      <c r="A43" s="17">
        <f>ROW()</f>
        <v>43</v>
      </c>
      <c r="B43" s="18" t="s">
        <v>2780</v>
      </c>
      <c r="C43" s="18" t="s">
        <v>149</v>
      </c>
      <c r="D43" s="18" t="str">
        <f t="shared" si="1"/>
        <v>5. Rentenaufschub</v>
      </c>
      <c r="E43" s="33" t="s">
        <v>2788</v>
      </c>
      <c r="F43" s="6" t="s">
        <v>289</v>
      </c>
    </row>
    <row r="44" spans="1:6" ht="174">
      <c r="A44" s="17">
        <f>ROW()</f>
        <v>44</v>
      </c>
      <c r="B44" s="18" t="s">
        <v>2780</v>
      </c>
      <c r="C44" s="18" t="s">
        <v>2695</v>
      </c>
      <c r="D44" s="18" t="str">
        <f t="shared" si="1"/>
        <v>1. Bestimmende Faktoren</v>
      </c>
      <c r="E44" s="33" t="s">
        <v>2789</v>
      </c>
      <c r="F44" s="6" t="s">
        <v>316</v>
      </c>
    </row>
    <row r="45" spans="1:6" ht="349.5">
      <c r="A45" s="17">
        <f>ROW()</f>
        <v>45</v>
      </c>
      <c r="B45" s="18" t="s">
        <v>2780</v>
      </c>
      <c r="C45" s="18" t="s">
        <v>2695</v>
      </c>
      <c r="D45" s="18" t="str">
        <f t="shared" si="1"/>
        <v>2. Berechnungsmethode, Rentenformel bzw. Beträge</v>
      </c>
      <c r="E45" s="33" t="s">
        <v>2790</v>
      </c>
      <c r="F45" s="6" t="s">
        <v>347</v>
      </c>
    </row>
    <row r="46" spans="1:6" ht="343.5">
      <c r="A46" s="17">
        <f>ROW()</f>
        <v>46</v>
      </c>
      <c r="B46" s="18" t="s">
        <v>2780</v>
      </c>
      <c r="C46" s="18" t="s">
        <v>2695</v>
      </c>
      <c r="D46" s="18" t="str">
        <f t="shared" si="1"/>
        <v>3. Referenzeinkommen bzw. Berechnungsgrundlage</v>
      </c>
      <c r="E46" s="33" t="s">
        <v>2791</v>
      </c>
      <c r="F46" s="6" t="s">
        <v>378</v>
      </c>
    </row>
    <row r="47" spans="1:6" ht="405">
      <c r="A47" s="17">
        <f>ROW()</f>
        <v>47</v>
      </c>
      <c r="B47" s="18" t="s">
        <v>2780</v>
      </c>
      <c r="C47" s="18" t="s">
        <v>2695</v>
      </c>
      <c r="D47" s="18" t="str">
        <f t="shared" si="1"/>
        <v>4. Anrechenbare oder als Beitragszeiten gewertete Zeiträume</v>
      </c>
      <c r="E47" s="33" t="s">
        <v>2757</v>
      </c>
      <c r="F47" s="6" t="s">
        <v>4799</v>
      </c>
    </row>
    <row r="48" spans="1:6" ht="243.75">
      <c r="A48" s="17">
        <f>ROW()</f>
        <v>48</v>
      </c>
      <c r="B48" s="18" t="s">
        <v>2780</v>
      </c>
      <c r="C48" s="18" t="s">
        <v>2695</v>
      </c>
      <c r="D48" s="18" t="str">
        <f t="shared" si="1"/>
        <v>5. Rückkauf von Versicherungszeiten</v>
      </c>
      <c r="E48" s="33" t="s">
        <v>2792</v>
      </c>
      <c r="F48" s="6" t="s">
        <v>4800</v>
      </c>
    </row>
    <row r="49" spans="1:6" ht="246">
      <c r="A49" s="17">
        <f>ROW()</f>
        <v>49</v>
      </c>
      <c r="B49" s="18" t="s">
        <v>2780</v>
      </c>
      <c r="C49" s="18" t="s">
        <v>2695</v>
      </c>
      <c r="D49" s="18" t="str">
        <f t="shared" si="1"/>
        <v>6.  Zulagen für Unterhaltsberechtigte</v>
      </c>
      <c r="E49" s="33" t="s">
        <v>2892</v>
      </c>
      <c r="F49" s="6" t="s">
        <v>462</v>
      </c>
    </row>
    <row r="50" spans="1:6" ht="145.5">
      <c r="A50" s="17">
        <f>ROW()</f>
        <v>50</v>
      </c>
      <c r="B50" s="18" t="s">
        <v>2780</v>
      </c>
      <c r="C50" s="18" t="s">
        <v>2695</v>
      </c>
      <c r="D50" s="18" t="str">
        <f t="shared" si="1"/>
        <v>7. Besondere Zulagen</v>
      </c>
      <c r="E50" s="33" t="s">
        <v>2793</v>
      </c>
      <c r="F50" s="6" t="s">
        <v>487</v>
      </c>
    </row>
    <row r="51" spans="1:6" ht="360.75">
      <c r="A51" s="17">
        <f>ROW()</f>
        <v>51</v>
      </c>
      <c r="B51" s="18" t="s">
        <v>2780</v>
      </c>
      <c r="C51" s="18" t="s">
        <v>2695</v>
      </c>
      <c r="D51" s="18" t="str">
        <f t="shared" si="1"/>
        <v>8. Mindestrente und bedürftigkeitsabhängige Leistung</v>
      </c>
      <c r="E51" s="33" t="s">
        <v>2794</v>
      </c>
      <c r="F51" s="6" t="s">
        <v>4801</v>
      </c>
    </row>
    <row r="52" spans="1:6" ht="101.25">
      <c r="A52" s="17">
        <f>ROW()</f>
        <v>52</v>
      </c>
      <c r="B52" s="18" t="s">
        <v>2780</v>
      </c>
      <c r="C52" s="18" t="s">
        <v>2695</v>
      </c>
      <c r="D52" s="18" t="str">
        <f t="shared" si="1"/>
        <v>9. Höchstrente</v>
      </c>
      <c r="E52" s="33" t="s">
        <v>2795</v>
      </c>
      <c r="F52" s="6" t="s">
        <v>546</v>
      </c>
    </row>
    <row r="53" spans="1:6" ht="119.25">
      <c r="A53" s="17">
        <f>ROW()</f>
        <v>53</v>
      </c>
      <c r="B53" s="18" t="s">
        <v>2780</v>
      </c>
      <c r="C53" s="18" t="s">
        <v>2695</v>
      </c>
      <c r="D53" s="18" t="str">
        <f t="shared" si="1"/>
        <v>10. Vorruhestand</v>
      </c>
      <c r="E53" s="33" t="s">
        <v>2796</v>
      </c>
      <c r="F53" s="6" t="s">
        <v>574</v>
      </c>
    </row>
    <row r="54" spans="1:6" ht="272.25">
      <c r="A54" s="17">
        <f>ROW()</f>
        <v>54</v>
      </c>
      <c r="B54" s="18" t="s">
        <v>2780</v>
      </c>
      <c r="C54" s="18" t="s">
        <v>2695</v>
      </c>
      <c r="D54" s="18" t="str">
        <f t="shared" si="1"/>
        <v>11. Beschwerliche und gefährliche Arbeit</v>
      </c>
      <c r="E54" s="33" t="s">
        <v>2797</v>
      </c>
      <c r="F54" s="6" t="s">
        <v>600</v>
      </c>
    </row>
    <row r="55" spans="1:6" ht="180">
      <c r="A55" s="17">
        <f>ROW()</f>
        <v>55</v>
      </c>
      <c r="B55" s="18" t="s">
        <v>2780</v>
      </c>
      <c r="C55" s="18" t="s">
        <v>2695</v>
      </c>
      <c r="D55" s="18" t="str">
        <f t="shared" si="1"/>
        <v>12. Teilrente</v>
      </c>
      <c r="E55" s="33" t="s">
        <v>2798</v>
      </c>
      <c r="F55" s="6" t="s">
        <v>627</v>
      </c>
    </row>
    <row r="56" spans="1:6" ht="171.75">
      <c r="A56" s="17">
        <f>ROW()</f>
        <v>56</v>
      </c>
      <c r="B56" s="18" t="s">
        <v>2780</v>
      </c>
      <c r="C56" s="18" t="s">
        <v>2695</v>
      </c>
      <c r="D56" s="18" t="str">
        <f t="shared" si="1"/>
        <v>13. Aufgeschobene Rente</v>
      </c>
      <c r="E56" s="33" t="s">
        <v>2893</v>
      </c>
      <c r="F56" s="6" t="s">
        <v>656</v>
      </c>
    </row>
    <row r="57" spans="1:6" ht="180">
      <c r="A57" s="17">
        <f>ROW()</f>
        <v>57</v>
      </c>
      <c r="B57" s="18" t="s">
        <v>2780</v>
      </c>
      <c r="C57" s="18" t="s">
        <v>2799</v>
      </c>
      <c r="D57" s="18" t="s">
        <v>2799</v>
      </c>
      <c r="E57" s="32" t="s">
        <v>2799</v>
      </c>
      <c r="F57" s="6" t="s">
        <v>4802</v>
      </c>
    </row>
    <row r="58" spans="1:6" ht="246">
      <c r="A58" s="17">
        <f>ROW()</f>
        <v>58</v>
      </c>
      <c r="B58" s="18" t="s">
        <v>2780</v>
      </c>
      <c r="C58" s="18" t="s">
        <v>2799</v>
      </c>
      <c r="D58" s="18" t="str">
        <f t="shared" si="1"/>
        <v xml:space="preserve">Kumulation mit Erwerbseinkommen </v>
      </c>
      <c r="E58" s="32" t="s">
        <v>2697</v>
      </c>
      <c r="F58" s="6" t="s">
        <v>718</v>
      </c>
    </row>
    <row r="59" spans="1:6" ht="286.5">
      <c r="A59" s="17">
        <f>ROW()</f>
        <v>59</v>
      </c>
      <c r="B59" s="18" t="s">
        <v>2780</v>
      </c>
      <c r="C59" s="18" t="s">
        <v>2799</v>
      </c>
      <c r="D59" s="18" t="s">
        <v>2800</v>
      </c>
      <c r="E59" s="32" t="s">
        <v>2696</v>
      </c>
      <c r="F59" s="6" t="s">
        <v>749</v>
      </c>
    </row>
    <row r="60" spans="1:6" ht="225.75">
      <c r="A60" s="17">
        <f>ROW()</f>
        <v>60</v>
      </c>
      <c r="B60" s="18" t="s">
        <v>2780</v>
      </c>
      <c r="C60" s="18" t="s">
        <v>761</v>
      </c>
      <c r="D60" s="18" t="str">
        <f t="shared" ref="D60:D70" si="2">+E60</f>
        <v>1. Besteuerung von Renten</v>
      </c>
      <c r="E60" s="33" t="s">
        <v>2801</v>
      </c>
      <c r="F60" s="6" t="s">
        <v>772</v>
      </c>
    </row>
    <row r="61" spans="1:6" ht="335.25">
      <c r="A61" s="17">
        <f>ROW()</f>
        <v>61</v>
      </c>
      <c r="B61" s="18" t="s">
        <v>2780</v>
      </c>
      <c r="C61" s="18" t="s">
        <v>761</v>
      </c>
      <c r="D61" s="18" t="str">
        <f t="shared" si="2"/>
        <v>2. Einkommensgrenze für Besteuerung von Renten</v>
      </c>
      <c r="E61" s="33" t="s">
        <v>2802</v>
      </c>
      <c r="F61" s="6" t="s">
        <v>806</v>
      </c>
    </row>
    <row r="62" spans="1:6" ht="264">
      <c r="A62" s="17">
        <f>ROW()</f>
        <v>62</v>
      </c>
      <c r="B62" s="18" t="s">
        <v>2780</v>
      </c>
      <c r="C62" s="18" t="s">
        <v>761</v>
      </c>
      <c r="D62" s="18" t="str">
        <f t="shared" si="2"/>
        <v>3. Auf Renten anfallende Sozialabgaben</v>
      </c>
      <c r="E62" s="33" t="s">
        <v>2803</v>
      </c>
      <c r="F62" s="6" t="s">
        <v>831</v>
      </c>
    </row>
    <row r="63" spans="1:6" ht="138">
      <c r="A63" s="17">
        <f>ROW()</f>
        <v>63</v>
      </c>
      <c r="B63" s="18" t="s">
        <v>2804</v>
      </c>
      <c r="C63" s="18" t="str">
        <f>+E63</f>
        <v>Anwendungsbereich</v>
      </c>
      <c r="D63" s="18" t="str">
        <f t="shared" si="2"/>
        <v>Anwendungsbereich</v>
      </c>
      <c r="E63" s="33" t="s">
        <v>2708</v>
      </c>
      <c r="F63" s="6" t="s">
        <v>856</v>
      </c>
    </row>
    <row r="64" spans="1:6" ht="360">
      <c r="A64" s="17">
        <f>ROW()</f>
        <v>64</v>
      </c>
      <c r="B64" s="18" t="s">
        <v>2804</v>
      </c>
      <c r="C64" s="18" t="s">
        <v>2775</v>
      </c>
      <c r="D64" s="18" t="str">
        <f t="shared" si="2"/>
        <v>Grundprinzipien</v>
      </c>
      <c r="E64" s="33" t="s">
        <v>2709</v>
      </c>
      <c r="F64" s="6" t="s">
        <v>4803</v>
      </c>
    </row>
    <row r="65" spans="1:6" ht="224.25">
      <c r="A65" s="17">
        <f>ROW()</f>
        <v>65</v>
      </c>
      <c r="B65" s="18" t="s">
        <v>2804</v>
      </c>
      <c r="C65" s="18" t="s">
        <v>2775</v>
      </c>
      <c r="D65" s="18" t="str">
        <f t="shared" si="2"/>
        <v>Voraussetzungen für die Deckung</v>
      </c>
      <c r="E65" s="33" t="s">
        <v>2710</v>
      </c>
      <c r="F65" s="6" t="s">
        <v>908</v>
      </c>
    </row>
    <row r="66" spans="1:6" ht="409.5">
      <c r="A66" s="17">
        <f>ROW()</f>
        <v>66</v>
      </c>
      <c r="B66" s="18" t="s">
        <v>2804</v>
      </c>
      <c r="C66" s="18" t="s">
        <v>2775</v>
      </c>
      <c r="D66" s="18" t="str">
        <f t="shared" si="2"/>
        <v>Kombination von selbstständiger und unselbstständiger Tätigkeit</v>
      </c>
      <c r="E66" s="33" t="s">
        <v>2698</v>
      </c>
      <c r="F66" s="6" t="s">
        <v>929</v>
      </c>
    </row>
    <row r="67" spans="1:6" ht="376.5">
      <c r="A67" s="17">
        <f>ROW()</f>
        <v>67</v>
      </c>
      <c r="B67" s="18" t="s">
        <v>2804</v>
      </c>
      <c r="C67" s="18" t="s">
        <v>2695</v>
      </c>
      <c r="D67" s="19" t="str">
        <f t="shared" si="2"/>
        <v xml:space="preserve">Voraussetzungen für den Zugang zu Diensten/Leistungen </v>
      </c>
      <c r="E67" s="33" t="s">
        <v>2699</v>
      </c>
      <c r="F67" s="6" t="s">
        <v>947</v>
      </c>
    </row>
    <row r="68" spans="1:6" ht="253.5">
      <c r="A68" s="17">
        <f>ROW()</f>
        <v>68</v>
      </c>
      <c r="B68" s="18" t="s">
        <v>2804</v>
      </c>
      <c r="C68" s="18" t="s">
        <v>2695</v>
      </c>
      <c r="D68" s="19" t="str">
        <f t="shared" si="2"/>
        <v>Beträge, Dauer und Kostenbeteiligung</v>
      </c>
      <c r="E68" s="33" t="s">
        <v>2700</v>
      </c>
      <c r="F68" s="6" t="s">
        <v>960</v>
      </c>
    </row>
    <row r="69" spans="1:6" ht="216">
      <c r="A69" s="17">
        <f>ROW()</f>
        <v>69</v>
      </c>
      <c r="B69" s="18" t="s">
        <v>2804</v>
      </c>
      <c r="C69" s="18" t="s">
        <v>2695</v>
      </c>
      <c r="D69" s="19" t="str">
        <f t="shared" si="2"/>
        <v>Besteuerung von Geldleistungen</v>
      </c>
      <c r="E69" s="33" t="s">
        <v>2681</v>
      </c>
      <c r="F69" s="6" t="s">
        <v>974</v>
      </c>
    </row>
    <row r="70" spans="1:6" ht="272.25">
      <c r="A70" s="17">
        <f>ROW()</f>
        <v>70</v>
      </c>
      <c r="B70" s="18" t="s">
        <v>2804</v>
      </c>
      <c r="C70" s="18" t="s">
        <v>2695</v>
      </c>
      <c r="D70" s="19" t="str">
        <f t="shared" si="2"/>
        <v>Auf Leistungen anfallende Sozialabgaben</v>
      </c>
      <c r="E70" s="33" t="s">
        <v>2683</v>
      </c>
      <c r="F70" s="6" t="s">
        <v>947</v>
      </c>
    </row>
    <row r="71" spans="1:6" ht="177">
      <c r="A71" s="17">
        <f>ROW()</f>
        <v>71</v>
      </c>
      <c r="B71" s="18" t="s">
        <v>2702</v>
      </c>
      <c r="C71" s="18" t="str">
        <f t="shared" ref="C71:D75" si="3">+D71</f>
        <v>Geltende Rechtsgrundlage</v>
      </c>
      <c r="D71" s="19" t="str">
        <f t="shared" si="3"/>
        <v>Geltende Rechtsgrundlage</v>
      </c>
      <c r="E71" s="32" t="s">
        <v>2724</v>
      </c>
      <c r="F71" s="6" t="s">
        <v>50</v>
      </c>
    </row>
    <row r="72" spans="1:6" ht="110.25">
      <c r="A72" s="17">
        <f>ROW()</f>
        <v>72</v>
      </c>
      <c r="B72" s="18" t="s">
        <v>2702</v>
      </c>
      <c r="C72" s="18" t="str">
        <f t="shared" si="3"/>
        <v>Grundprinzipien</v>
      </c>
      <c r="D72" s="19" t="str">
        <f t="shared" si="3"/>
        <v>Grundprinzipien</v>
      </c>
      <c r="E72" s="32" t="s">
        <v>2709</v>
      </c>
      <c r="F72" s="6" t="s">
        <v>1035</v>
      </c>
    </row>
    <row r="73" spans="1:6" ht="315">
      <c r="A73" s="17">
        <f>ROW()</f>
        <v>73</v>
      </c>
      <c r="B73" s="18" t="s">
        <v>2702</v>
      </c>
      <c r="C73" s="19" t="str">
        <f t="shared" si="3"/>
        <v>Anwendungsbereich (in Bezug auf Verstorbene)</v>
      </c>
      <c r="D73" s="19" t="str">
        <f t="shared" si="3"/>
        <v>Anwendungsbereich (in Bezug auf Verstorbene)</v>
      </c>
      <c r="E73" s="32" t="s">
        <v>2725</v>
      </c>
      <c r="F73" s="6" t="s">
        <v>4804</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139</v>
      </c>
    </row>
    <row r="75" spans="1:6" ht="165">
      <c r="A75" s="17">
        <f>ROW()</f>
        <v>75</v>
      </c>
      <c r="B75" s="18" t="s">
        <v>2702</v>
      </c>
      <c r="C75" s="19" t="str">
        <f t="shared" si="3"/>
        <v>Berechtigte Personen</v>
      </c>
      <c r="D75" s="19" t="str">
        <f t="shared" si="3"/>
        <v>Berechtigte Personen</v>
      </c>
      <c r="E75" s="32" t="s">
        <v>2730</v>
      </c>
      <c r="F75" s="6" t="s">
        <v>1110</v>
      </c>
    </row>
    <row r="76" spans="1:6" ht="102">
      <c r="A76" s="17">
        <f>ROW()</f>
        <v>76</v>
      </c>
      <c r="B76" s="18" t="s">
        <v>2702</v>
      </c>
      <c r="C76" s="1"/>
      <c r="D76" s="1"/>
      <c r="E76" s="32" t="s">
        <v>2783</v>
      </c>
      <c r="F76" s="6"/>
    </row>
    <row r="77" spans="1:6" ht="189.75">
      <c r="A77" s="17">
        <f>ROW()</f>
        <v>77</v>
      </c>
      <c r="B77" s="18" t="s">
        <v>2702</v>
      </c>
      <c r="C77" s="18" t="s">
        <v>2805</v>
      </c>
      <c r="D77" s="18" t="str">
        <f t="shared" ref="D77:D90" si="4">+E77</f>
        <v>1. Verstorbener Versicherter</v>
      </c>
      <c r="E77" s="33" t="s">
        <v>2806</v>
      </c>
      <c r="F77" s="6" t="s">
        <v>1141</v>
      </c>
    </row>
    <row r="78" spans="1:6" ht="185.25">
      <c r="A78" s="17">
        <f>ROW()</f>
        <v>78</v>
      </c>
      <c r="B78" s="18" t="s">
        <v>2702</v>
      </c>
      <c r="C78" s="18" t="s">
        <v>2805</v>
      </c>
      <c r="D78" s="18" t="str">
        <f t="shared" si="4"/>
        <v>2. Hinterbliebener Ehegatte</v>
      </c>
      <c r="E78" s="33" t="s">
        <v>2807</v>
      </c>
      <c r="F78" s="6" t="s">
        <v>1172</v>
      </c>
    </row>
    <row r="79" spans="1:6" ht="181.5">
      <c r="A79" s="17">
        <f>ROW()</f>
        <v>79</v>
      </c>
      <c r="B79" s="18" t="s">
        <v>2702</v>
      </c>
      <c r="C79" s="18" t="s">
        <v>2805</v>
      </c>
      <c r="D79" s="18" t="str">
        <f t="shared" si="4"/>
        <v>3. Geschiedener Ehegatte</v>
      </c>
      <c r="E79" s="33" t="s">
        <v>2808</v>
      </c>
      <c r="F79" s="6" t="s">
        <v>1201</v>
      </c>
    </row>
    <row r="80" spans="1:6" ht="216">
      <c r="A80" s="17">
        <f>ROW()</f>
        <v>80</v>
      </c>
      <c r="B80" s="18" t="s">
        <v>2702</v>
      </c>
      <c r="C80" s="18" t="s">
        <v>2805</v>
      </c>
      <c r="D80" s="18" t="str">
        <f t="shared" si="4"/>
        <v>4. Hinterbliebene Lebenspartner</v>
      </c>
      <c r="E80" s="33" t="s">
        <v>2809</v>
      </c>
      <c r="F80" s="6" t="s">
        <v>1226</v>
      </c>
    </row>
    <row r="81" spans="1:6" ht="181.5">
      <c r="A81" s="17">
        <f>ROW()</f>
        <v>81</v>
      </c>
      <c r="B81" s="18" t="s">
        <v>2702</v>
      </c>
      <c r="C81" s="18" t="s">
        <v>2805</v>
      </c>
      <c r="D81" s="18" t="str">
        <f t="shared" si="4"/>
        <v>5. Kinder</v>
      </c>
      <c r="E81" s="33" t="s">
        <v>2810</v>
      </c>
      <c r="F81" s="6" t="s">
        <v>1253</v>
      </c>
    </row>
    <row r="82" spans="1:6" ht="181.5">
      <c r="A82" s="17">
        <f>ROW()</f>
        <v>82</v>
      </c>
      <c r="B82" s="18" t="s">
        <v>2702</v>
      </c>
      <c r="C82" s="18" t="s">
        <v>2805</v>
      </c>
      <c r="D82" s="18" t="str">
        <f t="shared" si="4"/>
        <v>6. Andere Personen</v>
      </c>
      <c r="E82" s="33" t="s">
        <v>2811</v>
      </c>
      <c r="F82" s="6" t="s">
        <v>373</v>
      </c>
    </row>
    <row r="83" spans="1:6" ht="409.5">
      <c r="A83" s="17">
        <f>ROW()</f>
        <v>83</v>
      </c>
      <c r="B83" s="18" t="s">
        <v>2702</v>
      </c>
      <c r="C83" s="18" t="s">
        <v>2695</v>
      </c>
      <c r="D83" s="19" t="str">
        <f t="shared" si="4"/>
        <v>1. Hinterbliebener Ehegatte, geschiedener Ehegatte, hinterbliebene Lebenspartner</v>
      </c>
      <c r="E83" s="33" t="s">
        <v>2812</v>
      </c>
      <c r="F83" s="13" t="s">
        <v>4450</v>
      </c>
    </row>
    <row r="84" spans="1:6" ht="280.5">
      <c r="A84" s="17">
        <f>ROW()</f>
        <v>84</v>
      </c>
      <c r="B84" s="18" t="s">
        <v>2702</v>
      </c>
      <c r="C84" s="18" t="s">
        <v>2695</v>
      </c>
      <c r="D84" s="19" t="str">
        <f t="shared" si="4"/>
        <v>2. Hinterbliebener Ehegatte: Wiederheirat</v>
      </c>
      <c r="E84" s="33" t="s">
        <v>2813</v>
      </c>
      <c r="F84" s="6" t="s">
        <v>1330</v>
      </c>
    </row>
    <row r="85" spans="1:6" ht="105">
      <c r="A85" s="17">
        <f>ROW()</f>
        <v>85</v>
      </c>
      <c r="B85" s="18" t="s">
        <v>2702</v>
      </c>
      <c r="C85" s="18" t="s">
        <v>2695</v>
      </c>
      <c r="D85" s="19" t="str">
        <f t="shared" si="4"/>
        <v>3. Kinder</v>
      </c>
      <c r="E85" s="33" t="s">
        <v>2814</v>
      </c>
      <c r="F85" s="6" t="s">
        <v>1361</v>
      </c>
    </row>
    <row r="86" spans="1:6" ht="147">
      <c r="A86" s="17">
        <f>ROW()</f>
        <v>86</v>
      </c>
      <c r="B86" s="18" t="s">
        <v>2702</v>
      </c>
      <c r="C86" s="18" t="s">
        <v>2695</v>
      </c>
      <c r="D86" s="19" t="str">
        <f t="shared" si="4"/>
        <v>4. Andere Berechtigte</v>
      </c>
      <c r="E86" s="33" t="s">
        <v>2815</v>
      </c>
      <c r="F86" s="6" t="s">
        <v>373</v>
      </c>
    </row>
    <row r="87" spans="1:6" ht="381">
      <c r="A87" s="17">
        <f>ROW()</f>
        <v>87</v>
      </c>
      <c r="B87" s="18" t="s">
        <v>2702</v>
      </c>
      <c r="C87" s="18" t="s">
        <v>2695</v>
      </c>
      <c r="D87" s="19" t="str">
        <f t="shared" si="4"/>
        <v xml:space="preserve"> 5. Höchster zahlbarer Gesamtbetrag für alle Berechtigten</v>
      </c>
      <c r="E87" s="33" t="s">
        <v>2816</v>
      </c>
      <c r="F87" s="6" t="s">
        <v>1402</v>
      </c>
    </row>
    <row r="88" spans="1:6" ht="285">
      <c r="A88" s="17">
        <f>ROW()</f>
        <v>88</v>
      </c>
      <c r="B88" s="18" t="s">
        <v>2702</v>
      </c>
      <c r="C88" s="18" t="s">
        <v>2695</v>
      </c>
      <c r="D88" s="19" t="str">
        <f t="shared" si="4"/>
        <v>6. Sonstige Leistungen</v>
      </c>
      <c r="E88" s="33" t="s">
        <v>2817</v>
      </c>
      <c r="F88" s="6" t="s">
        <v>4805</v>
      </c>
    </row>
    <row r="89" spans="1:6" ht="165">
      <c r="A89" s="17">
        <f>ROW()</f>
        <v>89</v>
      </c>
      <c r="B89" s="18" t="s">
        <v>2702</v>
      </c>
      <c r="C89" s="18" t="s">
        <v>2695</v>
      </c>
      <c r="D89" s="19" t="str">
        <f>+E89</f>
        <v>7. Mindestleistung</v>
      </c>
      <c r="E89" s="33" t="s">
        <v>2818</v>
      </c>
      <c r="F89" s="6" t="s">
        <v>4806</v>
      </c>
    </row>
    <row r="90" spans="1:6" ht="122.25">
      <c r="A90" s="17">
        <f>ROW()</f>
        <v>90</v>
      </c>
      <c r="B90" s="18" t="s">
        <v>2702</v>
      </c>
      <c r="C90" s="18" t="s">
        <v>2695</v>
      </c>
      <c r="D90" s="19" t="str">
        <f t="shared" si="4"/>
        <v xml:space="preserve"> 8. Höchstleistung</v>
      </c>
      <c r="E90" s="33" t="s">
        <v>2819</v>
      </c>
      <c r="F90" s="6" t="s">
        <v>1483</v>
      </c>
    </row>
    <row r="91" spans="1:6" ht="180">
      <c r="A91" s="17">
        <f>ROW()</f>
        <v>91</v>
      </c>
      <c r="B91" s="18" t="s">
        <v>2702</v>
      </c>
      <c r="C91" s="18" t="s">
        <v>2799</v>
      </c>
      <c r="D91" s="19" t="str">
        <f>+C91</f>
        <v>Indexbindung / Anpassung</v>
      </c>
      <c r="E91" s="32" t="s">
        <v>2799</v>
      </c>
      <c r="F91" s="6" t="s">
        <v>4807</v>
      </c>
    </row>
    <row r="92" spans="1:6" ht="242.25">
      <c r="A92" s="17">
        <f>ROW()</f>
        <v>92</v>
      </c>
      <c r="B92" s="18" t="s">
        <v>2702</v>
      </c>
      <c r="C92" s="18" t="s">
        <v>2799</v>
      </c>
      <c r="D92" s="19" t="str">
        <f t="shared" ref="D92:D105" si="5">+E92</f>
        <v>Kumulation mit Erwerbseinkommen</v>
      </c>
      <c r="E92" s="32" t="s">
        <v>2723</v>
      </c>
      <c r="F92" s="6" t="s">
        <v>1540</v>
      </c>
    </row>
    <row r="93" spans="1:6" ht="275.25">
      <c r="A93" s="17">
        <f>ROW()</f>
        <v>93</v>
      </c>
      <c r="B93" s="18" t="s">
        <v>2702</v>
      </c>
      <c r="C93" s="18" t="s">
        <v>2799</v>
      </c>
      <c r="D93" s="19" t="str">
        <f t="shared" si="5"/>
        <v>Kumulation mit anderen Sozialleistungen</v>
      </c>
      <c r="E93" s="32" t="s">
        <v>2696</v>
      </c>
      <c r="F93" s="6" t="s">
        <v>1571</v>
      </c>
    </row>
    <row r="94" spans="1:6" ht="232.5">
      <c r="A94" s="17">
        <f>ROW()</f>
        <v>94</v>
      </c>
      <c r="B94" s="18" t="s">
        <v>2702</v>
      </c>
      <c r="C94" s="19" t="s">
        <v>2701</v>
      </c>
      <c r="D94" s="19" t="str">
        <f t="shared" si="5"/>
        <v>1. Besteuerung von Geldleistungen</v>
      </c>
      <c r="E94" s="33" t="s">
        <v>2770</v>
      </c>
      <c r="F94" s="6" t="s">
        <v>772</v>
      </c>
    </row>
    <row r="95" spans="1:6" ht="387">
      <c r="A95" s="17">
        <f>ROW()</f>
        <v>95</v>
      </c>
      <c r="B95" s="18" t="s">
        <v>2702</v>
      </c>
      <c r="C95" s="19" t="s">
        <v>2701</v>
      </c>
      <c r="D95" s="19" t="str">
        <f t="shared" si="5"/>
        <v>2. Einkommensgrenze für Besteuerung von Geldleistungen</v>
      </c>
      <c r="E95" s="33" t="s">
        <v>2772</v>
      </c>
      <c r="F95" s="6" t="s">
        <v>1617</v>
      </c>
    </row>
    <row r="96" spans="1:6" ht="288.75">
      <c r="A96" s="17">
        <f>ROW()</f>
        <v>96</v>
      </c>
      <c r="B96" s="18" t="s">
        <v>2702</v>
      </c>
      <c r="C96" s="19" t="s">
        <v>2701</v>
      </c>
      <c r="D96" s="19" t="str">
        <f t="shared" si="5"/>
        <v>3. Auf Leistungen anfallende Sozialabgaben</v>
      </c>
      <c r="E96" s="33" t="s">
        <v>2773</v>
      </c>
      <c r="F96" s="6" t="s">
        <v>1636</v>
      </c>
    </row>
    <row r="97" spans="1:6" ht="138">
      <c r="A97" s="17">
        <f>ROW()</f>
        <v>97</v>
      </c>
      <c r="B97" s="18" t="s">
        <v>2702</v>
      </c>
      <c r="C97" s="19" t="s">
        <v>2775</v>
      </c>
      <c r="D97" s="19" t="str">
        <f t="shared" si="5"/>
        <v>Anwendungsbereich</v>
      </c>
      <c r="E97" s="33" t="s">
        <v>2708</v>
      </c>
      <c r="F97" s="6" t="s">
        <v>1653</v>
      </c>
    </row>
    <row r="98" spans="1:6" ht="409.5">
      <c r="A98" s="17">
        <f>ROW()</f>
        <v>98</v>
      </c>
      <c r="B98" s="18" t="s">
        <v>2702</v>
      </c>
      <c r="C98" s="19" t="s">
        <v>2775</v>
      </c>
      <c r="D98" s="19" t="str">
        <f t="shared" si="5"/>
        <v>Grundprinzipien</v>
      </c>
      <c r="E98" s="33" t="s">
        <v>2709</v>
      </c>
      <c r="F98" s="6" t="s">
        <v>1668</v>
      </c>
    </row>
    <row r="99" spans="1:6" ht="224.25">
      <c r="A99" s="17">
        <f>ROW()</f>
        <v>99</v>
      </c>
      <c r="B99" s="18" t="s">
        <v>2702</v>
      </c>
      <c r="C99" s="19" t="s">
        <v>2775</v>
      </c>
      <c r="D99" s="19" t="str">
        <f t="shared" si="5"/>
        <v>Voraussetzungen für die Deckung</v>
      </c>
      <c r="E99" s="33" t="s">
        <v>2710</v>
      </c>
      <c r="F99" s="6" t="s">
        <v>1679</v>
      </c>
    </row>
    <row r="100" spans="1:6" ht="409.5">
      <c r="A100" s="17">
        <f>ROW()</f>
        <v>100</v>
      </c>
      <c r="B100" s="18" t="s">
        <v>2702</v>
      </c>
      <c r="C100" s="19" t="s">
        <v>2775</v>
      </c>
      <c r="D100" s="19" t="str">
        <f t="shared" si="5"/>
        <v>Kombination von selbstständiger und unselbstständiger Tätigkeit</v>
      </c>
      <c r="E100" s="33" t="s">
        <v>2698</v>
      </c>
      <c r="F100" s="6" t="s">
        <v>1688</v>
      </c>
    </row>
    <row r="101" spans="1:6" ht="376.5">
      <c r="A101" s="17">
        <f>ROW()</f>
        <v>101</v>
      </c>
      <c r="B101" s="18" t="s">
        <v>2702</v>
      </c>
      <c r="C101" s="19" t="s">
        <v>2775</v>
      </c>
      <c r="D101" s="19" t="str">
        <f t="shared" si="5"/>
        <v xml:space="preserve">Voraussetzungen für den Zugang zu Diensten/Leistungen </v>
      </c>
      <c r="E101" s="33" t="s">
        <v>2699</v>
      </c>
      <c r="F101" s="6" t="s">
        <v>947</v>
      </c>
    </row>
    <row r="102" spans="1:6" ht="253.5">
      <c r="A102" s="17">
        <f>ROW()</f>
        <v>102</v>
      </c>
      <c r="B102" s="18" t="s">
        <v>2702</v>
      </c>
      <c r="C102" s="19" t="s">
        <v>2775</v>
      </c>
      <c r="D102" s="19" t="str">
        <f t="shared" si="5"/>
        <v>Beträge, Dauer und Kostenbeteiligung</v>
      </c>
      <c r="E102" s="33" t="s">
        <v>2700</v>
      </c>
      <c r="F102" s="6" t="s">
        <v>1701</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1703</v>
      </c>
    </row>
    <row r="105" spans="1:6" ht="272.25">
      <c r="A105" s="17">
        <f>ROW()</f>
        <v>105</v>
      </c>
      <c r="B105" s="18" t="s">
        <v>2702</v>
      </c>
      <c r="C105" s="19" t="s">
        <v>2775</v>
      </c>
      <c r="D105" s="19" t="str">
        <f t="shared" si="5"/>
        <v>Auf Leistungen anfallende Sozialabgaben</v>
      </c>
      <c r="E105" s="33" t="s">
        <v>2683</v>
      </c>
      <c r="F105" s="6" t="s">
        <v>947</v>
      </c>
    </row>
  </sheetData>
  <sheetProtection algorithmName="SHA-512" hashValue="n2dMOKlIoaCDsz8aNy3SGWT12E7n6iIZuaRHB4SbkR6GrKShGPVcjBNF8a8xiczzcdr+3i7hF2qNQ5iMqKXcKw==" saltValue="WAvGJfwBwDnbf6+mtSDrfQ==" spinCount="100000" sheet="1" formatColumns="0" autoFilter="0"/>
  <autoFilter ref="A2:F2" xr:uid="{2D915D1F-1D07-4596-8D79-300672BC6B03}"/>
  <pageMargins left="0.7" right="0.7" top="0.78740157499999996" bottom="0.78740157499999996"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53747-D088-4F16-BE28-A1F640B9F358}">
  <sheetPr codeName="Tabelle22"/>
  <dimension ref="A1:F105"/>
  <sheetViews>
    <sheetView workbookViewId="0">
      <pane xSplit="5" ySplit="2" topLeftCell="F1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39" t="s">
        <v>2726</v>
      </c>
      <c r="C1" s="136" t="s">
        <v>2739</v>
      </c>
      <c r="D1" s="136" t="s">
        <v>2728</v>
      </c>
      <c r="E1" s="128" t="s">
        <v>3506</v>
      </c>
      <c r="F1" s="16" t="s">
        <v>20</v>
      </c>
    </row>
    <row r="2" spans="1:6" ht="39.75" customHeight="1">
      <c r="A2" s="138"/>
      <c r="B2" s="139"/>
      <c r="C2" s="136"/>
      <c r="D2" s="136"/>
      <c r="E2" s="134"/>
      <c r="F2" s="173" t="str" cm="1">
        <f t="array" ref="F2">_xlfn.TEXTJOIN("; ", TRUE, IF(Entscheidungen!A2:A100=F1, Entscheidungen!B2:B100, ""))</f>
        <v>OLG Koblenz, 07.11.2016 – 11 UF 180/16</v>
      </c>
    </row>
    <row r="3" spans="1:6" ht="177">
      <c r="A3" s="17">
        <f>ROW()</f>
        <v>3</v>
      </c>
      <c r="B3" s="18" t="s">
        <v>2740</v>
      </c>
      <c r="C3" s="18"/>
      <c r="D3" s="18" t="str">
        <f>+E3</f>
        <v>Geltende Rechtsgrundlage</v>
      </c>
      <c r="E3" s="31" t="s">
        <v>2724</v>
      </c>
      <c r="F3" s="6" t="s">
        <v>3053</v>
      </c>
    </row>
    <row r="4" spans="1:6" ht="110.25">
      <c r="A4" s="17">
        <f>ROW()</f>
        <v>4</v>
      </c>
      <c r="B4" s="18" t="s">
        <v>2740</v>
      </c>
      <c r="C4" s="1"/>
      <c r="D4" s="18" t="str">
        <f t="shared" ref="D4:D34" si="0">+E4</f>
        <v>Grundprinzipien</v>
      </c>
      <c r="E4" s="32" t="s">
        <v>2709</v>
      </c>
      <c r="F4" s="6" t="s">
        <v>3054</v>
      </c>
    </row>
    <row r="5" spans="1:6" ht="188.25">
      <c r="A5" s="17">
        <f>ROW()</f>
        <v>5</v>
      </c>
      <c r="B5" s="18" t="s">
        <v>2740</v>
      </c>
      <c r="C5" s="1"/>
      <c r="D5" s="18" t="str">
        <f t="shared" si="0"/>
        <v>Gedecktes Risiko: Definition</v>
      </c>
      <c r="E5" s="32" t="s">
        <v>2891</v>
      </c>
      <c r="F5" s="6" t="s">
        <v>3055</v>
      </c>
    </row>
    <row r="6" spans="1:6" ht="144">
      <c r="A6" s="17">
        <f>ROW()</f>
        <v>6</v>
      </c>
      <c r="B6" s="18" t="s">
        <v>2740</v>
      </c>
      <c r="C6" s="18" t="s">
        <v>2653</v>
      </c>
      <c r="D6" s="18" t="str">
        <f t="shared" si="0"/>
        <v>Versicherte Personen</v>
      </c>
      <c r="E6" s="33" t="s">
        <v>2653</v>
      </c>
      <c r="F6" s="6" t="s">
        <v>3056</v>
      </c>
    </row>
    <row r="7" spans="1:6" ht="273">
      <c r="A7" s="17">
        <f>ROW()</f>
        <v>7</v>
      </c>
      <c r="B7" s="18" t="s">
        <v>2740</v>
      </c>
      <c r="C7" s="18" t="str">
        <f>+E6</f>
        <v>Versicherte Personen</v>
      </c>
      <c r="D7" s="18" t="str">
        <f t="shared" si="0"/>
        <v>Ausnahmen von der Versicherungspflicht</v>
      </c>
      <c r="E7" s="33" t="s">
        <v>2685</v>
      </c>
      <c r="F7" s="6" t="s">
        <v>125</v>
      </c>
    </row>
    <row r="8" spans="1:6" ht="194.25">
      <c r="A8" s="17">
        <f>ROW()</f>
        <v>8</v>
      </c>
      <c r="B8" s="18" t="s">
        <v>2740</v>
      </c>
      <c r="C8" s="19" t="s">
        <v>149</v>
      </c>
      <c r="D8" s="18" t="str">
        <f t="shared" si="0"/>
        <v>1. Anwartschaftszeit</v>
      </c>
      <c r="E8" s="33" t="s">
        <v>2744</v>
      </c>
      <c r="F8" s="6" t="s">
        <v>4808</v>
      </c>
    </row>
    <row r="9" spans="1:6" ht="409.5">
      <c r="A9" s="17">
        <f>ROW()</f>
        <v>9</v>
      </c>
      <c r="B9" s="18" t="s">
        <v>2740</v>
      </c>
      <c r="C9" s="19" t="s">
        <v>149</v>
      </c>
      <c r="D9" s="18" t="str">
        <f t="shared" si="0"/>
        <v xml:space="preserve">2. Begutachtungskriterien und Kategorien der Arbeitsunfähigkeit/Arbeitsfähigkeit  </v>
      </c>
      <c r="E9" s="33" t="s">
        <v>2745</v>
      </c>
      <c r="F9" s="6" t="s">
        <v>4809</v>
      </c>
    </row>
    <row r="10" spans="1:6" ht="222">
      <c r="A10" s="17">
        <f>ROW()</f>
        <v>10</v>
      </c>
      <c r="B10" s="18" t="s">
        <v>2740</v>
      </c>
      <c r="C10" s="19" t="s">
        <v>149</v>
      </c>
      <c r="D10" s="18" t="str">
        <f t="shared" si="0"/>
        <v>3. Zeitraum der Leistungszahlung</v>
      </c>
      <c r="E10" s="33" t="s">
        <v>2747</v>
      </c>
      <c r="F10" s="6" t="s">
        <v>3057</v>
      </c>
    </row>
    <row r="11" spans="1:6" ht="330">
      <c r="A11" s="17">
        <f>ROW()</f>
        <v>11</v>
      </c>
      <c r="B11" s="18" t="s">
        <v>2740</v>
      </c>
      <c r="C11" s="19" t="s">
        <v>2749</v>
      </c>
      <c r="D11" s="18" t="str">
        <f t="shared" si="0"/>
        <v>1. Gutachter</v>
      </c>
      <c r="E11" s="33" t="s">
        <v>2750</v>
      </c>
      <c r="F11" s="6" t="s">
        <v>4810</v>
      </c>
    </row>
    <row r="12" spans="1:6" ht="120">
      <c r="A12" s="17">
        <f>ROW()</f>
        <v>12</v>
      </c>
      <c r="B12" s="18" t="s">
        <v>2740</v>
      </c>
      <c r="C12" s="19" t="s">
        <v>2749</v>
      </c>
      <c r="D12" s="18" t="str">
        <f t="shared" si="0"/>
        <v xml:space="preserve">2. Überprüfung  </v>
      </c>
      <c r="E12" s="33" t="s">
        <v>2751</v>
      </c>
      <c r="F12" s="6" t="s">
        <v>3058</v>
      </c>
    </row>
    <row r="13" spans="1:6" ht="405">
      <c r="A13" s="17">
        <f>ROW()</f>
        <v>13</v>
      </c>
      <c r="B13" s="18" t="s">
        <v>2740</v>
      </c>
      <c r="C13" s="18" t="s">
        <v>2695</v>
      </c>
      <c r="D13" s="18" t="str">
        <f t="shared" si="0"/>
        <v>1. Berechnungsmethode bzw. Rentenformel</v>
      </c>
      <c r="E13" s="33" t="s">
        <v>2753</v>
      </c>
      <c r="F13" s="6" t="s">
        <v>4811</v>
      </c>
    </row>
    <row r="14" spans="1:6" ht="343.5">
      <c r="A14" s="17">
        <f>ROW()</f>
        <v>14</v>
      </c>
      <c r="B14" s="18" t="s">
        <v>2740</v>
      </c>
      <c r="C14" s="18" t="s">
        <v>2695</v>
      </c>
      <c r="D14" s="18" t="str">
        <f t="shared" si="0"/>
        <v>2. Referenzeinkommen bzw. Berechnungsgrundlage</v>
      </c>
      <c r="E14" s="33" t="s">
        <v>2754</v>
      </c>
      <c r="F14" s="6" t="s">
        <v>3059</v>
      </c>
    </row>
    <row r="15" spans="1:6" ht="226.5">
      <c r="A15" s="17">
        <f>ROW()</f>
        <v>15</v>
      </c>
      <c r="B15" s="18" t="s">
        <v>2740</v>
      </c>
      <c r="C15" s="18" t="s">
        <v>2695</v>
      </c>
      <c r="D15" s="18" t="str">
        <f t="shared" si="0"/>
        <v>3. Mindest- und Höchstleistungen</v>
      </c>
      <c r="E15" s="33" t="s">
        <v>2756</v>
      </c>
      <c r="F15" s="6" t="s">
        <v>4812</v>
      </c>
    </row>
    <row r="16" spans="1:6" ht="405">
      <c r="A16" s="17">
        <f>ROW()</f>
        <v>16</v>
      </c>
      <c r="B16" s="18" t="s">
        <v>2740</v>
      </c>
      <c r="C16" s="18" t="s">
        <v>2695</v>
      </c>
      <c r="D16" s="18" t="str">
        <f t="shared" si="0"/>
        <v>4. Anrechenbare oder als Beitragszeiten gewertete Zeiträume</v>
      </c>
      <c r="E16" s="33" t="s">
        <v>2757</v>
      </c>
      <c r="F16" s="6" t="s">
        <v>4813</v>
      </c>
    </row>
    <row r="17" spans="1:6" ht="250.5">
      <c r="A17" s="17">
        <f>ROW()</f>
        <v>17</v>
      </c>
      <c r="B17" s="18" t="s">
        <v>2740</v>
      </c>
      <c r="C17" s="18" t="s">
        <v>2695</v>
      </c>
      <c r="D17" s="18" t="str">
        <f t="shared" si="0"/>
        <v xml:space="preserve">5. Zulagen für Unterhaltsberechtigte  </v>
      </c>
      <c r="E17" s="33" t="s">
        <v>2759</v>
      </c>
      <c r="F17" s="6" t="s">
        <v>2247</v>
      </c>
    </row>
    <row r="18" spans="1:6" ht="135">
      <c r="A18" s="17">
        <f>ROW()</f>
        <v>18</v>
      </c>
      <c r="B18" s="18" t="s">
        <v>2740</v>
      </c>
      <c r="C18" s="18" t="str">
        <f>+E18</f>
        <v>Sonstige Leistungen</v>
      </c>
      <c r="D18" s="18" t="str">
        <f>+E18</f>
        <v>Sonstige Leistungen</v>
      </c>
      <c r="E18" s="32" t="s">
        <v>2678</v>
      </c>
      <c r="F18" s="6" t="s">
        <v>3060</v>
      </c>
    </row>
    <row r="19" spans="1:6" ht="300.75">
      <c r="A19" s="17">
        <f>ROW()</f>
        <v>19</v>
      </c>
      <c r="B19" s="18" t="s">
        <v>2740</v>
      </c>
      <c r="C19" s="18" t="s">
        <v>2761</v>
      </c>
      <c r="D19" s="18" t="str">
        <f t="shared" si="0"/>
        <v>Umschulung, berufsbezogene Rehabilitation</v>
      </c>
      <c r="E19" s="33" t="s">
        <v>2762</v>
      </c>
      <c r="F19" s="6" t="s">
        <v>4814</v>
      </c>
    </row>
    <row r="20" spans="1:6" ht="409.5">
      <c r="A20" s="17">
        <f>ROW()</f>
        <v>20</v>
      </c>
      <c r="B20" s="18" t="s">
        <v>2740</v>
      </c>
      <c r="C20" s="18" t="s">
        <v>2761</v>
      </c>
      <c r="D20" s="18" t="str">
        <f t="shared" si="0"/>
        <v xml:space="preserve">Bevorzugte und reservierte Beschäftigung von Menschen mit Behinderungen  </v>
      </c>
      <c r="E20" s="33" t="s">
        <v>2763</v>
      </c>
      <c r="F20" s="6" t="s">
        <v>3061</v>
      </c>
    </row>
    <row r="21" spans="1:6" ht="171.75">
      <c r="A21" s="17">
        <f>ROW()</f>
        <v>21</v>
      </c>
      <c r="B21" s="18" t="s">
        <v>2740</v>
      </c>
      <c r="C21" s="18" t="s">
        <v>2765</v>
      </c>
      <c r="D21" s="18" t="str">
        <f t="shared" si="0"/>
        <v>Indexbindung/Anpassung</v>
      </c>
      <c r="E21" s="32" t="s">
        <v>2766</v>
      </c>
      <c r="F21" s="6" t="s">
        <v>688</v>
      </c>
    </row>
    <row r="22" spans="1:6" ht="242.25">
      <c r="A22" s="17">
        <f>ROW()</f>
        <v>22</v>
      </c>
      <c r="B22" s="18" t="s">
        <v>2740</v>
      </c>
      <c r="C22" s="18" t="s">
        <v>2765</v>
      </c>
      <c r="D22" s="18" t="str">
        <f>+E22</f>
        <v>Kumulation mit Erwerbseinkommen</v>
      </c>
      <c r="E22" s="32" t="s">
        <v>2723</v>
      </c>
      <c r="F22" s="6" t="s">
        <v>4815</v>
      </c>
    </row>
    <row r="23" spans="1:6" ht="275.25">
      <c r="A23" s="17">
        <f>ROW()</f>
        <v>23</v>
      </c>
      <c r="B23" s="18" t="s">
        <v>2740</v>
      </c>
      <c r="C23" s="18" t="s">
        <v>2765</v>
      </c>
      <c r="D23" s="18" t="str">
        <f t="shared" si="0"/>
        <v>Kumulation mit anderen Sozialleistungen</v>
      </c>
      <c r="E23" s="32" t="s">
        <v>2696</v>
      </c>
      <c r="F23" s="6" t="s">
        <v>4816</v>
      </c>
    </row>
    <row r="24" spans="1:6" ht="232.5">
      <c r="A24" s="17">
        <f>ROW()</f>
        <v>24</v>
      </c>
      <c r="B24" s="18" t="s">
        <v>2740</v>
      </c>
      <c r="C24" s="18" t="s">
        <v>2701</v>
      </c>
      <c r="D24" s="18" t="str">
        <f t="shared" si="0"/>
        <v>1. Besteuerung von Geldleistungen</v>
      </c>
      <c r="E24" s="33" t="s">
        <v>2770</v>
      </c>
      <c r="F24" s="6" t="s">
        <v>3062</v>
      </c>
    </row>
    <row r="25" spans="1:6" ht="387">
      <c r="A25" s="17">
        <f>ROW()</f>
        <v>25</v>
      </c>
      <c r="B25" s="18" t="s">
        <v>2740</v>
      </c>
      <c r="C25" s="18" t="s">
        <v>2701</v>
      </c>
      <c r="D25" s="18" t="str">
        <f t="shared" si="0"/>
        <v>2. Einkommensgrenze für Besteuerung von Geldleistungen</v>
      </c>
      <c r="E25" s="33" t="s">
        <v>2772</v>
      </c>
      <c r="F25" s="6" t="s">
        <v>3063</v>
      </c>
    </row>
    <row r="26" spans="1:6" ht="288.75">
      <c r="A26" s="17">
        <f>ROW()</f>
        <v>26</v>
      </c>
      <c r="B26" s="18" t="s">
        <v>2740</v>
      </c>
      <c r="C26" s="18" t="s">
        <v>2701</v>
      </c>
      <c r="D26" s="18" t="str">
        <f t="shared" si="0"/>
        <v>3. Auf Leistungen anfallende Sozialabgaben</v>
      </c>
      <c r="E26" s="33" t="s">
        <v>2773</v>
      </c>
      <c r="F26" s="6" t="s">
        <v>3064</v>
      </c>
    </row>
    <row r="27" spans="1:6" ht="138">
      <c r="A27" s="17">
        <f>ROW()</f>
        <v>27</v>
      </c>
      <c r="B27" s="18" t="s">
        <v>2740</v>
      </c>
      <c r="C27" s="18" t="s">
        <v>2775</v>
      </c>
      <c r="D27" s="18" t="str">
        <f t="shared" si="0"/>
        <v>Anwendungsbereich</v>
      </c>
      <c r="E27" s="33" t="s">
        <v>2708</v>
      </c>
      <c r="F27" s="6" t="s">
        <v>857</v>
      </c>
    </row>
    <row r="28" spans="1:6" ht="110.25">
      <c r="A28" s="17">
        <f>ROW()</f>
        <v>28</v>
      </c>
      <c r="B28" s="18" t="s">
        <v>2740</v>
      </c>
      <c r="C28" s="18" t="s">
        <v>2775</v>
      </c>
      <c r="D28" s="18" t="str">
        <f t="shared" si="0"/>
        <v>Grundprinzipien</v>
      </c>
      <c r="E28" s="33" t="s">
        <v>2709</v>
      </c>
      <c r="F28" s="6" t="s">
        <v>883</v>
      </c>
    </row>
    <row r="29" spans="1:6" ht="224.25">
      <c r="A29" s="17">
        <f>ROW()</f>
        <v>29</v>
      </c>
      <c r="B29" s="18" t="s">
        <v>2740</v>
      </c>
      <c r="C29" s="18" t="s">
        <v>2775</v>
      </c>
      <c r="D29" s="18" t="str">
        <f t="shared" si="0"/>
        <v>Voraussetzungen für die Deckung</v>
      </c>
      <c r="E29" s="33" t="s">
        <v>2710</v>
      </c>
      <c r="F29" s="6" t="s">
        <v>909</v>
      </c>
    </row>
    <row r="30" spans="1:6" ht="409.5">
      <c r="A30" s="17">
        <f>ROW()</f>
        <v>30</v>
      </c>
      <c r="B30" s="18" t="s">
        <v>2740</v>
      </c>
      <c r="C30" s="18" t="s">
        <v>2775</v>
      </c>
      <c r="D30" s="19" t="str">
        <f t="shared" si="0"/>
        <v>Kombination von selbstständiger und unselbstständiger Tätigkeit</v>
      </c>
      <c r="E30" s="33" t="s">
        <v>2698</v>
      </c>
      <c r="F30" s="6" t="s">
        <v>3065</v>
      </c>
    </row>
    <row r="31" spans="1:6" ht="376.5">
      <c r="A31" s="17">
        <f>ROW()</f>
        <v>31</v>
      </c>
      <c r="B31" s="18" t="s">
        <v>2740</v>
      </c>
      <c r="C31" s="18" t="s">
        <v>2695</v>
      </c>
      <c r="D31" s="19" t="str">
        <f t="shared" si="0"/>
        <v xml:space="preserve">Voraussetzungen für den Zugang zu Diensten/Leistungen </v>
      </c>
      <c r="E31" s="33" t="s">
        <v>2699</v>
      </c>
      <c r="F31" s="6" t="s">
        <v>4817</v>
      </c>
    </row>
    <row r="32" spans="1:6" ht="253.5">
      <c r="A32" s="17">
        <f>ROW()</f>
        <v>32</v>
      </c>
      <c r="B32" s="18" t="s">
        <v>2740</v>
      </c>
      <c r="C32" s="18" t="s">
        <v>2695</v>
      </c>
      <c r="D32" s="18" t="str">
        <f t="shared" si="0"/>
        <v>Beträge, Dauer und Kostenbeteiligung</v>
      </c>
      <c r="E32" s="33" t="s">
        <v>2700</v>
      </c>
      <c r="F32" s="6" t="s">
        <v>3066</v>
      </c>
    </row>
    <row r="33" spans="1:6" ht="216">
      <c r="A33" s="17">
        <f>ROW()</f>
        <v>33</v>
      </c>
      <c r="B33" s="18" t="s">
        <v>2740</v>
      </c>
      <c r="C33" s="18" t="s">
        <v>2695</v>
      </c>
      <c r="D33" s="18" t="str">
        <f t="shared" si="0"/>
        <v>Besteuerung von Geldleistungen</v>
      </c>
      <c r="E33" s="33" t="s">
        <v>2681</v>
      </c>
      <c r="F33" s="6" t="s">
        <v>975</v>
      </c>
    </row>
    <row r="34" spans="1:6" ht="276.75">
      <c r="A34" s="17">
        <f>ROW()</f>
        <v>34</v>
      </c>
      <c r="B34" s="18" t="s">
        <v>2740</v>
      </c>
      <c r="C34" s="18" t="s">
        <v>2695</v>
      </c>
      <c r="D34" s="18" t="str">
        <f t="shared" si="0"/>
        <v xml:space="preserve"> Auf Leistungen anfallende Sozialabgaben</v>
      </c>
      <c r="E34" s="33" t="s">
        <v>2779</v>
      </c>
      <c r="F34" s="6" t="s">
        <v>2651</v>
      </c>
    </row>
    <row r="35" spans="1:6" ht="177">
      <c r="A35" s="17">
        <f>ROW()</f>
        <v>35</v>
      </c>
      <c r="B35" s="18" t="s">
        <v>2780</v>
      </c>
      <c r="C35" s="18" t="str">
        <f>+D35</f>
        <v>Geltende Rechtsgrundlage</v>
      </c>
      <c r="D35" s="18" t="str">
        <f>+E35</f>
        <v>Geltende Rechtsgrundlage</v>
      </c>
      <c r="E35" s="32" t="s">
        <v>2724</v>
      </c>
      <c r="F35" s="6" t="s">
        <v>51</v>
      </c>
    </row>
    <row r="36" spans="1:6" ht="240">
      <c r="A36" s="17">
        <f>ROW()</f>
        <v>36</v>
      </c>
      <c r="B36" s="18" t="s">
        <v>2780</v>
      </c>
      <c r="C36" s="18" t="str">
        <f>+D36</f>
        <v>Grundprinzipien</v>
      </c>
      <c r="D36" s="18" t="str">
        <f>+E36</f>
        <v>Grundprinzipien</v>
      </c>
      <c r="E36" s="32" t="s">
        <v>2709</v>
      </c>
      <c r="F36" s="6" t="s">
        <v>82</v>
      </c>
    </row>
    <row r="37" spans="1:6" ht="159.75">
      <c r="A37" s="17">
        <f>ROW()</f>
        <v>37</v>
      </c>
      <c r="B37" s="18" t="s">
        <v>2780</v>
      </c>
      <c r="C37" s="18" t="s">
        <v>2708</v>
      </c>
      <c r="D37" s="18" t="str">
        <f>+E37</f>
        <v>1. Versicherte Personen</v>
      </c>
      <c r="E37" s="33" t="s">
        <v>2781</v>
      </c>
      <c r="F37" s="6" t="s">
        <v>114</v>
      </c>
    </row>
    <row r="38" spans="1:6" ht="371.25">
      <c r="A38" s="17">
        <f>ROW()</f>
        <v>38</v>
      </c>
      <c r="B38" s="18" t="s">
        <v>2780</v>
      </c>
      <c r="C38" s="18" t="s">
        <v>2708</v>
      </c>
      <c r="D38" s="18" t="str">
        <f t="shared" ref="D38:D58" si="1">+E38</f>
        <v>2. Ausnahmen von der Deckung  der Pflichtversicherung</v>
      </c>
      <c r="E38" s="33" t="s">
        <v>2782</v>
      </c>
      <c r="F38" s="6" t="s">
        <v>125</v>
      </c>
    </row>
    <row r="39" spans="1:6" ht="194.25">
      <c r="A39" s="17">
        <f>ROW()</f>
        <v>39</v>
      </c>
      <c r="B39" s="18" t="s">
        <v>2780</v>
      </c>
      <c r="C39" s="18" t="s">
        <v>149</v>
      </c>
      <c r="D39" s="18" t="str">
        <f t="shared" si="1"/>
        <v>1. Rentenalter</v>
      </c>
      <c r="E39" s="33" t="s">
        <v>2784</v>
      </c>
      <c r="F39" s="6" t="s">
        <v>170</v>
      </c>
    </row>
    <row r="40" spans="1:6" ht="409.5">
      <c r="A40" s="17">
        <f>ROW()</f>
        <v>40</v>
      </c>
      <c r="B40" s="18" t="s">
        <v>2780</v>
      </c>
      <c r="C40" s="18" t="s">
        <v>149</v>
      </c>
      <c r="D40" s="18" t="str">
        <f t="shared" si="1"/>
        <v>2. Anwartschaftszeit und sonstige Anspruchsvoraussetzungen für den Bezug einer Altersrente</v>
      </c>
      <c r="E40" s="33" t="s">
        <v>2785</v>
      </c>
      <c r="F40" s="6" t="s">
        <v>4818</v>
      </c>
    </row>
    <row r="41" spans="1:6" ht="194.25">
      <c r="A41" s="17">
        <f>ROW()</f>
        <v>41</v>
      </c>
      <c r="B41" s="18" t="s">
        <v>2780</v>
      </c>
      <c r="C41" s="18" t="s">
        <v>149</v>
      </c>
      <c r="D41" s="18" t="str">
        <f t="shared" si="1"/>
        <v>3. Vorruhestand</v>
      </c>
      <c r="E41" s="33" t="s">
        <v>2786</v>
      </c>
      <c r="F41" s="6" t="s">
        <v>4819</v>
      </c>
    </row>
    <row r="42" spans="1:6" ht="330">
      <c r="A42" s="17">
        <f>ROW()</f>
        <v>42</v>
      </c>
      <c r="B42" s="18" t="s">
        <v>2780</v>
      </c>
      <c r="C42" s="18" t="s">
        <v>149</v>
      </c>
      <c r="D42" s="18" t="str">
        <f t="shared" si="1"/>
        <v>4. Beschwerliche und gefährliche Arbeit</v>
      </c>
      <c r="E42" s="33" t="s">
        <v>2787</v>
      </c>
      <c r="F42" s="6" t="s">
        <v>4820</v>
      </c>
    </row>
    <row r="43" spans="1:6" ht="194.25">
      <c r="A43" s="17">
        <f>ROW()</f>
        <v>43</v>
      </c>
      <c r="B43" s="18" t="s">
        <v>2780</v>
      </c>
      <c r="C43" s="18" t="s">
        <v>149</v>
      </c>
      <c r="D43" s="18" t="str">
        <f t="shared" si="1"/>
        <v>5. Rentenaufschub</v>
      </c>
      <c r="E43" s="33" t="s">
        <v>2788</v>
      </c>
      <c r="F43" s="6" t="s">
        <v>273</v>
      </c>
    </row>
    <row r="44" spans="1:6" ht="174">
      <c r="A44" s="17">
        <f>ROW()</f>
        <v>44</v>
      </c>
      <c r="B44" s="18" t="s">
        <v>2780</v>
      </c>
      <c r="C44" s="18" t="s">
        <v>2695</v>
      </c>
      <c r="D44" s="18" t="str">
        <f t="shared" si="1"/>
        <v>1. Bestimmende Faktoren</v>
      </c>
      <c r="E44" s="33" t="s">
        <v>2789</v>
      </c>
      <c r="F44" s="6" t="s">
        <v>4821</v>
      </c>
    </row>
    <row r="45" spans="1:6" ht="349.5">
      <c r="A45" s="17">
        <f>ROW()</f>
        <v>45</v>
      </c>
      <c r="B45" s="18" t="s">
        <v>2780</v>
      </c>
      <c r="C45" s="18" t="s">
        <v>2695</v>
      </c>
      <c r="D45" s="18" t="str">
        <f t="shared" si="1"/>
        <v>2. Berechnungsmethode, Rentenformel bzw. Beträge</v>
      </c>
      <c r="E45" s="33" t="s">
        <v>2790</v>
      </c>
      <c r="F45" s="6" t="s">
        <v>4822</v>
      </c>
    </row>
    <row r="46" spans="1:6" ht="343.5">
      <c r="A46" s="17">
        <f>ROW()</f>
        <v>46</v>
      </c>
      <c r="B46" s="18" t="s">
        <v>2780</v>
      </c>
      <c r="C46" s="18" t="s">
        <v>2695</v>
      </c>
      <c r="D46" s="18" t="str">
        <f t="shared" si="1"/>
        <v>3. Referenzeinkommen bzw. Berechnungsgrundlage</v>
      </c>
      <c r="E46" s="33" t="s">
        <v>2791</v>
      </c>
      <c r="F46" s="6" t="s">
        <v>379</v>
      </c>
    </row>
    <row r="47" spans="1:6" ht="405">
      <c r="A47" s="17">
        <f>ROW()</f>
        <v>47</v>
      </c>
      <c r="B47" s="18" t="s">
        <v>2780</v>
      </c>
      <c r="C47" s="18" t="s">
        <v>2695</v>
      </c>
      <c r="D47" s="18" t="str">
        <f t="shared" si="1"/>
        <v>4. Anrechenbare oder als Beitragszeiten gewertete Zeiträume</v>
      </c>
      <c r="E47" s="33" t="s">
        <v>2757</v>
      </c>
      <c r="F47" s="6" t="s">
        <v>409</v>
      </c>
    </row>
    <row r="48" spans="1:6" ht="243.75">
      <c r="A48" s="17">
        <f>ROW()</f>
        <v>48</v>
      </c>
      <c r="B48" s="18" t="s">
        <v>2780</v>
      </c>
      <c r="C48" s="18" t="s">
        <v>2695</v>
      </c>
      <c r="D48" s="18" t="str">
        <f t="shared" si="1"/>
        <v>5. Rückkauf von Versicherungszeiten</v>
      </c>
      <c r="E48" s="33" t="s">
        <v>2792</v>
      </c>
      <c r="F48" s="6" t="s">
        <v>431</v>
      </c>
    </row>
    <row r="49" spans="1:6" ht="246">
      <c r="A49" s="17">
        <f>ROW()</f>
        <v>49</v>
      </c>
      <c r="B49" s="18" t="s">
        <v>2780</v>
      </c>
      <c r="C49" s="18" t="s">
        <v>2695</v>
      </c>
      <c r="D49" s="18" t="str">
        <f t="shared" si="1"/>
        <v>6.  Zulagen für Unterhaltsberechtigte</v>
      </c>
      <c r="E49" s="33" t="s">
        <v>2892</v>
      </c>
      <c r="F49" s="6" t="s">
        <v>463</v>
      </c>
    </row>
    <row r="50" spans="1:6" ht="145.5">
      <c r="A50" s="17">
        <f>ROW()</f>
        <v>50</v>
      </c>
      <c r="B50" s="18" t="s">
        <v>2780</v>
      </c>
      <c r="C50" s="18" t="s">
        <v>2695</v>
      </c>
      <c r="D50" s="18" t="str">
        <f t="shared" si="1"/>
        <v>7. Besondere Zulagen</v>
      </c>
      <c r="E50" s="33" t="s">
        <v>2793</v>
      </c>
      <c r="F50" s="6" t="s">
        <v>488</v>
      </c>
    </row>
    <row r="51" spans="1:6" ht="360.75">
      <c r="A51" s="17">
        <f>ROW()</f>
        <v>51</v>
      </c>
      <c r="B51" s="18" t="s">
        <v>2780</v>
      </c>
      <c r="C51" s="18" t="s">
        <v>2695</v>
      </c>
      <c r="D51" s="18" t="str">
        <f t="shared" si="1"/>
        <v>8. Mindestrente und bedürftigkeitsabhängige Leistung</v>
      </c>
      <c r="E51" s="33" t="s">
        <v>2794</v>
      </c>
      <c r="F51" s="6" t="s">
        <v>4823</v>
      </c>
    </row>
    <row r="52" spans="1:6" ht="101.25">
      <c r="A52" s="17">
        <f>ROW()</f>
        <v>52</v>
      </c>
      <c r="B52" s="18" t="s">
        <v>2780</v>
      </c>
      <c r="C52" s="18" t="s">
        <v>2695</v>
      </c>
      <c r="D52" s="18" t="str">
        <f t="shared" si="1"/>
        <v>9. Höchstrente</v>
      </c>
      <c r="E52" s="33" t="s">
        <v>2795</v>
      </c>
      <c r="F52" s="6" t="s">
        <v>547</v>
      </c>
    </row>
    <row r="53" spans="1:6" ht="119.25">
      <c r="A53" s="17">
        <f>ROW()</f>
        <v>53</v>
      </c>
      <c r="B53" s="18" t="s">
        <v>2780</v>
      </c>
      <c r="C53" s="18" t="s">
        <v>2695</v>
      </c>
      <c r="D53" s="18" t="str">
        <f t="shared" si="1"/>
        <v>10. Vorruhestand</v>
      </c>
      <c r="E53" s="33" t="s">
        <v>2796</v>
      </c>
      <c r="F53" s="6" t="s">
        <v>575</v>
      </c>
    </row>
    <row r="54" spans="1:6" ht="272.25">
      <c r="A54" s="17">
        <f>ROW()</f>
        <v>54</v>
      </c>
      <c r="B54" s="18" t="s">
        <v>2780</v>
      </c>
      <c r="C54" s="18" t="s">
        <v>2695</v>
      </c>
      <c r="D54" s="18" t="str">
        <f t="shared" si="1"/>
        <v>11. Beschwerliche und gefährliche Arbeit</v>
      </c>
      <c r="E54" s="33" t="s">
        <v>2797</v>
      </c>
      <c r="F54" s="6" t="s">
        <v>601</v>
      </c>
    </row>
    <row r="55" spans="1:6" ht="87.75">
      <c r="A55" s="17">
        <f>ROW()</f>
        <v>55</v>
      </c>
      <c r="B55" s="18" t="s">
        <v>2780</v>
      </c>
      <c r="C55" s="18" t="s">
        <v>2695</v>
      </c>
      <c r="D55" s="18" t="str">
        <f t="shared" si="1"/>
        <v>12. Teilrente</v>
      </c>
      <c r="E55" s="33" t="s">
        <v>2798</v>
      </c>
      <c r="F55" s="6" t="s">
        <v>628</v>
      </c>
    </row>
    <row r="56" spans="1:6" ht="171.75">
      <c r="A56" s="17">
        <f>ROW()</f>
        <v>56</v>
      </c>
      <c r="B56" s="18" t="s">
        <v>2780</v>
      </c>
      <c r="C56" s="18" t="s">
        <v>2695</v>
      </c>
      <c r="D56" s="18" t="str">
        <f t="shared" si="1"/>
        <v>13. Aufgeschobene Rente</v>
      </c>
      <c r="E56" s="33" t="s">
        <v>2893</v>
      </c>
      <c r="F56" s="6" t="s">
        <v>4824</v>
      </c>
    </row>
    <row r="57" spans="1:6" ht="179.25">
      <c r="A57" s="17">
        <f>ROW()</f>
        <v>57</v>
      </c>
      <c r="B57" s="18" t="s">
        <v>2780</v>
      </c>
      <c r="C57" s="18" t="s">
        <v>2799</v>
      </c>
      <c r="D57" s="18" t="s">
        <v>2799</v>
      </c>
      <c r="E57" s="32" t="s">
        <v>2799</v>
      </c>
      <c r="F57" s="6" t="s">
        <v>688</v>
      </c>
    </row>
    <row r="58" spans="1:6" ht="246">
      <c r="A58" s="17">
        <f>ROW()</f>
        <v>58</v>
      </c>
      <c r="B58" s="18" t="s">
        <v>2780</v>
      </c>
      <c r="C58" s="18" t="s">
        <v>2799</v>
      </c>
      <c r="D58" s="18" t="str">
        <f t="shared" si="1"/>
        <v xml:space="preserve">Kumulation mit Erwerbseinkommen </v>
      </c>
      <c r="E58" s="32" t="s">
        <v>2697</v>
      </c>
      <c r="F58" s="6" t="s">
        <v>4825</v>
      </c>
    </row>
    <row r="59" spans="1:6" ht="286.5">
      <c r="A59" s="17">
        <f>ROW()</f>
        <v>59</v>
      </c>
      <c r="B59" s="18" t="s">
        <v>2780</v>
      </c>
      <c r="C59" s="18" t="s">
        <v>2799</v>
      </c>
      <c r="D59" s="18" t="s">
        <v>2800</v>
      </c>
      <c r="E59" s="32" t="s">
        <v>2696</v>
      </c>
      <c r="F59" s="6" t="s">
        <v>4826</v>
      </c>
    </row>
    <row r="60" spans="1:6" ht="225.75">
      <c r="A60" s="17">
        <f>ROW()</f>
        <v>60</v>
      </c>
      <c r="B60" s="18" t="s">
        <v>2780</v>
      </c>
      <c r="C60" s="18" t="s">
        <v>761</v>
      </c>
      <c r="D60" s="18" t="str">
        <f t="shared" ref="D60:D70" si="2">+E60</f>
        <v>1. Besteuerung von Renten</v>
      </c>
      <c r="E60" s="33" t="s">
        <v>2801</v>
      </c>
      <c r="F60" s="6" t="s">
        <v>778</v>
      </c>
    </row>
    <row r="61" spans="1:6" ht="335.25">
      <c r="A61" s="17">
        <f>ROW()</f>
        <v>61</v>
      </c>
      <c r="B61" s="18" t="s">
        <v>2780</v>
      </c>
      <c r="C61" s="18" t="s">
        <v>761</v>
      </c>
      <c r="D61" s="18" t="str">
        <f t="shared" si="2"/>
        <v>2. Einkommensgrenze für Besteuerung von Renten</v>
      </c>
      <c r="E61" s="33" t="s">
        <v>2802</v>
      </c>
      <c r="F61" s="6" t="s">
        <v>807</v>
      </c>
    </row>
    <row r="62" spans="1:6" ht="264">
      <c r="A62" s="17">
        <f>ROW()</f>
        <v>62</v>
      </c>
      <c r="B62" s="18" t="s">
        <v>2780</v>
      </c>
      <c r="C62" s="18" t="s">
        <v>761</v>
      </c>
      <c r="D62" s="18" t="str">
        <f t="shared" si="2"/>
        <v>3. Auf Renten anfallende Sozialabgaben</v>
      </c>
      <c r="E62" s="33" t="s">
        <v>2803</v>
      </c>
      <c r="F62" s="6" t="s">
        <v>832</v>
      </c>
    </row>
    <row r="63" spans="1:6" ht="138">
      <c r="A63" s="17">
        <f>ROW()</f>
        <v>63</v>
      </c>
      <c r="B63" s="18" t="s">
        <v>2804</v>
      </c>
      <c r="C63" s="18" t="str">
        <f>+E63</f>
        <v>Anwendungsbereich</v>
      </c>
      <c r="D63" s="18" t="str">
        <f t="shared" si="2"/>
        <v>Anwendungsbereich</v>
      </c>
      <c r="E63" s="33" t="s">
        <v>2708</v>
      </c>
      <c r="F63" s="6" t="s">
        <v>857</v>
      </c>
    </row>
    <row r="64" spans="1:6" ht="132.75">
      <c r="A64" s="17">
        <f>ROW()</f>
        <v>64</v>
      </c>
      <c r="B64" s="18" t="s">
        <v>2804</v>
      </c>
      <c r="C64" s="18" t="s">
        <v>2775</v>
      </c>
      <c r="D64" s="18" t="str">
        <f t="shared" si="2"/>
        <v>Grundprinzipien</v>
      </c>
      <c r="E64" s="33" t="s">
        <v>2709</v>
      </c>
      <c r="F64" s="6" t="s">
        <v>883</v>
      </c>
    </row>
    <row r="65" spans="1:6" ht="224.25">
      <c r="A65" s="17">
        <f>ROW()</f>
        <v>65</v>
      </c>
      <c r="B65" s="18" t="s">
        <v>2804</v>
      </c>
      <c r="C65" s="18" t="s">
        <v>2775</v>
      </c>
      <c r="D65" s="18" t="str">
        <f t="shared" si="2"/>
        <v>Voraussetzungen für die Deckung</v>
      </c>
      <c r="E65" s="33" t="s">
        <v>2710</v>
      </c>
      <c r="F65" s="6" t="s">
        <v>909</v>
      </c>
    </row>
    <row r="66" spans="1:6" ht="409.5">
      <c r="A66" s="17">
        <f>ROW()</f>
        <v>66</v>
      </c>
      <c r="B66" s="18" t="s">
        <v>2804</v>
      </c>
      <c r="C66" s="18" t="s">
        <v>2775</v>
      </c>
      <c r="D66" s="18" t="str">
        <f t="shared" si="2"/>
        <v>Kombination von selbstständiger und unselbstständiger Tätigkeit</v>
      </c>
      <c r="E66" s="33" t="s">
        <v>2698</v>
      </c>
      <c r="F66" s="6" t="s">
        <v>930</v>
      </c>
    </row>
    <row r="67" spans="1:6" ht="376.5">
      <c r="A67" s="17">
        <f>ROW()</f>
        <v>67</v>
      </c>
      <c r="B67" s="18" t="s">
        <v>2804</v>
      </c>
      <c r="C67" s="18" t="s">
        <v>2695</v>
      </c>
      <c r="D67" s="19" t="str">
        <f t="shared" si="2"/>
        <v xml:space="preserve">Voraussetzungen für den Zugang zu Diensten/Leistungen </v>
      </c>
      <c r="E67" s="33" t="s">
        <v>2699</v>
      </c>
      <c r="F67" s="6" t="s">
        <v>4827</v>
      </c>
    </row>
    <row r="68" spans="1:6" ht="253.5">
      <c r="A68" s="17">
        <f>ROW()</f>
        <v>68</v>
      </c>
      <c r="B68" s="18" t="s">
        <v>2804</v>
      </c>
      <c r="C68" s="18" t="s">
        <v>2695</v>
      </c>
      <c r="D68" s="19" t="str">
        <f t="shared" si="2"/>
        <v>Beträge, Dauer und Kostenbeteiligung</v>
      </c>
      <c r="E68" s="33" t="s">
        <v>2700</v>
      </c>
      <c r="F68" s="6" t="s">
        <v>961</v>
      </c>
    </row>
    <row r="69" spans="1:6" ht="216">
      <c r="A69" s="17">
        <f>ROW()</f>
        <v>69</v>
      </c>
      <c r="B69" s="18" t="s">
        <v>2804</v>
      </c>
      <c r="C69" s="18" t="s">
        <v>2695</v>
      </c>
      <c r="D69" s="19" t="str">
        <f t="shared" si="2"/>
        <v>Besteuerung von Geldleistungen</v>
      </c>
      <c r="E69" s="33" t="s">
        <v>2681</v>
      </c>
      <c r="F69" s="6" t="s">
        <v>975</v>
      </c>
    </row>
    <row r="70" spans="1:6" ht="272.25">
      <c r="A70" s="17">
        <f>ROW()</f>
        <v>70</v>
      </c>
      <c r="B70" s="18" t="s">
        <v>2804</v>
      </c>
      <c r="C70" s="18" t="s">
        <v>2695</v>
      </c>
      <c r="D70" s="19" t="str">
        <f t="shared" si="2"/>
        <v>Auf Leistungen anfallende Sozialabgaben</v>
      </c>
      <c r="E70" s="33" t="s">
        <v>2683</v>
      </c>
      <c r="F70" s="6" t="s">
        <v>975</v>
      </c>
    </row>
    <row r="71" spans="1:6" ht="177">
      <c r="A71" s="17">
        <f>ROW()</f>
        <v>71</v>
      </c>
      <c r="B71" s="18" t="s">
        <v>2702</v>
      </c>
      <c r="C71" s="18" t="str">
        <f t="shared" ref="C71:D75" si="3">+D71</f>
        <v>Geltende Rechtsgrundlage</v>
      </c>
      <c r="D71" s="19" t="str">
        <f t="shared" si="3"/>
        <v>Geltende Rechtsgrundlage</v>
      </c>
      <c r="E71" s="32" t="s">
        <v>2724</v>
      </c>
      <c r="F71" s="6" t="s">
        <v>1007</v>
      </c>
    </row>
    <row r="72" spans="1:6" ht="110.25">
      <c r="A72" s="17">
        <f>ROW()</f>
        <v>72</v>
      </c>
      <c r="B72" s="18" t="s">
        <v>2702</v>
      </c>
      <c r="C72" s="18" t="str">
        <f t="shared" si="3"/>
        <v>Grundprinzipien</v>
      </c>
      <c r="D72" s="19" t="str">
        <f t="shared" si="3"/>
        <v>Grundprinzipien</v>
      </c>
      <c r="E72" s="32" t="s">
        <v>2709</v>
      </c>
      <c r="F72" s="6" t="s">
        <v>1036</v>
      </c>
    </row>
    <row r="73" spans="1:6" ht="315">
      <c r="A73" s="17">
        <f>ROW()</f>
        <v>73</v>
      </c>
      <c r="B73" s="18" t="s">
        <v>2702</v>
      </c>
      <c r="C73" s="19" t="str">
        <f t="shared" si="3"/>
        <v>Anwendungsbereich (in Bezug auf Verstorbene)</v>
      </c>
      <c r="D73" s="19" t="str">
        <f t="shared" si="3"/>
        <v>Anwendungsbereich (in Bezug auf Verstorbene)</v>
      </c>
      <c r="E73" s="32" t="s">
        <v>2725</v>
      </c>
      <c r="F73" s="6" t="s">
        <v>1065</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125</v>
      </c>
    </row>
    <row r="75" spans="1:6" ht="144.75">
      <c r="A75" s="17">
        <f>ROW()</f>
        <v>75</v>
      </c>
      <c r="B75" s="18" t="s">
        <v>2702</v>
      </c>
      <c r="C75" s="19" t="str">
        <f t="shared" si="3"/>
        <v>Berechtigte Personen</v>
      </c>
      <c r="D75" s="19" t="str">
        <f t="shared" si="3"/>
        <v>Berechtigte Personen</v>
      </c>
      <c r="E75" s="32" t="s">
        <v>2730</v>
      </c>
      <c r="F75" s="6" t="s">
        <v>1111</v>
      </c>
    </row>
    <row r="76" spans="1:6" ht="102">
      <c r="A76" s="17">
        <f>ROW()</f>
        <v>76</v>
      </c>
      <c r="B76" s="18" t="s">
        <v>2702</v>
      </c>
      <c r="C76" s="1"/>
      <c r="D76" s="1"/>
      <c r="E76" s="32" t="s">
        <v>2783</v>
      </c>
      <c r="F76" s="6"/>
    </row>
    <row r="77" spans="1:6" ht="189.75">
      <c r="A77" s="17">
        <f>ROW()</f>
        <v>77</v>
      </c>
      <c r="B77" s="18" t="s">
        <v>2702</v>
      </c>
      <c r="C77" s="18" t="s">
        <v>2805</v>
      </c>
      <c r="D77" s="18" t="str">
        <f t="shared" ref="D77:D90" si="4">+E77</f>
        <v>1. Verstorbener Versicherter</v>
      </c>
      <c r="E77" s="33" t="s">
        <v>2806</v>
      </c>
      <c r="F77" s="6" t="s">
        <v>1142</v>
      </c>
    </row>
    <row r="78" spans="1:6" ht="185.25">
      <c r="A78" s="17">
        <f>ROW()</f>
        <v>78</v>
      </c>
      <c r="B78" s="18" t="s">
        <v>2702</v>
      </c>
      <c r="C78" s="18" t="s">
        <v>2805</v>
      </c>
      <c r="D78" s="18" t="str">
        <f t="shared" si="4"/>
        <v>2. Hinterbliebener Ehegatte</v>
      </c>
      <c r="E78" s="33" t="s">
        <v>2807</v>
      </c>
      <c r="F78" s="6" t="s">
        <v>1173</v>
      </c>
    </row>
    <row r="79" spans="1:6" ht="181.5">
      <c r="A79" s="17">
        <f>ROW()</f>
        <v>79</v>
      </c>
      <c r="B79" s="18" t="s">
        <v>2702</v>
      </c>
      <c r="C79" s="18" t="s">
        <v>2805</v>
      </c>
      <c r="D79" s="18" t="str">
        <f t="shared" si="4"/>
        <v>3. Geschiedener Ehegatte</v>
      </c>
      <c r="E79" s="33" t="s">
        <v>2808</v>
      </c>
      <c r="F79" s="6" t="s">
        <v>1202</v>
      </c>
    </row>
    <row r="80" spans="1:6" ht="216">
      <c r="A80" s="17">
        <f>ROW()</f>
        <v>80</v>
      </c>
      <c r="B80" s="18" t="s">
        <v>2702</v>
      </c>
      <c r="C80" s="18" t="s">
        <v>2805</v>
      </c>
      <c r="D80" s="18" t="str">
        <f t="shared" si="4"/>
        <v>4. Hinterbliebene Lebenspartner</v>
      </c>
      <c r="E80" s="33" t="s">
        <v>2809</v>
      </c>
      <c r="F80" s="6" t="s">
        <v>373</v>
      </c>
    </row>
    <row r="81" spans="1:6" ht="181.5">
      <c r="A81" s="17">
        <f>ROW()</f>
        <v>81</v>
      </c>
      <c r="B81" s="18" t="s">
        <v>2702</v>
      </c>
      <c r="C81" s="18" t="s">
        <v>2805</v>
      </c>
      <c r="D81" s="18" t="str">
        <f t="shared" si="4"/>
        <v>5. Kinder</v>
      </c>
      <c r="E81" s="33" t="s">
        <v>2810</v>
      </c>
      <c r="F81" s="6" t="s">
        <v>4828</v>
      </c>
    </row>
    <row r="82" spans="1:6" ht="181.5">
      <c r="A82" s="17">
        <f>ROW()</f>
        <v>82</v>
      </c>
      <c r="B82" s="18" t="s">
        <v>2702</v>
      </c>
      <c r="C82" s="18" t="s">
        <v>2805</v>
      </c>
      <c r="D82" s="18" t="str">
        <f t="shared" si="4"/>
        <v>6. Andere Personen</v>
      </c>
      <c r="E82" s="33" t="s">
        <v>2811</v>
      </c>
      <c r="F82" s="6" t="s">
        <v>1275</v>
      </c>
    </row>
    <row r="83" spans="1:6" ht="409.5">
      <c r="A83" s="17">
        <f>ROW()</f>
        <v>83</v>
      </c>
      <c r="B83" s="18" t="s">
        <v>2702</v>
      </c>
      <c r="C83" s="18" t="s">
        <v>2695</v>
      </c>
      <c r="D83" s="19" t="str">
        <f t="shared" si="4"/>
        <v>1. Hinterbliebener Ehegatte, geschiedener Ehegatte, hinterbliebene Lebenspartner</v>
      </c>
      <c r="E83" s="33" t="s">
        <v>2812</v>
      </c>
      <c r="F83" s="6" t="s">
        <v>4829</v>
      </c>
    </row>
    <row r="84" spans="1:6" ht="280.5">
      <c r="A84" s="17">
        <f>ROW()</f>
        <v>84</v>
      </c>
      <c r="B84" s="18" t="s">
        <v>2702</v>
      </c>
      <c r="C84" s="18" t="s">
        <v>2695</v>
      </c>
      <c r="D84" s="19" t="str">
        <f t="shared" si="4"/>
        <v>2. Hinterbliebener Ehegatte: Wiederheirat</v>
      </c>
      <c r="E84" s="33" t="s">
        <v>2813</v>
      </c>
      <c r="F84" s="6" t="s">
        <v>1331</v>
      </c>
    </row>
    <row r="85" spans="1:6" ht="240">
      <c r="A85" s="17">
        <f>ROW()</f>
        <v>85</v>
      </c>
      <c r="B85" s="18" t="s">
        <v>2702</v>
      </c>
      <c r="C85" s="18" t="s">
        <v>2695</v>
      </c>
      <c r="D85" s="19" t="str">
        <f t="shared" si="4"/>
        <v>3. Kinder</v>
      </c>
      <c r="E85" s="33" t="s">
        <v>2814</v>
      </c>
      <c r="F85" s="6" t="s">
        <v>4830</v>
      </c>
    </row>
    <row r="86" spans="1:6" ht="165">
      <c r="A86" s="17">
        <f>ROW()</f>
        <v>86</v>
      </c>
      <c r="B86" s="18" t="s">
        <v>2702</v>
      </c>
      <c r="C86" s="18" t="s">
        <v>2695</v>
      </c>
      <c r="D86" s="19" t="str">
        <f t="shared" si="4"/>
        <v>4. Andere Berechtigte</v>
      </c>
      <c r="E86" s="33" t="s">
        <v>2815</v>
      </c>
      <c r="F86" s="6" t="s">
        <v>4831</v>
      </c>
    </row>
    <row r="87" spans="1:6" ht="381">
      <c r="A87" s="17">
        <f>ROW()</f>
        <v>87</v>
      </c>
      <c r="B87" s="18" t="s">
        <v>2702</v>
      </c>
      <c r="C87" s="18" t="s">
        <v>2695</v>
      </c>
      <c r="D87" s="19" t="str">
        <f t="shared" si="4"/>
        <v xml:space="preserve"> 5. Höchster zahlbarer Gesamtbetrag für alle Berechtigten</v>
      </c>
      <c r="E87" s="33" t="s">
        <v>2816</v>
      </c>
      <c r="F87" s="6" t="s">
        <v>1403</v>
      </c>
    </row>
    <row r="88" spans="1:6" ht="165">
      <c r="A88" s="17">
        <f>ROW()</f>
        <v>88</v>
      </c>
      <c r="B88" s="18" t="s">
        <v>2702</v>
      </c>
      <c r="C88" s="18" t="s">
        <v>2695</v>
      </c>
      <c r="D88" s="19" t="str">
        <f t="shared" si="4"/>
        <v>6. Sonstige Leistungen</v>
      </c>
      <c r="E88" s="33" t="s">
        <v>2817</v>
      </c>
      <c r="F88" s="6" t="s">
        <v>1432</v>
      </c>
    </row>
    <row r="89" spans="1:6" ht="126.75">
      <c r="A89" s="17">
        <f>ROW()</f>
        <v>89</v>
      </c>
      <c r="B89" s="18" t="s">
        <v>2702</v>
      </c>
      <c r="C89" s="18" t="s">
        <v>2695</v>
      </c>
      <c r="D89" s="19" t="str">
        <f>+E89</f>
        <v>7. Mindestleistung</v>
      </c>
      <c r="E89" s="33" t="s">
        <v>2818</v>
      </c>
      <c r="F89" s="6" t="s">
        <v>1460</v>
      </c>
    </row>
    <row r="90" spans="1:6" ht="122.25">
      <c r="A90" s="17">
        <f>ROW()</f>
        <v>90</v>
      </c>
      <c r="B90" s="18" t="s">
        <v>2702</v>
      </c>
      <c r="C90" s="18" t="s">
        <v>2695</v>
      </c>
      <c r="D90" s="19" t="str">
        <f t="shared" si="4"/>
        <v xml:space="preserve"> 8. Höchstleistung</v>
      </c>
      <c r="E90" s="33" t="s">
        <v>2819</v>
      </c>
      <c r="F90" s="6" t="s">
        <v>1484</v>
      </c>
    </row>
    <row r="91" spans="1:6" ht="179.25">
      <c r="A91" s="17">
        <f>ROW()</f>
        <v>91</v>
      </c>
      <c r="B91" s="18" t="s">
        <v>2702</v>
      </c>
      <c r="C91" s="18" t="s">
        <v>2799</v>
      </c>
      <c r="D91" s="19" t="str">
        <f>+C91</f>
        <v>Indexbindung / Anpassung</v>
      </c>
      <c r="E91" s="32" t="s">
        <v>2799</v>
      </c>
      <c r="F91" s="6" t="s">
        <v>1511</v>
      </c>
    </row>
    <row r="92" spans="1:6" ht="242.25">
      <c r="A92" s="17">
        <f>ROW()</f>
        <v>92</v>
      </c>
      <c r="B92" s="18" t="s">
        <v>2702</v>
      </c>
      <c r="C92" s="18" t="s">
        <v>2799</v>
      </c>
      <c r="D92" s="19" t="str">
        <f t="shared" ref="D92:D105" si="5">+E92</f>
        <v>Kumulation mit Erwerbseinkommen</v>
      </c>
      <c r="E92" s="32" t="s">
        <v>2723</v>
      </c>
      <c r="F92" s="6" t="s">
        <v>4832</v>
      </c>
    </row>
    <row r="93" spans="1:6" ht="275.25">
      <c r="A93" s="17">
        <f>ROW()</f>
        <v>93</v>
      </c>
      <c r="B93" s="18" t="s">
        <v>2702</v>
      </c>
      <c r="C93" s="18" t="s">
        <v>2799</v>
      </c>
      <c r="D93" s="19" t="str">
        <f t="shared" si="5"/>
        <v>Kumulation mit anderen Sozialleistungen</v>
      </c>
      <c r="E93" s="32" t="s">
        <v>2696</v>
      </c>
      <c r="F93" s="6" t="s">
        <v>1572</v>
      </c>
    </row>
    <row r="94" spans="1:6" ht="232.5">
      <c r="A94" s="17">
        <f>ROW()</f>
        <v>94</v>
      </c>
      <c r="B94" s="18" t="s">
        <v>2702</v>
      </c>
      <c r="C94" s="19" t="s">
        <v>2701</v>
      </c>
      <c r="D94" s="19" t="str">
        <f t="shared" si="5"/>
        <v>1. Besteuerung von Geldleistungen</v>
      </c>
      <c r="E94" s="33" t="s">
        <v>2770</v>
      </c>
      <c r="F94" s="6" t="s">
        <v>1594</v>
      </c>
    </row>
    <row r="95" spans="1:6" ht="387">
      <c r="A95" s="17">
        <f>ROW()</f>
        <v>95</v>
      </c>
      <c r="B95" s="18" t="s">
        <v>2702</v>
      </c>
      <c r="C95" s="19" t="s">
        <v>2701</v>
      </c>
      <c r="D95" s="19" t="str">
        <f t="shared" si="5"/>
        <v>2. Einkommensgrenze für Besteuerung von Geldleistungen</v>
      </c>
      <c r="E95" s="33" t="s">
        <v>2772</v>
      </c>
      <c r="F95" s="6" t="s">
        <v>1618</v>
      </c>
    </row>
    <row r="96" spans="1:6" ht="288.75">
      <c r="A96" s="17">
        <f>ROW()</f>
        <v>96</v>
      </c>
      <c r="B96" s="18" t="s">
        <v>2702</v>
      </c>
      <c r="C96" s="19" t="s">
        <v>2701</v>
      </c>
      <c r="D96" s="19" t="str">
        <f t="shared" si="5"/>
        <v>3. Auf Leistungen anfallende Sozialabgaben</v>
      </c>
      <c r="E96" s="33" t="s">
        <v>2773</v>
      </c>
      <c r="F96" s="6" t="s">
        <v>1637</v>
      </c>
    </row>
    <row r="97" spans="1:6" ht="138">
      <c r="A97" s="17">
        <f>ROW()</f>
        <v>97</v>
      </c>
      <c r="B97" s="18" t="s">
        <v>2702</v>
      </c>
      <c r="C97" s="19" t="s">
        <v>2775</v>
      </c>
      <c r="D97" s="19" t="str">
        <f t="shared" si="5"/>
        <v>Anwendungsbereich</v>
      </c>
      <c r="E97" s="33" t="s">
        <v>2708</v>
      </c>
      <c r="F97" s="6" t="s">
        <v>1654</v>
      </c>
    </row>
    <row r="98" spans="1:6" ht="110.25">
      <c r="A98" s="17">
        <f>ROW()</f>
        <v>98</v>
      </c>
      <c r="B98" s="18" t="s">
        <v>2702</v>
      </c>
      <c r="C98" s="19" t="s">
        <v>2775</v>
      </c>
      <c r="D98" s="19" t="str">
        <f t="shared" si="5"/>
        <v>Grundprinzipien</v>
      </c>
      <c r="E98" s="33" t="s">
        <v>2709</v>
      </c>
      <c r="F98" s="6" t="s">
        <v>883</v>
      </c>
    </row>
    <row r="99" spans="1:6" ht="224.25">
      <c r="A99" s="17">
        <f>ROW()</f>
        <v>99</v>
      </c>
      <c r="B99" s="18" t="s">
        <v>2702</v>
      </c>
      <c r="C99" s="19" t="s">
        <v>2775</v>
      </c>
      <c r="D99" s="19" t="str">
        <f t="shared" si="5"/>
        <v>Voraussetzungen für die Deckung</v>
      </c>
      <c r="E99" s="33" t="s">
        <v>2710</v>
      </c>
      <c r="F99" s="6" t="s">
        <v>909</v>
      </c>
    </row>
    <row r="100" spans="1:6" ht="409.5">
      <c r="A100" s="17">
        <f>ROW()</f>
        <v>100</v>
      </c>
      <c r="B100" s="18" t="s">
        <v>2702</v>
      </c>
      <c r="C100" s="19" t="s">
        <v>2775</v>
      </c>
      <c r="D100" s="19" t="str">
        <f t="shared" si="5"/>
        <v>Kombination von selbstständiger und unselbstständiger Tätigkeit</v>
      </c>
      <c r="E100" s="33" t="s">
        <v>2698</v>
      </c>
      <c r="F100" s="6" t="s">
        <v>930</v>
      </c>
    </row>
    <row r="101" spans="1:6" ht="376.5">
      <c r="A101" s="17">
        <f>ROW()</f>
        <v>101</v>
      </c>
      <c r="B101" s="18" t="s">
        <v>2702</v>
      </c>
      <c r="C101" s="19" t="s">
        <v>2775</v>
      </c>
      <c r="D101" s="19" t="str">
        <f t="shared" si="5"/>
        <v xml:space="preserve">Voraussetzungen für den Zugang zu Diensten/Leistungen </v>
      </c>
      <c r="E101" s="33" t="s">
        <v>2699</v>
      </c>
      <c r="F101" s="6" t="s">
        <v>975</v>
      </c>
    </row>
    <row r="102" spans="1:6" ht="253.5">
      <c r="A102" s="17">
        <f>ROW()</f>
        <v>102</v>
      </c>
      <c r="B102" s="18" t="s">
        <v>2702</v>
      </c>
      <c r="C102" s="19" t="s">
        <v>2775</v>
      </c>
      <c r="D102" s="19" t="str">
        <f t="shared" si="5"/>
        <v>Beträge, Dauer und Kostenbeteiligung</v>
      </c>
      <c r="E102" s="33" t="s">
        <v>2700</v>
      </c>
      <c r="F102" s="6" t="s">
        <v>975</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975</v>
      </c>
    </row>
    <row r="105" spans="1:6" ht="272.25">
      <c r="A105" s="17">
        <f>ROW()</f>
        <v>105</v>
      </c>
      <c r="B105" s="18" t="s">
        <v>2702</v>
      </c>
      <c r="C105" s="19" t="s">
        <v>2775</v>
      </c>
      <c r="D105" s="19" t="str">
        <f t="shared" si="5"/>
        <v>Auf Leistungen anfallende Sozialabgaben</v>
      </c>
      <c r="E105" s="33" t="s">
        <v>2683</v>
      </c>
      <c r="F105" s="6" t="s">
        <v>975</v>
      </c>
    </row>
  </sheetData>
  <sheetProtection algorithmName="SHA-512" hashValue="t4rcHj2FZjNIeFWqRdKiXUNvXO8osshJxrZg6TOFzG1HbLzcQ/ISHqqTP2ZkNBjyZxFX6SIe8H8EwjXyrVGlYQ==" saltValue="29mJt6UdzYK3L07lMFTQbA==" spinCount="100000" sheet="1" objects="1" scenarios="1" formatColumns="0" autoFilter="0"/>
  <autoFilter ref="A2:F2" xr:uid="{36A53747-D088-4F16-BE28-A1F640B9F358}"/>
  <pageMargins left="0.7" right="0.7" top="0.78740157499999996" bottom="0.78740157499999996"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2324A-4C85-46B0-B0C6-A982FB91EA3D}">
  <sheetPr codeName="Tabelle23"/>
  <dimension ref="A1:AR105"/>
  <sheetViews>
    <sheetView workbookViewId="0">
      <pane xSplit="5" ySplit="2" topLeftCell="F1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44" width="26.5703125" hidden="1" customWidth="1"/>
    <col min="45" max="16384" width="0.140625" hidden="1"/>
  </cols>
  <sheetData>
    <row r="1" spans="1:6" ht="64.5" customHeight="1">
      <c r="B1" s="139" t="s">
        <v>2726</v>
      </c>
      <c r="C1" s="136" t="s">
        <v>2739</v>
      </c>
      <c r="D1" s="136" t="s">
        <v>2728</v>
      </c>
      <c r="E1" s="128" t="s">
        <v>3506</v>
      </c>
      <c r="F1" s="16" t="s">
        <v>21</v>
      </c>
    </row>
    <row r="2" spans="1:6" ht="39.75" customHeight="1">
      <c r="A2" s="138"/>
      <c r="B2" s="139"/>
      <c r="C2" s="136"/>
      <c r="D2" s="136"/>
      <c r="E2" s="134"/>
      <c r="F2" s="173" t="str" cm="1">
        <f t="array" ref="F2">_xlfn.TEXTJOIN("; ", TRUE, IF(Entscheidungen!A2:A100=F1, Entscheidungen!B2:B100, ""))</f>
        <v>OLG Frankfurt, 10.08.2017 – 3 UF 401/11</v>
      </c>
    </row>
    <row r="3" spans="1:6" ht="195">
      <c r="A3" s="17">
        <f>ROW()</f>
        <v>3</v>
      </c>
      <c r="B3" s="18" t="s">
        <v>2740</v>
      </c>
      <c r="C3" s="18"/>
      <c r="D3" s="18" t="str">
        <f>+E3</f>
        <v>Geltende Rechtsgrundlage</v>
      </c>
      <c r="E3" s="31" t="s">
        <v>2724</v>
      </c>
      <c r="F3" s="6" t="s">
        <v>3031</v>
      </c>
    </row>
    <row r="4" spans="1:6" ht="135">
      <c r="A4" s="17">
        <f>ROW()</f>
        <v>4</v>
      </c>
      <c r="B4" s="18" t="s">
        <v>2740</v>
      </c>
      <c r="C4" s="1"/>
      <c r="D4" s="18" t="str">
        <f t="shared" ref="D4:D34" si="0">+E4</f>
        <v>Grundprinzipien</v>
      </c>
      <c r="E4" s="32" t="s">
        <v>2709</v>
      </c>
      <c r="F4" s="6" t="s">
        <v>3032</v>
      </c>
    </row>
    <row r="5" spans="1:6" ht="188.25">
      <c r="A5" s="17">
        <f>ROW()</f>
        <v>5</v>
      </c>
      <c r="B5" s="18" t="s">
        <v>2740</v>
      </c>
      <c r="C5" s="1"/>
      <c r="D5" s="18" t="str">
        <f t="shared" si="0"/>
        <v>Gedecktes Risiko: Definition</v>
      </c>
      <c r="E5" s="32" t="s">
        <v>2891</v>
      </c>
      <c r="F5" s="6" t="s">
        <v>3033</v>
      </c>
    </row>
    <row r="6" spans="1:6" ht="270">
      <c r="A6" s="17">
        <f>ROW()</f>
        <v>6</v>
      </c>
      <c r="B6" s="18" t="s">
        <v>2740</v>
      </c>
      <c r="C6" s="18" t="s">
        <v>2653</v>
      </c>
      <c r="D6" s="18" t="str">
        <f t="shared" si="0"/>
        <v>Versicherte Personen</v>
      </c>
      <c r="E6" s="33" t="s">
        <v>2653</v>
      </c>
      <c r="F6" s="6" t="s">
        <v>4833</v>
      </c>
    </row>
    <row r="7" spans="1:6" ht="273">
      <c r="A7" s="17">
        <f>ROW()</f>
        <v>7</v>
      </c>
      <c r="B7" s="18" t="s">
        <v>2740</v>
      </c>
      <c r="C7" s="18" t="str">
        <f>+E6</f>
        <v>Versicherte Personen</v>
      </c>
      <c r="D7" s="18" t="str">
        <f t="shared" si="0"/>
        <v>Ausnahmen von der Versicherungspflicht</v>
      </c>
      <c r="E7" s="33" t="s">
        <v>2685</v>
      </c>
      <c r="F7" s="6" t="s">
        <v>125</v>
      </c>
    </row>
    <row r="8" spans="1:6" ht="194.25">
      <c r="A8" s="17">
        <f>ROW()</f>
        <v>8</v>
      </c>
      <c r="B8" s="18" t="s">
        <v>2740</v>
      </c>
      <c r="C8" s="19" t="s">
        <v>149</v>
      </c>
      <c r="D8" s="18" t="str">
        <f t="shared" si="0"/>
        <v>1. Anwartschaftszeit</v>
      </c>
      <c r="E8" s="33" t="s">
        <v>2744</v>
      </c>
      <c r="F8" s="6" t="s">
        <v>3034</v>
      </c>
    </row>
    <row r="9" spans="1:6" ht="409.5">
      <c r="A9" s="17">
        <f>ROW()</f>
        <v>9</v>
      </c>
      <c r="B9" s="18" t="s">
        <v>2740</v>
      </c>
      <c r="C9" s="19" t="s">
        <v>149</v>
      </c>
      <c r="D9" s="18" t="str">
        <f t="shared" si="0"/>
        <v xml:space="preserve">2. Begutachtungskriterien und Kategorien der Arbeitsunfähigkeit/Arbeitsfähigkeit  </v>
      </c>
      <c r="E9" s="33" t="s">
        <v>2745</v>
      </c>
      <c r="F9" s="6" t="s">
        <v>3035</v>
      </c>
    </row>
    <row r="10" spans="1:6" ht="222">
      <c r="A10" s="17">
        <f>ROW()</f>
        <v>10</v>
      </c>
      <c r="B10" s="18" t="s">
        <v>2740</v>
      </c>
      <c r="C10" s="19" t="s">
        <v>149</v>
      </c>
      <c r="D10" s="18" t="str">
        <f t="shared" si="0"/>
        <v>3. Zeitraum der Leistungszahlung</v>
      </c>
      <c r="E10" s="33" t="s">
        <v>2747</v>
      </c>
      <c r="F10" s="6" t="s">
        <v>3036</v>
      </c>
    </row>
    <row r="11" spans="1:6" ht="240">
      <c r="A11" s="17">
        <f>ROW()</f>
        <v>11</v>
      </c>
      <c r="B11" s="18" t="s">
        <v>2740</v>
      </c>
      <c r="C11" s="19" t="s">
        <v>2749</v>
      </c>
      <c r="D11" s="18" t="str">
        <f t="shared" si="0"/>
        <v>1. Gutachter</v>
      </c>
      <c r="E11" s="33" t="s">
        <v>2750</v>
      </c>
      <c r="F11" s="6" t="s">
        <v>3037</v>
      </c>
    </row>
    <row r="12" spans="1:6" ht="111.75">
      <c r="A12" s="17">
        <f>ROW()</f>
        <v>12</v>
      </c>
      <c r="B12" s="18" t="s">
        <v>2740</v>
      </c>
      <c r="C12" s="19" t="s">
        <v>2749</v>
      </c>
      <c r="D12" s="18" t="str">
        <f t="shared" si="0"/>
        <v xml:space="preserve">2. Überprüfung  </v>
      </c>
      <c r="E12" s="33" t="s">
        <v>2751</v>
      </c>
      <c r="F12" s="6" t="s">
        <v>3038</v>
      </c>
    </row>
    <row r="13" spans="1:6" ht="300">
      <c r="A13" s="17">
        <f>ROW()</f>
        <v>13</v>
      </c>
      <c r="B13" s="18" t="s">
        <v>2740</v>
      </c>
      <c r="C13" s="18" t="s">
        <v>2695</v>
      </c>
      <c r="D13" s="18" t="str">
        <f t="shared" si="0"/>
        <v>1. Berechnungsmethode bzw. Rentenformel</v>
      </c>
      <c r="E13" s="33" t="s">
        <v>2753</v>
      </c>
      <c r="F13" s="6" t="s">
        <v>4834</v>
      </c>
    </row>
    <row r="14" spans="1:6" ht="343.5">
      <c r="A14" s="17">
        <f>ROW()</f>
        <v>14</v>
      </c>
      <c r="B14" s="18" t="s">
        <v>2740</v>
      </c>
      <c r="C14" s="18" t="s">
        <v>2695</v>
      </c>
      <c r="D14" s="18" t="str">
        <f t="shared" si="0"/>
        <v>2. Referenzeinkommen bzw. Berechnungsgrundlage</v>
      </c>
      <c r="E14" s="33" t="s">
        <v>2754</v>
      </c>
      <c r="F14" s="6" t="s">
        <v>3039</v>
      </c>
    </row>
    <row r="15" spans="1:6" ht="226.5">
      <c r="A15" s="17">
        <f>ROW()</f>
        <v>15</v>
      </c>
      <c r="B15" s="18" t="s">
        <v>2740</v>
      </c>
      <c r="C15" s="18" t="s">
        <v>2695</v>
      </c>
      <c r="D15" s="18" t="str">
        <f t="shared" si="0"/>
        <v>3. Mindest- und Höchstleistungen</v>
      </c>
      <c r="E15" s="33" t="s">
        <v>2756</v>
      </c>
      <c r="F15" s="6" t="s">
        <v>4835</v>
      </c>
    </row>
    <row r="16" spans="1:6" ht="405">
      <c r="A16" s="17">
        <f>ROW()</f>
        <v>16</v>
      </c>
      <c r="B16" s="18" t="s">
        <v>2740</v>
      </c>
      <c r="C16" s="18" t="s">
        <v>2695</v>
      </c>
      <c r="D16" s="18" t="str">
        <f t="shared" si="0"/>
        <v>4. Anrechenbare oder als Beitragszeiten gewertete Zeiträume</v>
      </c>
      <c r="E16" s="33" t="s">
        <v>2757</v>
      </c>
      <c r="F16" s="6" t="s">
        <v>3040</v>
      </c>
    </row>
    <row r="17" spans="1:6" ht="250.5">
      <c r="A17" s="17">
        <f>ROW()</f>
        <v>17</v>
      </c>
      <c r="B17" s="18" t="s">
        <v>2740</v>
      </c>
      <c r="C17" s="18" t="s">
        <v>2695</v>
      </c>
      <c r="D17" s="18" t="str">
        <f t="shared" si="0"/>
        <v xml:space="preserve">5. Zulagen für Unterhaltsberechtigte  </v>
      </c>
      <c r="E17" s="33" t="s">
        <v>2759</v>
      </c>
      <c r="F17" s="6" t="s">
        <v>3041</v>
      </c>
    </row>
    <row r="18" spans="1:6" ht="165">
      <c r="A18" s="17">
        <f>ROW()</f>
        <v>18</v>
      </c>
      <c r="B18" s="18" t="s">
        <v>2740</v>
      </c>
      <c r="C18" s="18" t="str">
        <f>+E18</f>
        <v>Sonstige Leistungen</v>
      </c>
      <c r="D18" s="18" t="str">
        <f>+E18</f>
        <v>Sonstige Leistungen</v>
      </c>
      <c r="E18" s="32" t="s">
        <v>2678</v>
      </c>
      <c r="F18" s="6" t="s">
        <v>3042</v>
      </c>
    </row>
    <row r="19" spans="1:6" ht="300.75">
      <c r="A19" s="17">
        <f>ROW()</f>
        <v>19</v>
      </c>
      <c r="B19" s="18" t="s">
        <v>2740</v>
      </c>
      <c r="C19" s="18" t="s">
        <v>2761</v>
      </c>
      <c r="D19" s="18" t="str">
        <f t="shared" si="0"/>
        <v>Umschulung, berufsbezogene Rehabilitation</v>
      </c>
      <c r="E19" s="33" t="s">
        <v>2762</v>
      </c>
      <c r="F19" s="6" t="s">
        <v>3043</v>
      </c>
    </row>
    <row r="20" spans="1:6" ht="409.5">
      <c r="A20" s="17">
        <f>ROW()</f>
        <v>20</v>
      </c>
      <c r="B20" s="18" t="s">
        <v>2740</v>
      </c>
      <c r="C20" s="18" t="s">
        <v>2761</v>
      </c>
      <c r="D20" s="18" t="str">
        <f t="shared" si="0"/>
        <v xml:space="preserve">Bevorzugte und reservierte Beschäftigung von Menschen mit Behinderungen  </v>
      </c>
      <c r="E20" s="33" t="s">
        <v>2763</v>
      </c>
      <c r="F20" s="6" t="s">
        <v>3044</v>
      </c>
    </row>
    <row r="21" spans="1:6" ht="171.75">
      <c r="A21" s="17">
        <f>ROW()</f>
        <v>21</v>
      </c>
      <c r="B21" s="18" t="s">
        <v>2740</v>
      </c>
      <c r="C21" s="18" t="s">
        <v>2765</v>
      </c>
      <c r="D21" s="18" t="str">
        <f t="shared" si="0"/>
        <v>Indexbindung/Anpassung</v>
      </c>
      <c r="E21" s="32" t="s">
        <v>2766</v>
      </c>
      <c r="F21" s="6" t="s">
        <v>3045</v>
      </c>
    </row>
    <row r="22" spans="1:6" ht="242.25">
      <c r="A22" s="17">
        <f>ROW()</f>
        <v>22</v>
      </c>
      <c r="B22" s="18" t="s">
        <v>2740</v>
      </c>
      <c r="C22" s="18" t="s">
        <v>2765</v>
      </c>
      <c r="D22" s="18" t="str">
        <f>+E22</f>
        <v>Kumulation mit Erwerbseinkommen</v>
      </c>
      <c r="E22" s="32" t="s">
        <v>2723</v>
      </c>
      <c r="F22" s="6" t="s">
        <v>4836</v>
      </c>
    </row>
    <row r="23" spans="1:6" ht="275.25">
      <c r="A23" s="17">
        <f>ROW()</f>
        <v>23</v>
      </c>
      <c r="B23" s="18" t="s">
        <v>2740</v>
      </c>
      <c r="C23" s="18" t="s">
        <v>2765</v>
      </c>
      <c r="D23" s="18" t="str">
        <f t="shared" si="0"/>
        <v>Kumulation mit anderen Sozialleistungen</v>
      </c>
      <c r="E23" s="32" t="s">
        <v>2696</v>
      </c>
      <c r="F23" s="6" t="s">
        <v>3046</v>
      </c>
    </row>
    <row r="24" spans="1:6" ht="232.5">
      <c r="A24" s="17">
        <f>ROW()</f>
        <v>24</v>
      </c>
      <c r="B24" s="18" t="s">
        <v>2740</v>
      </c>
      <c r="C24" s="18" t="s">
        <v>2701</v>
      </c>
      <c r="D24" s="18" t="str">
        <f t="shared" si="0"/>
        <v>1. Besteuerung von Geldleistungen</v>
      </c>
      <c r="E24" s="33" t="s">
        <v>2770</v>
      </c>
      <c r="F24" s="6" t="s">
        <v>3047</v>
      </c>
    </row>
    <row r="25" spans="1:6" ht="387">
      <c r="A25" s="17">
        <f>ROW()</f>
        <v>25</v>
      </c>
      <c r="B25" s="18" t="s">
        <v>2740</v>
      </c>
      <c r="C25" s="18" t="s">
        <v>2701</v>
      </c>
      <c r="D25" s="18" t="str">
        <f t="shared" si="0"/>
        <v>2. Einkommensgrenze für Besteuerung von Geldleistungen</v>
      </c>
      <c r="E25" s="33" t="s">
        <v>2772</v>
      </c>
      <c r="F25" s="6" t="s">
        <v>3048</v>
      </c>
    </row>
    <row r="26" spans="1:6" ht="288.75">
      <c r="A26" s="17">
        <f>ROW()</f>
        <v>26</v>
      </c>
      <c r="B26" s="18" t="s">
        <v>2740</v>
      </c>
      <c r="C26" s="18" t="s">
        <v>2701</v>
      </c>
      <c r="D26" s="18" t="str">
        <f t="shared" si="0"/>
        <v>3. Auf Leistungen anfallende Sozialabgaben</v>
      </c>
      <c r="E26" s="33" t="s">
        <v>2773</v>
      </c>
      <c r="F26" s="6" t="s">
        <v>3049</v>
      </c>
    </row>
    <row r="27" spans="1:6" ht="138">
      <c r="A27" s="17">
        <f>ROW()</f>
        <v>27</v>
      </c>
      <c r="B27" s="18" t="s">
        <v>2740</v>
      </c>
      <c r="C27" s="18" t="s">
        <v>2775</v>
      </c>
      <c r="D27" s="18" t="str">
        <f t="shared" si="0"/>
        <v>Anwendungsbereich</v>
      </c>
      <c r="E27" s="33" t="s">
        <v>2708</v>
      </c>
      <c r="F27" s="6" t="s">
        <v>858</v>
      </c>
    </row>
    <row r="28" spans="1:6" ht="110.25">
      <c r="A28" s="17">
        <f>ROW()</f>
        <v>28</v>
      </c>
      <c r="B28" s="18" t="s">
        <v>2740</v>
      </c>
      <c r="C28" s="18" t="s">
        <v>2775</v>
      </c>
      <c r="D28" s="18" t="str">
        <f t="shared" si="0"/>
        <v>Grundprinzipien</v>
      </c>
      <c r="E28" s="33" t="s">
        <v>2709</v>
      </c>
      <c r="F28" s="6" t="s">
        <v>884</v>
      </c>
    </row>
    <row r="29" spans="1:6" ht="224.25">
      <c r="A29" s="17">
        <f>ROW()</f>
        <v>29</v>
      </c>
      <c r="B29" s="18" t="s">
        <v>2740</v>
      </c>
      <c r="C29" s="18" t="s">
        <v>2775</v>
      </c>
      <c r="D29" s="18" t="str">
        <f t="shared" si="0"/>
        <v>Voraussetzungen für die Deckung</v>
      </c>
      <c r="E29" s="33" t="s">
        <v>2710</v>
      </c>
      <c r="F29" s="6" t="s">
        <v>910</v>
      </c>
    </row>
    <row r="30" spans="1:6" ht="409.5">
      <c r="A30" s="17">
        <f>ROW()</f>
        <v>30</v>
      </c>
      <c r="B30" s="18" t="s">
        <v>2740</v>
      </c>
      <c r="C30" s="18" t="s">
        <v>2775</v>
      </c>
      <c r="D30" s="19" t="str">
        <f t="shared" si="0"/>
        <v>Kombination von selbstständiger und unselbstständiger Tätigkeit</v>
      </c>
      <c r="E30" s="33" t="s">
        <v>2698</v>
      </c>
      <c r="F30" s="6" t="s">
        <v>3050</v>
      </c>
    </row>
    <row r="31" spans="1:6" ht="376.5">
      <c r="A31" s="17">
        <f>ROW()</f>
        <v>31</v>
      </c>
      <c r="B31" s="18" t="s">
        <v>2740</v>
      </c>
      <c r="C31" s="18" t="s">
        <v>2695</v>
      </c>
      <c r="D31" s="19" t="str">
        <f t="shared" si="0"/>
        <v xml:space="preserve">Voraussetzungen für den Zugang zu Diensten/Leistungen </v>
      </c>
      <c r="E31" s="33" t="s">
        <v>2699</v>
      </c>
      <c r="F31" s="6" t="s">
        <v>917</v>
      </c>
    </row>
    <row r="32" spans="1:6" ht="253.5">
      <c r="A32" s="17">
        <f>ROW()</f>
        <v>32</v>
      </c>
      <c r="B32" s="18" t="s">
        <v>2740</v>
      </c>
      <c r="C32" s="18" t="s">
        <v>2695</v>
      </c>
      <c r="D32" s="18" t="str">
        <f t="shared" si="0"/>
        <v>Beträge, Dauer und Kostenbeteiligung</v>
      </c>
      <c r="E32" s="33" t="s">
        <v>2700</v>
      </c>
      <c r="F32" s="6" t="s">
        <v>917</v>
      </c>
    </row>
    <row r="33" spans="1:6" ht="216">
      <c r="A33" s="17">
        <f>ROW()</f>
        <v>33</v>
      </c>
      <c r="B33" s="18" t="s">
        <v>2740</v>
      </c>
      <c r="C33" s="18" t="s">
        <v>2695</v>
      </c>
      <c r="D33" s="18" t="str">
        <f t="shared" si="0"/>
        <v>Besteuerung von Geldleistungen</v>
      </c>
      <c r="E33" s="33" t="s">
        <v>2681</v>
      </c>
      <c r="F33" s="6" t="s">
        <v>3051</v>
      </c>
    </row>
    <row r="34" spans="1:6" ht="276.75">
      <c r="A34" s="17">
        <f>ROW()</f>
        <v>34</v>
      </c>
      <c r="B34" s="18" t="s">
        <v>2740</v>
      </c>
      <c r="C34" s="18" t="s">
        <v>2695</v>
      </c>
      <c r="D34" s="18" t="str">
        <f t="shared" si="0"/>
        <v xml:space="preserve"> Auf Leistungen anfallende Sozialabgaben</v>
      </c>
      <c r="E34" s="33" t="s">
        <v>2779</v>
      </c>
      <c r="F34" s="6" t="s">
        <v>3052</v>
      </c>
    </row>
    <row r="35" spans="1:6" ht="177">
      <c r="A35" s="17">
        <f>ROW()</f>
        <v>35</v>
      </c>
      <c r="B35" s="18" t="s">
        <v>2780</v>
      </c>
      <c r="C35" s="18" t="str">
        <f>+D35</f>
        <v>Geltende Rechtsgrundlage</v>
      </c>
      <c r="D35" s="18" t="str">
        <f>+E35</f>
        <v>Geltende Rechtsgrundlage</v>
      </c>
      <c r="E35" s="32" t="s">
        <v>2724</v>
      </c>
      <c r="F35" s="6" t="s">
        <v>52</v>
      </c>
    </row>
    <row r="36" spans="1:6" ht="255">
      <c r="A36" s="17">
        <f>ROW()</f>
        <v>36</v>
      </c>
      <c r="B36" s="18" t="s">
        <v>2780</v>
      </c>
      <c r="C36" s="18" t="str">
        <f>+D36</f>
        <v>Grundprinzipien</v>
      </c>
      <c r="D36" s="18" t="str">
        <f>+E36</f>
        <v>Grundprinzipien</v>
      </c>
      <c r="E36" s="32" t="s">
        <v>2709</v>
      </c>
      <c r="F36" s="6" t="s">
        <v>83</v>
      </c>
    </row>
    <row r="37" spans="1:6" ht="270">
      <c r="A37" s="17">
        <f>ROW()</f>
        <v>37</v>
      </c>
      <c r="B37" s="18" t="s">
        <v>2780</v>
      </c>
      <c r="C37" s="18" t="s">
        <v>2708</v>
      </c>
      <c r="D37" s="18" t="str">
        <f>+E37</f>
        <v>1. Versicherte Personen</v>
      </c>
      <c r="E37" s="33" t="s">
        <v>2781</v>
      </c>
      <c r="F37" s="6" t="s">
        <v>115</v>
      </c>
    </row>
    <row r="38" spans="1:6" ht="371.25">
      <c r="A38" s="17">
        <f>ROW()</f>
        <v>38</v>
      </c>
      <c r="B38" s="18" t="s">
        <v>2780</v>
      </c>
      <c r="C38" s="18" t="s">
        <v>2708</v>
      </c>
      <c r="D38" s="18" t="str">
        <f t="shared" ref="D38:D58" si="1">+E38</f>
        <v>2. Ausnahmen von der Deckung  der Pflichtversicherung</v>
      </c>
      <c r="E38" s="33" t="s">
        <v>2782</v>
      </c>
      <c r="F38" s="6" t="s">
        <v>125</v>
      </c>
    </row>
    <row r="39" spans="1:6" ht="194.25">
      <c r="A39" s="17">
        <f>ROW()</f>
        <v>39</v>
      </c>
      <c r="B39" s="18" t="s">
        <v>2780</v>
      </c>
      <c r="C39" s="18" t="s">
        <v>149</v>
      </c>
      <c r="D39" s="18" t="str">
        <f t="shared" si="1"/>
        <v>1. Rentenalter</v>
      </c>
      <c r="E39" s="33" t="s">
        <v>2784</v>
      </c>
      <c r="F39" s="6" t="s">
        <v>171</v>
      </c>
    </row>
    <row r="40" spans="1:6" ht="409.5">
      <c r="A40" s="17">
        <f>ROW()</f>
        <v>40</v>
      </c>
      <c r="B40" s="18" t="s">
        <v>2780</v>
      </c>
      <c r="C40" s="18" t="s">
        <v>149</v>
      </c>
      <c r="D40" s="18" t="str">
        <f t="shared" si="1"/>
        <v>2. Anwartschaftszeit und sonstige Anspruchsvoraussetzungen für den Bezug einer Altersrente</v>
      </c>
      <c r="E40" s="33" t="s">
        <v>2785</v>
      </c>
      <c r="F40" s="6" t="s">
        <v>202</v>
      </c>
    </row>
    <row r="41" spans="1:6" ht="270">
      <c r="A41" s="17">
        <f>ROW()</f>
        <v>41</v>
      </c>
      <c r="B41" s="18" t="s">
        <v>2780</v>
      </c>
      <c r="C41" s="18" t="s">
        <v>149</v>
      </c>
      <c r="D41" s="18" t="str">
        <f t="shared" si="1"/>
        <v>3. Vorruhestand</v>
      </c>
      <c r="E41" s="33" t="s">
        <v>2786</v>
      </c>
      <c r="F41" s="6" t="s">
        <v>4837</v>
      </c>
    </row>
    <row r="42" spans="1:6" ht="264">
      <c r="A42" s="17">
        <f>ROW()</f>
        <v>42</v>
      </c>
      <c r="B42" s="18" t="s">
        <v>2780</v>
      </c>
      <c r="C42" s="18" t="s">
        <v>149</v>
      </c>
      <c r="D42" s="18" t="str">
        <f t="shared" si="1"/>
        <v>4. Beschwerliche und gefährliche Arbeit</v>
      </c>
      <c r="E42" s="33" t="s">
        <v>2787</v>
      </c>
      <c r="F42" s="6" t="s">
        <v>263</v>
      </c>
    </row>
    <row r="43" spans="1:6" ht="194.25">
      <c r="A43" s="17">
        <f>ROW()</f>
        <v>43</v>
      </c>
      <c r="B43" s="18" t="s">
        <v>2780</v>
      </c>
      <c r="C43" s="18" t="s">
        <v>149</v>
      </c>
      <c r="D43" s="18" t="str">
        <f t="shared" si="1"/>
        <v>5. Rentenaufschub</v>
      </c>
      <c r="E43" s="33" t="s">
        <v>2788</v>
      </c>
      <c r="F43" s="6" t="s">
        <v>273</v>
      </c>
    </row>
    <row r="44" spans="1:6" ht="174">
      <c r="A44" s="17">
        <f>ROW()</f>
        <v>44</v>
      </c>
      <c r="B44" s="18" t="s">
        <v>2780</v>
      </c>
      <c r="C44" s="18" t="s">
        <v>2695</v>
      </c>
      <c r="D44" s="18" t="str">
        <f t="shared" si="1"/>
        <v>1. Bestimmende Faktoren</v>
      </c>
      <c r="E44" s="33" t="s">
        <v>2789</v>
      </c>
      <c r="F44" s="6" t="s">
        <v>4838</v>
      </c>
    </row>
    <row r="45" spans="1:6" ht="349.5">
      <c r="A45" s="17">
        <f>ROW()</f>
        <v>45</v>
      </c>
      <c r="B45" s="18" t="s">
        <v>2780</v>
      </c>
      <c r="C45" s="18" t="s">
        <v>2695</v>
      </c>
      <c r="D45" s="18" t="str">
        <f t="shared" si="1"/>
        <v>2. Berechnungsmethode, Rentenformel bzw. Beträge</v>
      </c>
      <c r="E45" s="33" t="s">
        <v>2790</v>
      </c>
      <c r="F45" s="6" t="s">
        <v>4839</v>
      </c>
    </row>
    <row r="46" spans="1:6" ht="343.5">
      <c r="A46" s="17">
        <f>ROW()</f>
        <v>46</v>
      </c>
      <c r="B46" s="18" t="s">
        <v>2780</v>
      </c>
      <c r="C46" s="18" t="s">
        <v>2695</v>
      </c>
      <c r="D46" s="18" t="str">
        <f t="shared" si="1"/>
        <v>3. Referenzeinkommen bzw. Berechnungsgrundlage</v>
      </c>
      <c r="E46" s="33" t="s">
        <v>2791</v>
      </c>
      <c r="F46" s="6" t="s">
        <v>380</v>
      </c>
    </row>
    <row r="47" spans="1:6" ht="405">
      <c r="A47" s="17">
        <f>ROW()</f>
        <v>47</v>
      </c>
      <c r="B47" s="18" t="s">
        <v>2780</v>
      </c>
      <c r="C47" s="18" t="s">
        <v>2695</v>
      </c>
      <c r="D47" s="18" t="str">
        <f t="shared" si="1"/>
        <v>4. Anrechenbare oder als Beitragszeiten gewertete Zeiträume</v>
      </c>
      <c r="E47" s="33" t="s">
        <v>2757</v>
      </c>
      <c r="F47" s="6" t="s">
        <v>410</v>
      </c>
    </row>
    <row r="48" spans="1:6" ht="243.75">
      <c r="A48" s="17">
        <f>ROW()</f>
        <v>48</v>
      </c>
      <c r="B48" s="18" t="s">
        <v>2780</v>
      </c>
      <c r="C48" s="18" t="s">
        <v>2695</v>
      </c>
      <c r="D48" s="18" t="str">
        <f t="shared" si="1"/>
        <v>5. Rückkauf von Versicherungszeiten</v>
      </c>
      <c r="E48" s="33" t="s">
        <v>2792</v>
      </c>
      <c r="F48" s="6" t="s">
        <v>439</v>
      </c>
    </row>
    <row r="49" spans="1:6" ht="246">
      <c r="A49" s="17">
        <f>ROW()</f>
        <v>49</v>
      </c>
      <c r="B49" s="18" t="s">
        <v>2780</v>
      </c>
      <c r="C49" s="18" t="s">
        <v>2695</v>
      </c>
      <c r="D49" s="18" t="str">
        <f t="shared" si="1"/>
        <v>6.  Zulagen für Unterhaltsberechtigte</v>
      </c>
      <c r="E49" s="33" t="s">
        <v>2892</v>
      </c>
      <c r="F49" s="6" t="s">
        <v>464</v>
      </c>
    </row>
    <row r="50" spans="1:6" ht="255">
      <c r="A50" s="17">
        <f>ROW()</f>
        <v>50</v>
      </c>
      <c r="B50" s="18" t="s">
        <v>2780</v>
      </c>
      <c r="C50" s="18" t="s">
        <v>2695</v>
      </c>
      <c r="D50" s="18" t="str">
        <f t="shared" si="1"/>
        <v>7. Besondere Zulagen</v>
      </c>
      <c r="E50" s="33" t="s">
        <v>2793</v>
      </c>
      <c r="F50" s="6" t="s">
        <v>4840</v>
      </c>
    </row>
    <row r="51" spans="1:6" ht="360.75">
      <c r="A51" s="17">
        <f>ROW()</f>
        <v>51</v>
      </c>
      <c r="B51" s="18" t="s">
        <v>2780</v>
      </c>
      <c r="C51" s="18" t="s">
        <v>2695</v>
      </c>
      <c r="D51" s="18" t="str">
        <f t="shared" si="1"/>
        <v>8. Mindestrente und bedürftigkeitsabhängige Leistung</v>
      </c>
      <c r="E51" s="33" t="s">
        <v>2794</v>
      </c>
      <c r="F51" s="6" t="s">
        <v>4841</v>
      </c>
    </row>
    <row r="52" spans="1:6" ht="101.25">
      <c r="A52" s="17">
        <f>ROW()</f>
        <v>52</v>
      </c>
      <c r="B52" s="18" t="s">
        <v>2780</v>
      </c>
      <c r="C52" s="18" t="s">
        <v>2695</v>
      </c>
      <c r="D52" s="18" t="str">
        <f t="shared" si="1"/>
        <v>9. Höchstrente</v>
      </c>
      <c r="E52" s="33" t="s">
        <v>2795</v>
      </c>
      <c r="F52" s="6" t="s">
        <v>532</v>
      </c>
    </row>
    <row r="53" spans="1:6" ht="225">
      <c r="A53" s="17">
        <f>ROW()</f>
        <v>53</v>
      </c>
      <c r="B53" s="18" t="s">
        <v>2780</v>
      </c>
      <c r="C53" s="18" t="s">
        <v>2695</v>
      </c>
      <c r="D53" s="18" t="str">
        <f t="shared" si="1"/>
        <v>10. Vorruhestand</v>
      </c>
      <c r="E53" s="33" t="s">
        <v>2796</v>
      </c>
      <c r="F53" s="6" t="s">
        <v>4842</v>
      </c>
    </row>
    <row r="54" spans="1:6" ht="272.25">
      <c r="A54" s="17">
        <f>ROW()</f>
        <v>54</v>
      </c>
      <c r="B54" s="18" t="s">
        <v>2780</v>
      </c>
      <c r="C54" s="18" t="s">
        <v>2695</v>
      </c>
      <c r="D54" s="18" t="str">
        <f t="shared" si="1"/>
        <v>11. Beschwerliche und gefährliche Arbeit</v>
      </c>
      <c r="E54" s="33" t="s">
        <v>2797</v>
      </c>
      <c r="F54" s="6" t="s">
        <v>602</v>
      </c>
    </row>
    <row r="55" spans="1:6" ht="87.75">
      <c r="A55" s="17">
        <f>ROW()</f>
        <v>55</v>
      </c>
      <c r="B55" s="18" t="s">
        <v>2780</v>
      </c>
      <c r="C55" s="18" t="s">
        <v>2695</v>
      </c>
      <c r="D55" s="18" t="str">
        <f t="shared" si="1"/>
        <v>12. Teilrente</v>
      </c>
      <c r="E55" s="33" t="s">
        <v>2798</v>
      </c>
      <c r="F55" s="6" t="s">
        <v>629</v>
      </c>
    </row>
    <row r="56" spans="1:6" ht="171.75">
      <c r="A56" s="17">
        <f>ROW()</f>
        <v>56</v>
      </c>
      <c r="B56" s="18" t="s">
        <v>2780</v>
      </c>
      <c r="C56" s="18" t="s">
        <v>2695</v>
      </c>
      <c r="D56" s="18" t="str">
        <f t="shared" si="1"/>
        <v>13. Aufgeschobene Rente</v>
      </c>
      <c r="E56" s="33" t="s">
        <v>2893</v>
      </c>
      <c r="F56" s="6" t="s">
        <v>658</v>
      </c>
    </row>
    <row r="57" spans="1:6" ht="179.25">
      <c r="A57" s="17">
        <f>ROW()</f>
        <v>57</v>
      </c>
      <c r="B57" s="18" t="s">
        <v>2780</v>
      </c>
      <c r="C57" s="18" t="s">
        <v>2799</v>
      </c>
      <c r="D57" s="18" t="s">
        <v>2799</v>
      </c>
      <c r="E57" s="32" t="s">
        <v>2799</v>
      </c>
      <c r="F57" s="6" t="s">
        <v>689</v>
      </c>
    </row>
    <row r="58" spans="1:6" ht="246">
      <c r="A58" s="17">
        <f>ROW()</f>
        <v>58</v>
      </c>
      <c r="B58" s="18" t="s">
        <v>2780</v>
      </c>
      <c r="C58" s="18" t="s">
        <v>2799</v>
      </c>
      <c r="D58" s="18" t="str">
        <f t="shared" si="1"/>
        <v xml:space="preserve">Kumulation mit Erwerbseinkommen </v>
      </c>
      <c r="E58" s="32" t="s">
        <v>2697</v>
      </c>
      <c r="F58" s="6" t="s">
        <v>720</v>
      </c>
    </row>
    <row r="59" spans="1:6" ht="286.5">
      <c r="A59" s="17">
        <f>ROW()</f>
        <v>59</v>
      </c>
      <c r="B59" s="18" t="s">
        <v>2780</v>
      </c>
      <c r="C59" s="18" t="s">
        <v>2799</v>
      </c>
      <c r="D59" s="18" t="s">
        <v>2800</v>
      </c>
      <c r="E59" s="32" t="s">
        <v>2696</v>
      </c>
      <c r="F59" s="6" t="s">
        <v>751</v>
      </c>
    </row>
    <row r="60" spans="1:6" ht="225.75">
      <c r="A60" s="17">
        <f>ROW()</f>
        <v>60</v>
      </c>
      <c r="B60" s="18" t="s">
        <v>2780</v>
      </c>
      <c r="C60" s="18" t="s">
        <v>761</v>
      </c>
      <c r="D60" s="18" t="str">
        <f t="shared" ref="D60:D70" si="2">+E60</f>
        <v>1. Besteuerung von Renten</v>
      </c>
      <c r="E60" s="33" t="s">
        <v>2801</v>
      </c>
      <c r="F60" s="6" t="s">
        <v>779</v>
      </c>
    </row>
    <row r="61" spans="1:6" ht="335.25">
      <c r="A61" s="17">
        <f>ROW()</f>
        <v>61</v>
      </c>
      <c r="B61" s="18" t="s">
        <v>2780</v>
      </c>
      <c r="C61" s="18" t="s">
        <v>761</v>
      </c>
      <c r="D61" s="18" t="str">
        <f t="shared" si="2"/>
        <v>2. Einkommensgrenze für Besteuerung von Renten</v>
      </c>
      <c r="E61" s="33" t="s">
        <v>2802</v>
      </c>
      <c r="F61" s="6" t="s">
        <v>808</v>
      </c>
    </row>
    <row r="62" spans="1:6" ht="264">
      <c r="A62" s="17">
        <f>ROW()</f>
        <v>62</v>
      </c>
      <c r="B62" s="18" t="s">
        <v>2780</v>
      </c>
      <c r="C62" s="18" t="s">
        <v>761</v>
      </c>
      <c r="D62" s="18" t="str">
        <f t="shared" si="2"/>
        <v>3. Auf Renten anfallende Sozialabgaben</v>
      </c>
      <c r="E62" s="33" t="s">
        <v>2803</v>
      </c>
      <c r="F62" s="6" t="s">
        <v>833</v>
      </c>
    </row>
    <row r="63" spans="1:6" ht="138">
      <c r="A63" s="17">
        <f>ROW()</f>
        <v>63</v>
      </c>
      <c r="B63" s="18" t="s">
        <v>2804</v>
      </c>
      <c r="C63" s="18" t="str">
        <f>+E63</f>
        <v>Anwendungsbereich</v>
      </c>
      <c r="D63" s="18" t="str">
        <f t="shared" si="2"/>
        <v>Anwendungsbereich</v>
      </c>
      <c r="E63" s="33" t="s">
        <v>2708</v>
      </c>
      <c r="F63" s="6" t="s">
        <v>858</v>
      </c>
    </row>
    <row r="64" spans="1:6" ht="132.75">
      <c r="A64" s="17">
        <f>ROW()</f>
        <v>64</v>
      </c>
      <c r="B64" s="18" t="s">
        <v>2804</v>
      </c>
      <c r="C64" s="18" t="s">
        <v>2775</v>
      </c>
      <c r="D64" s="18" t="str">
        <f t="shared" si="2"/>
        <v>Grundprinzipien</v>
      </c>
      <c r="E64" s="33" t="s">
        <v>2709</v>
      </c>
      <c r="F64" s="6" t="s">
        <v>884</v>
      </c>
    </row>
    <row r="65" spans="1:6" ht="224.25">
      <c r="A65" s="17">
        <f>ROW()</f>
        <v>65</v>
      </c>
      <c r="B65" s="18" t="s">
        <v>2804</v>
      </c>
      <c r="C65" s="18" t="s">
        <v>2775</v>
      </c>
      <c r="D65" s="18" t="str">
        <f t="shared" si="2"/>
        <v>Voraussetzungen für die Deckung</v>
      </c>
      <c r="E65" s="33" t="s">
        <v>2710</v>
      </c>
      <c r="F65" s="6" t="s">
        <v>910</v>
      </c>
    </row>
    <row r="66" spans="1:6" ht="409.5">
      <c r="A66" s="17">
        <f>ROW()</f>
        <v>66</v>
      </c>
      <c r="B66" s="18" t="s">
        <v>2804</v>
      </c>
      <c r="C66" s="18" t="s">
        <v>2775</v>
      </c>
      <c r="D66" s="18" t="str">
        <f t="shared" si="2"/>
        <v>Kombination von selbstständiger und unselbstständiger Tätigkeit</v>
      </c>
      <c r="E66" s="33" t="s">
        <v>2698</v>
      </c>
      <c r="F66" s="6" t="s">
        <v>931</v>
      </c>
    </row>
    <row r="67" spans="1:6" ht="376.5">
      <c r="A67" s="17">
        <f>ROW()</f>
        <v>67</v>
      </c>
      <c r="B67" s="18" t="s">
        <v>2804</v>
      </c>
      <c r="C67" s="18" t="s">
        <v>2695</v>
      </c>
      <c r="D67" s="19" t="str">
        <f t="shared" si="2"/>
        <v xml:space="preserve">Voraussetzungen für den Zugang zu Diensten/Leistungen </v>
      </c>
      <c r="E67" s="33" t="s">
        <v>2699</v>
      </c>
      <c r="F67" s="6" t="s">
        <v>949</v>
      </c>
    </row>
    <row r="68" spans="1:6" ht="253.5">
      <c r="A68" s="17">
        <f>ROW()</f>
        <v>68</v>
      </c>
      <c r="B68" s="18" t="s">
        <v>2804</v>
      </c>
      <c r="C68" s="18" t="s">
        <v>2695</v>
      </c>
      <c r="D68" s="19" t="str">
        <f t="shared" si="2"/>
        <v>Beträge, Dauer und Kostenbeteiligung</v>
      </c>
      <c r="E68" s="33" t="s">
        <v>2700</v>
      </c>
      <c r="F68" s="6" t="s">
        <v>962</v>
      </c>
    </row>
    <row r="69" spans="1:6" ht="216">
      <c r="A69" s="17">
        <f>ROW()</f>
        <v>69</v>
      </c>
      <c r="B69" s="18" t="s">
        <v>2804</v>
      </c>
      <c r="C69" s="18" t="s">
        <v>2695</v>
      </c>
      <c r="D69" s="19" t="str">
        <f t="shared" si="2"/>
        <v>Besteuerung von Geldleistungen</v>
      </c>
      <c r="E69" s="33" t="s">
        <v>2681</v>
      </c>
      <c r="F69" s="6" t="s">
        <v>976</v>
      </c>
    </row>
    <row r="70" spans="1:6" ht="272.25">
      <c r="A70" s="17">
        <f>ROW()</f>
        <v>70</v>
      </c>
      <c r="B70" s="18" t="s">
        <v>2804</v>
      </c>
      <c r="C70" s="18" t="s">
        <v>2695</v>
      </c>
      <c r="D70" s="19" t="str">
        <f t="shared" si="2"/>
        <v>Auf Leistungen anfallende Sozialabgaben</v>
      </c>
      <c r="E70" s="33" t="s">
        <v>2683</v>
      </c>
      <c r="F70" s="6" t="s">
        <v>987</v>
      </c>
    </row>
    <row r="71" spans="1:6" ht="177">
      <c r="A71" s="17">
        <f>ROW()</f>
        <v>71</v>
      </c>
      <c r="B71" s="18" t="s">
        <v>2702</v>
      </c>
      <c r="C71" s="18" t="str">
        <f t="shared" ref="C71:D75" si="3">+D71</f>
        <v>Geltende Rechtsgrundlage</v>
      </c>
      <c r="D71" s="19" t="str">
        <f t="shared" si="3"/>
        <v>Geltende Rechtsgrundlage</v>
      </c>
      <c r="E71" s="32" t="s">
        <v>2724</v>
      </c>
      <c r="F71" s="6" t="s">
        <v>1008</v>
      </c>
    </row>
    <row r="72" spans="1:6" ht="110.25">
      <c r="A72" s="17">
        <f>ROW()</f>
        <v>72</v>
      </c>
      <c r="B72" s="18" t="s">
        <v>2702</v>
      </c>
      <c r="C72" s="18" t="str">
        <f t="shared" si="3"/>
        <v>Grundprinzipien</v>
      </c>
      <c r="D72" s="19" t="str">
        <f t="shared" si="3"/>
        <v>Grundprinzipien</v>
      </c>
      <c r="E72" s="32" t="s">
        <v>2709</v>
      </c>
      <c r="F72" s="6" t="s">
        <v>1037</v>
      </c>
    </row>
    <row r="73" spans="1:6" ht="315">
      <c r="A73" s="17">
        <f>ROW()</f>
        <v>73</v>
      </c>
      <c r="B73" s="18" t="s">
        <v>2702</v>
      </c>
      <c r="C73" s="19" t="str">
        <f t="shared" si="3"/>
        <v>Anwendungsbereich (in Bezug auf Verstorbene)</v>
      </c>
      <c r="D73" s="19" t="str">
        <f t="shared" si="3"/>
        <v>Anwendungsbereich (in Bezug auf Verstorbene)</v>
      </c>
      <c r="E73" s="32" t="s">
        <v>2725</v>
      </c>
      <c r="F73" s="6" t="s">
        <v>1066</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125</v>
      </c>
    </row>
    <row r="75" spans="1:6" ht="144.75">
      <c r="A75" s="17">
        <f>ROW()</f>
        <v>75</v>
      </c>
      <c r="B75" s="18" t="s">
        <v>2702</v>
      </c>
      <c r="C75" s="19" t="str">
        <f t="shared" si="3"/>
        <v>Berechtigte Personen</v>
      </c>
      <c r="D75" s="19" t="str">
        <f t="shared" si="3"/>
        <v>Berechtigte Personen</v>
      </c>
      <c r="E75" s="32" t="s">
        <v>2730</v>
      </c>
      <c r="F75" s="6" t="s">
        <v>4843</v>
      </c>
    </row>
    <row r="76" spans="1:6" ht="102">
      <c r="A76" s="17">
        <f>ROW()</f>
        <v>76</v>
      </c>
      <c r="B76" s="18" t="s">
        <v>2702</v>
      </c>
      <c r="C76" s="1"/>
      <c r="D76" s="1"/>
      <c r="E76" s="32" t="s">
        <v>2783</v>
      </c>
      <c r="F76" s="6"/>
    </row>
    <row r="77" spans="1:6" ht="189.75">
      <c r="A77" s="17">
        <f>ROW()</f>
        <v>77</v>
      </c>
      <c r="B77" s="18" t="s">
        <v>2702</v>
      </c>
      <c r="C77" s="18" t="s">
        <v>2805</v>
      </c>
      <c r="D77" s="18" t="str">
        <f t="shared" ref="D77:D90" si="4">+E77</f>
        <v>1. Verstorbener Versicherter</v>
      </c>
      <c r="E77" s="33" t="s">
        <v>2806</v>
      </c>
      <c r="F77" s="6" t="s">
        <v>1143</v>
      </c>
    </row>
    <row r="78" spans="1:6" ht="185.25">
      <c r="A78" s="17">
        <f>ROW()</f>
        <v>78</v>
      </c>
      <c r="B78" s="18" t="s">
        <v>2702</v>
      </c>
      <c r="C78" s="18" t="s">
        <v>2805</v>
      </c>
      <c r="D78" s="18" t="str">
        <f t="shared" si="4"/>
        <v>2. Hinterbliebener Ehegatte</v>
      </c>
      <c r="E78" s="33" t="s">
        <v>2807</v>
      </c>
      <c r="F78" s="6" t="s">
        <v>4844</v>
      </c>
    </row>
    <row r="79" spans="1:6" ht="181.5">
      <c r="A79" s="17">
        <f>ROW()</f>
        <v>79</v>
      </c>
      <c r="B79" s="18" t="s">
        <v>2702</v>
      </c>
      <c r="C79" s="18" t="s">
        <v>2805</v>
      </c>
      <c r="D79" s="18" t="str">
        <f t="shared" si="4"/>
        <v>3. Geschiedener Ehegatte</v>
      </c>
      <c r="E79" s="33" t="s">
        <v>2808</v>
      </c>
      <c r="F79" s="6" t="s">
        <v>1203</v>
      </c>
    </row>
    <row r="80" spans="1:6" ht="216">
      <c r="A80" s="17">
        <f>ROW()</f>
        <v>80</v>
      </c>
      <c r="B80" s="18" t="s">
        <v>2702</v>
      </c>
      <c r="C80" s="18" t="s">
        <v>2805</v>
      </c>
      <c r="D80" s="18" t="str">
        <f t="shared" si="4"/>
        <v>4. Hinterbliebene Lebenspartner</v>
      </c>
      <c r="E80" s="33" t="s">
        <v>2809</v>
      </c>
      <c r="F80" s="6" t="s">
        <v>1227</v>
      </c>
    </row>
    <row r="81" spans="1:6" ht="181.5">
      <c r="A81" s="17">
        <f>ROW()</f>
        <v>81</v>
      </c>
      <c r="B81" s="18" t="s">
        <v>2702</v>
      </c>
      <c r="C81" s="18" t="s">
        <v>2805</v>
      </c>
      <c r="D81" s="18" t="str">
        <f t="shared" si="4"/>
        <v>5. Kinder</v>
      </c>
      <c r="E81" s="33" t="s">
        <v>2810</v>
      </c>
      <c r="F81" s="6" t="s">
        <v>1255</v>
      </c>
    </row>
    <row r="82" spans="1:6" ht="181.5">
      <c r="A82" s="17">
        <f>ROW()</f>
        <v>82</v>
      </c>
      <c r="B82" s="18" t="s">
        <v>2702</v>
      </c>
      <c r="C82" s="18" t="s">
        <v>2805</v>
      </c>
      <c r="D82" s="18" t="str">
        <f t="shared" si="4"/>
        <v>6. Andere Personen</v>
      </c>
      <c r="E82" s="33" t="s">
        <v>2811</v>
      </c>
      <c r="F82" s="6" t="s">
        <v>1276</v>
      </c>
    </row>
    <row r="83" spans="1:6" ht="409.5">
      <c r="A83" s="17">
        <f>ROW()</f>
        <v>83</v>
      </c>
      <c r="B83" s="18" t="s">
        <v>2702</v>
      </c>
      <c r="C83" s="18" t="s">
        <v>2695</v>
      </c>
      <c r="D83" s="19" t="str">
        <f t="shared" si="4"/>
        <v>1. Hinterbliebener Ehegatte, geschiedener Ehegatte, hinterbliebene Lebenspartner</v>
      </c>
      <c r="E83" s="33" t="s">
        <v>2812</v>
      </c>
      <c r="F83" s="6" t="s">
        <v>4845</v>
      </c>
    </row>
    <row r="84" spans="1:6" ht="280.5">
      <c r="A84" s="17">
        <f>ROW()</f>
        <v>84</v>
      </c>
      <c r="B84" s="18" t="s">
        <v>2702</v>
      </c>
      <c r="C84" s="18" t="s">
        <v>2695</v>
      </c>
      <c r="D84" s="19" t="str">
        <f t="shared" si="4"/>
        <v>2. Hinterbliebener Ehegatte: Wiederheirat</v>
      </c>
      <c r="E84" s="33" t="s">
        <v>2813</v>
      </c>
      <c r="F84" s="6" t="s">
        <v>1332</v>
      </c>
    </row>
    <row r="85" spans="1:6" ht="135">
      <c r="A85" s="17">
        <f>ROW()</f>
        <v>85</v>
      </c>
      <c r="B85" s="18" t="s">
        <v>2702</v>
      </c>
      <c r="C85" s="18" t="s">
        <v>2695</v>
      </c>
      <c r="D85" s="19" t="str">
        <f t="shared" si="4"/>
        <v>3. Kinder</v>
      </c>
      <c r="E85" s="33" t="s">
        <v>2814</v>
      </c>
      <c r="F85" s="6" t="s">
        <v>1363</v>
      </c>
    </row>
    <row r="86" spans="1:6" ht="147">
      <c r="A86" s="17">
        <f>ROW()</f>
        <v>86</v>
      </c>
      <c r="B86" s="18" t="s">
        <v>2702</v>
      </c>
      <c r="C86" s="18" t="s">
        <v>2695</v>
      </c>
      <c r="D86" s="19" t="str">
        <f t="shared" si="4"/>
        <v>4. Andere Berechtigte</v>
      </c>
      <c r="E86" s="33" t="s">
        <v>2815</v>
      </c>
      <c r="F86" s="6" t="s">
        <v>1382</v>
      </c>
    </row>
    <row r="87" spans="1:6" ht="381">
      <c r="A87" s="17">
        <f>ROW()</f>
        <v>87</v>
      </c>
      <c r="B87" s="18" t="s">
        <v>2702</v>
      </c>
      <c r="C87" s="18" t="s">
        <v>2695</v>
      </c>
      <c r="D87" s="19" t="str">
        <f t="shared" si="4"/>
        <v xml:space="preserve"> 5. Höchster zahlbarer Gesamtbetrag für alle Berechtigten</v>
      </c>
      <c r="E87" s="33" t="s">
        <v>2816</v>
      </c>
      <c r="F87" s="6" t="s">
        <v>1404</v>
      </c>
    </row>
    <row r="88" spans="1:6" ht="210">
      <c r="A88" s="17">
        <f>ROW()</f>
        <v>88</v>
      </c>
      <c r="B88" s="18" t="s">
        <v>2702</v>
      </c>
      <c r="C88" s="18" t="s">
        <v>2695</v>
      </c>
      <c r="D88" s="19" t="str">
        <f t="shared" si="4"/>
        <v>6. Sonstige Leistungen</v>
      </c>
      <c r="E88" s="33" t="s">
        <v>2817</v>
      </c>
      <c r="F88" s="6" t="s">
        <v>1433</v>
      </c>
    </row>
    <row r="89" spans="1:6" ht="126.75">
      <c r="A89" s="17">
        <f>ROW()</f>
        <v>89</v>
      </c>
      <c r="B89" s="18" t="s">
        <v>2702</v>
      </c>
      <c r="C89" s="18" t="s">
        <v>2695</v>
      </c>
      <c r="D89" s="19" t="str">
        <f>+E89</f>
        <v>7. Mindestleistung</v>
      </c>
      <c r="E89" s="33" t="s">
        <v>2818</v>
      </c>
      <c r="F89" s="6" t="s">
        <v>1461</v>
      </c>
    </row>
    <row r="90" spans="1:6" ht="122.25">
      <c r="A90" s="17">
        <f>ROW()</f>
        <v>90</v>
      </c>
      <c r="B90" s="18" t="s">
        <v>2702</v>
      </c>
      <c r="C90" s="18" t="s">
        <v>2695</v>
      </c>
      <c r="D90" s="19" t="str">
        <f t="shared" si="4"/>
        <v xml:space="preserve"> 8. Höchstleistung</v>
      </c>
      <c r="E90" s="33" t="s">
        <v>2819</v>
      </c>
      <c r="F90" s="6" t="s">
        <v>532</v>
      </c>
    </row>
    <row r="91" spans="1:6" ht="179.25">
      <c r="A91" s="17">
        <f>ROW()</f>
        <v>91</v>
      </c>
      <c r="B91" s="18" t="s">
        <v>2702</v>
      </c>
      <c r="C91" s="18" t="s">
        <v>2799</v>
      </c>
      <c r="D91" s="19" t="str">
        <f>+C91</f>
        <v>Indexbindung / Anpassung</v>
      </c>
      <c r="E91" s="32" t="s">
        <v>2799</v>
      </c>
      <c r="F91" s="6" t="s">
        <v>1512</v>
      </c>
    </row>
    <row r="92" spans="1:6" ht="242.25">
      <c r="A92" s="17">
        <f>ROW()</f>
        <v>92</v>
      </c>
      <c r="B92" s="18" t="s">
        <v>2702</v>
      </c>
      <c r="C92" s="18" t="s">
        <v>2799</v>
      </c>
      <c r="D92" s="19" t="str">
        <f t="shared" ref="D92:D105" si="5">+E92</f>
        <v>Kumulation mit Erwerbseinkommen</v>
      </c>
      <c r="E92" s="32" t="s">
        <v>2723</v>
      </c>
      <c r="F92" s="6" t="s">
        <v>1542</v>
      </c>
    </row>
    <row r="93" spans="1:6" ht="275.25">
      <c r="A93" s="17">
        <f>ROW()</f>
        <v>93</v>
      </c>
      <c r="B93" s="18" t="s">
        <v>2702</v>
      </c>
      <c r="C93" s="18" t="s">
        <v>2799</v>
      </c>
      <c r="D93" s="19" t="str">
        <f t="shared" si="5"/>
        <v>Kumulation mit anderen Sozialleistungen</v>
      </c>
      <c r="E93" s="32" t="s">
        <v>2696</v>
      </c>
      <c r="F93" s="6" t="s">
        <v>4846</v>
      </c>
    </row>
    <row r="94" spans="1:6" ht="232.5">
      <c r="A94" s="17">
        <f>ROW()</f>
        <v>94</v>
      </c>
      <c r="B94" s="18" t="s">
        <v>2702</v>
      </c>
      <c r="C94" s="19" t="s">
        <v>2701</v>
      </c>
      <c r="D94" s="19" t="str">
        <f t="shared" si="5"/>
        <v>1. Besteuerung von Geldleistungen</v>
      </c>
      <c r="E94" s="33" t="s">
        <v>2770</v>
      </c>
      <c r="F94" s="6" t="s">
        <v>1583</v>
      </c>
    </row>
    <row r="95" spans="1:6" ht="387">
      <c r="A95" s="17">
        <f>ROW()</f>
        <v>95</v>
      </c>
      <c r="B95" s="18" t="s">
        <v>2702</v>
      </c>
      <c r="C95" s="19" t="s">
        <v>2701</v>
      </c>
      <c r="D95" s="19" t="str">
        <f t="shared" si="5"/>
        <v>2. Einkommensgrenze für Besteuerung von Geldleistungen</v>
      </c>
      <c r="E95" s="33" t="s">
        <v>2772</v>
      </c>
      <c r="F95" s="6" t="s">
        <v>808</v>
      </c>
    </row>
    <row r="96" spans="1:6" ht="288.75">
      <c r="A96" s="17">
        <f>ROW()</f>
        <v>96</v>
      </c>
      <c r="B96" s="18" t="s">
        <v>2702</v>
      </c>
      <c r="C96" s="19" t="s">
        <v>2701</v>
      </c>
      <c r="D96" s="19" t="str">
        <f t="shared" si="5"/>
        <v>3. Auf Leistungen anfallende Sozialabgaben</v>
      </c>
      <c r="E96" s="33" t="s">
        <v>2773</v>
      </c>
      <c r="F96" s="6" t="s">
        <v>1638</v>
      </c>
    </row>
    <row r="97" spans="1:6" ht="138">
      <c r="A97" s="17">
        <f>ROW()</f>
        <v>97</v>
      </c>
      <c r="B97" s="18" t="s">
        <v>2702</v>
      </c>
      <c r="C97" s="19" t="s">
        <v>2775</v>
      </c>
      <c r="D97" s="19" t="str">
        <f t="shared" si="5"/>
        <v>Anwendungsbereich</v>
      </c>
      <c r="E97" s="33" t="s">
        <v>2708</v>
      </c>
      <c r="F97" s="6" t="s">
        <v>858</v>
      </c>
    </row>
    <row r="98" spans="1:6" ht="110.25">
      <c r="A98" s="17">
        <f>ROW()</f>
        <v>98</v>
      </c>
      <c r="B98" s="18" t="s">
        <v>2702</v>
      </c>
      <c r="C98" s="19" t="s">
        <v>2775</v>
      </c>
      <c r="D98" s="19" t="str">
        <f t="shared" si="5"/>
        <v>Grundprinzipien</v>
      </c>
      <c r="E98" s="33" t="s">
        <v>2709</v>
      </c>
      <c r="F98" s="6" t="s">
        <v>884</v>
      </c>
    </row>
    <row r="99" spans="1:6" ht="224.25">
      <c r="A99" s="17">
        <f>ROW()</f>
        <v>99</v>
      </c>
      <c r="B99" s="18" t="s">
        <v>2702</v>
      </c>
      <c r="C99" s="19" t="s">
        <v>2775</v>
      </c>
      <c r="D99" s="19" t="str">
        <f t="shared" si="5"/>
        <v>Voraussetzungen für die Deckung</v>
      </c>
      <c r="E99" s="33" t="s">
        <v>2710</v>
      </c>
      <c r="F99" s="6" t="s">
        <v>910</v>
      </c>
    </row>
    <row r="100" spans="1:6" ht="409.5">
      <c r="A100" s="17">
        <f>ROW()</f>
        <v>100</v>
      </c>
      <c r="B100" s="18" t="s">
        <v>2702</v>
      </c>
      <c r="C100" s="19" t="s">
        <v>2775</v>
      </c>
      <c r="D100" s="19" t="str">
        <f t="shared" si="5"/>
        <v>Kombination von selbstständiger und unselbstständiger Tätigkeit</v>
      </c>
      <c r="E100" s="33" t="s">
        <v>2698</v>
      </c>
      <c r="F100" s="6" t="s">
        <v>910</v>
      </c>
    </row>
    <row r="101" spans="1:6" ht="376.5">
      <c r="A101" s="17">
        <f>ROW()</f>
        <v>101</v>
      </c>
      <c r="B101" s="18" t="s">
        <v>2702</v>
      </c>
      <c r="C101" s="19" t="s">
        <v>2775</v>
      </c>
      <c r="D101" s="19" t="str">
        <f t="shared" si="5"/>
        <v xml:space="preserve">Voraussetzungen für den Zugang zu Diensten/Leistungen </v>
      </c>
      <c r="E101" s="33" t="s">
        <v>2699</v>
      </c>
      <c r="F101" s="6" t="s">
        <v>942</v>
      </c>
    </row>
    <row r="102" spans="1:6" ht="253.5">
      <c r="A102" s="17">
        <f>ROW()</f>
        <v>102</v>
      </c>
      <c r="B102" s="18" t="s">
        <v>2702</v>
      </c>
      <c r="C102" s="19" t="s">
        <v>2775</v>
      </c>
      <c r="D102" s="19" t="str">
        <f t="shared" si="5"/>
        <v>Beträge, Dauer und Kostenbeteiligung</v>
      </c>
      <c r="E102" s="33" t="s">
        <v>2700</v>
      </c>
      <c r="F102" s="6" t="s">
        <v>964</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976</v>
      </c>
    </row>
    <row r="105" spans="1:6" ht="272.25">
      <c r="A105" s="17">
        <f>ROW()</f>
        <v>105</v>
      </c>
      <c r="B105" s="18" t="s">
        <v>2702</v>
      </c>
      <c r="C105" s="19" t="s">
        <v>2775</v>
      </c>
      <c r="D105" s="19" t="str">
        <f t="shared" si="5"/>
        <v>Auf Leistungen anfallende Sozialabgaben</v>
      </c>
      <c r="E105" s="33" t="s">
        <v>2683</v>
      </c>
      <c r="F105" s="6" t="s">
        <v>987</v>
      </c>
    </row>
  </sheetData>
  <sheetProtection algorithmName="SHA-512" hashValue="qUKAe28CFqZUafJ4XLTZl+e88IKA9MxCalcbN2WFbmIl3jaDLnxti/bIgKnDNrmam770r1Q2VeXEu+DjHK+qRw==" saltValue="R7zqb1fqkAjaYUw3Xf2cwA==" spinCount="100000" sheet="1" objects="1" scenarios="1" formatColumns="0" autoFilter="0"/>
  <autoFilter ref="A2:F2" xr:uid="{2332324A-4C85-46B0-B0C6-A982FB91EA3D}"/>
  <pageMargins left="0.7" right="0.7" top="0.78740157499999996" bottom="0.78740157499999996"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977FB-F523-4A96-957C-7B9481026FC9}">
  <sheetPr codeName="Tabelle24"/>
  <dimension ref="A1:F105"/>
  <sheetViews>
    <sheetView workbookViewId="0">
      <pane xSplit="5" ySplit="2" topLeftCell="F1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39" t="s">
        <v>2726</v>
      </c>
      <c r="C1" s="136" t="s">
        <v>2739</v>
      </c>
      <c r="D1" s="136" t="s">
        <v>2728</v>
      </c>
      <c r="E1" s="128" t="s">
        <v>3506</v>
      </c>
      <c r="F1" s="16" t="s">
        <v>22</v>
      </c>
    </row>
    <row r="2" spans="1:6" ht="39.75" customHeight="1">
      <c r="A2" s="138"/>
      <c r="B2" s="139"/>
      <c r="C2" s="136"/>
      <c r="D2" s="136"/>
      <c r="E2" s="134"/>
      <c r="F2" s="173" t="str" cm="1">
        <f t="array" ref="F2">_xlfn.TEXTJOIN("; ", TRUE, IF(Entscheidungen!A2:A100=F1, Entscheidungen!B2:B100, ""))</f>
        <v>OLG Zweibrücken, 23.11.2012 – 6 UF 60/12; OLG Düsseldorf, 17.08.2021 – II-7 UF 77/21</v>
      </c>
    </row>
    <row r="3" spans="1:6" ht="180">
      <c r="A3" s="17">
        <f>ROW()</f>
        <v>3</v>
      </c>
      <c r="B3" s="18" t="s">
        <v>2740</v>
      </c>
      <c r="C3" s="18"/>
      <c r="D3" s="18" t="str">
        <f>+E3</f>
        <v>Geltende Rechtsgrundlage</v>
      </c>
      <c r="E3" s="31" t="s">
        <v>2724</v>
      </c>
      <c r="F3" s="6" t="s">
        <v>3015</v>
      </c>
    </row>
    <row r="4" spans="1:6" ht="110.25">
      <c r="A4" s="17">
        <f>ROW()</f>
        <v>4</v>
      </c>
      <c r="B4" s="18" t="s">
        <v>2740</v>
      </c>
      <c r="C4" s="1"/>
      <c r="D4" s="18" t="str">
        <f t="shared" ref="D4:D34" si="0">+E4</f>
        <v>Grundprinzipien</v>
      </c>
      <c r="E4" s="32" t="s">
        <v>2709</v>
      </c>
      <c r="F4" s="6" t="s">
        <v>3016</v>
      </c>
    </row>
    <row r="5" spans="1:6" ht="188.25">
      <c r="A5" s="17">
        <f>ROW()</f>
        <v>5</v>
      </c>
      <c r="B5" s="18" t="s">
        <v>2740</v>
      </c>
      <c r="C5" s="1"/>
      <c r="D5" s="18" t="str">
        <f t="shared" si="0"/>
        <v>Gedecktes Risiko: Definition</v>
      </c>
      <c r="E5" s="32" t="s">
        <v>2891</v>
      </c>
      <c r="F5" s="6" t="s">
        <v>4847</v>
      </c>
    </row>
    <row r="6" spans="1:6" ht="150">
      <c r="A6" s="17">
        <f>ROW()</f>
        <v>6</v>
      </c>
      <c r="B6" s="18" t="s">
        <v>2740</v>
      </c>
      <c r="C6" s="18" t="s">
        <v>2653</v>
      </c>
      <c r="D6" s="18" t="str">
        <f t="shared" si="0"/>
        <v>Versicherte Personen</v>
      </c>
      <c r="E6" s="33" t="s">
        <v>2653</v>
      </c>
      <c r="F6" s="6" t="s">
        <v>4848</v>
      </c>
    </row>
    <row r="7" spans="1:6" ht="273">
      <c r="A7" s="17">
        <f>ROW()</f>
        <v>7</v>
      </c>
      <c r="B7" s="18" t="s">
        <v>2740</v>
      </c>
      <c r="C7" s="18" t="str">
        <f>+E6</f>
        <v>Versicherte Personen</v>
      </c>
      <c r="D7" s="18" t="str">
        <f t="shared" si="0"/>
        <v>Ausnahmen von der Versicherungspflicht</v>
      </c>
      <c r="E7" s="33" t="s">
        <v>2685</v>
      </c>
      <c r="F7" s="6" t="s">
        <v>4849</v>
      </c>
    </row>
    <row r="8" spans="1:6" ht="194.25">
      <c r="A8" s="17">
        <f>ROW()</f>
        <v>8</v>
      </c>
      <c r="B8" s="18" t="s">
        <v>2740</v>
      </c>
      <c r="C8" s="19" t="s">
        <v>149</v>
      </c>
      <c r="D8" s="18" t="str">
        <f t="shared" si="0"/>
        <v>1. Anwartschaftszeit</v>
      </c>
      <c r="E8" s="33" t="s">
        <v>2744</v>
      </c>
      <c r="F8" s="6" t="s">
        <v>3017</v>
      </c>
    </row>
    <row r="9" spans="1:6" ht="409.5">
      <c r="A9" s="17">
        <f>ROW()</f>
        <v>9</v>
      </c>
      <c r="B9" s="18" t="s">
        <v>2740</v>
      </c>
      <c r="C9" s="19" t="s">
        <v>149</v>
      </c>
      <c r="D9" s="18" t="str">
        <f t="shared" si="0"/>
        <v xml:space="preserve">2. Begutachtungskriterien und Kategorien der Arbeitsunfähigkeit/Arbeitsfähigkeit  </v>
      </c>
      <c r="E9" s="33" t="s">
        <v>2745</v>
      </c>
      <c r="F9" s="6" t="s">
        <v>4850</v>
      </c>
    </row>
    <row r="10" spans="1:6" ht="255">
      <c r="A10" s="17">
        <f>ROW()</f>
        <v>10</v>
      </c>
      <c r="B10" s="18" t="s">
        <v>2740</v>
      </c>
      <c r="C10" s="19" t="s">
        <v>149</v>
      </c>
      <c r="D10" s="18" t="str">
        <f t="shared" si="0"/>
        <v>3. Zeitraum der Leistungszahlung</v>
      </c>
      <c r="E10" s="33" t="s">
        <v>2747</v>
      </c>
      <c r="F10" s="6" t="s">
        <v>4851</v>
      </c>
    </row>
    <row r="11" spans="1:6" ht="135">
      <c r="A11" s="17">
        <f>ROW()</f>
        <v>11</v>
      </c>
      <c r="B11" s="18" t="s">
        <v>2740</v>
      </c>
      <c r="C11" s="19" t="s">
        <v>2749</v>
      </c>
      <c r="D11" s="18" t="str">
        <f t="shared" si="0"/>
        <v>1. Gutachter</v>
      </c>
      <c r="E11" s="33" t="s">
        <v>2750</v>
      </c>
      <c r="F11" s="6" t="s">
        <v>3018</v>
      </c>
    </row>
    <row r="12" spans="1:6" ht="150">
      <c r="A12" s="17">
        <f>ROW()</f>
        <v>12</v>
      </c>
      <c r="B12" s="18" t="s">
        <v>2740</v>
      </c>
      <c r="C12" s="19" t="s">
        <v>2749</v>
      </c>
      <c r="D12" s="18" t="str">
        <f t="shared" si="0"/>
        <v xml:space="preserve">2. Überprüfung  </v>
      </c>
      <c r="E12" s="33" t="s">
        <v>2751</v>
      </c>
      <c r="F12" s="6" t="s">
        <v>4852</v>
      </c>
    </row>
    <row r="13" spans="1:6" ht="409.5">
      <c r="A13" s="17">
        <f>ROW()</f>
        <v>13</v>
      </c>
      <c r="B13" s="18" t="s">
        <v>2740</v>
      </c>
      <c r="C13" s="18" t="s">
        <v>2695</v>
      </c>
      <c r="D13" s="18" t="str">
        <f t="shared" si="0"/>
        <v>1. Berechnungsmethode bzw. Rentenformel</v>
      </c>
      <c r="E13" s="33" t="s">
        <v>2753</v>
      </c>
      <c r="F13" s="6" t="s">
        <v>3019</v>
      </c>
    </row>
    <row r="14" spans="1:6" ht="343.5">
      <c r="A14" s="17">
        <f>ROW()</f>
        <v>14</v>
      </c>
      <c r="B14" s="18" t="s">
        <v>2740</v>
      </c>
      <c r="C14" s="18" t="s">
        <v>2695</v>
      </c>
      <c r="D14" s="18" t="str">
        <f t="shared" si="0"/>
        <v>2. Referenzeinkommen bzw. Berechnungsgrundlage</v>
      </c>
      <c r="E14" s="33" t="s">
        <v>2754</v>
      </c>
      <c r="F14" s="6" t="s">
        <v>3020</v>
      </c>
    </row>
    <row r="15" spans="1:6" ht="226.5">
      <c r="A15" s="17">
        <f>ROW()</f>
        <v>15</v>
      </c>
      <c r="B15" s="18" t="s">
        <v>2740</v>
      </c>
      <c r="C15" s="18" t="s">
        <v>2695</v>
      </c>
      <c r="D15" s="18" t="str">
        <f t="shared" si="0"/>
        <v>3. Mindest- und Höchstleistungen</v>
      </c>
      <c r="E15" s="33" t="s">
        <v>2756</v>
      </c>
      <c r="F15" s="6" t="s">
        <v>3021</v>
      </c>
    </row>
    <row r="16" spans="1:6" ht="405">
      <c r="A16" s="17">
        <f>ROW()</f>
        <v>16</v>
      </c>
      <c r="B16" s="18" t="s">
        <v>2740</v>
      </c>
      <c r="C16" s="18" t="s">
        <v>2695</v>
      </c>
      <c r="D16" s="18" t="str">
        <f t="shared" si="0"/>
        <v>4. Anrechenbare oder als Beitragszeiten gewertete Zeiträume</v>
      </c>
      <c r="E16" s="33" t="s">
        <v>2757</v>
      </c>
      <c r="F16" s="6" t="s">
        <v>4853</v>
      </c>
    </row>
    <row r="17" spans="1:6" ht="250.5">
      <c r="A17" s="17">
        <f>ROW()</f>
        <v>17</v>
      </c>
      <c r="B17" s="18" t="s">
        <v>2740</v>
      </c>
      <c r="C17" s="18" t="s">
        <v>2695</v>
      </c>
      <c r="D17" s="18" t="str">
        <f t="shared" si="0"/>
        <v xml:space="preserve">5. Zulagen für Unterhaltsberechtigte  </v>
      </c>
      <c r="E17" s="33" t="s">
        <v>2759</v>
      </c>
      <c r="F17" s="6" t="s">
        <v>449</v>
      </c>
    </row>
    <row r="18" spans="1:6" ht="135">
      <c r="A18" s="17">
        <f>ROW()</f>
        <v>18</v>
      </c>
      <c r="B18" s="18" t="s">
        <v>2740</v>
      </c>
      <c r="C18" s="18" t="str">
        <f>+E18</f>
        <v>Sonstige Leistungen</v>
      </c>
      <c r="D18" s="18" t="str">
        <f>+E18</f>
        <v>Sonstige Leistungen</v>
      </c>
      <c r="E18" s="32" t="s">
        <v>2678</v>
      </c>
      <c r="F18" s="6" t="s">
        <v>3022</v>
      </c>
    </row>
    <row r="19" spans="1:6" ht="300.75">
      <c r="A19" s="17">
        <f>ROW()</f>
        <v>19</v>
      </c>
      <c r="B19" s="18" t="s">
        <v>2740</v>
      </c>
      <c r="C19" s="18" t="s">
        <v>2761</v>
      </c>
      <c r="D19" s="18" t="str">
        <f t="shared" si="0"/>
        <v>Umschulung, berufsbezogene Rehabilitation</v>
      </c>
      <c r="E19" s="33" t="s">
        <v>2762</v>
      </c>
      <c r="F19" s="6" t="s">
        <v>3023</v>
      </c>
    </row>
    <row r="20" spans="1:6" ht="409.5">
      <c r="A20" s="17">
        <f>ROW()</f>
        <v>20</v>
      </c>
      <c r="B20" s="18" t="s">
        <v>2740</v>
      </c>
      <c r="C20" s="18" t="s">
        <v>2761</v>
      </c>
      <c r="D20" s="18" t="str">
        <f t="shared" si="0"/>
        <v xml:space="preserve">Bevorzugte und reservierte Beschäftigung von Menschen mit Behinderungen  </v>
      </c>
      <c r="E20" s="33" t="s">
        <v>2763</v>
      </c>
      <c r="F20" s="6" t="s">
        <v>3024</v>
      </c>
    </row>
    <row r="21" spans="1:6" ht="171.75">
      <c r="A21" s="17">
        <f>ROW()</f>
        <v>21</v>
      </c>
      <c r="B21" s="18" t="s">
        <v>2740</v>
      </c>
      <c r="C21" s="18" t="s">
        <v>2765</v>
      </c>
      <c r="D21" s="18" t="str">
        <f t="shared" si="0"/>
        <v>Indexbindung/Anpassung</v>
      </c>
      <c r="E21" s="32" t="s">
        <v>2766</v>
      </c>
      <c r="F21" s="6" t="s">
        <v>3025</v>
      </c>
    </row>
    <row r="22" spans="1:6" ht="242.25">
      <c r="A22" s="17">
        <f>ROW()</f>
        <v>22</v>
      </c>
      <c r="B22" s="18" t="s">
        <v>2740</v>
      </c>
      <c r="C22" s="18" t="s">
        <v>2765</v>
      </c>
      <c r="D22" s="18" t="str">
        <f>+E22</f>
        <v>Kumulation mit Erwerbseinkommen</v>
      </c>
      <c r="E22" s="32" t="s">
        <v>2723</v>
      </c>
      <c r="F22" s="6" t="s">
        <v>3026</v>
      </c>
    </row>
    <row r="23" spans="1:6" ht="275.25">
      <c r="A23" s="17">
        <f>ROW()</f>
        <v>23</v>
      </c>
      <c r="B23" s="18" t="s">
        <v>2740</v>
      </c>
      <c r="C23" s="18" t="s">
        <v>2765</v>
      </c>
      <c r="D23" s="18" t="str">
        <f t="shared" si="0"/>
        <v>Kumulation mit anderen Sozialleistungen</v>
      </c>
      <c r="E23" s="32" t="s">
        <v>2696</v>
      </c>
      <c r="F23" s="6" t="s">
        <v>3027</v>
      </c>
    </row>
    <row r="24" spans="1:6" ht="232.5">
      <c r="A24" s="17">
        <f>ROW()</f>
        <v>24</v>
      </c>
      <c r="B24" s="18" t="s">
        <v>2740</v>
      </c>
      <c r="C24" s="18" t="s">
        <v>2701</v>
      </c>
      <c r="D24" s="18" t="str">
        <f t="shared" si="0"/>
        <v>1. Besteuerung von Geldleistungen</v>
      </c>
      <c r="E24" s="33" t="s">
        <v>2770</v>
      </c>
      <c r="F24" s="6" t="s">
        <v>3028</v>
      </c>
    </row>
    <row r="25" spans="1:6" ht="387">
      <c r="A25" s="17">
        <f>ROW()</f>
        <v>25</v>
      </c>
      <c r="B25" s="18" t="s">
        <v>2740</v>
      </c>
      <c r="C25" s="18" t="s">
        <v>2701</v>
      </c>
      <c r="D25" s="18" t="str">
        <f t="shared" si="0"/>
        <v>2. Einkommensgrenze für Besteuerung von Geldleistungen</v>
      </c>
      <c r="E25" s="33" t="s">
        <v>2772</v>
      </c>
      <c r="F25" s="6" t="s">
        <v>1619</v>
      </c>
    </row>
    <row r="26" spans="1:6" ht="288.75">
      <c r="A26" s="17">
        <f>ROW()</f>
        <v>26</v>
      </c>
      <c r="B26" s="18" t="s">
        <v>2740</v>
      </c>
      <c r="C26" s="18" t="s">
        <v>2701</v>
      </c>
      <c r="D26" s="18" t="str">
        <f t="shared" si="0"/>
        <v>3. Auf Leistungen anfallende Sozialabgaben</v>
      </c>
      <c r="E26" s="33" t="s">
        <v>2773</v>
      </c>
      <c r="F26" s="6" t="s">
        <v>827</v>
      </c>
    </row>
    <row r="27" spans="1:6" ht="138">
      <c r="A27" s="17">
        <f>ROW()</f>
        <v>27</v>
      </c>
      <c r="B27" s="18" t="s">
        <v>2740</v>
      </c>
      <c r="C27" s="18" t="s">
        <v>2775</v>
      </c>
      <c r="D27" s="18" t="str">
        <f t="shared" si="0"/>
        <v>Anwendungsbereich</v>
      </c>
      <c r="E27" s="33" t="s">
        <v>2708</v>
      </c>
      <c r="F27" s="6" t="s">
        <v>849</v>
      </c>
    </row>
    <row r="28" spans="1:6" ht="110.25">
      <c r="A28" s="17">
        <f>ROW()</f>
        <v>28</v>
      </c>
      <c r="B28" s="18" t="s">
        <v>2740</v>
      </c>
      <c r="C28" s="18" t="s">
        <v>2775</v>
      </c>
      <c r="D28" s="18" t="str">
        <f t="shared" si="0"/>
        <v>Grundprinzipien</v>
      </c>
      <c r="E28" s="33" t="s">
        <v>2709</v>
      </c>
      <c r="F28" s="6" t="s">
        <v>3029</v>
      </c>
    </row>
    <row r="29" spans="1:6" ht="224.25">
      <c r="A29" s="17">
        <f>ROW()</f>
        <v>29</v>
      </c>
      <c r="B29" s="18" t="s">
        <v>2740</v>
      </c>
      <c r="C29" s="18" t="s">
        <v>2775</v>
      </c>
      <c r="D29" s="18" t="str">
        <f t="shared" si="0"/>
        <v>Voraussetzungen für die Deckung</v>
      </c>
      <c r="E29" s="33" t="s">
        <v>2710</v>
      </c>
      <c r="F29" s="6" t="s">
        <v>3030</v>
      </c>
    </row>
    <row r="30" spans="1:6" ht="409.5">
      <c r="A30" s="17">
        <f>ROW()</f>
        <v>30</v>
      </c>
      <c r="B30" s="18" t="s">
        <v>2740</v>
      </c>
      <c r="C30" s="18" t="s">
        <v>2775</v>
      </c>
      <c r="D30" s="19" t="str">
        <f t="shared" si="0"/>
        <v>Kombination von selbstständiger und unselbstständiger Tätigkeit</v>
      </c>
      <c r="E30" s="33" t="s">
        <v>2698</v>
      </c>
      <c r="F30" s="6" t="s">
        <v>932</v>
      </c>
    </row>
    <row r="31" spans="1:6" ht="376.5">
      <c r="A31" s="17">
        <f>ROW()</f>
        <v>31</v>
      </c>
      <c r="B31" s="18" t="s">
        <v>2740</v>
      </c>
      <c r="C31" s="18" t="s">
        <v>2695</v>
      </c>
      <c r="D31" s="19" t="str">
        <f t="shared" si="0"/>
        <v xml:space="preserve">Voraussetzungen für den Zugang zu Diensten/Leistungen </v>
      </c>
      <c r="E31" s="33" t="s">
        <v>2699</v>
      </c>
      <c r="F31" s="6" t="s">
        <v>940</v>
      </c>
    </row>
    <row r="32" spans="1:6" ht="253.5">
      <c r="A32" s="17">
        <f>ROW()</f>
        <v>32</v>
      </c>
      <c r="B32" s="18" t="s">
        <v>2740</v>
      </c>
      <c r="C32" s="18" t="s">
        <v>2695</v>
      </c>
      <c r="D32" s="18" t="str">
        <f t="shared" si="0"/>
        <v>Beträge, Dauer und Kostenbeteiligung</v>
      </c>
      <c r="E32" s="33" t="s">
        <v>2700</v>
      </c>
      <c r="F32" s="6" t="s">
        <v>940</v>
      </c>
    </row>
    <row r="33" spans="1:6" ht="216">
      <c r="A33" s="17">
        <f>ROW()</f>
        <v>33</v>
      </c>
      <c r="B33" s="18" t="s">
        <v>2740</v>
      </c>
      <c r="C33" s="18" t="s">
        <v>2695</v>
      </c>
      <c r="D33" s="18" t="str">
        <f t="shared" si="0"/>
        <v>Besteuerung von Geldleistungen</v>
      </c>
      <c r="E33" s="33" t="s">
        <v>2681</v>
      </c>
      <c r="F33" s="6" t="s">
        <v>940</v>
      </c>
    </row>
    <row r="34" spans="1:6" ht="276.75">
      <c r="A34" s="17">
        <f>ROW()</f>
        <v>34</v>
      </c>
      <c r="B34" s="18" t="s">
        <v>2740</v>
      </c>
      <c r="C34" s="18" t="s">
        <v>2695</v>
      </c>
      <c r="D34" s="18" t="str">
        <f t="shared" si="0"/>
        <v xml:space="preserve"> Auf Leistungen anfallende Sozialabgaben</v>
      </c>
      <c r="E34" s="33" t="s">
        <v>2779</v>
      </c>
      <c r="F34" s="6" t="s">
        <v>940</v>
      </c>
    </row>
    <row r="35" spans="1:6" ht="177">
      <c r="A35" s="17">
        <f>ROW()</f>
        <v>35</v>
      </c>
      <c r="B35" s="18" t="s">
        <v>2780</v>
      </c>
      <c r="C35" s="18" t="str">
        <f>+D35</f>
        <v>Geltende Rechtsgrundlage</v>
      </c>
      <c r="D35" s="18" t="str">
        <f>+E35</f>
        <v>Geltende Rechtsgrundlage</v>
      </c>
      <c r="E35" s="32" t="s">
        <v>2724</v>
      </c>
      <c r="F35" s="6" t="s">
        <v>53</v>
      </c>
    </row>
    <row r="36" spans="1:6" ht="180">
      <c r="A36" s="17">
        <f>ROW()</f>
        <v>36</v>
      </c>
      <c r="B36" s="18" t="s">
        <v>2780</v>
      </c>
      <c r="C36" s="18" t="str">
        <f>+D36</f>
        <v>Grundprinzipien</v>
      </c>
      <c r="D36" s="18" t="str">
        <f>+E36</f>
        <v>Grundprinzipien</v>
      </c>
      <c r="E36" s="32" t="s">
        <v>2709</v>
      </c>
      <c r="F36" s="6" t="s">
        <v>4854</v>
      </c>
    </row>
    <row r="37" spans="1:6" ht="315">
      <c r="A37" s="17">
        <f>ROW()</f>
        <v>37</v>
      </c>
      <c r="B37" s="18" t="s">
        <v>2780</v>
      </c>
      <c r="C37" s="18" t="s">
        <v>2708</v>
      </c>
      <c r="D37" s="18" t="str">
        <f>+E37</f>
        <v>1. Versicherte Personen</v>
      </c>
      <c r="E37" s="33" t="s">
        <v>2781</v>
      </c>
      <c r="F37" s="6" t="s">
        <v>4855</v>
      </c>
    </row>
    <row r="38" spans="1:6" ht="371.25">
      <c r="A38" s="17">
        <f>ROW()</f>
        <v>38</v>
      </c>
      <c r="B38" s="18" t="s">
        <v>2780</v>
      </c>
      <c r="C38" s="18" t="s">
        <v>2708</v>
      </c>
      <c r="D38" s="18" t="str">
        <f t="shared" ref="D38:D58" si="1">+E38</f>
        <v>2. Ausnahmen von der Deckung  der Pflichtversicherung</v>
      </c>
      <c r="E38" s="33" t="s">
        <v>2782</v>
      </c>
      <c r="F38" s="6" t="s">
        <v>4856</v>
      </c>
    </row>
    <row r="39" spans="1:6" ht="194.25">
      <c r="A39" s="17">
        <f>ROW()</f>
        <v>39</v>
      </c>
      <c r="B39" s="18" t="s">
        <v>2780</v>
      </c>
      <c r="C39" s="18" t="s">
        <v>149</v>
      </c>
      <c r="D39" s="18" t="str">
        <f t="shared" si="1"/>
        <v>1. Rentenalter</v>
      </c>
      <c r="E39" s="33" t="s">
        <v>2784</v>
      </c>
      <c r="F39" s="6" t="s">
        <v>172</v>
      </c>
    </row>
    <row r="40" spans="1:6" ht="409.5">
      <c r="A40" s="17">
        <f>ROW()</f>
        <v>40</v>
      </c>
      <c r="B40" s="18" t="s">
        <v>2780</v>
      </c>
      <c r="C40" s="18" t="s">
        <v>149</v>
      </c>
      <c r="D40" s="18" t="str">
        <f t="shared" si="1"/>
        <v>2. Anwartschaftszeit und sonstige Anspruchsvoraussetzungen für den Bezug einer Altersrente</v>
      </c>
      <c r="E40" s="33" t="s">
        <v>2785</v>
      </c>
      <c r="F40" s="6" t="s">
        <v>203</v>
      </c>
    </row>
    <row r="41" spans="1:6" ht="330">
      <c r="A41" s="17">
        <f>ROW()</f>
        <v>41</v>
      </c>
      <c r="B41" s="18" t="s">
        <v>2780</v>
      </c>
      <c r="C41" s="18" t="s">
        <v>149</v>
      </c>
      <c r="D41" s="18" t="str">
        <f t="shared" si="1"/>
        <v>3. Vorruhestand</v>
      </c>
      <c r="E41" s="33" t="s">
        <v>2786</v>
      </c>
      <c r="F41" s="6" t="s">
        <v>4857</v>
      </c>
    </row>
    <row r="42" spans="1:6" ht="315">
      <c r="A42" s="17">
        <f>ROW()</f>
        <v>42</v>
      </c>
      <c r="B42" s="18" t="s">
        <v>2780</v>
      </c>
      <c r="C42" s="18" t="s">
        <v>149</v>
      </c>
      <c r="D42" s="18" t="str">
        <f t="shared" si="1"/>
        <v>4. Beschwerliche und gefährliche Arbeit</v>
      </c>
      <c r="E42" s="33" t="s">
        <v>2787</v>
      </c>
      <c r="F42" s="6" t="s">
        <v>4858</v>
      </c>
    </row>
    <row r="43" spans="1:6" ht="194.25">
      <c r="A43" s="17">
        <f>ROW()</f>
        <v>43</v>
      </c>
      <c r="B43" s="18" t="s">
        <v>2780</v>
      </c>
      <c r="C43" s="18" t="s">
        <v>149</v>
      </c>
      <c r="D43" s="18" t="str">
        <f t="shared" si="1"/>
        <v>5. Rentenaufschub</v>
      </c>
      <c r="E43" s="33" t="s">
        <v>2788</v>
      </c>
      <c r="F43" s="6" t="s">
        <v>290</v>
      </c>
    </row>
    <row r="44" spans="1:6" ht="174">
      <c r="A44" s="17">
        <f>ROW()</f>
        <v>44</v>
      </c>
      <c r="B44" s="18" t="s">
        <v>2780</v>
      </c>
      <c r="C44" s="18" t="s">
        <v>2695</v>
      </c>
      <c r="D44" s="18" t="str">
        <f t="shared" si="1"/>
        <v>1. Bestimmende Faktoren</v>
      </c>
      <c r="E44" s="33" t="s">
        <v>2789</v>
      </c>
      <c r="F44" s="6" t="s">
        <v>319</v>
      </c>
    </row>
    <row r="45" spans="1:6" ht="390">
      <c r="A45" s="17">
        <f>ROW()</f>
        <v>45</v>
      </c>
      <c r="B45" s="18" t="s">
        <v>2780</v>
      </c>
      <c r="C45" s="18" t="s">
        <v>2695</v>
      </c>
      <c r="D45" s="18" t="str">
        <f t="shared" si="1"/>
        <v>2. Berechnungsmethode, Rentenformel bzw. Beträge</v>
      </c>
      <c r="E45" s="33" t="s">
        <v>2790</v>
      </c>
      <c r="F45" s="6" t="s">
        <v>350</v>
      </c>
    </row>
    <row r="46" spans="1:6" ht="343.5">
      <c r="A46" s="17">
        <f>ROW()</f>
        <v>46</v>
      </c>
      <c r="B46" s="18" t="s">
        <v>2780</v>
      </c>
      <c r="C46" s="18" t="s">
        <v>2695</v>
      </c>
      <c r="D46" s="18" t="str">
        <f t="shared" si="1"/>
        <v>3. Referenzeinkommen bzw. Berechnungsgrundlage</v>
      </c>
      <c r="E46" s="33" t="s">
        <v>2791</v>
      </c>
      <c r="F46" s="6" t="s">
        <v>381</v>
      </c>
    </row>
    <row r="47" spans="1:6" ht="405">
      <c r="A47" s="17">
        <f>ROW()</f>
        <v>47</v>
      </c>
      <c r="B47" s="18" t="s">
        <v>2780</v>
      </c>
      <c r="C47" s="18" t="s">
        <v>2695</v>
      </c>
      <c r="D47" s="18" t="str">
        <f t="shared" si="1"/>
        <v>4. Anrechenbare oder als Beitragszeiten gewertete Zeiträume</v>
      </c>
      <c r="E47" s="33" t="s">
        <v>2757</v>
      </c>
      <c r="F47" s="6" t="s">
        <v>4859</v>
      </c>
    </row>
    <row r="48" spans="1:6" ht="243.75">
      <c r="A48" s="17">
        <f>ROW()</f>
        <v>48</v>
      </c>
      <c r="B48" s="18" t="s">
        <v>2780</v>
      </c>
      <c r="C48" s="18" t="s">
        <v>2695</v>
      </c>
      <c r="D48" s="18" t="str">
        <f t="shared" si="1"/>
        <v>5. Rückkauf von Versicherungszeiten</v>
      </c>
      <c r="E48" s="33" t="s">
        <v>2792</v>
      </c>
      <c r="F48" s="6" t="s">
        <v>4860</v>
      </c>
    </row>
    <row r="49" spans="1:6" ht="246">
      <c r="A49" s="17">
        <f>ROW()</f>
        <v>49</v>
      </c>
      <c r="B49" s="18" t="s">
        <v>2780</v>
      </c>
      <c r="C49" s="18" t="s">
        <v>2695</v>
      </c>
      <c r="D49" s="18" t="str">
        <f t="shared" si="1"/>
        <v>6.  Zulagen für Unterhaltsberechtigte</v>
      </c>
      <c r="E49" s="33" t="s">
        <v>2892</v>
      </c>
      <c r="F49" s="6" t="s">
        <v>465</v>
      </c>
    </row>
    <row r="50" spans="1:6" ht="145.5">
      <c r="A50" s="17">
        <f>ROW()</f>
        <v>50</v>
      </c>
      <c r="B50" s="18" t="s">
        <v>2780</v>
      </c>
      <c r="C50" s="18" t="s">
        <v>2695</v>
      </c>
      <c r="D50" s="18" t="str">
        <f t="shared" si="1"/>
        <v>7. Besondere Zulagen</v>
      </c>
      <c r="E50" s="33" t="s">
        <v>2793</v>
      </c>
      <c r="F50" s="6" t="s">
        <v>490</v>
      </c>
    </row>
    <row r="51" spans="1:6" ht="360.75">
      <c r="A51" s="17">
        <f>ROW()</f>
        <v>51</v>
      </c>
      <c r="B51" s="18" t="s">
        <v>2780</v>
      </c>
      <c r="C51" s="18" t="s">
        <v>2695</v>
      </c>
      <c r="D51" s="18" t="str">
        <f t="shared" si="1"/>
        <v>8. Mindestrente und bedürftigkeitsabhängige Leistung</v>
      </c>
      <c r="E51" s="33" t="s">
        <v>2794</v>
      </c>
      <c r="F51" s="6" t="s">
        <v>521</v>
      </c>
    </row>
    <row r="52" spans="1:6" ht="101.25">
      <c r="A52" s="17">
        <f>ROW()</f>
        <v>52</v>
      </c>
      <c r="B52" s="18" t="s">
        <v>2780</v>
      </c>
      <c r="C52" s="18" t="s">
        <v>2695</v>
      </c>
      <c r="D52" s="18" t="str">
        <f t="shared" si="1"/>
        <v>9. Höchstrente</v>
      </c>
      <c r="E52" s="33" t="s">
        <v>2795</v>
      </c>
      <c r="F52" s="6" t="s">
        <v>548</v>
      </c>
    </row>
    <row r="53" spans="1:6" ht="255">
      <c r="A53" s="17">
        <f>ROW()</f>
        <v>53</v>
      </c>
      <c r="B53" s="18" t="s">
        <v>2780</v>
      </c>
      <c r="C53" s="18" t="s">
        <v>2695</v>
      </c>
      <c r="D53" s="18" t="str">
        <f t="shared" si="1"/>
        <v>10. Vorruhestand</v>
      </c>
      <c r="E53" s="33" t="s">
        <v>2796</v>
      </c>
      <c r="F53" s="6" t="s">
        <v>577</v>
      </c>
    </row>
    <row r="54" spans="1:6" ht="272.25">
      <c r="A54" s="17">
        <f>ROW()</f>
        <v>54</v>
      </c>
      <c r="B54" s="18" t="s">
        <v>2780</v>
      </c>
      <c r="C54" s="18" t="s">
        <v>2695</v>
      </c>
      <c r="D54" s="18" t="str">
        <f t="shared" si="1"/>
        <v>11. Beschwerliche und gefährliche Arbeit</v>
      </c>
      <c r="E54" s="33" t="s">
        <v>2797</v>
      </c>
      <c r="F54" s="6" t="s">
        <v>603</v>
      </c>
    </row>
    <row r="55" spans="1:6" ht="87.75">
      <c r="A55" s="17">
        <f>ROW()</f>
        <v>55</v>
      </c>
      <c r="B55" s="18" t="s">
        <v>2780</v>
      </c>
      <c r="C55" s="18" t="s">
        <v>2695</v>
      </c>
      <c r="D55" s="18" t="str">
        <f t="shared" si="1"/>
        <v>12. Teilrente</v>
      </c>
      <c r="E55" s="33" t="s">
        <v>2798</v>
      </c>
      <c r="F55" s="6" t="s">
        <v>630</v>
      </c>
    </row>
    <row r="56" spans="1:6" ht="171.75">
      <c r="A56" s="17">
        <f>ROW()</f>
        <v>56</v>
      </c>
      <c r="B56" s="18" t="s">
        <v>2780</v>
      </c>
      <c r="C56" s="18" t="s">
        <v>2695</v>
      </c>
      <c r="D56" s="18" t="str">
        <f t="shared" si="1"/>
        <v>13. Aufgeschobene Rente</v>
      </c>
      <c r="E56" s="33" t="s">
        <v>2893</v>
      </c>
      <c r="F56" s="6" t="s">
        <v>659</v>
      </c>
    </row>
    <row r="57" spans="1:6" ht="179.25">
      <c r="A57" s="17">
        <f>ROW()</f>
        <v>57</v>
      </c>
      <c r="B57" s="18" t="s">
        <v>2780</v>
      </c>
      <c r="C57" s="18" t="s">
        <v>2799</v>
      </c>
      <c r="D57" s="18" t="s">
        <v>2799</v>
      </c>
      <c r="E57" s="32" t="s">
        <v>2799</v>
      </c>
      <c r="F57" s="6" t="s">
        <v>690</v>
      </c>
    </row>
    <row r="58" spans="1:6" ht="246">
      <c r="A58" s="17">
        <f>ROW()</f>
        <v>58</v>
      </c>
      <c r="B58" s="18" t="s">
        <v>2780</v>
      </c>
      <c r="C58" s="18" t="s">
        <v>2799</v>
      </c>
      <c r="D58" s="18" t="str">
        <f t="shared" si="1"/>
        <v xml:space="preserve">Kumulation mit Erwerbseinkommen </v>
      </c>
      <c r="E58" s="32" t="s">
        <v>2697</v>
      </c>
      <c r="F58" s="6" t="s">
        <v>4861</v>
      </c>
    </row>
    <row r="59" spans="1:6" ht="286.5">
      <c r="A59" s="17">
        <f>ROW()</f>
        <v>59</v>
      </c>
      <c r="B59" s="18" t="s">
        <v>2780</v>
      </c>
      <c r="C59" s="18" t="s">
        <v>2799</v>
      </c>
      <c r="D59" s="18" t="s">
        <v>2800</v>
      </c>
      <c r="E59" s="32" t="s">
        <v>2696</v>
      </c>
      <c r="F59" s="6" t="s">
        <v>752</v>
      </c>
    </row>
    <row r="60" spans="1:6" ht="225.75">
      <c r="A60" s="17">
        <f>ROW()</f>
        <v>60</v>
      </c>
      <c r="B60" s="18" t="s">
        <v>2780</v>
      </c>
      <c r="C60" s="18" t="s">
        <v>761</v>
      </c>
      <c r="D60" s="18" t="str">
        <f t="shared" ref="D60:D70" si="2">+E60</f>
        <v>1. Besteuerung von Renten</v>
      </c>
      <c r="E60" s="33" t="s">
        <v>2801</v>
      </c>
      <c r="F60" s="6" t="s">
        <v>780</v>
      </c>
    </row>
    <row r="61" spans="1:6" ht="335.25">
      <c r="A61" s="17">
        <f>ROW()</f>
        <v>61</v>
      </c>
      <c r="B61" s="18" t="s">
        <v>2780</v>
      </c>
      <c r="C61" s="18" t="s">
        <v>761</v>
      </c>
      <c r="D61" s="18" t="str">
        <f t="shared" si="2"/>
        <v>2. Einkommensgrenze für Besteuerung von Renten</v>
      </c>
      <c r="E61" s="33" t="s">
        <v>2802</v>
      </c>
      <c r="F61" s="6" t="s">
        <v>809</v>
      </c>
    </row>
    <row r="62" spans="1:6" ht="264">
      <c r="A62" s="17">
        <f>ROW()</f>
        <v>62</v>
      </c>
      <c r="B62" s="18" t="s">
        <v>2780</v>
      </c>
      <c r="C62" s="18" t="s">
        <v>761</v>
      </c>
      <c r="D62" s="18" t="str">
        <f t="shared" si="2"/>
        <v>3. Auf Renten anfallende Sozialabgaben</v>
      </c>
      <c r="E62" s="33" t="s">
        <v>2803</v>
      </c>
      <c r="F62" s="6" t="s">
        <v>827</v>
      </c>
    </row>
    <row r="63" spans="1:6" ht="138">
      <c r="A63" s="17">
        <f>ROW()</f>
        <v>63</v>
      </c>
      <c r="B63" s="18" t="s">
        <v>2804</v>
      </c>
      <c r="C63" s="18" t="str">
        <f>+E63</f>
        <v>Anwendungsbereich</v>
      </c>
      <c r="D63" s="18" t="str">
        <f t="shared" si="2"/>
        <v>Anwendungsbereich</v>
      </c>
      <c r="E63" s="33" t="s">
        <v>2708</v>
      </c>
      <c r="F63" s="6" t="s">
        <v>849</v>
      </c>
    </row>
    <row r="64" spans="1:6" ht="132.75">
      <c r="A64" s="17">
        <f>ROW()</f>
        <v>64</v>
      </c>
      <c r="B64" s="18" t="s">
        <v>2804</v>
      </c>
      <c r="C64" s="18" t="s">
        <v>2775</v>
      </c>
      <c r="D64" s="18" t="str">
        <f t="shared" si="2"/>
        <v>Grundprinzipien</v>
      </c>
      <c r="E64" s="33" t="s">
        <v>2709</v>
      </c>
      <c r="F64" s="6" t="s">
        <v>885</v>
      </c>
    </row>
    <row r="65" spans="1:6" ht="224.25">
      <c r="A65" s="17">
        <f>ROW()</f>
        <v>65</v>
      </c>
      <c r="B65" s="18" t="s">
        <v>2804</v>
      </c>
      <c r="C65" s="18" t="s">
        <v>2775</v>
      </c>
      <c r="D65" s="18" t="str">
        <f t="shared" si="2"/>
        <v>Voraussetzungen für die Deckung</v>
      </c>
      <c r="E65" s="33" t="s">
        <v>2710</v>
      </c>
      <c r="F65" s="6" t="s">
        <v>911</v>
      </c>
    </row>
    <row r="66" spans="1:6" ht="409.5">
      <c r="A66" s="17">
        <f>ROW()</f>
        <v>66</v>
      </c>
      <c r="B66" s="18" t="s">
        <v>2804</v>
      </c>
      <c r="C66" s="18" t="s">
        <v>2775</v>
      </c>
      <c r="D66" s="18" t="str">
        <f t="shared" si="2"/>
        <v>Kombination von selbstständiger und unselbstständiger Tätigkeit</v>
      </c>
      <c r="E66" s="33" t="s">
        <v>2698</v>
      </c>
      <c r="F66" s="6" t="s">
        <v>932</v>
      </c>
    </row>
    <row r="67" spans="1:6" ht="376.5">
      <c r="A67" s="17">
        <f>ROW()</f>
        <v>67</v>
      </c>
      <c r="B67" s="18" t="s">
        <v>2804</v>
      </c>
      <c r="C67" s="18" t="s">
        <v>2695</v>
      </c>
      <c r="D67" s="19" t="str">
        <f t="shared" si="2"/>
        <v xml:space="preserve">Voraussetzungen für den Zugang zu Diensten/Leistungen </v>
      </c>
      <c r="E67" s="33" t="s">
        <v>2699</v>
      </c>
      <c r="F67" s="6" t="s">
        <v>940</v>
      </c>
    </row>
    <row r="68" spans="1:6" ht="253.5">
      <c r="A68" s="17">
        <f>ROW()</f>
        <v>68</v>
      </c>
      <c r="B68" s="18" t="s">
        <v>2804</v>
      </c>
      <c r="C68" s="18" t="s">
        <v>2695</v>
      </c>
      <c r="D68" s="19" t="str">
        <f t="shared" si="2"/>
        <v>Beträge, Dauer und Kostenbeteiligung</v>
      </c>
      <c r="E68" s="33" t="s">
        <v>2700</v>
      </c>
      <c r="F68" s="6" t="s">
        <v>940</v>
      </c>
    </row>
    <row r="69" spans="1:6" ht="216">
      <c r="A69" s="17">
        <f>ROW()</f>
        <v>69</v>
      </c>
      <c r="B69" s="18" t="s">
        <v>2804</v>
      </c>
      <c r="C69" s="18" t="s">
        <v>2695</v>
      </c>
      <c r="D69" s="19" t="str">
        <f t="shared" si="2"/>
        <v>Besteuerung von Geldleistungen</v>
      </c>
      <c r="E69" s="33" t="s">
        <v>2681</v>
      </c>
      <c r="F69" s="6" t="s">
        <v>940</v>
      </c>
    </row>
    <row r="70" spans="1:6" ht="272.25">
      <c r="A70" s="17">
        <f>ROW()</f>
        <v>70</v>
      </c>
      <c r="B70" s="18" t="s">
        <v>2804</v>
      </c>
      <c r="C70" s="18" t="s">
        <v>2695</v>
      </c>
      <c r="D70" s="19" t="str">
        <f t="shared" si="2"/>
        <v>Auf Leistungen anfallende Sozialabgaben</v>
      </c>
      <c r="E70" s="33" t="s">
        <v>2683</v>
      </c>
      <c r="F70" s="6" t="s">
        <v>940</v>
      </c>
    </row>
    <row r="71" spans="1:6" ht="177">
      <c r="A71" s="17">
        <f>ROW()</f>
        <v>71</v>
      </c>
      <c r="B71" s="18" t="s">
        <v>2702</v>
      </c>
      <c r="C71" s="18" t="str">
        <f t="shared" ref="C71:D75" si="3">+D71</f>
        <v>Geltende Rechtsgrundlage</v>
      </c>
      <c r="D71" s="19" t="str">
        <f t="shared" si="3"/>
        <v>Geltende Rechtsgrundlage</v>
      </c>
      <c r="E71" s="32" t="s">
        <v>2724</v>
      </c>
      <c r="F71" s="6" t="s">
        <v>1009</v>
      </c>
    </row>
    <row r="72" spans="1:6" ht="110.25">
      <c r="A72" s="17">
        <f>ROW()</f>
        <v>72</v>
      </c>
      <c r="B72" s="18" t="s">
        <v>2702</v>
      </c>
      <c r="C72" s="18" t="str">
        <f t="shared" si="3"/>
        <v>Grundprinzipien</v>
      </c>
      <c r="D72" s="19" t="str">
        <f t="shared" si="3"/>
        <v>Grundprinzipien</v>
      </c>
      <c r="E72" s="32" t="s">
        <v>2709</v>
      </c>
      <c r="F72" s="6" t="s">
        <v>1038</v>
      </c>
    </row>
    <row r="73" spans="1:6" ht="315">
      <c r="A73" s="17">
        <f>ROW()</f>
        <v>73</v>
      </c>
      <c r="B73" s="18" t="s">
        <v>2702</v>
      </c>
      <c r="C73" s="19" t="str">
        <f t="shared" si="3"/>
        <v>Anwendungsbereich (in Bezug auf Verstorbene)</v>
      </c>
      <c r="D73" s="19" t="str">
        <f t="shared" si="3"/>
        <v>Anwendungsbereich (in Bezug auf Verstorbene)</v>
      </c>
      <c r="E73" s="32" t="s">
        <v>2725</v>
      </c>
      <c r="F73" s="6" t="s">
        <v>4862</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1085</v>
      </c>
    </row>
    <row r="75" spans="1:6" ht="144.75">
      <c r="A75" s="17">
        <f>ROW()</f>
        <v>75</v>
      </c>
      <c r="B75" s="18" t="s">
        <v>2702</v>
      </c>
      <c r="C75" s="19" t="str">
        <f t="shared" si="3"/>
        <v>Berechtigte Personen</v>
      </c>
      <c r="D75" s="19" t="str">
        <f t="shared" si="3"/>
        <v>Berechtigte Personen</v>
      </c>
      <c r="E75" s="32" t="s">
        <v>2730</v>
      </c>
      <c r="F75" s="6" t="s">
        <v>1113</v>
      </c>
    </row>
    <row r="76" spans="1:6" ht="102">
      <c r="A76" s="17">
        <f>ROW()</f>
        <v>76</v>
      </c>
      <c r="B76" s="18" t="s">
        <v>2702</v>
      </c>
      <c r="C76" s="1"/>
      <c r="D76" s="1"/>
      <c r="E76" s="32" t="s">
        <v>2783</v>
      </c>
      <c r="F76" s="6"/>
    </row>
    <row r="77" spans="1:6" ht="189.75">
      <c r="A77" s="17">
        <f>ROW()</f>
        <v>77</v>
      </c>
      <c r="B77" s="18" t="s">
        <v>2702</v>
      </c>
      <c r="C77" s="18" t="s">
        <v>2805</v>
      </c>
      <c r="D77" s="18" t="str">
        <f t="shared" ref="D77:D90" si="4">+E77</f>
        <v>1. Verstorbener Versicherter</v>
      </c>
      <c r="E77" s="33" t="s">
        <v>2806</v>
      </c>
      <c r="F77" s="6" t="s">
        <v>1144</v>
      </c>
    </row>
    <row r="78" spans="1:6" ht="185.25">
      <c r="A78" s="17">
        <f>ROW()</f>
        <v>78</v>
      </c>
      <c r="B78" s="18" t="s">
        <v>2702</v>
      </c>
      <c r="C78" s="18" t="s">
        <v>2805</v>
      </c>
      <c r="D78" s="18" t="str">
        <f t="shared" si="4"/>
        <v>2. Hinterbliebener Ehegatte</v>
      </c>
      <c r="E78" s="33" t="s">
        <v>2807</v>
      </c>
      <c r="F78" s="6" t="s">
        <v>4863</v>
      </c>
    </row>
    <row r="79" spans="1:6" ht="181.5">
      <c r="A79" s="17">
        <f>ROW()</f>
        <v>79</v>
      </c>
      <c r="B79" s="18" t="s">
        <v>2702</v>
      </c>
      <c r="C79" s="18" t="s">
        <v>2805</v>
      </c>
      <c r="D79" s="18" t="str">
        <f t="shared" si="4"/>
        <v>3. Geschiedener Ehegatte</v>
      </c>
      <c r="E79" s="33" t="s">
        <v>2808</v>
      </c>
      <c r="F79" s="6" t="s">
        <v>1204</v>
      </c>
    </row>
    <row r="80" spans="1:6" ht="216">
      <c r="A80" s="17">
        <f>ROW()</f>
        <v>80</v>
      </c>
      <c r="B80" s="18" t="s">
        <v>2702</v>
      </c>
      <c r="C80" s="18" t="s">
        <v>2805</v>
      </c>
      <c r="D80" s="18" t="str">
        <f t="shared" si="4"/>
        <v>4. Hinterbliebene Lebenspartner</v>
      </c>
      <c r="E80" s="33" t="s">
        <v>2809</v>
      </c>
      <c r="F80" s="6" t="s">
        <v>1204</v>
      </c>
    </row>
    <row r="81" spans="1:6" ht="181.5">
      <c r="A81" s="17">
        <f>ROW()</f>
        <v>81</v>
      </c>
      <c r="B81" s="18" t="s">
        <v>2702</v>
      </c>
      <c r="C81" s="18" t="s">
        <v>2805</v>
      </c>
      <c r="D81" s="18" t="str">
        <f t="shared" si="4"/>
        <v>5. Kinder</v>
      </c>
      <c r="E81" s="33" t="s">
        <v>2810</v>
      </c>
      <c r="F81" s="6" t="s">
        <v>1256</v>
      </c>
    </row>
    <row r="82" spans="1:6" ht="181.5">
      <c r="A82" s="17">
        <f>ROW()</f>
        <v>82</v>
      </c>
      <c r="B82" s="18" t="s">
        <v>2702</v>
      </c>
      <c r="C82" s="18" t="s">
        <v>2805</v>
      </c>
      <c r="D82" s="18" t="str">
        <f t="shared" si="4"/>
        <v>6. Andere Personen</v>
      </c>
      <c r="E82" s="33" t="s">
        <v>2811</v>
      </c>
      <c r="F82" s="6" t="s">
        <v>1277</v>
      </c>
    </row>
    <row r="83" spans="1:6" ht="409.5">
      <c r="A83" s="17">
        <f>ROW()</f>
        <v>83</v>
      </c>
      <c r="B83" s="18" t="s">
        <v>2702</v>
      </c>
      <c r="C83" s="18" t="s">
        <v>2695</v>
      </c>
      <c r="D83" s="19" t="str">
        <f t="shared" si="4"/>
        <v>1. Hinterbliebener Ehegatte, geschiedener Ehegatte, hinterbliebene Lebenspartner</v>
      </c>
      <c r="E83" s="33" t="s">
        <v>2812</v>
      </c>
      <c r="F83" s="6" t="s">
        <v>1304</v>
      </c>
    </row>
    <row r="84" spans="1:6" ht="280.5">
      <c r="A84" s="17">
        <f>ROW()</f>
        <v>84</v>
      </c>
      <c r="B84" s="18" t="s">
        <v>2702</v>
      </c>
      <c r="C84" s="18" t="s">
        <v>2695</v>
      </c>
      <c r="D84" s="19" t="str">
        <f t="shared" si="4"/>
        <v>2. Hinterbliebener Ehegatte: Wiederheirat</v>
      </c>
      <c r="E84" s="33" t="s">
        <v>2813</v>
      </c>
      <c r="F84" s="6" t="s">
        <v>1333</v>
      </c>
    </row>
    <row r="85" spans="1:6" ht="135">
      <c r="A85" s="17">
        <f>ROW()</f>
        <v>85</v>
      </c>
      <c r="B85" s="18" t="s">
        <v>2702</v>
      </c>
      <c r="C85" s="18" t="s">
        <v>2695</v>
      </c>
      <c r="D85" s="19" t="str">
        <f t="shared" si="4"/>
        <v>3. Kinder</v>
      </c>
      <c r="E85" s="33" t="s">
        <v>2814</v>
      </c>
      <c r="F85" s="6" t="s">
        <v>1364</v>
      </c>
    </row>
    <row r="86" spans="1:6" ht="147">
      <c r="A86" s="17">
        <f>ROW()</f>
        <v>86</v>
      </c>
      <c r="B86" s="18" t="s">
        <v>2702</v>
      </c>
      <c r="C86" s="18" t="s">
        <v>2695</v>
      </c>
      <c r="D86" s="19" t="str">
        <f t="shared" si="4"/>
        <v>4. Andere Berechtigte</v>
      </c>
      <c r="E86" s="33" t="s">
        <v>2815</v>
      </c>
      <c r="F86" s="6" t="s">
        <v>1265</v>
      </c>
    </row>
    <row r="87" spans="1:6" ht="381">
      <c r="A87" s="17">
        <f>ROW()</f>
        <v>87</v>
      </c>
      <c r="B87" s="18" t="s">
        <v>2702</v>
      </c>
      <c r="C87" s="18" t="s">
        <v>2695</v>
      </c>
      <c r="D87" s="19" t="str">
        <f t="shared" si="4"/>
        <v xml:space="preserve"> 5. Höchster zahlbarer Gesamtbetrag für alle Berechtigten</v>
      </c>
      <c r="E87" s="33" t="s">
        <v>2816</v>
      </c>
      <c r="F87" s="6" t="s">
        <v>1405</v>
      </c>
    </row>
    <row r="88" spans="1:6" ht="151.5">
      <c r="A88" s="17">
        <f>ROW()</f>
        <v>88</v>
      </c>
      <c r="B88" s="18" t="s">
        <v>2702</v>
      </c>
      <c r="C88" s="18" t="s">
        <v>2695</v>
      </c>
      <c r="D88" s="19" t="str">
        <f t="shared" si="4"/>
        <v>6. Sonstige Leistungen</v>
      </c>
      <c r="E88" s="33" t="s">
        <v>2817</v>
      </c>
      <c r="F88" s="6" t="s">
        <v>1434</v>
      </c>
    </row>
    <row r="89" spans="1:6" ht="126.75">
      <c r="A89" s="17">
        <f>ROW()</f>
        <v>89</v>
      </c>
      <c r="B89" s="18" t="s">
        <v>2702</v>
      </c>
      <c r="C89" s="18" t="s">
        <v>2695</v>
      </c>
      <c r="D89" s="19" t="str">
        <f>+E89</f>
        <v>7. Mindestleistung</v>
      </c>
      <c r="E89" s="33" t="s">
        <v>2818</v>
      </c>
      <c r="F89" s="6" t="s">
        <v>1462</v>
      </c>
    </row>
    <row r="90" spans="1:6" ht="122.25">
      <c r="A90" s="17">
        <f>ROW()</f>
        <v>90</v>
      </c>
      <c r="B90" s="18" t="s">
        <v>2702</v>
      </c>
      <c r="C90" s="18" t="s">
        <v>2695</v>
      </c>
      <c r="D90" s="19" t="str">
        <f t="shared" si="4"/>
        <v xml:space="preserve"> 8. Höchstleistung</v>
      </c>
      <c r="E90" s="33" t="s">
        <v>2819</v>
      </c>
      <c r="F90" s="6" t="s">
        <v>1485</v>
      </c>
    </row>
    <row r="91" spans="1:6" ht="179.25">
      <c r="A91" s="17">
        <f>ROW()</f>
        <v>91</v>
      </c>
      <c r="B91" s="18" t="s">
        <v>2702</v>
      </c>
      <c r="C91" s="18" t="s">
        <v>2799</v>
      </c>
      <c r="D91" s="19" t="str">
        <f>+C91</f>
        <v>Indexbindung / Anpassung</v>
      </c>
      <c r="E91" s="32" t="s">
        <v>2799</v>
      </c>
      <c r="F91" s="6" t="s">
        <v>1513</v>
      </c>
    </row>
    <row r="92" spans="1:6" ht="242.25">
      <c r="A92" s="17">
        <f>ROW()</f>
        <v>92</v>
      </c>
      <c r="B92" s="18" t="s">
        <v>2702</v>
      </c>
      <c r="C92" s="18" t="s">
        <v>2799</v>
      </c>
      <c r="D92" s="19" t="str">
        <f t="shared" ref="D92:D105" si="5">+E92</f>
        <v>Kumulation mit Erwerbseinkommen</v>
      </c>
      <c r="E92" s="32" t="s">
        <v>2723</v>
      </c>
      <c r="F92" s="6" t="s">
        <v>4864</v>
      </c>
    </row>
    <row r="93" spans="1:6" ht="275.25">
      <c r="A93" s="17">
        <f>ROW()</f>
        <v>93</v>
      </c>
      <c r="B93" s="18" t="s">
        <v>2702</v>
      </c>
      <c r="C93" s="18" t="s">
        <v>2799</v>
      </c>
      <c r="D93" s="19" t="str">
        <f t="shared" si="5"/>
        <v>Kumulation mit anderen Sozialleistungen</v>
      </c>
      <c r="E93" s="32" t="s">
        <v>2696</v>
      </c>
      <c r="F93" s="6" t="s">
        <v>1574</v>
      </c>
    </row>
    <row r="94" spans="1:6" ht="232.5">
      <c r="A94" s="17">
        <f>ROW()</f>
        <v>94</v>
      </c>
      <c r="B94" s="18" t="s">
        <v>2702</v>
      </c>
      <c r="C94" s="19" t="s">
        <v>2701</v>
      </c>
      <c r="D94" s="19" t="str">
        <f t="shared" si="5"/>
        <v>1. Besteuerung von Geldleistungen</v>
      </c>
      <c r="E94" s="33" t="s">
        <v>2770</v>
      </c>
      <c r="F94" s="6" t="s">
        <v>1595</v>
      </c>
    </row>
    <row r="95" spans="1:6" ht="387">
      <c r="A95" s="17">
        <f>ROW()</f>
        <v>95</v>
      </c>
      <c r="B95" s="18" t="s">
        <v>2702</v>
      </c>
      <c r="C95" s="19" t="s">
        <v>2701</v>
      </c>
      <c r="D95" s="19" t="str">
        <f t="shared" si="5"/>
        <v>2. Einkommensgrenze für Besteuerung von Geldleistungen</v>
      </c>
      <c r="E95" s="33" t="s">
        <v>2772</v>
      </c>
      <c r="F95" s="6" t="s">
        <v>1619</v>
      </c>
    </row>
    <row r="96" spans="1:6" ht="288.75">
      <c r="A96" s="17">
        <f>ROW()</f>
        <v>96</v>
      </c>
      <c r="B96" s="18" t="s">
        <v>2702</v>
      </c>
      <c r="C96" s="19" t="s">
        <v>2701</v>
      </c>
      <c r="D96" s="19" t="str">
        <f t="shared" si="5"/>
        <v>3. Auf Leistungen anfallende Sozialabgaben</v>
      </c>
      <c r="E96" s="33" t="s">
        <v>2773</v>
      </c>
      <c r="F96" s="6" t="s">
        <v>827</v>
      </c>
    </row>
    <row r="97" spans="1:6" ht="138">
      <c r="A97" s="17">
        <f>ROW()</f>
        <v>97</v>
      </c>
      <c r="B97" s="18" t="s">
        <v>2702</v>
      </c>
      <c r="C97" s="19" t="s">
        <v>2775</v>
      </c>
      <c r="D97" s="19" t="str">
        <f t="shared" si="5"/>
        <v>Anwendungsbereich</v>
      </c>
      <c r="E97" s="33" t="s">
        <v>2708</v>
      </c>
      <c r="F97" s="6" t="s">
        <v>849</v>
      </c>
    </row>
    <row r="98" spans="1:6" ht="110.25">
      <c r="A98" s="17">
        <f>ROW()</f>
        <v>98</v>
      </c>
      <c r="B98" s="18" t="s">
        <v>2702</v>
      </c>
      <c r="C98" s="19" t="s">
        <v>2775</v>
      </c>
      <c r="D98" s="19" t="str">
        <f t="shared" si="5"/>
        <v>Grundprinzipien</v>
      </c>
      <c r="E98" s="33" t="s">
        <v>2709</v>
      </c>
      <c r="F98" s="6" t="s">
        <v>1669</v>
      </c>
    </row>
    <row r="99" spans="1:6" ht="224.25">
      <c r="A99" s="17">
        <f>ROW()</f>
        <v>99</v>
      </c>
      <c r="B99" s="18" t="s">
        <v>2702</v>
      </c>
      <c r="C99" s="19" t="s">
        <v>2775</v>
      </c>
      <c r="D99" s="19" t="str">
        <f t="shared" si="5"/>
        <v>Voraussetzungen für die Deckung</v>
      </c>
      <c r="E99" s="33" t="s">
        <v>2710</v>
      </c>
      <c r="F99" s="6" t="s">
        <v>1669</v>
      </c>
    </row>
    <row r="100" spans="1:6" ht="409.5">
      <c r="A100" s="17">
        <f>ROW()</f>
        <v>100</v>
      </c>
      <c r="B100" s="18" t="s">
        <v>2702</v>
      </c>
      <c r="C100" s="19" t="s">
        <v>2775</v>
      </c>
      <c r="D100" s="19" t="str">
        <f t="shared" si="5"/>
        <v>Kombination von selbstständiger und unselbstständiger Tätigkeit</v>
      </c>
      <c r="E100" s="33" t="s">
        <v>2698</v>
      </c>
      <c r="F100" s="6" t="s">
        <v>1669</v>
      </c>
    </row>
    <row r="101" spans="1:6" ht="376.5">
      <c r="A101" s="17">
        <f>ROW()</f>
        <v>101</v>
      </c>
      <c r="B101" s="18" t="s">
        <v>2702</v>
      </c>
      <c r="C101" s="19" t="s">
        <v>2775</v>
      </c>
      <c r="D101" s="19" t="str">
        <f t="shared" si="5"/>
        <v xml:space="preserve">Voraussetzungen für den Zugang zu Diensten/Leistungen </v>
      </c>
      <c r="E101" s="33" t="s">
        <v>2699</v>
      </c>
      <c r="F101" s="6" t="s">
        <v>940</v>
      </c>
    </row>
    <row r="102" spans="1:6" ht="253.5">
      <c r="A102" s="17">
        <f>ROW()</f>
        <v>102</v>
      </c>
      <c r="B102" s="18" t="s">
        <v>2702</v>
      </c>
      <c r="C102" s="19" t="s">
        <v>2775</v>
      </c>
      <c r="D102" s="19" t="str">
        <f t="shared" si="5"/>
        <v>Beträge, Dauer und Kostenbeteiligung</v>
      </c>
      <c r="E102" s="33" t="s">
        <v>2700</v>
      </c>
      <c r="F102" s="6" t="s">
        <v>940</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940</v>
      </c>
    </row>
    <row r="105" spans="1:6" ht="272.25">
      <c r="A105" s="17">
        <f>ROW()</f>
        <v>105</v>
      </c>
      <c r="B105" s="18" t="s">
        <v>2702</v>
      </c>
      <c r="C105" s="19" t="s">
        <v>2775</v>
      </c>
      <c r="D105" s="19" t="str">
        <f t="shared" si="5"/>
        <v>Auf Leistungen anfallende Sozialabgaben</v>
      </c>
      <c r="E105" s="33" t="s">
        <v>2683</v>
      </c>
      <c r="F105" s="6" t="s">
        <v>940</v>
      </c>
    </row>
  </sheetData>
  <sheetProtection algorithmName="SHA-512" hashValue="cSC50JUO/EIriGsJPhkHD0rb1ZyW68fonHKnBBJfqU1V6JYzVOxtFM1xCrNCJdXI/dneBvYxiwO1tzbYoDEjEw==" saltValue="/Ts5PSOA4FHmcMx8MKtF1Q==" spinCount="100000" sheet="1" objects="1" scenarios="1" formatColumns="0" autoFilter="0"/>
  <autoFilter ref="A2:F2" xr:uid="{258977FB-F523-4A96-957C-7B9481026FC9}"/>
  <pageMargins left="0.7" right="0.7" top="0.78740157499999996" bottom="0.78740157499999996"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4CC04-BC0A-49F3-A363-F4A151ECA42B}">
  <sheetPr codeName="Tabelle25"/>
  <dimension ref="A1:F105"/>
  <sheetViews>
    <sheetView workbookViewId="0">
      <pane xSplit="5" ySplit="2" topLeftCell="F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39" t="s">
        <v>2726</v>
      </c>
      <c r="C1" s="136" t="s">
        <v>2739</v>
      </c>
      <c r="D1" s="136" t="s">
        <v>2728</v>
      </c>
      <c r="E1" s="128" t="s">
        <v>3506</v>
      </c>
      <c r="F1" s="16" t="s">
        <v>23</v>
      </c>
    </row>
    <row r="2" spans="1:6" ht="39.75" customHeight="1">
      <c r="A2" s="138"/>
      <c r="B2" s="139"/>
      <c r="C2" s="136"/>
      <c r="D2" s="136"/>
      <c r="E2" s="134"/>
      <c r="F2" s="173" t="str" cm="1">
        <f t="array" ref="F2">_xlfn.TEXTJOIN("; ", TRUE, IF(Entscheidungen!A2:A100=F1, Entscheidungen!B2:B100, ""))</f>
        <v/>
      </c>
    </row>
    <row r="3" spans="1:6" ht="177">
      <c r="A3" s="17">
        <f>ROW()</f>
        <v>3</v>
      </c>
      <c r="B3" s="18" t="s">
        <v>2740</v>
      </c>
      <c r="C3" s="18"/>
      <c r="D3" s="18" t="str">
        <f>+E3</f>
        <v>Geltende Rechtsgrundlage</v>
      </c>
      <c r="E3" s="31" t="s">
        <v>2724</v>
      </c>
      <c r="F3" s="6" t="s">
        <v>2999</v>
      </c>
    </row>
    <row r="4" spans="1:6" ht="165">
      <c r="A4" s="17">
        <f>ROW()</f>
        <v>4</v>
      </c>
      <c r="B4" s="18" t="s">
        <v>2740</v>
      </c>
      <c r="C4" s="1"/>
      <c r="D4" s="18" t="str">
        <f t="shared" ref="D4:D34" si="0">+E4</f>
        <v>Grundprinzipien</v>
      </c>
      <c r="E4" s="32" t="s">
        <v>2709</v>
      </c>
      <c r="F4" s="6" t="s">
        <v>4865</v>
      </c>
    </row>
    <row r="5" spans="1:6" ht="188.25">
      <c r="A5" s="17">
        <f>ROW()</f>
        <v>5</v>
      </c>
      <c r="B5" s="18" t="s">
        <v>2740</v>
      </c>
      <c r="C5" s="1"/>
      <c r="D5" s="18" t="str">
        <f t="shared" si="0"/>
        <v>Gedecktes Risiko: Definition</v>
      </c>
      <c r="E5" s="32" t="s">
        <v>2891</v>
      </c>
      <c r="F5" s="6" t="s">
        <v>3000</v>
      </c>
    </row>
    <row r="6" spans="1:6" ht="144">
      <c r="A6" s="17">
        <f>ROW()</f>
        <v>6</v>
      </c>
      <c r="B6" s="18" t="s">
        <v>2740</v>
      </c>
      <c r="C6" s="18" t="s">
        <v>2653</v>
      </c>
      <c r="D6" s="18" t="str">
        <f t="shared" si="0"/>
        <v>Versicherte Personen</v>
      </c>
      <c r="E6" s="33" t="s">
        <v>2653</v>
      </c>
      <c r="F6" s="6" t="s">
        <v>3001</v>
      </c>
    </row>
    <row r="7" spans="1:6" ht="273">
      <c r="A7" s="17">
        <f>ROW()</f>
        <v>7</v>
      </c>
      <c r="B7" s="18" t="s">
        <v>2740</v>
      </c>
      <c r="C7" s="18" t="str">
        <f>+E6</f>
        <v>Versicherte Personen</v>
      </c>
      <c r="D7" s="18" t="str">
        <f t="shared" si="0"/>
        <v>Ausnahmen von der Versicherungspflicht</v>
      </c>
      <c r="E7" s="33" t="s">
        <v>2685</v>
      </c>
      <c r="F7" s="6" t="s">
        <v>125</v>
      </c>
    </row>
    <row r="8" spans="1:6" ht="194.25">
      <c r="A8" s="17">
        <f>ROW()</f>
        <v>8</v>
      </c>
      <c r="B8" s="18" t="s">
        <v>2740</v>
      </c>
      <c r="C8" s="19" t="s">
        <v>149</v>
      </c>
      <c r="D8" s="18" t="str">
        <f t="shared" si="0"/>
        <v>1. Anwartschaftszeit</v>
      </c>
      <c r="E8" s="33" t="s">
        <v>2744</v>
      </c>
      <c r="F8" s="6" t="s">
        <v>4866</v>
      </c>
    </row>
    <row r="9" spans="1:6" ht="409.5">
      <c r="A9" s="17">
        <f>ROW()</f>
        <v>9</v>
      </c>
      <c r="B9" s="18" t="s">
        <v>2740</v>
      </c>
      <c r="C9" s="19" t="s">
        <v>149</v>
      </c>
      <c r="D9" s="18" t="str">
        <f t="shared" si="0"/>
        <v xml:space="preserve">2. Begutachtungskriterien und Kategorien der Arbeitsunfähigkeit/Arbeitsfähigkeit  </v>
      </c>
      <c r="E9" s="33" t="s">
        <v>2745</v>
      </c>
      <c r="F9" s="6" t="s">
        <v>3002</v>
      </c>
    </row>
    <row r="10" spans="1:6" ht="222">
      <c r="A10" s="17">
        <f>ROW()</f>
        <v>10</v>
      </c>
      <c r="B10" s="18" t="s">
        <v>2740</v>
      </c>
      <c r="C10" s="19" t="s">
        <v>149</v>
      </c>
      <c r="D10" s="18" t="str">
        <f t="shared" si="0"/>
        <v>3. Zeitraum der Leistungszahlung</v>
      </c>
      <c r="E10" s="33" t="s">
        <v>2747</v>
      </c>
      <c r="F10" s="6" t="s">
        <v>4867</v>
      </c>
    </row>
    <row r="11" spans="1:6" ht="150">
      <c r="A11" s="17">
        <f>ROW()</f>
        <v>11</v>
      </c>
      <c r="B11" s="18" t="s">
        <v>2740</v>
      </c>
      <c r="C11" s="19" t="s">
        <v>2749</v>
      </c>
      <c r="D11" s="18" t="str">
        <f t="shared" si="0"/>
        <v>1. Gutachter</v>
      </c>
      <c r="E11" s="33" t="s">
        <v>2750</v>
      </c>
      <c r="F11" s="6" t="s">
        <v>3003</v>
      </c>
    </row>
    <row r="12" spans="1:6" ht="165">
      <c r="A12" s="17">
        <f>ROW()</f>
        <v>12</v>
      </c>
      <c r="B12" s="18" t="s">
        <v>2740</v>
      </c>
      <c r="C12" s="19" t="s">
        <v>2749</v>
      </c>
      <c r="D12" s="18" t="str">
        <f t="shared" si="0"/>
        <v xml:space="preserve">2. Überprüfung  </v>
      </c>
      <c r="E12" s="33" t="s">
        <v>2751</v>
      </c>
      <c r="F12" s="6" t="s">
        <v>3004</v>
      </c>
    </row>
    <row r="13" spans="1:6" ht="375">
      <c r="A13" s="17">
        <f>ROW()</f>
        <v>13</v>
      </c>
      <c r="B13" s="18" t="s">
        <v>2740</v>
      </c>
      <c r="C13" s="18" t="s">
        <v>2695</v>
      </c>
      <c r="D13" s="18" t="str">
        <f t="shared" si="0"/>
        <v>1. Berechnungsmethode bzw. Rentenformel</v>
      </c>
      <c r="E13" s="33" t="s">
        <v>2753</v>
      </c>
      <c r="F13" s="6" t="s">
        <v>4868</v>
      </c>
    </row>
    <row r="14" spans="1:6" ht="343.5">
      <c r="A14" s="17">
        <f>ROW()</f>
        <v>14</v>
      </c>
      <c r="B14" s="18" t="s">
        <v>2740</v>
      </c>
      <c r="C14" s="18" t="s">
        <v>2695</v>
      </c>
      <c r="D14" s="18" t="str">
        <f t="shared" si="0"/>
        <v>2. Referenzeinkommen bzw. Berechnungsgrundlage</v>
      </c>
      <c r="E14" s="33" t="s">
        <v>2754</v>
      </c>
      <c r="F14" s="6" t="s">
        <v>3005</v>
      </c>
    </row>
    <row r="15" spans="1:6" ht="226.5">
      <c r="A15" s="17">
        <f>ROW()</f>
        <v>15</v>
      </c>
      <c r="B15" s="18" t="s">
        <v>2740</v>
      </c>
      <c r="C15" s="18" t="s">
        <v>2695</v>
      </c>
      <c r="D15" s="18" t="str">
        <f t="shared" si="0"/>
        <v>3. Mindest- und Höchstleistungen</v>
      </c>
      <c r="E15" s="33" t="s">
        <v>2756</v>
      </c>
      <c r="F15" s="6" t="s">
        <v>3006</v>
      </c>
    </row>
    <row r="16" spans="1:6" ht="405">
      <c r="A16" s="17">
        <f>ROW()</f>
        <v>16</v>
      </c>
      <c r="B16" s="18" t="s">
        <v>2740</v>
      </c>
      <c r="C16" s="18" t="s">
        <v>2695</v>
      </c>
      <c r="D16" s="18" t="str">
        <f t="shared" si="0"/>
        <v>4. Anrechenbare oder als Beitragszeiten gewertete Zeiträume</v>
      </c>
      <c r="E16" s="33" t="s">
        <v>2757</v>
      </c>
      <c r="F16" s="6" t="s">
        <v>3007</v>
      </c>
    </row>
    <row r="17" spans="1:6" ht="250.5">
      <c r="A17" s="17">
        <f>ROW()</f>
        <v>17</v>
      </c>
      <c r="B17" s="18" t="s">
        <v>2740</v>
      </c>
      <c r="C17" s="18" t="s">
        <v>2695</v>
      </c>
      <c r="D17" s="18" t="str">
        <f t="shared" si="0"/>
        <v xml:space="preserve">5. Zulagen für Unterhaltsberechtigte  </v>
      </c>
      <c r="E17" s="33" t="s">
        <v>2759</v>
      </c>
      <c r="F17" s="6" t="s">
        <v>447</v>
      </c>
    </row>
    <row r="18" spans="1:6" ht="409.5">
      <c r="A18" s="17">
        <f>ROW()</f>
        <v>18</v>
      </c>
      <c r="B18" s="18" t="s">
        <v>2740</v>
      </c>
      <c r="C18" s="18" t="str">
        <f>+E18</f>
        <v>Sonstige Leistungen</v>
      </c>
      <c r="D18" s="18" t="str">
        <f>+E18</f>
        <v>Sonstige Leistungen</v>
      </c>
      <c r="E18" s="32" t="s">
        <v>2678</v>
      </c>
      <c r="F18" s="6" t="s">
        <v>4869</v>
      </c>
    </row>
    <row r="19" spans="1:6" ht="300.75">
      <c r="A19" s="17">
        <f>ROW()</f>
        <v>19</v>
      </c>
      <c r="B19" s="18" t="s">
        <v>2740</v>
      </c>
      <c r="C19" s="18" t="s">
        <v>2761</v>
      </c>
      <c r="D19" s="18" t="str">
        <f t="shared" si="0"/>
        <v>Umschulung, berufsbezogene Rehabilitation</v>
      </c>
      <c r="E19" s="33" t="s">
        <v>2762</v>
      </c>
      <c r="F19" s="6" t="s">
        <v>3008</v>
      </c>
    </row>
    <row r="20" spans="1:6" ht="409.5">
      <c r="A20" s="17">
        <f>ROW()</f>
        <v>20</v>
      </c>
      <c r="B20" s="18" t="s">
        <v>2740</v>
      </c>
      <c r="C20" s="18" t="s">
        <v>2761</v>
      </c>
      <c r="D20" s="18" t="str">
        <f t="shared" si="0"/>
        <v xml:space="preserve">Bevorzugte und reservierte Beschäftigung von Menschen mit Behinderungen  </v>
      </c>
      <c r="E20" s="33" t="s">
        <v>2763</v>
      </c>
      <c r="F20" s="6" t="s">
        <v>3009</v>
      </c>
    </row>
    <row r="21" spans="1:6" ht="171.75">
      <c r="A21" s="17">
        <f>ROW()</f>
        <v>21</v>
      </c>
      <c r="B21" s="18" t="s">
        <v>2740</v>
      </c>
      <c r="C21" s="18" t="s">
        <v>2765</v>
      </c>
      <c r="D21" s="18" t="str">
        <f t="shared" si="0"/>
        <v>Indexbindung/Anpassung</v>
      </c>
      <c r="E21" s="32" t="s">
        <v>2766</v>
      </c>
      <c r="F21" s="6" t="s">
        <v>3010</v>
      </c>
    </row>
    <row r="22" spans="1:6" ht="242.25">
      <c r="A22" s="17">
        <f>ROW()</f>
        <v>22</v>
      </c>
      <c r="B22" s="18" t="s">
        <v>2740</v>
      </c>
      <c r="C22" s="18" t="s">
        <v>2765</v>
      </c>
      <c r="D22" s="18" t="str">
        <f>+E22</f>
        <v>Kumulation mit Erwerbseinkommen</v>
      </c>
      <c r="E22" s="32" t="s">
        <v>2723</v>
      </c>
      <c r="F22" s="6" t="s">
        <v>3011</v>
      </c>
    </row>
    <row r="23" spans="1:6" ht="275.25">
      <c r="A23" s="17">
        <f>ROW()</f>
        <v>23</v>
      </c>
      <c r="B23" s="18" t="s">
        <v>2740</v>
      </c>
      <c r="C23" s="18" t="s">
        <v>2765</v>
      </c>
      <c r="D23" s="18" t="str">
        <f t="shared" si="0"/>
        <v>Kumulation mit anderen Sozialleistungen</v>
      </c>
      <c r="E23" s="32" t="s">
        <v>2696</v>
      </c>
      <c r="F23" s="6" t="s">
        <v>3012</v>
      </c>
    </row>
    <row r="24" spans="1:6" ht="232.5">
      <c r="A24" s="17">
        <f>ROW()</f>
        <v>24</v>
      </c>
      <c r="B24" s="18" t="s">
        <v>2740</v>
      </c>
      <c r="C24" s="18" t="s">
        <v>2701</v>
      </c>
      <c r="D24" s="18" t="str">
        <f t="shared" si="0"/>
        <v>1. Besteuerung von Geldleistungen</v>
      </c>
      <c r="E24" s="33" t="s">
        <v>2770</v>
      </c>
      <c r="F24" s="6" t="s">
        <v>3013</v>
      </c>
    </row>
    <row r="25" spans="1:6" ht="387">
      <c r="A25" s="17">
        <f>ROW()</f>
        <v>25</v>
      </c>
      <c r="B25" s="18" t="s">
        <v>2740</v>
      </c>
      <c r="C25" s="18" t="s">
        <v>2701</v>
      </c>
      <c r="D25" s="18" t="str">
        <f t="shared" si="0"/>
        <v>2. Einkommensgrenze für Besteuerung von Geldleistungen</v>
      </c>
      <c r="E25" s="33" t="s">
        <v>2772</v>
      </c>
      <c r="F25" s="6" t="s">
        <v>3014</v>
      </c>
    </row>
    <row r="26" spans="1:6" ht="288.75">
      <c r="A26" s="17">
        <f>ROW()</f>
        <v>26</v>
      </c>
      <c r="B26" s="18" t="s">
        <v>2740</v>
      </c>
      <c r="C26" s="18" t="s">
        <v>2701</v>
      </c>
      <c r="D26" s="18" t="str">
        <f t="shared" si="0"/>
        <v>3. Auf Leistungen anfallende Sozialabgaben</v>
      </c>
      <c r="E26" s="33" t="s">
        <v>2773</v>
      </c>
      <c r="F26" s="6" t="s">
        <v>825</v>
      </c>
    </row>
    <row r="27" spans="1:6" ht="138">
      <c r="A27" s="17">
        <f>ROW()</f>
        <v>27</v>
      </c>
      <c r="B27" s="18" t="s">
        <v>2740</v>
      </c>
      <c r="C27" s="18" t="s">
        <v>2775</v>
      </c>
      <c r="D27" s="18" t="str">
        <f t="shared" si="0"/>
        <v>Anwendungsbereich</v>
      </c>
      <c r="E27" s="33" t="s">
        <v>2708</v>
      </c>
      <c r="F27" s="6" t="s">
        <v>849</v>
      </c>
    </row>
    <row r="28" spans="1:6" ht="110.25">
      <c r="A28" s="17">
        <f>ROW()</f>
        <v>28</v>
      </c>
      <c r="B28" s="18" t="s">
        <v>2740</v>
      </c>
      <c r="C28" s="18" t="s">
        <v>2775</v>
      </c>
      <c r="D28" s="18" t="str">
        <f t="shared" si="0"/>
        <v>Grundprinzipien</v>
      </c>
      <c r="E28" s="33" t="s">
        <v>2709</v>
      </c>
      <c r="F28" s="6" t="s">
        <v>4870</v>
      </c>
    </row>
    <row r="29" spans="1:6" ht="224.25">
      <c r="A29" s="17">
        <f>ROW()</f>
        <v>29</v>
      </c>
      <c r="B29" s="18" t="s">
        <v>2740</v>
      </c>
      <c r="C29" s="18" t="s">
        <v>2775</v>
      </c>
      <c r="D29" s="18" t="str">
        <f t="shared" si="0"/>
        <v>Voraussetzungen für die Deckung</v>
      </c>
      <c r="E29" s="33" t="s">
        <v>2710</v>
      </c>
      <c r="F29" s="6" t="s">
        <v>912</v>
      </c>
    </row>
    <row r="30" spans="1:6" ht="409.5">
      <c r="A30" s="17">
        <f>ROW()</f>
        <v>30</v>
      </c>
      <c r="B30" s="18" t="s">
        <v>2740</v>
      </c>
      <c r="C30" s="18" t="s">
        <v>2775</v>
      </c>
      <c r="D30" s="19" t="str">
        <f t="shared" si="0"/>
        <v>Kombination von selbstständiger und unselbstständiger Tätigkeit</v>
      </c>
      <c r="E30" s="33" t="s">
        <v>2698</v>
      </c>
      <c r="F30" s="6" t="s">
        <v>933</v>
      </c>
    </row>
    <row r="31" spans="1:6" ht="376.5">
      <c r="A31" s="17">
        <f>ROW()</f>
        <v>31</v>
      </c>
      <c r="B31" s="18" t="s">
        <v>2740</v>
      </c>
      <c r="C31" s="18" t="s">
        <v>2695</v>
      </c>
      <c r="D31" s="19" t="str">
        <f t="shared" si="0"/>
        <v xml:space="preserve">Voraussetzungen für den Zugang zu Diensten/Leistungen </v>
      </c>
      <c r="E31" s="33" t="s">
        <v>2699</v>
      </c>
      <c r="F31" s="6" t="s">
        <v>917</v>
      </c>
    </row>
    <row r="32" spans="1:6" ht="253.5">
      <c r="A32" s="17">
        <f>ROW()</f>
        <v>32</v>
      </c>
      <c r="B32" s="18" t="s">
        <v>2740</v>
      </c>
      <c r="C32" s="18" t="s">
        <v>2695</v>
      </c>
      <c r="D32" s="18" t="str">
        <f t="shared" si="0"/>
        <v>Beträge, Dauer und Kostenbeteiligung</v>
      </c>
      <c r="E32" s="33" t="s">
        <v>2700</v>
      </c>
      <c r="F32" s="6" t="s">
        <v>917</v>
      </c>
    </row>
    <row r="33" spans="1:6" ht="216">
      <c r="A33" s="17">
        <f>ROW()</f>
        <v>33</v>
      </c>
      <c r="B33" s="18" t="s">
        <v>2740</v>
      </c>
      <c r="C33" s="18" t="s">
        <v>2695</v>
      </c>
      <c r="D33" s="18" t="str">
        <f t="shared" si="0"/>
        <v>Besteuerung von Geldleistungen</v>
      </c>
      <c r="E33" s="33" t="s">
        <v>2681</v>
      </c>
      <c r="F33" s="6" t="s">
        <v>917</v>
      </c>
    </row>
    <row r="34" spans="1:6" ht="276.75">
      <c r="A34" s="17">
        <f>ROW()</f>
        <v>34</v>
      </c>
      <c r="B34" s="18" t="s">
        <v>2740</v>
      </c>
      <c r="C34" s="18" t="s">
        <v>2695</v>
      </c>
      <c r="D34" s="18" t="str">
        <f t="shared" si="0"/>
        <v xml:space="preserve"> Auf Leistungen anfallende Sozialabgaben</v>
      </c>
      <c r="E34" s="33" t="s">
        <v>2779</v>
      </c>
      <c r="F34" s="6" t="s">
        <v>917</v>
      </c>
    </row>
    <row r="35" spans="1:6" ht="177">
      <c r="A35" s="17">
        <f>ROW()</f>
        <v>35</v>
      </c>
      <c r="B35" s="18" t="s">
        <v>2780</v>
      </c>
      <c r="C35" s="18" t="str">
        <f>+D35</f>
        <v>Geltende Rechtsgrundlage</v>
      </c>
      <c r="D35" s="18" t="str">
        <f>+E35</f>
        <v>Geltende Rechtsgrundlage</v>
      </c>
      <c r="E35" s="32" t="s">
        <v>2724</v>
      </c>
      <c r="F35" s="6" t="s">
        <v>54</v>
      </c>
    </row>
    <row r="36" spans="1:6" ht="255">
      <c r="A36" s="17">
        <f>ROW()</f>
        <v>36</v>
      </c>
      <c r="B36" s="18" t="s">
        <v>2780</v>
      </c>
      <c r="C36" s="18" t="str">
        <f>+D36</f>
        <v>Grundprinzipien</v>
      </c>
      <c r="D36" s="18" t="str">
        <f>+E36</f>
        <v>Grundprinzipien</v>
      </c>
      <c r="E36" s="32" t="s">
        <v>2709</v>
      </c>
      <c r="F36" s="6" t="s">
        <v>4871</v>
      </c>
    </row>
    <row r="37" spans="1:6" ht="159.75">
      <c r="A37" s="17">
        <f>ROW()</f>
        <v>37</v>
      </c>
      <c r="B37" s="18" t="s">
        <v>2780</v>
      </c>
      <c r="C37" s="18" t="s">
        <v>2708</v>
      </c>
      <c r="D37" s="18" t="str">
        <f>+E37</f>
        <v>1. Versicherte Personen</v>
      </c>
      <c r="E37" s="33" t="s">
        <v>2781</v>
      </c>
      <c r="F37" s="6" t="s">
        <v>117</v>
      </c>
    </row>
    <row r="38" spans="1:6" ht="371.25">
      <c r="A38" s="17">
        <f>ROW()</f>
        <v>38</v>
      </c>
      <c r="B38" s="18" t="s">
        <v>2780</v>
      </c>
      <c r="C38" s="18" t="s">
        <v>2708</v>
      </c>
      <c r="D38" s="18" t="str">
        <f t="shared" ref="D38:D58" si="1">+E38</f>
        <v>2. Ausnahmen von der Deckung  der Pflichtversicherung</v>
      </c>
      <c r="E38" s="33" t="s">
        <v>2782</v>
      </c>
      <c r="F38" s="6" t="s">
        <v>141</v>
      </c>
    </row>
    <row r="39" spans="1:6" ht="194.25">
      <c r="A39" s="17">
        <f>ROW()</f>
        <v>39</v>
      </c>
      <c r="B39" s="18" t="s">
        <v>2780</v>
      </c>
      <c r="C39" s="18" t="s">
        <v>149</v>
      </c>
      <c r="D39" s="18" t="str">
        <f t="shared" si="1"/>
        <v>1. Rentenalter</v>
      </c>
      <c r="E39" s="33" t="s">
        <v>2784</v>
      </c>
      <c r="F39" s="6" t="s">
        <v>173</v>
      </c>
    </row>
    <row r="40" spans="1:6" ht="409.5">
      <c r="A40" s="17">
        <f>ROW()</f>
        <v>40</v>
      </c>
      <c r="B40" s="18" t="s">
        <v>2780</v>
      </c>
      <c r="C40" s="18" t="s">
        <v>149</v>
      </c>
      <c r="D40" s="18" t="str">
        <f t="shared" si="1"/>
        <v>2. Anwartschaftszeit und sonstige Anspruchsvoraussetzungen für den Bezug einer Altersrente</v>
      </c>
      <c r="E40" s="33" t="s">
        <v>2785</v>
      </c>
      <c r="F40" s="6" t="s">
        <v>4872</v>
      </c>
    </row>
    <row r="41" spans="1:6" ht="194.25">
      <c r="A41" s="17">
        <f>ROW()</f>
        <v>41</v>
      </c>
      <c r="B41" s="18" t="s">
        <v>2780</v>
      </c>
      <c r="C41" s="18" t="s">
        <v>149</v>
      </c>
      <c r="D41" s="18" t="str">
        <f t="shared" si="1"/>
        <v>3. Vorruhestand</v>
      </c>
      <c r="E41" s="33" t="s">
        <v>2786</v>
      </c>
      <c r="F41" s="6" t="s">
        <v>235</v>
      </c>
    </row>
    <row r="42" spans="1:6" ht="264">
      <c r="A42" s="17">
        <f>ROW()</f>
        <v>42</v>
      </c>
      <c r="B42" s="18" t="s">
        <v>2780</v>
      </c>
      <c r="C42" s="18" t="s">
        <v>149</v>
      </c>
      <c r="D42" s="18" t="str">
        <f t="shared" si="1"/>
        <v>4. Beschwerliche und gefährliche Arbeit</v>
      </c>
      <c r="E42" s="33" t="s">
        <v>2787</v>
      </c>
      <c r="F42" s="6" t="s">
        <v>251</v>
      </c>
    </row>
    <row r="43" spans="1:6" ht="194.25">
      <c r="A43" s="17">
        <f>ROW()</f>
        <v>43</v>
      </c>
      <c r="B43" s="18" t="s">
        <v>2780</v>
      </c>
      <c r="C43" s="18" t="s">
        <v>149</v>
      </c>
      <c r="D43" s="18" t="str">
        <f t="shared" si="1"/>
        <v>5. Rentenaufschub</v>
      </c>
      <c r="E43" s="33" t="s">
        <v>2788</v>
      </c>
      <c r="F43" s="6" t="s">
        <v>273</v>
      </c>
    </row>
    <row r="44" spans="1:6" ht="405">
      <c r="A44" s="17">
        <f>ROW()</f>
        <v>44</v>
      </c>
      <c r="B44" s="18" t="s">
        <v>2780</v>
      </c>
      <c r="C44" s="18" t="s">
        <v>2695</v>
      </c>
      <c r="D44" s="18" t="str">
        <f t="shared" si="1"/>
        <v>1. Bestimmende Faktoren</v>
      </c>
      <c r="E44" s="33" t="s">
        <v>2789</v>
      </c>
      <c r="F44" s="6" t="s">
        <v>4873</v>
      </c>
    </row>
    <row r="45" spans="1:6" ht="409.5">
      <c r="A45" s="17">
        <f>ROW()</f>
        <v>45</v>
      </c>
      <c r="B45" s="18" t="s">
        <v>2780</v>
      </c>
      <c r="C45" s="18" t="s">
        <v>2695</v>
      </c>
      <c r="D45" s="18" t="str">
        <f t="shared" si="1"/>
        <v>2. Berechnungsmethode, Rentenformel bzw. Beträge</v>
      </c>
      <c r="E45" s="33" t="s">
        <v>2790</v>
      </c>
      <c r="F45" s="6" t="s">
        <v>4874</v>
      </c>
    </row>
    <row r="46" spans="1:6" ht="343.5">
      <c r="A46" s="17">
        <f>ROW()</f>
        <v>46</v>
      </c>
      <c r="B46" s="18" t="s">
        <v>2780</v>
      </c>
      <c r="C46" s="18" t="s">
        <v>2695</v>
      </c>
      <c r="D46" s="18" t="str">
        <f t="shared" si="1"/>
        <v>3. Referenzeinkommen bzw. Berechnungsgrundlage</v>
      </c>
      <c r="E46" s="33" t="s">
        <v>2791</v>
      </c>
      <c r="F46" s="6" t="s">
        <v>382</v>
      </c>
    </row>
    <row r="47" spans="1:6" ht="405">
      <c r="A47" s="17">
        <f>ROW()</f>
        <v>47</v>
      </c>
      <c r="B47" s="18" t="s">
        <v>2780</v>
      </c>
      <c r="C47" s="18" t="s">
        <v>2695</v>
      </c>
      <c r="D47" s="18" t="str">
        <f t="shared" si="1"/>
        <v>4. Anrechenbare oder als Beitragszeiten gewertete Zeiträume</v>
      </c>
      <c r="E47" s="33" t="s">
        <v>2757</v>
      </c>
      <c r="F47" s="6" t="s">
        <v>4875</v>
      </c>
    </row>
    <row r="48" spans="1:6" ht="243.75">
      <c r="A48" s="17">
        <f>ROW()</f>
        <v>48</v>
      </c>
      <c r="B48" s="18" t="s">
        <v>2780</v>
      </c>
      <c r="C48" s="18" t="s">
        <v>2695</v>
      </c>
      <c r="D48" s="18" t="str">
        <f t="shared" si="1"/>
        <v>5. Rückkauf von Versicherungszeiten</v>
      </c>
      <c r="E48" s="33" t="s">
        <v>2792</v>
      </c>
      <c r="F48" s="6" t="s">
        <v>431</v>
      </c>
    </row>
    <row r="49" spans="1:6" ht="246">
      <c r="A49" s="17">
        <f>ROW()</f>
        <v>49</v>
      </c>
      <c r="B49" s="18" t="s">
        <v>2780</v>
      </c>
      <c r="C49" s="18" t="s">
        <v>2695</v>
      </c>
      <c r="D49" s="18" t="str">
        <f t="shared" si="1"/>
        <v>6.  Zulagen für Unterhaltsberechtigte</v>
      </c>
      <c r="E49" s="33" t="s">
        <v>2892</v>
      </c>
      <c r="F49" s="6" t="s">
        <v>447</v>
      </c>
    </row>
    <row r="50" spans="1:6" ht="225">
      <c r="A50" s="17">
        <f>ROW()</f>
        <v>50</v>
      </c>
      <c r="B50" s="18" t="s">
        <v>2780</v>
      </c>
      <c r="C50" s="18" t="s">
        <v>2695</v>
      </c>
      <c r="D50" s="18" t="str">
        <f t="shared" si="1"/>
        <v>7. Besondere Zulagen</v>
      </c>
      <c r="E50" s="33" t="s">
        <v>2793</v>
      </c>
      <c r="F50" s="6" t="s">
        <v>4876</v>
      </c>
    </row>
    <row r="51" spans="1:6" ht="360.75">
      <c r="A51" s="17">
        <f>ROW()</f>
        <v>51</v>
      </c>
      <c r="B51" s="18" t="s">
        <v>2780</v>
      </c>
      <c r="C51" s="18" t="s">
        <v>2695</v>
      </c>
      <c r="D51" s="18" t="str">
        <f t="shared" si="1"/>
        <v>8. Mindestrente und bedürftigkeitsabhängige Leistung</v>
      </c>
      <c r="E51" s="33" t="s">
        <v>2794</v>
      </c>
      <c r="F51" s="6" t="s">
        <v>522</v>
      </c>
    </row>
    <row r="52" spans="1:6" ht="101.25">
      <c r="A52" s="17">
        <f>ROW()</f>
        <v>52</v>
      </c>
      <c r="B52" s="18" t="s">
        <v>2780</v>
      </c>
      <c r="C52" s="18" t="s">
        <v>2695</v>
      </c>
      <c r="D52" s="18" t="str">
        <f t="shared" si="1"/>
        <v>9. Höchstrente</v>
      </c>
      <c r="E52" s="33" t="s">
        <v>2795</v>
      </c>
      <c r="F52" s="6" t="s">
        <v>532</v>
      </c>
    </row>
    <row r="53" spans="1:6" ht="119.25">
      <c r="A53" s="17">
        <f>ROW()</f>
        <v>53</v>
      </c>
      <c r="B53" s="18" t="s">
        <v>2780</v>
      </c>
      <c r="C53" s="18" t="s">
        <v>2695</v>
      </c>
      <c r="D53" s="18" t="str">
        <f t="shared" si="1"/>
        <v>10. Vorruhestand</v>
      </c>
      <c r="E53" s="33" t="s">
        <v>2796</v>
      </c>
      <c r="F53" s="6" t="s">
        <v>229</v>
      </c>
    </row>
    <row r="54" spans="1:6" ht="272.25">
      <c r="A54" s="17">
        <f>ROW()</f>
        <v>54</v>
      </c>
      <c r="B54" s="18" t="s">
        <v>2780</v>
      </c>
      <c r="C54" s="18" t="s">
        <v>2695</v>
      </c>
      <c r="D54" s="18" t="str">
        <f t="shared" si="1"/>
        <v>11. Beschwerliche und gefährliche Arbeit</v>
      </c>
      <c r="E54" s="33" t="s">
        <v>2797</v>
      </c>
      <c r="F54" s="6" t="s">
        <v>589</v>
      </c>
    </row>
    <row r="55" spans="1:6" ht="87.75">
      <c r="A55" s="17">
        <f>ROW()</f>
        <v>55</v>
      </c>
      <c r="B55" s="18" t="s">
        <v>2780</v>
      </c>
      <c r="C55" s="18" t="s">
        <v>2695</v>
      </c>
      <c r="D55" s="18" t="str">
        <f t="shared" si="1"/>
        <v>12. Teilrente</v>
      </c>
      <c r="E55" s="33" t="s">
        <v>2798</v>
      </c>
      <c r="F55" s="6" t="s">
        <v>631</v>
      </c>
    </row>
    <row r="56" spans="1:6" ht="171.75">
      <c r="A56" s="17">
        <f>ROW()</f>
        <v>56</v>
      </c>
      <c r="B56" s="18" t="s">
        <v>2780</v>
      </c>
      <c r="C56" s="18" t="s">
        <v>2695</v>
      </c>
      <c r="D56" s="18" t="str">
        <f t="shared" si="1"/>
        <v>13. Aufgeschobene Rente</v>
      </c>
      <c r="E56" s="33" t="s">
        <v>2893</v>
      </c>
      <c r="F56" s="6" t="s">
        <v>660</v>
      </c>
    </row>
    <row r="57" spans="1:6" ht="179.25">
      <c r="A57" s="17">
        <f>ROW()</f>
        <v>57</v>
      </c>
      <c r="B57" s="18" t="s">
        <v>2780</v>
      </c>
      <c r="C57" s="18" t="s">
        <v>2799</v>
      </c>
      <c r="D57" s="18" t="s">
        <v>2799</v>
      </c>
      <c r="E57" s="32" t="s">
        <v>2799</v>
      </c>
      <c r="F57" s="6" t="s">
        <v>691</v>
      </c>
    </row>
    <row r="58" spans="1:6" ht="246">
      <c r="A58" s="17">
        <f>ROW()</f>
        <v>58</v>
      </c>
      <c r="B58" s="18" t="s">
        <v>2780</v>
      </c>
      <c r="C58" s="18" t="s">
        <v>2799</v>
      </c>
      <c r="D58" s="18" t="str">
        <f t="shared" si="1"/>
        <v xml:space="preserve">Kumulation mit Erwerbseinkommen </v>
      </c>
      <c r="E58" s="32" t="s">
        <v>2697</v>
      </c>
      <c r="F58" s="6" t="s">
        <v>722</v>
      </c>
    </row>
    <row r="59" spans="1:6" ht="286.5">
      <c r="A59" s="17">
        <f>ROW()</f>
        <v>59</v>
      </c>
      <c r="B59" s="18" t="s">
        <v>2780</v>
      </c>
      <c r="C59" s="18" t="s">
        <v>2799</v>
      </c>
      <c r="D59" s="18" t="s">
        <v>2800</v>
      </c>
      <c r="E59" s="32" t="s">
        <v>2696</v>
      </c>
      <c r="F59" s="6" t="s">
        <v>753</v>
      </c>
    </row>
    <row r="60" spans="1:6" ht="225.75">
      <c r="A60" s="17">
        <f>ROW()</f>
        <v>60</v>
      </c>
      <c r="B60" s="18" t="s">
        <v>2780</v>
      </c>
      <c r="C60" s="18" t="s">
        <v>761</v>
      </c>
      <c r="D60" s="18" t="str">
        <f t="shared" ref="D60:D70" si="2">+E60</f>
        <v>1. Besteuerung von Renten</v>
      </c>
      <c r="E60" s="33" t="s">
        <v>2801</v>
      </c>
      <c r="F60" s="6" t="s">
        <v>781</v>
      </c>
    </row>
    <row r="61" spans="1:6" ht="335.25">
      <c r="A61" s="17">
        <f>ROW()</f>
        <v>61</v>
      </c>
      <c r="B61" s="18" t="s">
        <v>2780</v>
      </c>
      <c r="C61" s="18" t="s">
        <v>761</v>
      </c>
      <c r="D61" s="18" t="str">
        <f t="shared" si="2"/>
        <v>2. Einkommensgrenze für Besteuerung von Renten</v>
      </c>
      <c r="E61" s="33" t="s">
        <v>2802</v>
      </c>
      <c r="F61" s="6" t="s">
        <v>796</v>
      </c>
    </row>
    <row r="62" spans="1:6" ht="264">
      <c r="A62" s="17">
        <f>ROW()</f>
        <v>62</v>
      </c>
      <c r="B62" s="18" t="s">
        <v>2780</v>
      </c>
      <c r="C62" s="18" t="s">
        <v>761</v>
      </c>
      <c r="D62" s="18" t="str">
        <f t="shared" si="2"/>
        <v>3. Auf Renten anfallende Sozialabgaben</v>
      </c>
      <c r="E62" s="33" t="s">
        <v>2803</v>
      </c>
      <c r="F62" s="6" t="s">
        <v>825</v>
      </c>
    </row>
    <row r="63" spans="1:6" ht="138">
      <c r="A63" s="17">
        <f>ROW()</f>
        <v>63</v>
      </c>
      <c r="B63" s="18" t="s">
        <v>2804</v>
      </c>
      <c r="C63" s="18" t="str">
        <f>+E63</f>
        <v>Anwendungsbereich</v>
      </c>
      <c r="D63" s="18" t="str">
        <f t="shared" si="2"/>
        <v>Anwendungsbereich</v>
      </c>
      <c r="E63" s="33" t="s">
        <v>2708</v>
      </c>
      <c r="F63" s="6" t="s">
        <v>849</v>
      </c>
    </row>
    <row r="64" spans="1:6" ht="132.75">
      <c r="A64" s="17">
        <f>ROW()</f>
        <v>64</v>
      </c>
      <c r="B64" s="18" t="s">
        <v>2804</v>
      </c>
      <c r="C64" s="18" t="s">
        <v>2775</v>
      </c>
      <c r="D64" s="18" t="str">
        <f t="shared" si="2"/>
        <v>Grundprinzipien</v>
      </c>
      <c r="E64" s="33" t="s">
        <v>2709</v>
      </c>
      <c r="F64" s="6" t="s">
        <v>4877</v>
      </c>
    </row>
    <row r="65" spans="1:6" ht="224.25">
      <c r="A65" s="17">
        <f>ROW()</f>
        <v>65</v>
      </c>
      <c r="B65" s="18" t="s">
        <v>2804</v>
      </c>
      <c r="C65" s="18" t="s">
        <v>2775</v>
      </c>
      <c r="D65" s="18" t="str">
        <f t="shared" si="2"/>
        <v>Voraussetzungen für die Deckung</v>
      </c>
      <c r="E65" s="33" t="s">
        <v>2710</v>
      </c>
      <c r="F65" s="6" t="s">
        <v>912</v>
      </c>
    </row>
    <row r="66" spans="1:6" ht="409.5">
      <c r="A66" s="17">
        <f>ROW()</f>
        <v>66</v>
      </c>
      <c r="B66" s="18" t="s">
        <v>2804</v>
      </c>
      <c r="C66" s="18" t="s">
        <v>2775</v>
      </c>
      <c r="D66" s="18" t="str">
        <f t="shared" si="2"/>
        <v>Kombination von selbstständiger und unselbstständiger Tätigkeit</v>
      </c>
      <c r="E66" s="33" t="s">
        <v>2698</v>
      </c>
      <c r="F66" s="6" t="s">
        <v>933</v>
      </c>
    </row>
    <row r="67" spans="1:6" ht="376.5">
      <c r="A67" s="17">
        <f>ROW()</f>
        <v>67</v>
      </c>
      <c r="B67" s="18" t="s">
        <v>2804</v>
      </c>
      <c r="C67" s="18" t="s">
        <v>2695</v>
      </c>
      <c r="D67" s="19" t="str">
        <f t="shared" si="2"/>
        <v xml:space="preserve">Voraussetzungen für den Zugang zu Diensten/Leistungen </v>
      </c>
      <c r="E67" s="33" t="s">
        <v>2699</v>
      </c>
      <c r="F67" s="6" t="s">
        <v>917</v>
      </c>
    </row>
    <row r="68" spans="1:6" ht="253.5">
      <c r="A68" s="17">
        <f>ROW()</f>
        <v>68</v>
      </c>
      <c r="B68" s="18" t="s">
        <v>2804</v>
      </c>
      <c r="C68" s="18" t="s">
        <v>2695</v>
      </c>
      <c r="D68" s="19" t="str">
        <f t="shared" si="2"/>
        <v>Beträge, Dauer und Kostenbeteiligung</v>
      </c>
      <c r="E68" s="33" t="s">
        <v>2700</v>
      </c>
      <c r="F68" s="6" t="s">
        <v>917</v>
      </c>
    </row>
    <row r="69" spans="1:6" ht="216">
      <c r="A69" s="17">
        <f>ROW()</f>
        <v>69</v>
      </c>
      <c r="B69" s="18" t="s">
        <v>2804</v>
      </c>
      <c r="C69" s="18" t="s">
        <v>2695</v>
      </c>
      <c r="D69" s="19" t="str">
        <f t="shared" si="2"/>
        <v>Besteuerung von Geldleistungen</v>
      </c>
      <c r="E69" s="33" t="s">
        <v>2681</v>
      </c>
      <c r="F69" s="6" t="s">
        <v>917</v>
      </c>
    </row>
    <row r="70" spans="1:6" ht="272.25">
      <c r="A70" s="17">
        <f>ROW()</f>
        <v>70</v>
      </c>
      <c r="B70" s="18" t="s">
        <v>2804</v>
      </c>
      <c r="C70" s="18" t="s">
        <v>2695</v>
      </c>
      <c r="D70" s="19" t="str">
        <f t="shared" si="2"/>
        <v>Auf Leistungen anfallende Sozialabgaben</v>
      </c>
      <c r="E70" s="33" t="s">
        <v>2683</v>
      </c>
      <c r="F70" s="6" t="s">
        <v>917</v>
      </c>
    </row>
    <row r="71" spans="1:6" ht="177">
      <c r="A71" s="17">
        <f>ROW()</f>
        <v>71</v>
      </c>
      <c r="B71" s="18" t="s">
        <v>2702</v>
      </c>
      <c r="C71" s="18" t="str">
        <f t="shared" ref="C71:D75" si="3">+D71</f>
        <v>Geltende Rechtsgrundlage</v>
      </c>
      <c r="D71" s="19" t="str">
        <f t="shared" si="3"/>
        <v>Geltende Rechtsgrundlage</v>
      </c>
      <c r="E71" s="32" t="s">
        <v>2724</v>
      </c>
      <c r="F71" s="6" t="s">
        <v>1010</v>
      </c>
    </row>
    <row r="72" spans="1:6" ht="150">
      <c r="A72" s="17">
        <f>ROW()</f>
        <v>72</v>
      </c>
      <c r="B72" s="18" t="s">
        <v>2702</v>
      </c>
      <c r="C72" s="18" t="str">
        <f t="shared" si="3"/>
        <v>Grundprinzipien</v>
      </c>
      <c r="D72" s="19" t="str">
        <f t="shared" si="3"/>
        <v>Grundprinzipien</v>
      </c>
      <c r="E72" s="32" t="s">
        <v>2709</v>
      </c>
      <c r="F72" s="6" t="s">
        <v>4878</v>
      </c>
    </row>
    <row r="73" spans="1:6" ht="315">
      <c r="A73" s="17">
        <f>ROW()</f>
        <v>73</v>
      </c>
      <c r="B73" s="18" t="s">
        <v>2702</v>
      </c>
      <c r="C73" s="19" t="str">
        <f t="shared" si="3"/>
        <v>Anwendungsbereich (in Bezug auf Verstorbene)</v>
      </c>
      <c r="D73" s="19" t="str">
        <f t="shared" si="3"/>
        <v>Anwendungsbereich (in Bezug auf Verstorbene)</v>
      </c>
      <c r="E73" s="32" t="s">
        <v>2725</v>
      </c>
      <c r="F73" s="6" t="s">
        <v>1068</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125</v>
      </c>
    </row>
    <row r="75" spans="1:6" ht="144.75">
      <c r="A75" s="17">
        <f>ROW()</f>
        <v>75</v>
      </c>
      <c r="B75" s="18" t="s">
        <v>2702</v>
      </c>
      <c r="C75" s="19" t="str">
        <f t="shared" si="3"/>
        <v>Berechtigte Personen</v>
      </c>
      <c r="D75" s="19" t="str">
        <f t="shared" si="3"/>
        <v>Berechtigte Personen</v>
      </c>
      <c r="E75" s="32" t="s">
        <v>2730</v>
      </c>
      <c r="F75" s="6" t="s">
        <v>4879</v>
      </c>
    </row>
    <row r="76" spans="1:6" ht="102">
      <c r="A76" s="17">
        <f>ROW()</f>
        <v>76</v>
      </c>
      <c r="B76" s="18" t="s">
        <v>2702</v>
      </c>
      <c r="C76" s="1"/>
      <c r="D76" s="1"/>
      <c r="E76" s="32" t="s">
        <v>2783</v>
      </c>
      <c r="F76" s="6"/>
    </row>
    <row r="77" spans="1:6" ht="345">
      <c r="A77" s="17">
        <f>ROW()</f>
        <v>77</v>
      </c>
      <c r="B77" s="18" t="s">
        <v>2702</v>
      </c>
      <c r="C77" s="18" t="s">
        <v>2805</v>
      </c>
      <c r="D77" s="18" t="str">
        <f t="shared" ref="D77:D90" si="4">+E77</f>
        <v>1. Verstorbener Versicherter</v>
      </c>
      <c r="E77" s="33" t="s">
        <v>2806</v>
      </c>
      <c r="F77" s="6" t="s">
        <v>1145</v>
      </c>
    </row>
    <row r="78" spans="1:6" ht="185.25">
      <c r="A78" s="17">
        <f>ROW()</f>
        <v>78</v>
      </c>
      <c r="B78" s="18" t="s">
        <v>2702</v>
      </c>
      <c r="C78" s="18" t="s">
        <v>2805</v>
      </c>
      <c r="D78" s="18" t="str">
        <f t="shared" si="4"/>
        <v>2. Hinterbliebener Ehegatte</v>
      </c>
      <c r="E78" s="33" t="s">
        <v>2807</v>
      </c>
      <c r="F78" s="6" t="s">
        <v>4880</v>
      </c>
    </row>
    <row r="79" spans="1:6" ht="181.5">
      <c r="A79" s="17">
        <f>ROW()</f>
        <v>79</v>
      </c>
      <c r="B79" s="18" t="s">
        <v>2702</v>
      </c>
      <c r="C79" s="18" t="s">
        <v>2805</v>
      </c>
      <c r="D79" s="18" t="str">
        <f t="shared" si="4"/>
        <v>3. Geschiedener Ehegatte</v>
      </c>
      <c r="E79" s="33" t="s">
        <v>2808</v>
      </c>
      <c r="F79" s="6" t="s">
        <v>1205</v>
      </c>
    </row>
    <row r="80" spans="1:6" ht="216">
      <c r="A80" s="17">
        <f>ROW()</f>
        <v>80</v>
      </c>
      <c r="B80" s="18" t="s">
        <v>2702</v>
      </c>
      <c r="C80" s="18" t="s">
        <v>2805</v>
      </c>
      <c r="D80" s="18" t="str">
        <f t="shared" si="4"/>
        <v>4. Hinterbliebene Lebenspartner</v>
      </c>
      <c r="E80" s="33" t="s">
        <v>2809</v>
      </c>
      <c r="F80" s="6" t="s">
        <v>1228</v>
      </c>
    </row>
    <row r="81" spans="1:6" ht="181.5">
      <c r="A81" s="17">
        <f>ROW()</f>
        <v>81</v>
      </c>
      <c r="B81" s="18" t="s">
        <v>2702</v>
      </c>
      <c r="C81" s="18" t="s">
        <v>2805</v>
      </c>
      <c r="D81" s="18" t="str">
        <f t="shared" si="4"/>
        <v>5. Kinder</v>
      </c>
      <c r="E81" s="33" t="s">
        <v>2810</v>
      </c>
      <c r="F81" s="6" t="s">
        <v>1257</v>
      </c>
    </row>
    <row r="82" spans="1:6" ht="181.5">
      <c r="A82" s="17">
        <f>ROW()</f>
        <v>82</v>
      </c>
      <c r="B82" s="18" t="s">
        <v>2702</v>
      </c>
      <c r="C82" s="18" t="s">
        <v>2805</v>
      </c>
      <c r="D82" s="18" t="str">
        <f t="shared" si="4"/>
        <v>6. Andere Personen</v>
      </c>
      <c r="E82" s="33" t="s">
        <v>2811</v>
      </c>
      <c r="F82" s="6" t="s">
        <v>373</v>
      </c>
    </row>
    <row r="83" spans="1:6" ht="409.5">
      <c r="A83" s="17">
        <f>ROW()</f>
        <v>83</v>
      </c>
      <c r="B83" s="18" t="s">
        <v>2702</v>
      </c>
      <c r="C83" s="18" t="s">
        <v>2695</v>
      </c>
      <c r="D83" s="19" t="str">
        <f t="shared" si="4"/>
        <v>1. Hinterbliebener Ehegatte, geschiedener Ehegatte, hinterbliebene Lebenspartner</v>
      </c>
      <c r="E83" s="33" t="s">
        <v>2812</v>
      </c>
      <c r="F83" s="6" t="s">
        <v>4881</v>
      </c>
    </row>
    <row r="84" spans="1:6" ht="280.5">
      <c r="A84" s="17">
        <f>ROW()</f>
        <v>84</v>
      </c>
      <c r="B84" s="18" t="s">
        <v>2702</v>
      </c>
      <c r="C84" s="18" t="s">
        <v>2695</v>
      </c>
      <c r="D84" s="19" t="str">
        <f t="shared" si="4"/>
        <v>2. Hinterbliebener Ehegatte: Wiederheirat</v>
      </c>
      <c r="E84" s="33" t="s">
        <v>2813</v>
      </c>
      <c r="F84" s="6" t="s">
        <v>1334</v>
      </c>
    </row>
    <row r="85" spans="1:6" ht="135">
      <c r="A85" s="17">
        <f>ROW()</f>
        <v>85</v>
      </c>
      <c r="B85" s="18" t="s">
        <v>2702</v>
      </c>
      <c r="C85" s="18" t="s">
        <v>2695</v>
      </c>
      <c r="D85" s="19" t="str">
        <f t="shared" si="4"/>
        <v>3. Kinder</v>
      </c>
      <c r="E85" s="33" t="s">
        <v>2814</v>
      </c>
      <c r="F85" s="6" t="s">
        <v>1365</v>
      </c>
    </row>
    <row r="86" spans="1:6" ht="147">
      <c r="A86" s="17">
        <f>ROW()</f>
        <v>86</v>
      </c>
      <c r="B86" s="18" t="s">
        <v>2702</v>
      </c>
      <c r="C86" s="18" t="s">
        <v>2695</v>
      </c>
      <c r="D86" s="19" t="str">
        <f t="shared" si="4"/>
        <v>4. Andere Berechtigte</v>
      </c>
      <c r="E86" s="33" t="s">
        <v>2815</v>
      </c>
      <c r="F86" s="6" t="s">
        <v>1383</v>
      </c>
    </row>
    <row r="87" spans="1:6" ht="381">
      <c r="A87" s="17">
        <f>ROW()</f>
        <v>87</v>
      </c>
      <c r="B87" s="18" t="s">
        <v>2702</v>
      </c>
      <c r="C87" s="18" t="s">
        <v>2695</v>
      </c>
      <c r="D87" s="19" t="str">
        <f t="shared" si="4"/>
        <v xml:space="preserve"> 5. Höchster zahlbarer Gesamtbetrag für alle Berechtigten</v>
      </c>
      <c r="E87" s="33" t="s">
        <v>2816</v>
      </c>
      <c r="F87" s="6" t="s">
        <v>1406</v>
      </c>
    </row>
    <row r="88" spans="1:6" ht="330">
      <c r="A88" s="17">
        <f>ROW()</f>
        <v>88</v>
      </c>
      <c r="B88" s="18" t="s">
        <v>2702</v>
      </c>
      <c r="C88" s="18" t="s">
        <v>2695</v>
      </c>
      <c r="D88" s="19" t="str">
        <f t="shared" si="4"/>
        <v>6. Sonstige Leistungen</v>
      </c>
      <c r="E88" s="33" t="s">
        <v>2817</v>
      </c>
      <c r="F88" s="6" t="s">
        <v>4882</v>
      </c>
    </row>
    <row r="89" spans="1:6" ht="180">
      <c r="A89" s="17">
        <f>ROW()</f>
        <v>89</v>
      </c>
      <c r="B89" s="18" t="s">
        <v>2702</v>
      </c>
      <c r="C89" s="18" t="s">
        <v>2695</v>
      </c>
      <c r="D89" s="19" t="str">
        <f>+E89</f>
        <v>7. Mindestleistung</v>
      </c>
      <c r="E89" s="33" t="s">
        <v>2818</v>
      </c>
      <c r="F89" s="6" t="s">
        <v>4883</v>
      </c>
    </row>
    <row r="90" spans="1:6" ht="122.25">
      <c r="A90" s="17">
        <f>ROW()</f>
        <v>90</v>
      </c>
      <c r="B90" s="18" t="s">
        <v>2702</v>
      </c>
      <c r="C90" s="18" t="s">
        <v>2695</v>
      </c>
      <c r="D90" s="19" t="str">
        <f t="shared" si="4"/>
        <v xml:space="preserve"> 8. Höchstleistung</v>
      </c>
      <c r="E90" s="33" t="s">
        <v>2819</v>
      </c>
      <c r="F90" s="6" t="s">
        <v>532</v>
      </c>
    </row>
    <row r="91" spans="1:6" ht="179.25">
      <c r="A91" s="17">
        <f>ROW()</f>
        <v>91</v>
      </c>
      <c r="B91" s="18" t="s">
        <v>2702</v>
      </c>
      <c r="C91" s="18" t="s">
        <v>2799</v>
      </c>
      <c r="D91" s="19" t="str">
        <f>+C91</f>
        <v>Indexbindung / Anpassung</v>
      </c>
      <c r="E91" s="32" t="s">
        <v>2799</v>
      </c>
      <c r="F91" s="6" t="s">
        <v>1514</v>
      </c>
    </row>
    <row r="92" spans="1:6" ht="242.25">
      <c r="A92" s="17">
        <f>ROW()</f>
        <v>92</v>
      </c>
      <c r="B92" s="18" t="s">
        <v>2702</v>
      </c>
      <c r="C92" s="18" t="s">
        <v>2799</v>
      </c>
      <c r="D92" s="19" t="str">
        <f t="shared" ref="D92:D105" si="5">+E92</f>
        <v>Kumulation mit Erwerbseinkommen</v>
      </c>
      <c r="E92" s="32" t="s">
        <v>2723</v>
      </c>
      <c r="F92" s="6" t="s">
        <v>1544</v>
      </c>
    </row>
    <row r="93" spans="1:6" ht="275.25">
      <c r="A93" s="17">
        <f>ROW()</f>
        <v>93</v>
      </c>
      <c r="B93" s="18" t="s">
        <v>2702</v>
      </c>
      <c r="C93" s="18" t="s">
        <v>2799</v>
      </c>
      <c r="D93" s="19" t="str">
        <f t="shared" si="5"/>
        <v>Kumulation mit anderen Sozialleistungen</v>
      </c>
      <c r="E93" s="32" t="s">
        <v>2696</v>
      </c>
      <c r="F93" s="6" t="s">
        <v>1575</v>
      </c>
    </row>
    <row r="94" spans="1:6" ht="232.5">
      <c r="A94" s="17">
        <f>ROW()</f>
        <v>94</v>
      </c>
      <c r="B94" s="18" t="s">
        <v>2702</v>
      </c>
      <c r="C94" s="19" t="s">
        <v>2701</v>
      </c>
      <c r="D94" s="19" t="str">
        <f t="shared" si="5"/>
        <v>1. Besteuerung von Geldleistungen</v>
      </c>
      <c r="E94" s="33" t="s">
        <v>2770</v>
      </c>
      <c r="F94" s="6" t="s">
        <v>1596</v>
      </c>
    </row>
    <row r="95" spans="1:6" ht="387">
      <c r="A95" s="17">
        <f>ROW()</f>
        <v>95</v>
      </c>
      <c r="B95" s="18" t="s">
        <v>2702</v>
      </c>
      <c r="C95" s="19" t="s">
        <v>2701</v>
      </c>
      <c r="D95" s="19" t="str">
        <f t="shared" si="5"/>
        <v>2. Einkommensgrenze für Besteuerung von Geldleistungen</v>
      </c>
      <c r="E95" s="33" t="s">
        <v>2772</v>
      </c>
      <c r="F95" s="6" t="s">
        <v>1620</v>
      </c>
    </row>
    <row r="96" spans="1:6" ht="288.75">
      <c r="A96" s="17">
        <f>ROW()</f>
        <v>96</v>
      </c>
      <c r="B96" s="18" t="s">
        <v>2702</v>
      </c>
      <c r="C96" s="19" t="s">
        <v>2701</v>
      </c>
      <c r="D96" s="19" t="str">
        <f t="shared" si="5"/>
        <v>3. Auf Leistungen anfallende Sozialabgaben</v>
      </c>
      <c r="E96" s="33" t="s">
        <v>2773</v>
      </c>
      <c r="F96" s="6" t="s">
        <v>820</v>
      </c>
    </row>
    <row r="97" spans="1:6" ht="138">
      <c r="A97" s="17">
        <f>ROW()</f>
        <v>97</v>
      </c>
      <c r="B97" s="18" t="s">
        <v>2702</v>
      </c>
      <c r="C97" s="19" t="s">
        <v>2775</v>
      </c>
      <c r="D97" s="19" t="str">
        <f t="shared" si="5"/>
        <v>Anwendungsbereich</v>
      </c>
      <c r="E97" s="33" t="s">
        <v>2708</v>
      </c>
      <c r="F97" s="6" t="s">
        <v>849</v>
      </c>
    </row>
    <row r="98" spans="1:6" ht="110.25">
      <c r="A98" s="17">
        <f>ROW()</f>
        <v>98</v>
      </c>
      <c r="B98" s="18" t="s">
        <v>2702</v>
      </c>
      <c r="C98" s="19" t="s">
        <v>2775</v>
      </c>
      <c r="D98" s="19" t="str">
        <f t="shared" si="5"/>
        <v>Grundprinzipien</v>
      </c>
      <c r="E98" s="33" t="s">
        <v>2709</v>
      </c>
      <c r="F98" s="6" t="s">
        <v>4884</v>
      </c>
    </row>
    <row r="99" spans="1:6" ht="224.25">
      <c r="A99" s="17">
        <f>ROW()</f>
        <v>99</v>
      </c>
      <c r="B99" s="18" t="s">
        <v>2702</v>
      </c>
      <c r="C99" s="19" t="s">
        <v>2775</v>
      </c>
      <c r="D99" s="19" t="str">
        <f t="shared" si="5"/>
        <v>Voraussetzungen für die Deckung</v>
      </c>
      <c r="E99" s="33" t="s">
        <v>2710</v>
      </c>
      <c r="F99" s="6" t="s">
        <v>912</v>
      </c>
    </row>
    <row r="100" spans="1:6" ht="409.5">
      <c r="A100" s="17">
        <f>ROW()</f>
        <v>100</v>
      </c>
      <c r="B100" s="18" t="s">
        <v>2702</v>
      </c>
      <c r="C100" s="19" t="s">
        <v>2775</v>
      </c>
      <c r="D100" s="19" t="str">
        <f t="shared" si="5"/>
        <v>Kombination von selbstständiger und unselbstständiger Tätigkeit</v>
      </c>
      <c r="E100" s="33" t="s">
        <v>2698</v>
      </c>
      <c r="F100" s="6" t="s">
        <v>933</v>
      </c>
    </row>
    <row r="101" spans="1:6" ht="376.5">
      <c r="A101" s="17">
        <f>ROW()</f>
        <v>101</v>
      </c>
      <c r="B101" s="18" t="s">
        <v>2702</v>
      </c>
      <c r="C101" s="19" t="s">
        <v>2775</v>
      </c>
      <c r="D101" s="19" t="str">
        <f t="shared" si="5"/>
        <v xml:space="preserve">Voraussetzungen für den Zugang zu Diensten/Leistungen </v>
      </c>
      <c r="E101" s="33" t="s">
        <v>2699</v>
      </c>
      <c r="F101" s="6" t="s">
        <v>917</v>
      </c>
    </row>
    <row r="102" spans="1:6" ht="253.5">
      <c r="A102" s="17">
        <f>ROW()</f>
        <v>102</v>
      </c>
      <c r="B102" s="18" t="s">
        <v>2702</v>
      </c>
      <c r="C102" s="19" t="s">
        <v>2775</v>
      </c>
      <c r="D102" s="19" t="str">
        <f t="shared" si="5"/>
        <v>Beträge, Dauer und Kostenbeteiligung</v>
      </c>
      <c r="E102" s="33" t="s">
        <v>2700</v>
      </c>
      <c r="F102" s="6" t="s">
        <v>917</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917</v>
      </c>
    </row>
    <row r="105" spans="1:6" ht="272.25">
      <c r="A105" s="17">
        <f>ROW()</f>
        <v>105</v>
      </c>
      <c r="B105" s="18" t="s">
        <v>2702</v>
      </c>
      <c r="C105" s="19" t="s">
        <v>2775</v>
      </c>
      <c r="D105" s="19" t="str">
        <f t="shared" si="5"/>
        <v>Auf Leistungen anfallende Sozialabgaben</v>
      </c>
      <c r="E105" s="33" t="s">
        <v>2683</v>
      </c>
      <c r="F105" s="6" t="s">
        <v>917</v>
      </c>
    </row>
  </sheetData>
  <sheetProtection algorithmName="SHA-512" hashValue="asHpkShMOIqW2btHQStHcw1mWdhUGsysogb5gSaKUEkxRR/IzhH7H/QWsUZoRBR6xD3CHX1sP1kt0qdU3CEAFg==" saltValue="KiIlM3/MxxY6KKxeApHeZw==" spinCount="100000" sheet="1" objects="1" scenarios="1" formatColumns="0" autoFilter="0"/>
  <autoFilter ref="A2:F2" xr:uid="{91C4CC04-BC0A-49F3-A363-F4A151ECA42B}"/>
  <pageMargins left="0.7" right="0.7" top="0.78740157499999996" bottom="0.78740157499999996"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1CBD5-054D-49F3-ADDA-F4FFF2C05410}">
  <sheetPr codeName="Tabelle26"/>
  <dimension ref="A1:F105"/>
  <sheetViews>
    <sheetView zoomScale="160" zoomScaleNormal="160" workbookViewId="0">
      <pane xSplit="5" ySplit="2" topLeftCell="F1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39" t="s">
        <v>2726</v>
      </c>
      <c r="C1" s="136" t="s">
        <v>2739</v>
      </c>
      <c r="D1" s="136" t="s">
        <v>2728</v>
      </c>
      <c r="E1" s="128" t="s">
        <v>3506</v>
      </c>
      <c r="F1" s="16" t="s">
        <v>24</v>
      </c>
    </row>
    <row r="2" spans="1:6" ht="39.75" customHeight="1">
      <c r="A2" s="138"/>
      <c r="B2" s="139"/>
      <c r="C2" s="136"/>
      <c r="D2" s="136"/>
      <c r="E2" s="134"/>
      <c r="F2" s="174" t="str" cm="1">
        <f t="array" ref="F2">_xlfn.TEXTJOIN("; ", TRUE, IF(Entscheidungen!A2:A100=F1, Entscheidungen!B2:B100, ""))</f>
        <v>OLG Koblenz, 11.04.2011 – 13 UF 205/11; OLG Stuttgart, 15.12.2011 – 16 WF 240/11; OLG Karlsruhe, 06.06.2012 – 18 UF 293/10 Juris; OLG Karlsruhe, 06.06.2012 – 18 UF 293/10 Juris; OLG Karlsruhe, 19.01.2015 – 5 UF 167/14; OLG Karlsruhe, 19.01.2015 – 5 UF 167/14; OLG Sachsen-Anhalt, 30.09.2016 – 3 UF 132/16; BGH, 11.07.2018 – XII ZB 336/16; OLG Brandenburg, 08.07.2020 – 15 UF 66/20; OLG Brandenburg, 08.07.2020 – 15 UF 66/20; OLG Zweibrücken, 19.08.2020 – 2 UF 66/20; OLG Karlsruhe, 16.01.2023 – 5 UF 58/22; OLG Karlsruhe, 16.01.2023 – 5 UF 58/22; OLG Karlsruhe, 28.06.2023 – 18 UF 12/23; OLG Karlsruhe, 28.06.2023 – 18 UF 12/23; OLG Karlsruhe, 14.11.2023 – 5 WF 124/23; OLG Karlsruhe, 14.11.2023 – 5 WF 124/23</v>
      </c>
    </row>
    <row r="3" spans="1:6" ht="174.75">
      <c r="A3" s="17">
        <f>ROW()</f>
        <v>3</v>
      </c>
      <c r="B3" s="18" t="s">
        <v>2740</v>
      </c>
      <c r="C3" s="18"/>
      <c r="D3" s="18" t="str">
        <f>+E3</f>
        <v>Geltende Rechtsgrundlage</v>
      </c>
      <c r="E3" s="31" t="s">
        <v>2724</v>
      </c>
      <c r="F3" s="13" t="s">
        <v>2981</v>
      </c>
    </row>
    <row r="4" spans="1:6" ht="240">
      <c r="A4" s="17">
        <f>ROW()</f>
        <v>4</v>
      </c>
      <c r="B4" s="18" t="s">
        <v>2740</v>
      </c>
      <c r="C4" s="1"/>
      <c r="D4" s="18" t="str">
        <f t="shared" ref="D4:D34" si="0">+E4</f>
        <v>Grundprinzipien</v>
      </c>
      <c r="E4" s="32" t="s">
        <v>2709</v>
      </c>
      <c r="F4" s="6" t="s">
        <v>2982</v>
      </c>
    </row>
    <row r="5" spans="1:6" ht="188.25">
      <c r="A5" s="17">
        <f>ROW()</f>
        <v>5</v>
      </c>
      <c r="B5" s="18" t="s">
        <v>2740</v>
      </c>
      <c r="C5" s="1"/>
      <c r="D5" s="18" t="str">
        <f t="shared" si="0"/>
        <v>Gedecktes Risiko: Definition</v>
      </c>
      <c r="E5" s="32" t="s">
        <v>2891</v>
      </c>
      <c r="F5" s="6" t="s">
        <v>2983</v>
      </c>
    </row>
    <row r="6" spans="1:6" ht="144">
      <c r="A6" s="17">
        <f>ROW()</f>
        <v>6</v>
      </c>
      <c r="B6" s="18" t="s">
        <v>2740</v>
      </c>
      <c r="C6" s="18" t="s">
        <v>2653</v>
      </c>
      <c r="D6" s="18" t="str">
        <f t="shared" si="0"/>
        <v>Versicherte Personen</v>
      </c>
      <c r="E6" s="33" t="s">
        <v>2653</v>
      </c>
      <c r="F6" s="13" t="s">
        <v>4445</v>
      </c>
    </row>
    <row r="7" spans="1:6" ht="273">
      <c r="A7" s="17">
        <f>ROW()</f>
        <v>7</v>
      </c>
      <c r="B7" s="18" t="s">
        <v>2740</v>
      </c>
      <c r="C7" s="18" t="str">
        <f>+E6</f>
        <v>Versicherte Personen</v>
      </c>
      <c r="D7" s="18" t="str">
        <f t="shared" si="0"/>
        <v>Ausnahmen von der Versicherungspflicht</v>
      </c>
      <c r="E7" s="33" t="s">
        <v>2685</v>
      </c>
      <c r="F7" s="13" t="s">
        <v>4446</v>
      </c>
    </row>
    <row r="8" spans="1:6" ht="194.25">
      <c r="A8" s="17">
        <f>ROW()</f>
        <v>8</v>
      </c>
      <c r="B8" s="18" t="s">
        <v>2740</v>
      </c>
      <c r="C8" s="19" t="s">
        <v>149</v>
      </c>
      <c r="D8" s="18" t="str">
        <f t="shared" si="0"/>
        <v>1. Anwartschaftszeit</v>
      </c>
      <c r="E8" s="33" t="s">
        <v>2744</v>
      </c>
      <c r="F8" s="6" t="s">
        <v>2984</v>
      </c>
    </row>
    <row r="9" spans="1:6" ht="409.5">
      <c r="A9" s="17">
        <f>ROW()</f>
        <v>9</v>
      </c>
      <c r="B9" s="18" t="s">
        <v>2740</v>
      </c>
      <c r="C9" s="19" t="s">
        <v>149</v>
      </c>
      <c r="D9" s="18" t="str">
        <f t="shared" si="0"/>
        <v xml:space="preserve">2. Begutachtungskriterien und Kategorien der Arbeitsunfähigkeit/Arbeitsfähigkeit  </v>
      </c>
      <c r="E9" s="33" t="s">
        <v>2745</v>
      </c>
      <c r="F9" s="13" t="s">
        <v>4447</v>
      </c>
    </row>
    <row r="10" spans="1:6" ht="222">
      <c r="A10" s="17">
        <f>ROW()</f>
        <v>10</v>
      </c>
      <c r="B10" s="18" t="s">
        <v>2740</v>
      </c>
      <c r="C10" s="19" t="s">
        <v>149</v>
      </c>
      <c r="D10" s="18" t="str">
        <f t="shared" si="0"/>
        <v>3. Zeitraum der Leistungszahlung</v>
      </c>
      <c r="E10" s="33" t="s">
        <v>2747</v>
      </c>
      <c r="F10" s="6" t="s">
        <v>2985</v>
      </c>
    </row>
    <row r="11" spans="1:6" ht="96">
      <c r="A11" s="17">
        <f>ROW()</f>
        <v>11</v>
      </c>
      <c r="B11" s="18" t="s">
        <v>2740</v>
      </c>
      <c r="C11" s="19" t="s">
        <v>2749</v>
      </c>
      <c r="D11" s="18" t="str">
        <f t="shared" si="0"/>
        <v>1. Gutachter</v>
      </c>
      <c r="E11" s="33" t="s">
        <v>2750</v>
      </c>
      <c r="F11" s="6" t="s">
        <v>2986</v>
      </c>
    </row>
    <row r="12" spans="1:6" ht="111.75">
      <c r="A12" s="17">
        <f>ROW()</f>
        <v>12</v>
      </c>
      <c r="B12" s="18" t="s">
        <v>2740</v>
      </c>
      <c r="C12" s="19" t="s">
        <v>2749</v>
      </c>
      <c r="D12" s="18" t="str">
        <f t="shared" si="0"/>
        <v xml:space="preserve">2. Überprüfung  </v>
      </c>
      <c r="E12" s="33" t="s">
        <v>2751</v>
      </c>
      <c r="F12" s="6" t="s">
        <v>2987</v>
      </c>
    </row>
    <row r="13" spans="1:6" ht="291.75">
      <c r="A13" s="17">
        <f>ROW()</f>
        <v>13</v>
      </c>
      <c r="B13" s="18" t="s">
        <v>2740</v>
      </c>
      <c r="C13" s="18" t="s">
        <v>2695</v>
      </c>
      <c r="D13" s="18" t="str">
        <f t="shared" si="0"/>
        <v>1. Berechnungsmethode bzw. Rentenformel</v>
      </c>
      <c r="E13" s="33" t="s">
        <v>2753</v>
      </c>
      <c r="F13" s="13" t="s">
        <v>4451</v>
      </c>
    </row>
    <row r="14" spans="1:6" ht="343.5">
      <c r="A14" s="17">
        <f>ROW()</f>
        <v>14</v>
      </c>
      <c r="B14" s="18" t="s">
        <v>2740</v>
      </c>
      <c r="C14" s="18" t="s">
        <v>2695</v>
      </c>
      <c r="D14" s="18" t="str">
        <f t="shared" si="0"/>
        <v>2. Referenzeinkommen bzw. Berechnungsgrundlage</v>
      </c>
      <c r="E14" s="33" t="s">
        <v>2754</v>
      </c>
      <c r="F14" s="13" t="s">
        <v>4448</v>
      </c>
    </row>
    <row r="15" spans="1:6" ht="226.5">
      <c r="A15" s="17">
        <f>ROW()</f>
        <v>15</v>
      </c>
      <c r="B15" s="18" t="s">
        <v>2740</v>
      </c>
      <c r="C15" s="18" t="s">
        <v>2695</v>
      </c>
      <c r="D15" s="18" t="str">
        <f t="shared" si="0"/>
        <v>3. Mindest- und Höchstleistungen</v>
      </c>
      <c r="E15" s="33" t="s">
        <v>2756</v>
      </c>
      <c r="F15" s="6" t="s">
        <v>2988</v>
      </c>
    </row>
    <row r="16" spans="1:6" ht="405">
      <c r="A16" s="17">
        <f>ROW()</f>
        <v>16</v>
      </c>
      <c r="B16" s="18" t="s">
        <v>2740</v>
      </c>
      <c r="C16" s="18" t="s">
        <v>2695</v>
      </c>
      <c r="D16" s="18" t="str">
        <f t="shared" si="0"/>
        <v>4. Anrechenbare oder als Beitragszeiten gewertete Zeiträume</v>
      </c>
      <c r="E16" s="33" t="s">
        <v>2757</v>
      </c>
      <c r="F16" s="6" t="s">
        <v>2989</v>
      </c>
    </row>
    <row r="17" spans="1:6" ht="250.5">
      <c r="A17" s="17">
        <f>ROW()</f>
        <v>17</v>
      </c>
      <c r="B17" s="18" t="s">
        <v>2740</v>
      </c>
      <c r="C17" s="18" t="s">
        <v>2695</v>
      </c>
      <c r="D17" s="18" t="str">
        <f t="shared" si="0"/>
        <v xml:space="preserve">5. Zulagen für Unterhaltsberechtigte  </v>
      </c>
      <c r="E17" s="33" t="s">
        <v>2759</v>
      </c>
      <c r="F17" s="6" t="s">
        <v>2990</v>
      </c>
    </row>
    <row r="18" spans="1:6" ht="135">
      <c r="A18" s="17">
        <f>ROW()</f>
        <v>18</v>
      </c>
      <c r="B18" s="18" t="s">
        <v>2740</v>
      </c>
      <c r="C18" s="18" t="str">
        <f>+E18</f>
        <v>Sonstige Leistungen</v>
      </c>
      <c r="D18" s="18" t="str">
        <f>+E18</f>
        <v>Sonstige Leistungen</v>
      </c>
      <c r="E18" s="32" t="s">
        <v>2678</v>
      </c>
      <c r="F18" s="13" t="s">
        <v>4449</v>
      </c>
    </row>
    <row r="19" spans="1:6" ht="300.75">
      <c r="A19" s="17">
        <f>ROW()</f>
        <v>19</v>
      </c>
      <c r="B19" s="18" t="s">
        <v>2740</v>
      </c>
      <c r="C19" s="18" t="s">
        <v>2761</v>
      </c>
      <c r="D19" s="18" t="str">
        <f t="shared" si="0"/>
        <v>Umschulung, berufsbezogene Rehabilitation</v>
      </c>
      <c r="E19" s="33" t="s">
        <v>2762</v>
      </c>
      <c r="F19" s="6" t="s">
        <v>2991</v>
      </c>
    </row>
    <row r="20" spans="1:6" ht="409.5">
      <c r="A20" s="17">
        <f>ROW()</f>
        <v>20</v>
      </c>
      <c r="B20" s="18" t="s">
        <v>2740</v>
      </c>
      <c r="C20" s="18" t="s">
        <v>2761</v>
      </c>
      <c r="D20" s="18" t="str">
        <f t="shared" si="0"/>
        <v xml:space="preserve">Bevorzugte und reservierte Beschäftigung von Menschen mit Behinderungen  </v>
      </c>
      <c r="E20" s="33" t="s">
        <v>2763</v>
      </c>
      <c r="F20" s="6" t="s">
        <v>2992</v>
      </c>
    </row>
    <row r="21" spans="1:6" ht="171.75">
      <c r="A21" s="17">
        <f>ROW()</f>
        <v>21</v>
      </c>
      <c r="B21" s="18" t="s">
        <v>2740</v>
      </c>
      <c r="C21" s="18" t="s">
        <v>2765</v>
      </c>
      <c r="D21" s="18" t="str">
        <f t="shared" si="0"/>
        <v>Indexbindung/Anpassung</v>
      </c>
      <c r="E21" s="32" t="s">
        <v>2766</v>
      </c>
      <c r="F21" s="6" t="s">
        <v>2993</v>
      </c>
    </row>
    <row r="22" spans="1:6" ht="242.25">
      <c r="A22" s="17">
        <f>ROW()</f>
        <v>22</v>
      </c>
      <c r="B22" s="18" t="s">
        <v>2740</v>
      </c>
      <c r="C22" s="18" t="s">
        <v>2765</v>
      </c>
      <c r="D22" s="18" t="str">
        <f>+E22</f>
        <v>Kumulation mit Erwerbseinkommen</v>
      </c>
      <c r="E22" s="32" t="s">
        <v>2723</v>
      </c>
      <c r="F22" s="6" t="s">
        <v>2994</v>
      </c>
    </row>
    <row r="23" spans="1:6" ht="275.25">
      <c r="A23" s="17">
        <f>ROW()</f>
        <v>23</v>
      </c>
      <c r="B23" s="18" t="s">
        <v>2740</v>
      </c>
      <c r="C23" s="18" t="s">
        <v>2765</v>
      </c>
      <c r="D23" s="18" t="str">
        <f t="shared" si="0"/>
        <v>Kumulation mit anderen Sozialleistungen</v>
      </c>
      <c r="E23" s="32" t="s">
        <v>2696</v>
      </c>
      <c r="F23" s="6" t="s">
        <v>2995</v>
      </c>
    </row>
    <row r="24" spans="1:6" ht="232.5">
      <c r="A24" s="17">
        <f>ROW()</f>
        <v>24</v>
      </c>
      <c r="B24" s="18" t="s">
        <v>2740</v>
      </c>
      <c r="C24" s="18" t="s">
        <v>2701</v>
      </c>
      <c r="D24" s="18" t="str">
        <f t="shared" si="0"/>
        <v>1. Besteuerung von Geldleistungen</v>
      </c>
      <c r="E24" s="33" t="s">
        <v>2770</v>
      </c>
      <c r="F24" s="6" t="s">
        <v>2996</v>
      </c>
    </row>
    <row r="25" spans="1:6" ht="387">
      <c r="A25" s="17">
        <f>ROW()</f>
        <v>25</v>
      </c>
      <c r="B25" s="18" t="s">
        <v>2740</v>
      </c>
      <c r="C25" s="18" t="s">
        <v>2701</v>
      </c>
      <c r="D25" s="18" t="str">
        <f t="shared" si="0"/>
        <v>2. Einkommensgrenze für Besteuerung von Geldleistungen</v>
      </c>
      <c r="E25" s="33" t="s">
        <v>2772</v>
      </c>
      <c r="F25" s="6" t="s">
        <v>2997</v>
      </c>
    </row>
    <row r="26" spans="1:6" ht="288.75">
      <c r="A26" s="17">
        <f>ROW()</f>
        <v>26</v>
      </c>
      <c r="B26" s="18" t="s">
        <v>2740</v>
      </c>
      <c r="C26" s="18" t="s">
        <v>2701</v>
      </c>
      <c r="D26" s="18" t="str">
        <f t="shared" si="0"/>
        <v>3. Auf Leistungen anfallende Sozialabgaben</v>
      </c>
      <c r="E26" s="33" t="s">
        <v>2773</v>
      </c>
      <c r="F26" s="6" t="s">
        <v>1639</v>
      </c>
    </row>
    <row r="27" spans="1:6" ht="138">
      <c r="A27" s="17">
        <f>ROW()</f>
        <v>27</v>
      </c>
      <c r="B27" s="18" t="s">
        <v>2740</v>
      </c>
      <c r="C27" s="18" t="s">
        <v>2775</v>
      </c>
      <c r="D27" s="18" t="str">
        <f t="shared" si="0"/>
        <v>Anwendungsbereich</v>
      </c>
      <c r="E27" s="33" t="s">
        <v>2708</v>
      </c>
      <c r="F27" s="6" t="s">
        <v>859</v>
      </c>
    </row>
    <row r="28" spans="1:6" ht="110.25">
      <c r="A28" s="17">
        <f>ROW()</f>
        <v>28</v>
      </c>
      <c r="B28" s="18" t="s">
        <v>2740</v>
      </c>
      <c r="C28" s="18" t="s">
        <v>2775</v>
      </c>
      <c r="D28" s="18" t="str">
        <f t="shared" si="0"/>
        <v>Grundprinzipien</v>
      </c>
      <c r="E28" s="33" t="s">
        <v>2709</v>
      </c>
      <c r="F28" s="6" t="s">
        <v>2998</v>
      </c>
    </row>
    <row r="29" spans="1:6" ht="224.25">
      <c r="A29" s="17">
        <f>ROW()</f>
        <v>29</v>
      </c>
      <c r="B29" s="18" t="s">
        <v>2740</v>
      </c>
      <c r="C29" s="18" t="s">
        <v>2775</v>
      </c>
      <c r="D29" s="18" t="str">
        <f t="shared" si="0"/>
        <v>Voraussetzungen für die Deckung</v>
      </c>
      <c r="E29" s="33" t="s">
        <v>2710</v>
      </c>
      <c r="F29" s="6" t="s">
        <v>913</v>
      </c>
    </row>
    <row r="30" spans="1:6" ht="409.5">
      <c r="A30" s="17">
        <f>ROW()</f>
        <v>30</v>
      </c>
      <c r="B30" s="18" t="s">
        <v>2740</v>
      </c>
      <c r="C30" s="18" t="s">
        <v>2775</v>
      </c>
      <c r="D30" s="19" t="str">
        <f t="shared" si="0"/>
        <v>Kombination von selbstständiger und unselbstständiger Tätigkeit</v>
      </c>
      <c r="E30" s="33" t="s">
        <v>2698</v>
      </c>
      <c r="F30" s="6" t="s">
        <v>934</v>
      </c>
    </row>
    <row r="31" spans="1:6" ht="376.5">
      <c r="A31" s="17">
        <f>ROW()</f>
        <v>31</v>
      </c>
      <c r="B31" s="18" t="s">
        <v>2740</v>
      </c>
      <c r="C31" s="18" t="s">
        <v>2695</v>
      </c>
      <c r="D31" s="19" t="str">
        <f t="shared" si="0"/>
        <v xml:space="preserve">Voraussetzungen für den Zugang zu Diensten/Leistungen </v>
      </c>
      <c r="E31" s="33" t="s">
        <v>2699</v>
      </c>
      <c r="F31" s="6" t="s">
        <v>950</v>
      </c>
    </row>
    <row r="32" spans="1:6" ht="253.5">
      <c r="A32" s="17">
        <f>ROW()</f>
        <v>32</v>
      </c>
      <c r="B32" s="18" t="s">
        <v>2740</v>
      </c>
      <c r="C32" s="18" t="s">
        <v>2695</v>
      </c>
      <c r="D32" s="18" t="str">
        <f t="shared" si="0"/>
        <v>Beträge, Dauer und Kostenbeteiligung</v>
      </c>
      <c r="E32" s="33" t="s">
        <v>2700</v>
      </c>
      <c r="F32" s="6" t="s">
        <v>950</v>
      </c>
    </row>
    <row r="33" spans="1:6" ht="216">
      <c r="A33" s="17">
        <f>ROW()</f>
        <v>33</v>
      </c>
      <c r="B33" s="18" t="s">
        <v>2740</v>
      </c>
      <c r="C33" s="18" t="s">
        <v>2695</v>
      </c>
      <c r="D33" s="18" t="str">
        <f t="shared" si="0"/>
        <v>Besteuerung von Geldleistungen</v>
      </c>
      <c r="E33" s="33" t="s">
        <v>2681</v>
      </c>
      <c r="F33" s="6" t="s">
        <v>950</v>
      </c>
    </row>
    <row r="34" spans="1:6" ht="276.75">
      <c r="A34" s="17">
        <f>ROW()</f>
        <v>34</v>
      </c>
      <c r="B34" s="18" t="s">
        <v>2740</v>
      </c>
      <c r="C34" s="18" t="s">
        <v>2695</v>
      </c>
      <c r="D34" s="18" t="str">
        <f t="shared" si="0"/>
        <v xml:space="preserve"> Auf Leistungen anfallende Sozialabgaben</v>
      </c>
      <c r="E34" s="33" t="s">
        <v>2779</v>
      </c>
      <c r="F34" s="6" t="s">
        <v>950</v>
      </c>
    </row>
    <row r="35" spans="1:6" ht="177">
      <c r="A35" s="17">
        <f>ROW()</f>
        <v>35</v>
      </c>
      <c r="B35" s="18" t="s">
        <v>2780</v>
      </c>
      <c r="C35" s="18" t="str">
        <f>+D35</f>
        <v>Geltende Rechtsgrundlage</v>
      </c>
      <c r="D35" s="18" t="str">
        <f>+E35</f>
        <v>Geltende Rechtsgrundlage</v>
      </c>
      <c r="E35" s="32" t="s">
        <v>2724</v>
      </c>
      <c r="F35" s="6" t="s">
        <v>55</v>
      </c>
    </row>
    <row r="36" spans="1:6" ht="255">
      <c r="A36" s="17">
        <f>ROW()</f>
        <v>36</v>
      </c>
      <c r="B36" s="18" t="s">
        <v>2780</v>
      </c>
      <c r="C36" s="18" t="str">
        <f>+D36</f>
        <v>Grundprinzipien</v>
      </c>
      <c r="D36" s="18" t="str">
        <f>+E36</f>
        <v>Grundprinzipien</v>
      </c>
      <c r="E36" s="32" t="s">
        <v>2709</v>
      </c>
      <c r="F36" s="6" t="s">
        <v>86</v>
      </c>
    </row>
    <row r="37" spans="1:6" ht="159.75">
      <c r="A37" s="17">
        <f>ROW()</f>
        <v>37</v>
      </c>
      <c r="B37" s="18" t="s">
        <v>2780</v>
      </c>
      <c r="C37" s="18" t="s">
        <v>2708</v>
      </c>
      <c r="D37" s="18" t="str">
        <f>+E37</f>
        <v>1. Versicherte Personen</v>
      </c>
      <c r="E37" s="33" t="s">
        <v>2781</v>
      </c>
      <c r="F37" s="6" t="s">
        <v>4885</v>
      </c>
    </row>
    <row r="38" spans="1:6" ht="371.25">
      <c r="A38" s="17">
        <f>ROW()</f>
        <v>38</v>
      </c>
      <c r="B38" s="18" t="s">
        <v>2780</v>
      </c>
      <c r="C38" s="18" t="s">
        <v>2708</v>
      </c>
      <c r="D38" s="18" t="str">
        <f t="shared" ref="D38:D58" si="1">+E38</f>
        <v>2. Ausnahmen von der Deckung  der Pflichtversicherung</v>
      </c>
      <c r="E38" s="33" t="s">
        <v>2782</v>
      </c>
      <c r="F38" s="6" t="s">
        <v>4886</v>
      </c>
    </row>
    <row r="39" spans="1:6" ht="194.25">
      <c r="A39" s="17">
        <f>ROW()</f>
        <v>39</v>
      </c>
      <c r="B39" s="18" t="s">
        <v>2780</v>
      </c>
      <c r="C39" s="18" t="s">
        <v>149</v>
      </c>
      <c r="D39" s="18" t="str">
        <f t="shared" si="1"/>
        <v>1. Rentenalter</v>
      </c>
      <c r="E39" s="33" t="s">
        <v>2784</v>
      </c>
      <c r="F39" s="6" t="s">
        <v>174</v>
      </c>
    </row>
    <row r="40" spans="1:6" ht="409.5">
      <c r="A40" s="17">
        <f>ROW()</f>
        <v>40</v>
      </c>
      <c r="B40" s="18" t="s">
        <v>2780</v>
      </c>
      <c r="C40" s="18" t="s">
        <v>149</v>
      </c>
      <c r="D40" s="18" t="str">
        <f t="shared" si="1"/>
        <v>2. Anwartschaftszeit und sonstige Anspruchsvoraussetzungen für den Bezug einer Altersrente</v>
      </c>
      <c r="E40" s="33" t="s">
        <v>2785</v>
      </c>
      <c r="F40" s="6" t="s">
        <v>205</v>
      </c>
    </row>
    <row r="41" spans="1:6" ht="194.25">
      <c r="A41" s="17">
        <f>ROW()</f>
        <v>41</v>
      </c>
      <c r="B41" s="18" t="s">
        <v>2780</v>
      </c>
      <c r="C41" s="18" t="s">
        <v>149</v>
      </c>
      <c r="D41" s="18" t="str">
        <f t="shared" si="1"/>
        <v>3. Vorruhestand</v>
      </c>
      <c r="E41" s="33" t="s">
        <v>2786</v>
      </c>
      <c r="F41" s="6" t="s">
        <v>236</v>
      </c>
    </row>
    <row r="42" spans="1:6" ht="264">
      <c r="A42" s="17">
        <f>ROW()</f>
        <v>42</v>
      </c>
      <c r="B42" s="18" t="s">
        <v>2780</v>
      </c>
      <c r="C42" s="18" t="s">
        <v>149</v>
      </c>
      <c r="D42" s="18" t="str">
        <f t="shared" si="1"/>
        <v>4. Beschwerliche und gefährliche Arbeit</v>
      </c>
      <c r="E42" s="33" t="s">
        <v>2787</v>
      </c>
      <c r="F42" s="6" t="s">
        <v>265</v>
      </c>
    </row>
    <row r="43" spans="1:6" ht="194.25">
      <c r="A43" s="17">
        <f>ROW()</f>
        <v>43</v>
      </c>
      <c r="B43" s="18" t="s">
        <v>2780</v>
      </c>
      <c r="C43" s="18" t="s">
        <v>149</v>
      </c>
      <c r="D43" s="18" t="str">
        <f t="shared" si="1"/>
        <v>5. Rentenaufschub</v>
      </c>
      <c r="E43" s="33" t="s">
        <v>2788</v>
      </c>
      <c r="F43" s="6" t="s">
        <v>291</v>
      </c>
    </row>
    <row r="44" spans="1:6" ht="174">
      <c r="A44" s="17">
        <f>ROW()</f>
        <v>44</v>
      </c>
      <c r="B44" s="18" t="s">
        <v>2780</v>
      </c>
      <c r="C44" s="18" t="s">
        <v>2695</v>
      </c>
      <c r="D44" s="18" t="str">
        <f t="shared" si="1"/>
        <v>1. Bestimmende Faktoren</v>
      </c>
      <c r="E44" s="33" t="s">
        <v>2789</v>
      </c>
      <c r="F44" s="6" t="s">
        <v>321</v>
      </c>
    </row>
    <row r="45" spans="1:6" ht="349.5">
      <c r="A45" s="17">
        <f>ROW()</f>
        <v>45</v>
      </c>
      <c r="B45" s="18" t="s">
        <v>2780</v>
      </c>
      <c r="C45" s="18" t="s">
        <v>2695</v>
      </c>
      <c r="D45" s="18" t="str">
        <f t="shared" si="1"/>
        <v>2. Berechnungsmethode, Rentenformel bzw. Beträge</v>
      </c>
      <c r="E45" s="33" t="s">
        <v>2790</v>
      </c>
      <c r="F45" s="6" t="s">
        <v>352</v>
      </c>
    </row>
    <row r="46" spans="1:6" ht="343.5">
      <c r="A46" s="17">
        <f>ROW()</f>
        <v>46</v>
      </c>
      <c r="B46" s="18" t="s">
        <v>2780</v>
      </c>
      <c r="C46" s="18" t="s">
        <v>2695</v>
      </c>
      <c r="D46" s="18" t="str">
        <f t="shared" si="1"/>
        <v>3. Referenzeinkommen bzw. Berechnungsgrundlage</v>
      </c>
      <c r="E46" s="33" t="s">
        <v>2791</v>
      </c>
      <c r="F46" s="6" t="s">
        <v>4887</v>
      </c>
    </row>
    <row r="47" spans="1:6" ht="405">
      <c r="A47" s="17">
        <f>ROW()</f>
        <v>47</v>
      </c>
      <c r="B47" s="18" t="s">
        <v>2780</v>
      </c>
      <c r="C47" s="18" t="s">
        <v>2695</v>
      </c>
      <c r="D47" s="18" t="str">
        <f t="shared" si="1"/>
        <v>4. Anrechenbare oder als Beitragszeiten gewertete Zeiträume</v>
      </c>
      <c r="E47" s="33" t="s">
        <v>2757</v>
      </c>
      <c r="F47" s="6" t="s">
        <v>413</v>
      </c>
    </row>
    <row r="48" spans="1:6" ht="243.75">
      <c r="A48" s="17">
        <f>ROW()</f>
        <v>48</v>
      </c>
      <c r="B48" s="18" t="s">
        <v>2780</v>
      </c>
      <c r="C48" s="18" t="s">
        <v>2695</v>
      </c>
      <c r="D48" s="18" t="str">
        <f t="shared" si="1"/>
        <v>5. Rückkauf von Versicherungszeiten</v>
      </c>
      <c r="E48" s="33" t="s">
        <v>2792</v>
      </c>
      <c r="F48" s="6" t="s">
        <v>441</v>
      </c>
    </row>
    <row r="49" spans="1:6" ht="246">
      <c r="A49" s="17">
        <f>ROW()</f>
        <v>49</v>
      </c>
      <c r="B49" s="18" t="s">
        <v>2780</v>
      </c>
      <c r="C49" s="18" t="s">
        <v>2695</v>
      </c>
      <c r="D49" s="18" t="str">
        <f t="shared" si="1"/>
        <v>6.  Zulagen für Unterhaltsberechtigte</v>
      </c>
      <c r="E49" s="33" t="s">
        <v>2892</v>
      </c>
      <c r="F49" s="6" t="s">
        <v>466</v>
      </c>
    </row>
    <row r="50" spans="1:6" ht="145.5">
      <c r="A50" s="17">
        <f>ROW()</f>
        <v>50</v>
      </c>
      <c r="B50" s="18" t="s">
        <v>2780</v>
      </c>
      <c r="C50" s="18" t="s">
        <v>2695</v>
      </c>
      <c r="D50" s="18" t="str">
        <f t="shared" si="1"/>
        <v>7. Besondere Zulagen</v>
      </c>
      <c r="E50" s="33" t="s">
        <v>2793</v>
      </c>
      <c r="F50" s="6" t="s">
        <v>492</v>
      </c>
    </row>
    <row r="51" spans="1:6" ht="360.75">
      <c r="A51" s="17">
        <f>ROW()</f>
        <v>51</v>
      </c>
      <c r="B51" s="18" t="s">
        <v>2780</v>
      </c>
      <c r="C51" s="18" t="s">
        <v>2695</v>
      </c>
      <c r="D51" s="18" t="str">
        <f t="shared" si="1"/>
        <v>8. Mindestrente und bedürftigkeitsabhängige Leistung</v>
      </c>
      <c r="E51" s="33" t="s">
        <v>2794</v>
      </c>
      <c r="F51" s="6" t="s">
        <v>523</v>
      </c>
    </row>
    <row r="52" spans="1:6" ht="101.25">
      <c r="A52" s="17">
        <f>ROW()</f>
        <v>52</v>
      </c>
      <c r="B52" s="18" t="s">
        <v>2780</v>
      </c>
      <c r="C52" s="18" t="s">
        <v>2695</v>
      </c>
      <c r="D52" s="18" t="str">
        <f t="shared" si="1"/>
        <v>9. Höchstrente</v>
      </c>
      <c r="E52" s="33" t="s">
        <v>2795</v>
      </c>
      <c r="F52" s="6" t="s">
        <v>549</v>
      </c>
    </row>
    <row r="53" spans="1:6" ht="150">
      <c r="A53" s="17">
        <f>ROW()</f>
        <v>53</v>
      </c>
      <c r="B53" s="18" t="s">
        <v>2780</v>
      </c>
      <c r="C53" s="18" t="s">
        <v>2695</v>
      </c>
      <c r="D53" s="18" t="str">
        <f t="shared" si="1"/>
        <v>10. Vorruhestand</v>
      </c>
      <c r="E53" s="33" t="s">
        <v>2796</v>
      </c>
      <c r="F53" s="6" t="s">
        <v>578</v>
      </c>
    </row>
    <row r="54" spans="1:6" ht="272.25">
      <c r="A54" s="17">
        <f>ROW()</f>
        <v>54</v>
      </c>
      <c r="B54" s="18" t="s">
        <v>2780</v>
      </c>
      <c r="C54" s="18" t="s">
        <v>2695</v>
      </c>
      <c r="D54" s="18" t="str">
        <f t="shared" si="1"/>
        <v>11. Beschwerliche und gefährliche Arbeit</v>
      </c>
      <c r="E54" s="33" t="s">
        <v>2797</v>
      </c>
      <c r="F54" s="6" t="s">
        <v>256</v>
      </c>
    </row>
    <row r="55" spans="1:6" ht="105">
      <c r="A55" s="17">
        <f>ROW()</f>
        <v>55</v>
      </c>
      <c r="B55" s="18" t="s">
        <v>2780</v>
      </c>
      <c r="C55" s="18" t="s">
        <v>2695</v>
      </c>
      <c r="D55" s="18" t="str">
        <f t="shared" si="1"/>
        <v>12. Teilrente</v>
      </c>
      <c r="E55" s="33" t="s">
        <v>2798</v>
      </c>
      <c r="F55" s="6" t="s">
        <v>632</v>
      </c>
    </row>
    <row r="56" spans="1:6" ht="171.75">
      <c r="A56" s="17">
        <f>ROW()</f>
        <v>56</v>
      </c>
      <c r="B56" s="18" t="s">
        <v>2780</v>
      </c>
      <c r="C56" s="18" t="s">
        <v>2695</v>
      </c>
      <c r="D56" s="18" t="str">
        <f t="shared" si="1"/>
        <v>13. Aufgeschobene Rente</v>
      </c>
      <c r="E56" s="33" t="s">
        <v>2893</v>
      </c>
      <c r="F56" s="6" t="s">
        <v>661</v>
      </c>
    </row>
    <row r="57" spans="1:6" ht="179.25">
      <c r="A57" s="17">
        <f>ROW()</f>
        <v>57</v>
      </c>
      <c r="B57" s="18" t="s">
        <v>2780</v>
      </c>
      <c r="C57" s="18" t="s">
        <v>2799</v>
      </c>
      <c r="D57" s="18" t="s">
        <v>2799</v>
      </c>
      <c r="E57" s="32" t="s">
        <v>2799</v>
      </c>
      <c r="F57" s="6" t="s">
        <v>692</v>
      </c>
    </row>
    <row r="58" spans="1:6" ht="246">
      <c r="A58" s="17">
        <f>ROW()</f>
        <v>58</v>
      </c>
      <c r="B58" s="18" t="s">
        <v>2780</v>
      </c>
      <c r="C58" s="18" t="s">
        <v>2799</v>
      </c>
      <c r="D58" s="18" t="str">
        <f t="shared" si="1"/>
        <v xml:space="preserve">Kumulation mit Erwerbseinkommen </v>
      </c>
      <c r="E58" s="32" t="s">
        <v>2697</v>
      </c>
      <c r="F58" s="6" t="s">
        <v>723</v>
      </c>
    </row>
    <row r="59" spans="1:6" ht="286.5">
      <c r="A59" s="17">
        <f>ROW()</f>
        <v>59</v>
      </c>
      <c r="B59" s="18" t="s">
        <v>2780</v>
      </c>
      <c r="C59" s="18" t="s">
        <v>2799</v>
      </c>
      <c r="D59" s="18" t="s">
        <v>2800</v>
      </c>
      <c r="E59" s="32" t="s">
        <v>2696</v>
      </c>
      <c r="F59" s="6" t="s">
        <v>754</v>
      </c>
    </row>
    <row r="60" spans="1:6" ht="225.75">
      <c r="A60" s="17">
        <f>ROW()</f>
        <v>60</v>
      </c>
      <c r="B60" s="18" t="s">
        <v>2780</v>
      </c>
      <c r="C60" s="18" t="s">
        <v>761</v>
      </c>
      <c r="D60" s="18" t="str">
        <f t="shared" ref="D60:D70" si="2">+E60</f>
        <v>1. Besteuerung von Renten</v>
      </c>
      <c r="E60" s="33" t="s">
        <v>2801</v>
      </c>
      <c r="F60" s="6" t="s">
        <v>782</v>
      </c>
    </row>
    <row r="61" spans="1:6" ht="335.25">
      <c r="A61" s="17">
        <f>ROW()</f>
        <v>61</v>
      </c>
      <c r="B61" s="18" t="s">
        <v>2780</v>
      </c>
      <c r="C61" s="18" t="s">
        <v>761</v>
      </c>
      <c r="D61" s="18" t="str">
        <f t="shared" si="2"/>
        <v>2. Einkommensgrenze für Besteuerung von Renten</v>
      </c>
      <c r="E61" s="33" t="s">
        <v>2802</v>
      </c>
      <c r="F61" s="6" t="s">
        <v>810</v>
      </c>
    </row>
    <row r="62" spans="1:6" ht="264">
      <c r="A62" s="17">
        <f>ROW()</f>
        <v>62</v>
      </c>
      <c r="B62" s="18" t="s">
        <v>2780</v>
      </c>
      <c r="C62" s="18" t="s">
        <v>761</v>
      </c>
      <c r="D62" s="18" t="str">
        <f t="shared" si="2"/>
        <v>3. Auf Renten anfallende Sozialabgaben</v>
      </c>
      <c r="E62" s="33" t="s">
        <v>2803</v>
      </c>
      <c r="F62" s="6" t="s">
        <v>834</v>
      </c>
    </row>
    <row r="63" spans="1:6" ht="138">
      <c r="A63" s="17">
        <f>ROW()</f>
        <v>63</v>
      </c>
      <c r="B63" s="18" t="s">
        <v>2804</v>
      </c>
      <c r="C63" s="18" t="str">
        <f>+E63</f>
        <v>Anwendungsbereich</v>
      </c>
      <c r="D63" s="18" t="str">
        <f t="shared" si="2"/>
        <v>Anwendungsbereich</v>
      </c>
      <c r="E63" s="33" t="s">
        <v>2708</v>
      </c>
      <c r="F63" s="6" t="s">
        <v>859</v>
      </c>
    </row>
    <row r="64" spans="1:6" ht="132.75">
      <c r="A64" s="17">
        <f>ROW()</f>
        <v>64</v>
      </c>
      <c r="B64" s="18" t="s">
        <v>2804</v>
      </c>
      <c r="C64" s="18" t="s">
        <v>2775</v>
      </c>
      <c r="D64" s="18" t="str">
        <f t="shared" si="2"/>
        <v>Grundprinzipien</v>
      </c>
      <c r="E64" s="33" t="s">
        <v>2709</v>
      </c>
      <c r="F64" s="6" t="s">
        <v>887</v>
      </c>
    </row>
    <row r="65" spans="1:6" ht="224.25">
      <c r="A65" s="17">
        <f>ROW()</f>
        <v>65</v>
      </c>
      <c r="B65" s="18" t="s">
        <v>2804</v>
      </c>
      <c r="C65" s="18" t="s">
        <v>2775</v>
      </c>
      <c r="D65" s="18" t="str">
        <f t="shared" si="2"/>
        <v>Voraussetzungen für die Deckung</v>
      </c>
      <c r="E65" s="33" t="s">
        <v>2710</v>
      </c>
      <c r="F65" s="6" t="s">
        <v>913</v>
      </c>
    </row>
    <row r="66" spans="1:6" ht="409.5">
      <c r="A66" s="17">
        <f>ROW()</f>
        <v>66</v>
      </c>
      <c r="B66" s="18" t="s">
        <v>2804</v>
      </c>
      <c r="C66" s="18" t="s">
        <v>2775</v>
      </c>
      <c r="D66" s="18" t="str">
        <f t="shared" si="2"/>
        <v>Kombination von selbstständiger und unselbstständiger Tätigkeit</v>
      </c>
      <c r="E66" s="33" t="s">
        <v>2698</v>
      </c>
      <c r="F66" s="6" t="s">
        <v>934</v>
      </c>
    </row>
    <row r="67" spans="1:6" ht="376.5">
      <c r="A67" s="17">
        <f>ROW()</f>
        <v>67</v>
      </c>
      <c r="B67" s="18" t="s">
        <v>2804</v>
      </c>
      <c r="C67" s="18" t="s">
        <v>2695</v>
      </c>
      <c r="D67" s="19" t="str">
        <f t="shared" si="2"/>
        <v xml:space="preserve">Voraussetzungen für den Zugang zu Diensten/Leistungen </v>
      </c>
      <c r="E67" s="33" t="s">
        <v>2699</v>
      </c>
      <c r="F67" s="6" t="s">
        <v>950</v>
      </c>
    </row>
    <row r="68" spans="1:6" ht="253.5">
      <c r="A68" s="17">
        <f>ROW()</f>
        <v>68</v>
      </c>
      <c r="B68" s="18" t="s">
        <v>2804</v>
      </c>
      <c r="C68" s="18" t="s">
        <v>2695</v>
      </c>
      <c r="D68" s="19" t="str">
        <f t="shared" si="2"/>
        <v>Beträge, Dauer und Kostenbeteiligung</v>
      </c>
      <c r="E68" s="33" t="s">
        <v>2700</v>
      </c>
      <c r="F68" s="6" t="s">
        <v>950</v>
      </c>
    </row>
    <row r="69" spans="1:6" ht="216">
      <c r="A69" s="17">
        <f>ROW()</f>
        <v>69</v>
      </c>
      <c r="B69" s="18" t="s">
        <v>2804</v>
      </c>
      <c r="C69" s="18" t="s">
        <v>2695</v>
      </c>
      <c r="D69" s="19" t="str">
        <f t="shared" si="2"/>
        <v>Besteuerung von Geldleistungen</v>
      </c>
      <c r="E69" s="33" t="s">
        <v>2681</v>
      </c>
      <c r="F69" s="6" t="s">
        <v>950</v>
      </c>
    </row>
    <row r="70" spans="1:6" ht="272.25">
      <c r="A70" s="17">
        <f>ROW()</f>
        <v>70</v>
      </c>
      <c r="B70" s="18" t="s">
        <v>2804</v>
      </c>
      <c r="C70" s="18" t="s">
        <v>2695</v>
      </c>
      <c r="D70" s="19" t="str">
        <f t="shared" si="2"/>
        <v>Auf Leistungen anfallende Sozialabgaben</v>
      </c>
      <c r="E70" s="33" t="s">
        <v>2683</v>
      </c>
      <c r="F70" s="6" t="s">
        <v>950</v>
      </c>
    </row>
    <row r="71" spans="1:6" ht="177">
      <c r="A71" s="17">
        <f>ROW()</f>
        <v>71</v>
      </c>
      <c r="B71" s="18" t="s">
        <v>2702</v>
      </c>
      <c r="C71" s="18" t="str">
        <f t="shared" ref="C71:D75" si="3">+D71</f>
        <v>Geltende Rechtsgrundlage</v>
      </c>
      <c r="D71" s="19" t="str">
        <f t="shared" si="3"/>
        <v>Geltende Rechtsgrundlage</v>
      </c>
      <c r="E71" s="32" t="s">
        <v>2724</v>
      </c>
      <c r="F71" s="6" t="s">
        <v>55</v>
      </c>
    </row>
    <row r="72" spans="1:6" ht="225">
      <c r="A72" s="17">
        <f>ROW()</f>
        <v>72</v>
      </c>
      <c r="B72" s="18" t="s">
        <v>2702</v>
      </c>
      <c r="C72" s="18" t="str">
        <f t="shared" si="3"/>
        <v>Grundprinzipien</v>
      </c>
      <c r="D72" s="19" t="str">
        <f t="shared" si="3"/>
        <v>Grundprinzipien</v>
      </c>
      <c r="E72" s="32" t="s">
        <v>2709</v>
      </c>
      <c r="F72" s="6" t="s">
        <v>1040</v>
      </c>
    </row>
    <row r="73" spans="1:6" ht="315">
      <c r="A73" s="17">
        <f>ROW()</f>
        <v>73</v>
      </c>
      <c r="B73" s="18" t="s">
        <v>2702</v>
      </c>
      <c r="C73" s="19" t="str">
        <f t="shared" si="3"/>
        <v>Anwendungsbereich (in Bezug auf Verstorbene)</v>
      </c>
      <c r="D73" s="19" t="str">
        <f t="shared" si="3"/>
        <v>Anwendungsbereich (in Bezug auf Verstorbene)</v>
      </c>
      <c r="E73" s="32" t="s">
        <v>2725</v>
      </c>
      <c r="F73" s="6" t="s">
        <v>4445</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4888</v>
      </c>
    </row>
    <row r="75" spans="1:6" ht="150">
      <c r="A75" s="17">
        <f>ROW()</f>
        <v>75</v>
      </c>
      <c r="B75" s="18" t="s">
        <v>2702</v>
      </c>
      <c r="C75" s="19" t="str">
        <f t="shared" si="3"/>
        <v>Berechtigte Personen</v>
      </c>
      <c r="D75" s="19" t="str">
        <f t="shared" si="3"/>
        <v>Berechtigte Personen</v>
      </c>
      <c r="E75" s="32" t="s">
        <v>2730</v>
      </c>
      <c r="F75" s="6" t="s">
        <v>4889</v>
      </c>
    </row>
    <row r="76" spans="1:6" ht="102">
      <c r="A76" s="17">
        <f>ROW()</f>
        <v>76</v>
      </c>
      <c r="B76" s="18" t="s">
        <v>2702</v>
      </c>
      <c r="C76" s="1"/>
      <c r="D76" s="1"/>
      <c r="E76" s="32" t="s">
        <v>2783</v>
      </c>
      <c r="F76" s="6"/>
    </row>
    <row r="77" spans="1:6" ht="189.75">
      <c r="A77" s="17">
        <f>ROW()</f>
        <v>77</v>
      </c>
      <c r="B77" s="18" t="s">
        <v>2702</v>
      </c>
      <c r="C77" s="18" t="s">
        <v>2805</v>
      </c>
      <c r="D77" s="18" t="str">
        <f t="shared" ref="D77:D90" si="4">+E77</f>
        <v>1. Verstorbener Versicherter</v>
      </c>
      <c r="E77" s="33" t="s">
        <v>2806</v>
      </c>
      <c r="F77" s="6" t="s">
        <v>4890</v>
      </c>
    </row>
    <row r="78" spans="1:6" ht="185.25">
      <c r="A78" s="17">
        <f>ROW()</f>
        <v>78</v>
      </c>
      <c r="B78" s="18" t="s">
        <v>2702</v>
      </c>
      <c r="C78" s="18" t="s">
        <v>2805</v>
      </c>
      <c r="D78" s="18" t="str">
        <f t="shared" si="4"/>
        <v>2. Hinterbliebener Ehegatte</v>
      </c>
      <c r="E78" s="33" t="s">
        <v>2807</v>
      </c>
      <c r="F78" s="6" t="s">
        <v>4891</v>
      </c>
    </row>
    <row r="79" spans="1:6" ht="181.5">
      <c r="A79" s="17">
        <f>ROW()</f>
        <v>79</v>
      </c>
      <c r="B79" s="18" t="s">
        <v>2702</v>
      </c>
      <c r="C79" s="18" t="s">
        <v>2805</v>
      </c>
      <c r="D79" s="18" t="str">
        <f t="shared" si="4"/>
        <v>3. Geschiedener Ehegatte</v>
      </c>
      <c r="E79" s="33" t="s">
        <v>2808</v>
      </c>
      <c r="F79" s="6" t="s">
        <v>4892</v>
      </c>
    </row>
    <row r="80" spans="1:6" ht="216">
      <c r="A80" s="17">
        <f>ROW()</f>
        <v>80</v>
      </c>
      <c r="B80" s="18" t="s">
        <v>2702</v>
      </c>
      <c r="C80" s="18" t="s">
        <v>2805</v>
      </c>
      <c r="D80" s="18" t="str">
        <f t="shared" si="4"/>
        <v>4. Hinterbliebene Lebenspartner</v>
      </c>
      <c r="E80" s="33" t="s">
        <v>2809</v>
      </c>
      <c r="F80" s="6" t="s">
        <v>1229</v>
      </c>
    </row>
    <row r="81" spans="1:6" ht="181.5">
      <c r="A81" s="17">
        <f>ROW()</f>
        <v>81</v>
      </c>
      <c r="B81" s="18" t="s">
        <v>2702</v>
      </c>
      <c r="C81" s="18" t="s">
        <v>2805</v>
      </c>
      <c r="D81" s="18" t="str">
        <f t="shared" si="4"/>
        <v>5. Kinder</v>
      </c>
      <c r="E81" s="33" t="s">
        <v>2810</v>
      </c>
      <c r="F81" s="6" t="s">
        <v>1258</v>
      </c>
    </row>
    <row r="82" spans="1:6" ht="181.5">
      <c r="A82" s="17">
        <f>ROW()</f>
        <v>82</v>
      </c>
      <c r="B82" s="18" t="s">
        <v>2702</v>
      </c>
      <c r="C82" s="18" t="s">
        <v>2805</v>
      </c>
      <c r="D82" s="18" t="str">
        <f t="shared" si="4"/>
        <v>6. Andere Personen</v>
      </c>
      <c r="E82" s="33" t="s">
        <v>2811</v>
      </c>
      <c r="F82" s="6" t="s">
        <v>1278</v>
      </c>
    </row>
    <row r="83" spans="1:6" ht="409.5">
      <c r="A83" s="17">
        <f>ROW()</f>
        <v>83</v>
      </c>
      <c r="B83" s="18" t="s">
        <v>2702</v>
      </c>
      <c r="C83" s="18" t="s">
        <v>2695</v>
      </c>
      <c r="D83" s="19" t="str">
        <f t="shared" si="4"/>
        <v>1. Hinterbliebener Ehegatte, geschiedener Ehegatte, hinterbliebene Lebenspartner</v>
      </c>
      <c r="E83" s="33" t="s">
        <v>2812</v>
      </c>
      <c r="F83" s="6" t="s">
        <v>1306</v>
      </c>
    </row>
    <row r="84" spans="1:6" ht="280.5">
      <c r="A84" s="17">
        <f>ROW()</f>
        <v>84</v>
      </c>
      <c r="B84" s="18" t="s">
        <v>2702</v>
      </c>
      <c r="C84" s="18" t="s">
        <v>2695</v>
      </c>
      <c r="D84" s="19" t="str">
        <f t="shared" si="4"/>
        <v>2. Hinterbliebener Ehegatte: Wiederheirat</v>
      </c>
      <c r="E84" s="33" t="s">
        <v>2813</v>
      </c>
      <c r="F84" s="6" t="s">
        <v>1335</v>
      </c>
    </row>
    <row r="85" spans="1:6" ht="150">
      <c r="A85" s="17">
        <f>ROW()</f>
        <v>85</v>
      </c>
      <c r="B85" s="18" t="s">
        <v>2702</v>
      </c>
      <c r="C85" s="18" t="s">
        <v>2695</v>
      </c>
      <c r="D85" s="19" t="str">
        <f t="shared" si="4"/>
        <v>3. Kinder</v>
      </c>
      <c r="E85" s="33" t="s">
        <v>2814</v>
      </c>
      <c r="F85" s="6" t="s">
        <v>4893</v>
      </c>
    </row>
    <row r="86" spans="1:6" ht="147">
      <c r="A86" s="17">
        <f>ROW()</f>
        <v>86</v>
      </c>
      <c r="B86" s="18" t="s">
        <v>2702</v>
      </c>
      <c r="C86" s="18" t="s">
        <v>2695</v>
      </c>
      <c r="D86" s="19" t="str">
        <f t="shared" si="4"/>
        <v>4. Andere Berechtigte</v>
      </c>
      <c r="E86" s="33" t="s">
        <v>2815</v>
      </c>
      <c r="F86" s="6" t="s">
        <v>1384</v>
      </c>
    </row>
    <row r="87" spans="1:6" ht="381">
      <c r="A87" s="17">
        <f>ROW()</f>
        <v>87</v>
      </c>
      <c r="B87" s="18" t="s">
        <v>2702</v>
      </c>
      <c r="C87" s="18" t="s">
        <v>2695</v>
      </c>
      <c r="D87" s="19" t="str">
        <f t="shared" si="4"/>
        <v xml:space="preserve"> 5. Höchster zahlbarer Gesamtbetrag für alle Berechtigten</v>
      </c>
      <c r="E87" s="33" t="s">
        <v>2816</v>
      </c>
      <c r="F87" s="6" t="s">
        <v>1407</v>
      </c>
    </row>
    <row r="88" spans="1:6" ht="151.5">
      <c r="A88" s="17">
        <f>ROW()</f>
        <v>88</v>
      </c>
      <c r="B88" s="18" t="s">
        <v>2702</v>
      </c>
      <c r="C88" s="18" t="s">
        <v>2695</v>
      </c>
      <c r="D88" s="19" t="str">
        <f t="shared" si="4"/>
        <v>6. Sonstige Leistungen</v>
      </c>
      <c r="E88" s="33" t="s">
        <v>2817</v>
      </c>
      <c r="F88" s="6" t="s">
        <v>4894</v>
      </c>
    </row>
    <row r="89" spans="1:6" ht="126.75">
      <c r="A89" s="17">
        <f>ROW()</f>
        <v>89</v>
      </c>
      <c r="B89" s="18" t="s">
        <v>2702</v>
      </c>
      <c r="C89" s="18" t="s">
        <v>2695</v>
      </c>
      <c r="D89" s="19" t="str">
        <f>+E89</f>
        <v>7. Mindestleistung</v>
      </c>
      <c r="E89" s="33" t="s">
        <v>2818</v>
      </c>
      <c r="F89" s="6" t="s">
        <v>1464</v>
      </c>
    </row>
    <row r="90" spans="1:6" ht="122.25">
      <c r="A90" s="17">
        <f>ROW()</f>
        <v>90</v>
      </c>
      <c r="B90" s="18" t="s">
        <v>2702</v>
      </c>
      <c r="C90" s="18" t="s">
        <v>2695</v>
      </c>
      <c r="D90" s="19" t="str">
        <f t="shared" si="4"/>
        <v xml:space="preserve"> 8. Höchstleistung</v>
      </c>
      <c r="E90" s="33" t="s">
        <v>2819</v>
      </c>
      <c r="F90" s="6" t="s">
        <v>1486</v>
      </c>
    </row>
    <row r="91" spans="1:6" ht="179.25">
      <c r="A91" s="17">
        <f>ROW()</f>
        <v>91</v>
      </c>
      <c r="B91" s="18" t="s">
        <v>2702</v>
      </c>
      <c r="C91" s="18" t="s">
        <v>2799</v>
      </c>
      <c r="D91" s="19" t="str">
        <f>+C91</f>
        <v>Indexbindung / Anpassung</v>
      </c>
      <c r="E91" s="32" t="s">
        <v>2799</v>
      </c>
      <c r="F91" s="6" t="s">
        <v>1515</v>
      </c>
    </row>
    <row r="92" spans="1:6" ht="242.25">
      <c r="A92" s="17">
        <f>ROW()</f>
        <v>92</v>
      </c>
      <c r="B92" s="18" t="s">
        <v>2702</v>
      </c>
      <c r="C92" s="18" t="s">
        <v>2799</v>
      </c>
      <c r="D92" s="19" t="str">
        <f t="shared" ref="D92:D105" si="5">+E92</f>
        <v>Kumulation mit Erwerbseinkommen</v>
      </c>
      <c r="E92" s="32" t="s">
        <v>2723</v>
      </c>
      <c r="F92" s="6" t="s">
        <v>1545</v>
      </c>
    </row>
    <row r="93" spans="1:6" ht="275.25">
      <c r="A93" s="17">
        <f>ROW()</f>
        <v>93</v>
      </c>
      <c r="B93" s="18" t="s">
        <v>2702</v>
      </c>
      <c r="C93" s="18" t="s">
        <v>2799</v>
      </c>
      <c r="D93" s="19" t="str">
        <f t="shared" si="5"/>
        <v>Kumulation mit anderen Sozialleistungen</v>
      </c>
      <c r="E93" s="32" t="s">
        <v>2696</v>
      </c>
      <c r="F93" s="6" t="s">
        <v>1576</v>
      </c>
    </row>
    <row r="94" spans="1:6" ht="232.5">
      <c r="A94" s="17">
        <f>ROW()</f>
        <v>94</v>
      </c>
      <c r="B94" s="18" t="s">
        <v>2702</v>
      </c>
      <c r="C94" s="19" t="s">
        <v>2701</v>
      </c>
      <c r="D94" s="19" t="str">
        <f t="shared" si="5"/>
        <v>1. Besteuerung von Geldleistungen</v>
      </c>
      <c r="E94" s="33" t="s">
        <v>2770</v>
      </c>
      <c r="F94" s="6" t="s">
        <v>1597</v>
      </c>
    </row>
    <row r="95" spans="1:6" ht="387">
      <c r="A95" s="17">
        <f>ROW()</f>
        <v>95</v>
      </c>
      <c r="B95" s="18" t="s">
        <v>2702</v>
      </c>
      <c r="C95" s="19" t="s">
        <v>2701</v>
      </c>
      <c r="D95" s="19" t="str">
        <f t="shared" si="5"/>
        <v>2. Einkommensgrenze für Besteuerung von Geldleistungen</v>
      </c>
      <c r="E95" s="33" t="s">
        <v>2772</v>
      </c>
      <c r="F95" s="6" t="s">
        <v>1621</v>
      </c>
    </row>
    <row r="96" spans="1:6" ht="288.75">
      <c r="A96" s="17">
        <f>ROW()</f>
        <v>96</v>
      </c>
      <c r="B96" s="18" t="s">
        <v>2702</v>
      </c>
      <c r="C96" s="19" t="s">
        <v>2701</v>
      </c>
      <c r="D96" s="19" t="str">
        <f t="shared" si="5"/>
        <v>3. Auf Leistungen anfallende Sozialabgaben</v>
      </c>
      <c r="E96" s="33" t="s">
        <v>2773</v>
      </c>
      <c r="F96" s="6" t="s">
        <v>1639</v>
      </c>
    </row>
    <row r="97" spans="1:6" ht="138">
      <c r="A97" s="17">
        <f>ROW()</f>
        <v>97</v>
      </c>
      <c r="B97" s="18" t="s">
        <v>2702</v>
      </c>
      <c r="C97" s="19" t="s">
        <v>2775</v>
      </c>
      <c r="D97" s="19" t="str">
        <f t="shared" si="5"/>
        <v>Anwendungsbereich</v>
      </c>
      <c r="E97" s="33" t="s">
        <v>2708</v>
      </c>
      <c r="F97" s="6" t="s">
        <v>859</v>
      </c>
    </row>
    <row r="98" spans="1:6" ht="110.25">
      <c r="A98" s="17">
        <f>ROW()</f>
        <v>98</v>
      </c>
      <c r="B98" s="18" t="s">
        <v>2702</v>
      </c>
      <c r="C98" s="19" t="s">
        <v>2775</v>
      </c>
      <c r="D98" s="19" t="str">
        <f t="shared" si="5"/>
        <v>Grundprinzipien</v>
      </c>
      <c r="E98" s="33" t="s">
        <v>2709</v>
      </c>
      <c r="F98" s="6" t="s">
        <v>1671</v>
      </c>
    </row>
    <row r="99" spans="1:6" ht="224.25">
      <c r="A99" s="17">
        <f>ROW()</f>
        <v>99</v>
      </c>
      <c r="B99" s="18" t="s">
        <v>2702</v>
      </c>
      <c r="C99" s="19" t="s">
        <v>2775</v>
      </c>
      <c r="D99" s="19" t="str">
        <f t="shared" si="5"/>
        <v>Voraussetzungen für die Deckung</v>
      </c>
      <c r="E99" s="33" t="s">
        <v>2710</v>
      </c>
      <c r="F99" s="6" t="s">
        <v>913</v>
      </c>
    </row>
    <row r="100" spans="1:6" ht="409.5">
      <c r="A100" s="17">
        <f>ROW()</f>
        <v>100</v>
      </c>
      <c r="B100" s="18" t="s">
        <v>2702</v>
      </c>
      <c r="C100" s="19" t="s">
        <v>2775</v>
      </c>
      <c r="D100" s="19" t="str">
        <f t="shared" si="5"/>
        <v>Kombination von selbstständiger und unselbstständiger Tätigkeit</v>
      </c>
      <c r="E100" s="33" t="s">
        <v>2698</v>
      </c>
      <c r="F100" s="6" t="s">
        <v>934</v>
      </c>
    </row>
    <row r="101" spans="1:6" ht="376.5">
      <c r="A101" s="17">
        <f>ROW()</f>
        <v>101</v>
      </c>
      <c r="B101" s="18" t="s">
        <v>2702</v>
      </c>
      <c r="C101" s="19" t="s">
        <v>2775</v>
      </c>
      <c r="D101" s="19" t="str">
        <f t="shared" si="5"/>
        <v xml:space="preserve">Voraussetzungen für den Zugang zu Diensten/Leistungen </v>
      </c>
      <c r="E101" s="33" t="s">
        <v>2699</v>
      </c>
      <c r="F101" s="6" t="s">
        <v>950</v>
      </c>
    </row>
    <row r="102" spans="1:6" ht="253.5">
      <c r="A102" s="17">
        <f>ROW()</f>
        <v>102</v>
      </c>
      <c r="B102" s="18" t="s">
        <v>2702</v>
      </c>
      <c r="C102" s="19" t="s">
        <v>2775</v>
      </c>
      <c r="D102" s="19" t="str">
        <f t="shared" si="5"/>
        <v>Beträge, Dauer und Kostenbeteiligung</v>
      </c>
      <c r="E102" s="33" t="s">
        <v>2700</v>
      </c>
      <c r="F102" s="6" t="s">
        <v>950</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950</v>
      </c>
    </row>
    <row r="105" spans="1:6" ht="272.25">
      <c r="A105" s="17">
        <f>ROW()</f>
        <v>105</v>
      </c>
      <c r="B105" s="18" t="s">
        <v>2702</v>
      </c>
      <c r="C105" s="19" t="s">
        <v>2775</v>
      </c>
      <c r="D105" s="19" t="str">
        <f t="shared" si="5"/>
        <v>Auf Leistungen anfallende Sozialabgaben</v>
      </c>
      <c r="E105" s="33" t="s">
        <v>2683</v>
      </c>
      <c r="F105" s="6" t="s">
        <v>950</v>
      </c>
    </row>
  </sheetData>
  <sheetProtection algorithmName="SHA-512" hashValue="/RNmcuBcUSXXwD+OEeaIQu6zra4TEqcFCSUROuG2guov+5bRBbjuken/E8stbqoCp2Z8cPdkktRHLz/JvGqV3w==" saltValue="RvB80t42PmfNVpTF74kERg==" spinCount="100000" sheet="1" formatColumns="0" autoFilter="0"/>
  <pageMargins left="0.7" right="0.7" top="0.78740157499999996" bottom="0.78740157499999996"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436D5-0E2E-4F29-9366-5DB1C7B71AF9}">
  <sheetPr codeName="Tabelle27" filterMode="1"/>
  <dimension ref="A1:F105"/>
  <sheetViews>
    <sheetView workbookViewId="0">
      <pane xSplit="5" ySplit="2" topLeftCell="F59" activePane="bottomRight" state="frozen"/>
      <selection activeCell="F2" sqref="F2"/>
      <selection pane="topRight" activeCell="F2" sqref="F2"/>
      <selection pane="bottomLeft" activeCell="F2" sqref="F2"/>
      <selection pane="bottomRight" activeCell="F1" sqref="F1"/>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39" t="s">
        <v>2726</v>
      </c>
      <c r="C1" s="136" t="s">
        <v>2739</v>
      </c>
      <c r="D1" s="136" t="s">
        <v>2728</v>
      </c>
      <c r="E1" s="128" t="s">
        <v>3506</v>
      </c>
      <c r="F1" s="16" t="s">
        <v>25</v>
      </c>
    </row>
    <row r="2" spans="1:6" ht="39.75" customHeight="1">
      <c r="A2" s="138"/>
      <c r="B2" s="139"/>
      <c r="C2" s="136"/>
      <c r="D2" s="136"/>
      <c r="E2" s="134"/>
      <c r="F2" s="174" t="str" cm="1">
        <f t="array" ref="F2">_xlfn.TEXTJOIN("; ", TRUE, IF(Entscheidungen!A2:A100=F1, Entscheidungen!B2:B100, ""))</f>
        <v/>
      </c>
    </row>
    <row r="3" spans="1:6" ht="177" hidden="1">
      <c r="A3" s="17">
        <f>ROW()</f>
        <v>3</v>
      </c>
      <c r="B3" s="18" t="s">
        <v>2740</v>
      </c>
      <c r="C3" s="18"/>
      <c r="D3" s="18" t="str">
        <f>+E3</f>
        <v>Geltende Rechtsgrundlage</v>
      </c>
      <c r="E3" s="31" t="s">
        <v>2724</v>
      </c>
      <c r="F3" s="6" t="s">
        <v>2959</v>
      </c>
    </row>
    <row r="4" spans="1:6" ht="110.25" hidden="1">
      <c r="A4" s="17">
        <f>ROW()</f>
        <v>4</v>
      </c>
      <c r="B4" s="18" t="s">
        <v>2740</v>
      </c>
      <c r="C4" s="1"/>
      <c r="D4" s="18" t="str">
        <f t="shared" ref="D4:D34" si="0">+E4</f>
        <v>Grundprinzipien</v>
      </c>
      <c r="E4" s="32" t="s">
        <v>2709</v>
      </c>
      <c r="F4" s="6" t="s">
        <v>2960</v>
      </c>
    </row>
    <row r="5" spans="1:6" ht="188.25" hidden="1">
      <c r="A5" s="17">
        <f>ROW()</f>
        <v>5</v>
      </c>
      <c r="B5" s="18" t="s">
        <v>2740</v>
      </c>
      <c r="C5" s="1"/>
      <c r="D5" s="18" t="str">
        <f t="shared" si="0"/>
        <v>Gedecktes Risiko: Definition</v>
      </c>
      <c r="E5" s="32" t="s">
        <v>2891</v>
      </c>
      <c r="F5" s="6" t="s">
        <v>2961</v>
      </c>
    </row>
    <row r="6" spans="1:6" ht="180" hidden="1">
      <c r="A6" s="17">
        <f>ROW()</f>
        <v>6</v>
      </c>
      <c r="B6" s="18" t="s">
        <v>2740</v>
      </c>
      <c r="C6" s="18" t="s">
        <v>2653</v>
      </c>
      <c r="D6" s="18" t="str">
        <f t="shared" si="0"/>
        <v>Versicherte Personen</v>
      </c>
      <c r="E6" s="33" t="s">
        <v>2653</v>
      </c>
      <c r="F6" s="6" t="s">
        <v>2962</v>
      </c>
    </row>
    <row r="7" spans="1:6" ht="273" hidden="1">
      <c r="A7" s="17">
        <f>ROW()</f>
        <v>7</v>
      </c>
      <c r="B7" s="18" t="s">
        <v>2740</v>
      </c>
      <c r="C7" s="18" t="str">
        <f>+E6</f>
        <v>Versicherte Personen</v>
      </c>
      <c r="D7" s="18" t="str">
        <f t="shared" si="0"/>
        <v>Ausnahmen von der Versicherungspflicht</v>
      </c>
      <c r="E7" s="33" t="s">
        <v>2685</v>
      </c>
      <c r="F7" s="6" t="s">
        <v>2963</v>
      </c>
    </row>
    <row r="8" spans="1:6" ht="194.25" hidden="1">
      <c r="A8" s="17">
        <f>ROW()</f>
        <v>8</v>
      </c>
      <c r="B8" s="18" t="s">
        <v>2740</v>
      </c>
      <c r="C8" s="19" t="s">
        <v>149</v>
      </c>
      <c r="D8" s="18" t="str">
        <f t="shared" si="0"/>
        <v>1. Anwartschaftszeit</v>
      </c>
      <c r="E8" s="33" t="s">
        <v>2744</v>
      </c>
      <c r="F8" s="6" t="s">
        <v>2964</v>
      </c>
    </row>
    <row r="9" spans="1:6" ht="409.5" hidden="1">
      <c r="A9" s="17">
        <f>ROW()</f>
        <v>9</v>
      </c>
      <c r="B9" s="18" t="s">
        <v>2740</v>
      </c>
      <c r="C9" s="19" t="s">
        <v>149</v>
      </c>
      <c r="D9" s="18" t="str">
        <f t="shared" si="0"/>
        <v xml:space="preserve">2. Begutachtungskriterien und Kategorien der Arbeitsunfähigkeit/Arbeitsfähigkeit  </v>
      </c>
      <c r="E9" s="33" t="s">
        <v>2745</v>
      </c>
      <c r="F9" s="6" t="s">
        <v>2965</v>
      </c>
    </row>
    <row r="10" spans="1:6" ht="222" hidden="1">
      <c r="A10" s="17">
        <f>ROW()</f>
        <v>10</v>
      </c>
      <c r="B10" s="18" t="s">
        <v>2740</v>
      </c>
      <c r="C10" s="19" t="s">
        <v>149</v>
      </c>
      <c r="D10" s="18" t="str">
        <f t="shared" si="0"/>
        <v>3. Zeitraum der Leistungszahlung</v>
      </c>
      <c r="E10" s="33" t="s">
        <v>2747</v>
      </c>
      <c r="F10" s="6" t="s">
        <v>2966</v>
      </c>
    </row>
    <row r="11" spans="1:6" ht="105" hidden="1">
      <c r="A11" s="17">
        <f>ROW()</f>
        <v>11</v>
      </c>
      <c r="B11" s="18" t="s">
        <v>2740</v>
      </c>
      <c r="C11" s="19" t="s">
        <v>2749</v>
      </c>
      <c r="D11" s="18" t="str">
        <f t="shared" si="0"/>
        <v>1. Gutachter</v>
      </c>
      <c r="E11" s="33" t="s">
        <v>2750</v>
      </c>
      <c r="F11" s="6" t="s">
        <v>2967</v>
      </c>
    </row>
    <row r="12" spans="1:6" ht="111.75" hidden="1">
      <c r="A12" s="17">
        <f>ROW()</f>
        <v>12</v>
      </c>
      <c r="B12" s="18" t="s">
        <v>2740</v>
      </c>
      <c r="C12" s="19" t="s">
        <v>2749</v>
      </c>
      <c r="D12" s="18" t="str">
        <f t="shared" si="0"/>
        <v xml:space="preserve">2. Überprüfung  </v>
      </c>
      <c r="E12" s="33" t="s">
        <v>2751</v>
      </c>
      <c r="F12" s="6" t="s">
        <v>2968</v>
      </c>
    </row>
    <row r="13" spans="1:6" ht="291.75" hidden="1">
      <c r="A13" s="17">
        <f>ROW()</f>
        <v>13</v>
      </c>
      <c r="B13" s="18" t="s">
        <v>2740</v>
      </c>
      <c r="C13" s="18" t="s">
        <v>2695</v>
      </c>
      <c r="D13" s="18" t="str">
        <f t="shared" si="0"/>
        <v>1. Berechnungsmethode bzw. Rentenformel</v>
      </c>
      <c r="E13" s="33" t="s">
        <v>2753</v>
      </c>
      <c r="F13" s="6" t="s">
        <v>2969</v>
      </c>
    </row>
    <row r="14" spans="1:6" ht="343.5" hidden="1">
      <c r="A14" s="17">
        <f>ROW()</f>
        <v>14</v>
      </c>
      <c r="B14" s="18" t="s">
        <v>2740</v>
      </c>
      <c r="C14" s="18" t="s">
        <v>2695</v>
      </c>
      <c r="D14" s="18" t="str">
        <f t="shared" si="0"/>
        <v>2. Referenzeinkommen bzw. Berechnungsgrundlage</v>
      </c>
      <c r="E14" s="33" t="s">
        <v>2754</v>
      </c>
      <c r="F14" s="6" t="s">
        <v>2970</v>
      </c>
    </row>
    <row r="15" spans="1:6" ht="226.5" hidden="1">
      <c r="A15" s="17">
        <f>ROW()</f>
        <v>15</v>
      </c>
      <c r="B15" s="18" t="s">
        <v>2740</v>
      </c>
      <c r="C15" s="18" t="s">
        <v>2695</v>
      </c>
      <c r="D15" s="18" t="str">
        <f t="shared" si="0"/>
        <v>3. Mindest- und Höchstleistungen</v>
      </c>
      <c r="E15" s="33" t="s">
        <v>2756</v>
      </c>
      <c r="F15" s="6" t="s">
        <v>2971</v>
      </c>
    </row>
    <row r="16" spans="1:6" ht="405" hidden="1">
      <c r="A16" s="17">
        <f>ROW()</f>
        <v>16</v>
      </c>
      <c r="B16" s="18" t="s">
        <v>2740</v>
      </c>
      <c r="C16" s="18" t="s">
        <v>2695</v>
      </c>
      <c r="D16" s="18" t="str">
        <f t="shared" si="0"/>
        <v>4. Anrechenbare oder als Beitragszeiten gewertete Zeiträume</v>
      </c>
      <c r="E16" s="33" t="s">
        <v>2757</v>
      </c>
      <c r="F16" s="6" t="s">
        <v>2972</v>
      </c>
    </row>
    <row r="17" spans="1:6" ht="250.5" hidden="1">
      <c r="A17" s="17">
        <f>ROW()</f>
        <v>17</v>
      </c>
      <c r="B17" s="18" t="s">
        <v>2740</v>
      </c>
      <c r="C17" s="18" t="s">
        <v>2695</v>
      </c>
      <c r="D17" s="18" t="str">
        <f t="shared" si="0"/>
        <v xml:space="preserve">5. Zulagen für Unterhaltsberechtigte  </v>
      </c>
      <c r="E17" s="33" t="s">
        <v>2759</v>
      </c>
      <c r="F17" s="6" t="s">
        <v>2247</v>
      </c>
    </row>
    <row r="18" spans="1:6" ht="135" hidden="1">
      <c r="A18" s="17">
        <f>ROW()</f>
        <v>18</v>
      </c>
      <c r="B18" s="18" t="s">
        <v>2740</v>
      </c>
      <c r="C18" s="18" t="str">
        <f>+E18</f>
        <v>Sonstige Leistungen</v>
      </c>
      <c r="D18" s="18" t="str">
        <f>+E18</f>
        <v>Sonstige Leistungen</v>
      </c>
      <c r="E18" s="32" t="s">
        <v>2678</v>
      </c>
      <c r="F18" s="6" t="s">
        <v>2973</v>
      </c>
    </row>
    <row r="19" spans="1:6" ht="300.75" hidden="1">
      <c r="A19" s="17">
        <f>ROW()</f>
        <v>19</v>
      </c>
      <c r="B19" s="18" t="s">
        <v>2740</v>
      </c>
      <c r="C19" s="18" t="s">
        <v>2761</v>
      </c>
      <c r="D19" s="18" t="str">
        <f t="shared" si="0"/>
        <v>Umschulung, berufsbezogene Rehabilitation</v>
      </c>
      <c r="E19" s="33" t="s">
        <v>2762</v>
      </c>
      <c r="F19" s="6" t="s">
        <v>2974</v>
      </c>
    </row>
    <row r="20" spans="1:6" ht="409.5" hidden="1">
      <c r="A20" s="17">
        <f>ROW()</f>
        <v>20</v>
      </c>
      <c r="B20" s="18" t="s">
        <v>2740</v>
      </c>
      <c r="C20" s="18" t="s">
        <v>2761</v>
      </c>
      <c r="D20" s="18" t="str">
        <f t="shared" si="0"/>
        <v xml:space="preserve">Bevorzugte und reservierte Beschäftigung von Menschen mit Behinderungen  </v>
      </c>
      <c r="E20" s="33" t="s">
        <v>2763</v>
      </c>
      <c r="F20" s="6" t="s">
        <v>2975</v>
      </c>
    </row>
    <row r="21" spans="1:6" ht="171.75" hidden="1">
      <c r="A21" s="17">
        <f>ROW()</f>
        <v>21</v>
      </c>
      <c r="B21" s="18" t="s">
        <v>2740</v>
      </c>
      <c r="C21" s="18" t="s">
        <v>2765</v>
      </c>
      <c r="D21" s="18" t="str">
        <f t="shared" si="0"/>
        <v>Indexbindung/Anpassung</v>
      </c>
      <c r="E21" s="32" t="s">
        <v>2766</v>
      </c>
      <c r="F21" s="6" t="s">
        <v>2976</v>
      </c>
    </row>
    <row r="22" spans="1:6" ht="242.25" hidden="1">
      <c r="A22" s="17">
        <f>ROW()</f>
        <v>22</v>
      </c>
      <c r="B22" s="18" t="s">
        <v>2740</v>
      </c>
      <c r="C22" s="18" t="s">
        <v>2765</v>
      </c>
      <c r="D22" s="18" t="str">
        <f>+E22</f>
        <v>Kumulation mit Erwerbseinkommen</v>
      </c>
      <c r="E22" s="32" t="s">
        <v>2723</v>
      </c>
      <c r="F22" s="6" t="s">
        <v>2977</v>
      </c>
    </row>
    <row r="23" spans="1:6" ht="275.25" hidden="1">
      <c r="A23" s="17">
        <f>ROW()</f>
        <v>23</v>
      </c>
      <c r="B23" s="18" t="s">
        <v>2740</v>
      </c>
      <c r="C23" s="18" t="s">
        <v>2765</v>
      </c>
      <c r="D23" s="18" t="str">
        <f t="shared" si="0"/>
        <v>Kumulation mit anderen Sozialleistungen</v>
      </c>
      <c r="E23" s="32" t="s">
        <v>2696</v>
      </c>
      <c r="F23" s="6" t="s">
        <v>2978</v>
      </c>
    </row>
    <row r="24" spans="1:6" ht="232.5" hidden="1">
      <c r="A24" s="17">
        <f>ROW()</f>
        <v>24</v>
      </c>
      <c r="B24" s="18" t="s">
        <v>2740</v>
      </c>
      <c r="C24" s="18" t="s">
        <v>2701</v>
      </c>
      <c r="D24" s="18" t="str">
        <f t="shared" si="0"/>
        <v>1. Besteuerung von Geldleistungen</v>
      </c>
      <c r="E24" s="33" t="s">
        <v>2770</v>
      </c>
      <c r="F24" s="6" t="s">
        <v>2979</v>
      </c>
    </row>
    <row r="25" spans="1:6" ht="387" hidden="1">
      <c r="A25" s="17">
        <f>ROW()</f>
        <v>25</v>
      </c>
      <c r="B25" s="18" t="s">
        <v>2740</v>
      </c>
      <c r="C25" s="18" t="s">
        <v>2701</v>
      </c>
      <c r="D25" s="18" t="str">
        <f t="shared" si="0"/>
        <v>2. Einkommensgrenze für Besteuerung von Geldleistungen</v>
      </c>
      <c r="E25" s="33" t="s">
        <v>2772</v>
      </c>
      <c r="F25" s="6" t="s">
        <v>811</v>
      </c>
    </row>
    <row r="26" spans="1:6" ht="288.75" hidden="1">
      <c r="A26" s="17">
        <f>ROW()</f>
        <v>26</v>
      </c>
      <c r="B26" s="18" t="s">
        <v>2740</v>
      </c>
      <c r="C26" s="18" t="s">
        <v>2701</v>
      </c>
      <c r="D26" s="18" t="str">
        <f t="shared" si="0"/>
        <v>3. Auf Leistungen anfallende Sozialabgaben</v>
      </c>
      <c r="E26" s="33" t="s">
        <v>2773</v>
      </c>
      <c r="F26" s="6" t="s">
        <v>825</v>
      </c>
    </row>
    <row r="27" spans="1:6" ht="138" hidden="1">
      <c r="A27" s="17">
        <f>ROW()</f>
        <v>27</v>
      </c>
      <c r="B27" s="18" t="s">
        <v>2740</v>
      </c>
      <c r="C27" s="18" t="s">
        <v>2775</v>
      </c>
      <c r="D27" s="18" t="str">
        <f t="shared" si="0"/>
        <v>Anwendungsbereich</v>
      </c>
      <c r="E27" s="33" t="s">
        <v>2708</v>
      </c>
      <c r="F27" s="6" t="s">
        <v>860</v>
      </c>
    </row>
    <row r="28" spans="1:6" ht="110.25" hidden="1">
      <c r="A28" s="17">
        <f>ROW()</f>
        <v>28</v>
      </c>
      <c r="B28" s="18" t="s">
        <v>2740</v>
      </c>
      <c r="C28" s="18" t="s">
        <v>2775</v>
      </c>
      <c r="D28" s="18" t="str">
        <f t="shared" si="0"/>
        <v>Grundprinzipien</v>
      </c>
      <c r="E28" s="33" t="s">
        <v>2709</v>
      </c>
      <c r="F28" s="6" t="s">
        <v>888</v>
      </c>
    </row>
    <row r="29" spans="1:6" ht="224.25" hidden="1">
      <c r="A29" s="17">
        <f>ROW()</f>
        <v>29</v>
      </c>
      <c r="B29" s="18" t="s">
        <v>2740</v>
      </c>
      <c r="C29" s="18" t="s">
        <v>2775</v>
      </c>
      <c r="D29" s="18" t="str">
        <f t="shared" si="0"/>
        <v>Voraussetzungen für die Deckung</v>
      </c>
      <c r="E29" s="33" t="s">
        <v>2710</v>
      </c>
      <c r="F29" s="6" t="s">
        <v>2980</v>
      </c>
    </row>
    <row r="30" spans="1:6" ht="409.5" hidden="1">
      <c r="A30" s="17">
        <f>ROW()</f>
        <v>30</v>
      </c>
      <c r="B30" s="18" t="s">
        <v>2740</v>
      </c>
      <c r="C30" s="18" t="s">
        <v>2775</v>
      </c>
      <c r="D30" s="19" t="str">
        <f t="shared" si="0"/>
        <v>Kombination von selbstständiger und unselbstständiger Tätigkeit</v>
      </c>
      <c r="E30" s="33" t="s">
        <v>2698</v>
      </c>
      <c r="F30" s="6" t="s">
        <v>935</v>
      </c>
    </row>
    <row r="31" spans="1:6" ht="376.5" hidden="1">
      <c r="A31" s="17">
        <f>ROW()</f>
        <v>31</v>
      </c>
      <c r="B31" s="18" t="s">
        <v>2740</v>
      </c>
      <c r="C31" s="18" t="s">
        <v>2695</v>
      </c>
      <c r="D31" s="19" t="str">
        <f t="shared" si="0"/>
        <v xml:space="preserve">Voraussetzungen für den Zugang zu Diensten/Leistungen </v>
      </c>
      <c r="E31" s="33" t="s">
        <v>2699</v>
      </c>
      <c r="F31" s="6" t="s">
        <v>942</v>
      </c>
    </row>
    <row r="32" spans="1:6" ht="253.5" hidden="1">
      <c r="A32" s="17">
        <f>ROW()</f>
        <v>32</v>
      </c>
      <c r="B32" s="18" t="s">
        <v>2740</v>
      </c>
      <c r="C32" s="18" t="s">
        <v>2695</v>
      </c>
      <c r="D32" s="18" t="str">
        <f t="shared" si="0"/>
        <v>Beträge, Dauer und Kostenbeteiligung</v>
      </c>
      <c r="E32" s="33" t="s">
        <v>2700</v>
      </c>
      <c r="F32" s="6" t="s">
        <v>942</v>
      </c>
    </row>
    <row r="33" spans="1:6" ht="216" hidden="1">
      <c r="A33" s="17">
        <f>ROW()</f>
        <v>33</v>
      </c>
      <c r="B33" s="18" t="s">
        <v>2740</v>
      </c>
      <c r="C33" s="18" t="s">
        <v>2695</v>
      </c>
      <c r="D33" s="18" t="str">
        <f t="shared" si="0"/>
        <v>Besteuerung von Geldleistungen</v>
      </c>
      <c r="E33" s="33" t="s">
        <v>2681</v>
      </c>
      <c r="F33" s="6" t="s">
        <v>942</v>
      </c>
    </row>
    <row r="34" spans="1:6" ht="276.75" hidden="1">
      <c r="A34" s="17">
        <f>ROW()</f>
        <v>34</v>
      </c>
      <c r="B34" s="18" t="s">
        <v>2740</v>
      </c>
      <c r="C34" s="18" t="s">
        <v>2695</v>
      </c>
      <c r="D34" s="18" t="str">
        <f t="shared" si="0"/>
        <v xml:space="preserve"> Auf Leistungen anfallende Sozialabgaben</v>
      </c>
      <c r="E34" s="33" t="s">
        <v>2779</v>
      </c>
      <c r="F34" s="6" t="s">
        <v>942</v>
      </c>
    </row>
    <row r="35" spans="1:6" ht="177">
      <c r="A35" s="17">
        <f>ROW()</f>
        <v>35</v>
      </c>
      <c r="B35" s="18" t="s">
        <v>2780</v>
      </c>
      <c r="C35" s="18" t="str">
        <f>+D35</f>
        <v>Geltende Rechtsgrundlage</v>
      </c>
      <c r="D35" s="18" t="str">
        <f>+E35</f>
        <v>Geltende Rechtsgrundlage</v>
      </c>
      <c r="E35" s="32" t="s">
        <v>2724</v>
      </c>
      <c r="F35" s="6" t="s">
        <v>56</v>
      </c>
    </row>
    <row r="36" spans="1:6" ht="255">
      <c r="A36" s="17">
        <f>ROW()</f>
        <v>36</v>
      </c>
      <c r="B36" s="18" t="s">
        <v>2780</v>
      </c>
      <c r="C36" s="18" t="str">
        <f>+D36</f>
        <v>Grundprinzipien</v>
      </c>
      <c r="D36" s="18" t="str">
        <f>+E36</f>
        <v>Grundprinzipien</v>
      </c>
      <c r="E36" s="32" t="s">
        <v>2709</v>
      </c>
      <c r="F36" s="6" t="s">
        <v>87</v>
      </c>
    </row>
    <row r="37" spans="1:6" ht="270">
      <c r="A37" s="17">
        <f>ROW()</f>
        <v>37</v>
      </c>
      <c r="B37" s="18" t="s">
        <v>2780</v>
      </c>
      <c r="C37" s="18" t="s">
        <v>2708</v>
      </c>
      <c r="D37" s="18" t="str">
        <f>+E37</f>
        <v>1. Versicherte Personen</v>
      </c>
      <c r="E37" s="33" t="s">
        <v>2781</v>
      </c>
      <c r="F37" s="6" t="s">
        <v>4895</v>
      </c>
    </row>
    <row r="38" spans="1:6" ht="371.25">
      <c r="A38" s="17">
        <f>ROW()</f>
        <v>38</v>
      </c>
      <c r="B38" s="18" t="s">
        <v>2780</v>
      </c>
      <c r="C38" s="18" t="s">
        <v>2708</v>
      </c>
      <c r="D38" s="18" t="str">
        <f t="shared" ref="D38:D58" si="1">+E38</f>
        <v>2. Ausnahmen von der Deckung  der Pflichtversicherung</v>
      </c>
      <c r="E38" s="33" t="s">
        <v>2782</v>
      </c>
      <c r="F38" s="6" t="s">
        <v>143</v>
      </c>
    </row>
    <row r="39" spans="1:6" ht="194.25">
      <c r="A39" s="17">
        <f>ROW()</f>
        <v>39</v>
      </c>
      <c r="B39" s="18" t="s">
        <v>2780</v>
      </c>
      <c r="C39" s="18" t="s">
        <v>149</v>
      </c>
      <c r="D39" s="18" t="str">
        <f t="shared" si="1"/>
        <v>1. Rentenalter</v>
      </c>
      <c r="E39" s="33" t="s">
        <v>2784</v>
      </c>
      <c r="F39" s="6" t="s">
        <v>4896</v>
      </c>
    </row>
    <row r="40" spans="1:6" ht="409.5">
      <c r="A40" s="17">
        <f>ROW()</f>
        <v>40</v>
      </c>
      <c r="B40" s="18" t="s">
        <v>2780</v>
      </c>
      <c r="C40" s="18" t="s">
        <v>149</v>
      </c>
      <c r="D40" s="18" t="str">
        <f t="shared" si="1"/>
        <v>2. Anwartschaftszeit und sonstige Anspruchsvoraussetzungen für den Bezug einer Altersrente</v>
      </c>
      <c r="E40" s="33" t="s">
        <v>2785</v>
      </c>
      <c r="F40" s="6" t="s">
        <v>206</v>
      </c>
    </row>
    <row r="41" spans="1:6" ht="194.25">
      <c r="A41" s="17">
        <f>ROW()</f>
        <v>41</v>
      </c>
      <c r="B41" s="18" t="s">
        <v>2780</v>
      </c>
      <c r="C41" s="18" t="s">
        <v>149</v>
      </c>
      <c r="D41" s="18" t="str">
        <f t="shared" si="1"/>
        <v>3. Vorruhestand</v>
      </c>
      <c r="E41" s="33" t="s">
        <v>2786</v>
      </c>
      <c r="F41" s="6" t="s">
        <v>4897</v>
      </c>
    </row>
    <row r="42" spans="1:6" ht="264">
      <c r="A42" s="17">
        <f>ROW()</f>
        <v>42</v>
      </c>
      <c r="B42" s="18" t="s">
        <v>2780</v>
      </c>
      <c r="C42" s="18" t="s">
        <v>149</v>
      </c>
      <c r="D42" s="18" t="str">
        <f t="shared" si="1"/>
        <v>4. Beschwerliche und gefährliche Arbeit</v>
      </c>
      <c r="E42" s="33" t="s">
        <v>2787</v>
      </c>
      <c r="F42" s="6" t="s">
        <v>266</v>
      </c>
    </row>
    <row r="43" spans="1:6" ht="194.25">
      <c r="A43" s="17">
        <f>ROW()</f>
        <v>43</v>
      </c>
      <c r="B43" s="18" t="s">
        <v>2780</v>
      </c>
      <c r="C43" s="18" t="s">
        <v>149</v>
      </c>
      <c r="D43" s="18" t="str">
        <f t="shared" si="1"/>
        <v>5. Rentenaufschub</v>
      </c>
      <c r="E43" s="33" t="s">
        <v>2788</v>
      </c>
      <c r="F43" s="6" t="s">
        <v>273</v>
      </c>
    </row>
    <row r="44" spans="1:6" ht="174">
      <c r="A44" s="17">
        <f>ROW()</f>
        <v>44</v>
      </c>
      <c r="B44" s="18" t="s">
        <v>2780</v>
      </c>
      <c r="C44" s="18" t="s">
        <v>2695</v>
      </c>
      <c r="D44" s="18" t="str">
        <f t="shared" si="1"/>
        <v>1. Bestimmende Faktoren</v>
      </c>
      <c r="E44" s="33" t="s">
        <v>2789</v>
      </c>
      <c r="F44" s="6" t="s">
        <v>322</v>
      </c>
    </row>
    <row r="45" spans="1:6" ht="349.5">
      <c r="A45" s="17">
        <f>ROW()</f>
        <v>45</v>
      </c>
      <c r="B45" s="18" t="s">
        <v>2780</v>
      </c>
      <c r="C45" s="18" t="s">
        <v>2695</v>
      </c>
      <c r="D45" s="18" t="str">
        <f t="shared" si="1"/>
        <v>2. Berechnungsmethode, Rentenformel bzw. Beträge</v>
      </c>
      <c r="E45" s="33" t="s">
        <v>2790</v>
      </c>
      <c r="F45" s="6" t="s">
        <v>353</v>
      </c>
    </row>
    <row r="46" spans="1:6" ht="343.5">
      <c r="A46" s="17">
        <f>ROW()</f>
        <v>46</v>
      </c>
      <c r="B46" s="18" t="s">
        <v>2780</v>
      </c>
      <c r="C46" s="18" t="s">
        <v>2695</v>
      </c>
      <c r="D46" s="18" t="str">
        <f t="shared" si="1"/>
        <v>3. Referenzeinkommen bzw. Berechnungsgrundlage</v>
      </c>
      <c r="E46" s="33" t="s">
        <v>2791</v>
      </c>
      <c r="F46" s="6" t="s">
        <v>384</v>
      </c>
    </row>
    <row r="47" spans="1:6" ht="405">
      <c r="A47" s="17">
        <f>ROW()</f>
        <v>47</v>
      </c>
      <c r="B47" s="18" t="s">
        <v>2780</v>
      </c>
      <c r="C47" s="18" t="s">
        <v>2695</v>
      </c>
      <c r="D47" s="18" t="str">
        <f t="shared" si="1"/>
        <v>4. Anrechenbare oder als Beitragszeiten gewertete Zeiträume</v>
      </c>
      <c r="E47" s="33" t="s">
        <v>2757</v>
      </c>
      <c r="F47" s="6" t="s">
        <v>4898</v>
      </c>
    </row>
    <row r="48" spans="1:6" ht="243.75">
      <c r="A48" s="17">
        <f>ROW()</f>
        <v>48</v>
      </c>
      <c r="B48" s="18" t="s">
        <v>2780</v>
      </c>
      <c r="C48" s="18" t="s">
        <v>2695</v>
      </c>
      <c r="D48" s="18" t="str">
        <f t="shared" si="1"/>
        <v>5. Rückkauf von Versicherungszeiten</v>
      </c>
      <c r="E48" s="33" t="s">
        <v>2792</v>
      </c>
      <c r="F48" s="6" t="s">
        <v>442</v>
      </c>
    </row>
    <row r="49" spans="1:6" ht="246">
      <c r="A49" s="17">
        <f>ROW()</f>
        <v>49</v>
      </c>
      <c r="B49" s="18" t="s">
        <v>2780</v>
      </c>
      <c r="C49" s="18" t="s">
        <v>2695</v>
      </c>
      <c r="D49" s="18" t="str">
        <f t="shared" si="1"/>
        <v>6.  Zulagen für Unterhaltsberechtigte</v>
      </c>
      <c r="E49" s="33" t="s">
        <v>2892</v>
      </c>
      <c r="F49" s="6" t="s">
        <v>463</v>
      </c>
    </row>
    <row r="50" spans="1:6" ht="145.5">
      <c r="A50" s="17">
        <f>ROW()</f>
        <v>50</v>
      </c>
      <c r="B50" s="18" t="s">
        <v>2780</v>
      </c>
      <c r="C50" s="18" t="s">
        <v>2695</v>
      </c>
      <c r="D50" s="18" t="str">
        <f t="shared" si="1"/>
        <v>7. Besondere Zulagen</v>
      </c>
      <c r="E50" s="33" t="s">
        <v>2793</v>
      </c>
      <c r="F50" s="6" t="s">
        <v>493</v>
      </c>
    </row>
    <row r="51" spans="1:6" ht="360.75">
      <c r="A51" s="17">
        <f>ROW()</f>
        <v>51</v>
      </c>
      <c r="B51" s="18" t="s">
        <v>2780</v>
      </c>
      <c r="C51" s="18" t="s">
        <v>2695</v>
      </c>
      <c r="D51" s="18" t="str">
        <f t="shared" si="1"/>
        <v>8. Mindestrente und bedürftigkeitsabhängige Leistung</v>
      </c>
      <c r="E51" s="33" t="s">
        <v>2794</v>
      </c>
      <c r="F51" s="6" t="s">
        <v>524</v>
      </c>
    </row>
    <row r="52" spans="1:6" ht="101.25">
      <c r="A52" s="17">
        <f>ROW()</f>
        <v>52</v>
      </c>
      <c r="B52" s="18" t="s">
        <v>2780</v>
      </c>
      <c r="C52" s="18" t="s">
        <v>2695</v>
      </c>
      <c r="D52" s="18" t="str">
        <f t="shared" si="1"/>
        <v>9. Höchstrente</v>
      </c>
      <c r="E52" s="33" t="s">
        <v>2795</v>
      </c>
      <c r="F52" s="6" t="s">
        <v>550</v>
      </c>
    </row>
    <row r="53" spans="1:6" ht="119.25">
      <c r="A53" s="17">
        <f>ROW()</f>
        <v>53</v>
      </c>
      <c r="B53" s="18" t="s">
        <v>2780</v>
      </c>
      <c r="C53" s="18" t="s">
        <v>2695</v>
      </c>
      <c r="D53" s="18" t="str">
        <f t="shared" si="1"/>
        <v>10. Vorruhestand</v>
      </c>
      <c r="E53" s="33" t="s">
        <v>2796</v>
      </c>
      <c r="F53" s="6" t="s">
        <v>579</v>
      </c>
    </row>
    <row r="54" spans="1:6" ht="272.25">
      <c r="A54" s="17">
        <f>ROW()</f>
        <v>54</v>
      </c>
      <c r="B54" s="18" t="s">
        <v>2780</v>
      </c>
      <c r="C54" s="18" t="s">
        <v>2695</v>
      </c>
      <c r="D54" s="18" t="str">
        <f t="shared" si="1"/>
        <v>11. Beschwerliche und gefährliche Arbeit</v>
      </c>
      <c r="E54" s="33" t="s">
        <v>2797</v>
      </c>
      <c r="F54" s="6" t="s">
        <v>604</v>
      </c>
    </row>
    <row r="55" spans="1:6" ht="87.75">
      <c r="A55" s="17">
        <f>ROW()</f>
        <v>55</v>
      </c>
      <c r="B55" s="18" t="s">
        <v>2780</v>
      </c>
      <c r="C55" s="18" t="s">
        <v>2695</v>
      </c>
      <c r="D55" s="18" t="str">
        <f t="shared" si="1"/>
        <v>12. Teilrente</v>
      </c>
      <c r="E55" s="33" t="s">
        <v>2798</v>
      </c>
      <c r="F55" s="6" t="s">
        <v>625</v>
      </c>
    </row>
    <row r="56" spans="1:6" ht="171.75">
      <c r="A56" s="17">
        <f>ROW()</f>
        <v>56</v>
      </c>
      <c r="B56" s="18" t="s">
        <v>2780</v>
      </c>
      <c r="C56" s="18" t="s">
        <v>2695</v>
      </c>
      <c r="D56" s="18" t="str">
        <f t="shared" si="1"/>
        <v>13. Aufgeschobene Rente</v>
      </c>
      <c r="E56" s="33" t="s">
        <v>2893</v>
      </c>
      <c r="F56" s="6" t="s">
        <v>662</v>
      </c>
    </row>
    <row r="57" spans="1:6" ht="179.25">
      <c r="A57" s="17">
        <f>ROW()</f>
        <v>57</v>
      </c>
      <c r="B57" s="18" t="s">
        <v>2780</v>
      </c>
      <c r="C57" s="18" t="s">
        <v>2799</v>
      </c>
      <c r="D57" s="18" t="s">
        <v>2799</v>
      </c>
      <c r="E57" s="32" t="s">
        <v>2799</v>
      </c>
      <c r="F57" s="6" t="s">
        <v>693</v>
      </c>
    </row>
    <row r="58" spans="1:6" ht="246">
      <c r="A58" s="17">
        <f>ROW()</f>
        <v>58</v>
      </c>
      <c r="B58" s="18" t="s">
        <v>2780</v>
      </c>
      <c r="C58" s="18" t="s">
        <v>2799</v>
      </c>
      <c r="D58" s="18" t="str">
        <f t="shared" si="1"/>
        <v xml:space="preserve">Kumulation mit Erwerbseinkommen </v>
      </c>
      <c r="E58" s="32" t="s">
        <v>2697</v>
      </c>
      <c r="F58" s="6" t="s">
        <v>724</v>
      </c>
    </row>
    <row r="59" spans="1:6" ht="286.5">
      <c r="A59" s="17">
        <f>ROW()</f>
        <v>59</v>
      </c>
      <c r="B59" s="18" t="s">
        <v>2780</v>
      </c>
      <c r="C59" s="18" t="s">
        <v>2799</v>
      </c>
      <c r="D59" s="18" t="s">
        <v>2800</v>
      </c>
      <c r="E59" s="32" t="s">
        <v>2696</v>
      </c>
      <c r="F59" s="6" t="s">
        <v>755</v>
      </c>
    </row>
    <row r="60" spans="1:6" ht="225.75">
      <c r="A60" s="17">
        <f>ROW()</f>
        <v>60</v>
      </c>
      <c r="B60" s="18" t="s">
        <v>2780</v>
      </c>
      <c r="C60" s="18" t="s">
        <v>761</v>
      </c>
      <c r="D60" s="18" t="str">
        <f t="shared" ref="D60:D70" si="2">+E60</f>
        <v>1. Besteuerung von Renten</v>
      </c>
      <c r="E60" s="33" t="s">
        <v>2801</v>
      </c>
      <c r="F60" s="6" t="s">
        <v>783</v>
      </c>
    </row>
    <row r="61" spans="1:6" ht="335.25">
      <c r="A61" s="17">
        <f>ROW()</f>
        <v>61</v>
      </c>
      <c r="B61" s="18" t="s">
        <v>2780</v>
      </c>
      <c r="C61" s="18" t="s">
        <v>761</v>
      </c>
      <c r="D61" s="18" t="str">
        <f t="shared" si="2"/>
        <v>2. Einkommensgrenze für Besteuerung von Renten</v>
      </c>
      <c r="E61" s="33" t="s">
        <v>2802</v>
      </c>
      <c r="F61" s="6" t="s">
        <v>811</v>
      </c>
    </row>
    <row r="62" spans="1:6" ht="264">
      <c r="A62" s="17">
        <f>ROW()</f>
        <v>62</v>
      </c>
      <c r="B62" s="18" t="s">
        <v>2780</v>
      </c>
      <c r="C62" s="18" t="s">
        <v>761</v>
      </c>
      <c r="D62" s="18" t="str">
        <f t="shared" si="2"/>
        <v>3. Auf Renten anfallende Sozialabgaben</v>
      </c>
      <c r="E62" s="33" t="s">
        <v>2803</v>
      </c>
      <c r="F62" s="6" t="s">
        <v>825</v>
      </c>
    </row>
    <row r="63" spans="1:6" ht="138" hidden="1">
      <c r="A63" s="17">
        <f>ROW()</f>
        <v>63</v>
      </c>
      <c r="B63" s="18" t="s">
        <v>2804</v>
      </c>
      <c r="C63" s="18" t="str">
        <f>+E63</f>
        <v>Anwendungsbereich</v>
      </c>
      <c r="D63" s="18" t="str">
        <f t="shared" si="2"/>
        <v>Anwendungsbereich</v>
      </c>
      <c r="E63" s="33" t="s">
        <v>2708</v>
      </c>
      <c r="F63" s="6" t="s">
        <v>860</v>
      </c>
    </row>
    <row r="64" spans="1:6" ht="132.75" hidden="1">
      <c r="A64" s="17">
        <f>ROW()</f>
        <v>64</v>
      </c>
      <c r="B64" s="18" t="s">
        <v>2804</v>
      </c>
      <c r="C64" s="18" t="s">
        <v>2775</v>
      </c>
      <c r="D64" s="18" t="str">
        <f t="shared" si="2"/>
        <v>Grundprinzipien</v>
      </c>
      <c r="E64" s="33" t="s">
        <v>2709</v>
      </c>
      <c r="F64" s="6" t="s">
        <v>888</v>
      </c>
    </row>
    <row r="65" spans="1:6" ht="224.25" hidden="1">
      <c r="A65" s="17">
        <f>ROW()</f>
        <v>65</v>
      </c>
      <c r="B65" s="18" t="s">
        <v>2804</v>
      </c>
      <c r="C65" s="18" t="s">
        <v>2775</v>
      </c>
      <c r="D65" s="18" t="str">
        <f t="shared" si="2"/>
        <v>Voraussetzungen für die Deckung</v>
      </c>
      <c r="E65" s="33" t="s">
        <v>2710</v>
      </c>
      <c r="F65" s="6" t="s">
        <v>914</v>
      </c>
    </row>
    <row r="66" spans="1:6" ht="409.5" hidden="1">
      <c r="A66" s="17">
        <f>ROW()</f>
        <v>66</v>
      </c>
      <c r="B66" s="18" t="s">
        <v>2804</v>
      </c>
      <c r="C66" s="18" t="s">
        <v>2775</v>
      </c>
      <c r="D66" s="18" t="str">
        <f t="shared" si="2"/>
        <v>Kombination von selbstständiger und unselbstständiger Tätigkeit</v>
      </c>
      <c r="E66" s="33" t="s">
        <v>2698</v>
      </c>
      <c r="F66" s="6" t="s">
        <v>935</v>
      </c>
    </row>
    <row r="67" spans="1:6" ht="376.5" hidden="1">
      <c r="A67" s="17">
        <f>ROW()</f>
        <v>67</v>
      </c>
      <c r="B67" s="18" t="s">
        <v>2804</v>
      </c>
      <c r="C67" s="18" t="s">
        <v>2695</v>
      </c>
      <c r="D67" s="19" t="str">
        <f t="shared" si="2"/>
        <v xml:space="preserve">Voraussetzungen für den Zugang zu Diensten/Leistungen </v>
      </c>
      <c r="E67" s="33" t="s">
        <v>2699</v>
      </c>
      <c r="F67" s="6" t="s">
        <v>942</v>
      </c>
    </row>
    <row r="68" spans="1:6" ht="253.5" hidden="1">
      <c r="A68" s="17">
        <f>ROW()</f>
        <v>68</v>
      </c>
      <c r="B68" s="18" t="s">
        <v>2804</v>
      </c>
      <c r="C68" s="18" t="s">
        <v>2695</v>
      </c>
      <c r="D68" s="19" t="str">
        <f t="shared" si="2"/>
        <v>Beträge, Dauer und Kostenbeteiligung</v>
      </c>
      <c r="E68" s="33" t="s">
        <v>2700</v>
      </c>
      <c r="F68" s="6" t="s">
        <v>942</v>
      </c>
    </row>
    <row r="69" spans="1:6" ht="216" hidden="1">
      <c r="A69" s="17">
        <f>ROW()</f>
        <v>69</v>
      </c>
      <c r="B69" s="18" t="s">
        <v>2804</v>
      </c>
      <c r="C69" s="18" t="s">
        <v>2695</v>
      </c>
      <c r="D69" s="19" t="str">
        <f t="shared" si="2"/>
        <v>Besteuerung von Geldleistungen</v>
      </c>
      <c r="E69" s="33" t="s">
        <v>2681</v>
      </c>
      <c r="F69" s="6" t="s">
        <v>942</v>
      </c>
    </row>
    <row r="70" spans="1:6" ht="272.25" hidden="1">
      <c r="A70" s="17">
        <f>ROW()</f>
        <v>70</v>
      </c>
      <c r="B70" s="18" t="s">
        <v>2804</v>
      </c>
      <c r="C70" s="18" t="s">
        <v>2695</v>
      </c>
      <c r="D70" s="19" t="str">
        <f t="shared" si="2"/>
        <v>Auf Leistungen anfallende Sozialabgaben</v>
      </c>
      <c r="E70" s="33" t="s">
        <v>2683</v>
      </c>
      <c r="F70" s="6" t="s">
        <v>942</v>
      </c>
    </row>
    <row r="71" spans="1:6" ht="177" hidden="1">
      <c r="A71" s="17">
        <f>ROW()</f>
        <v>71</v>
      </c>
      <c r="B71" s="18" t="s">
        <v>2702</v>
      </c>
      <c r="C71" s="18" t="str">
        <f t="shared" ref="C71:D75" si="3">+D71</f>
        <v>Geltende Rechtsgrundlage</v>
      </c>
      <c r="D71" s="19" t="str">
        <f t="shared" si="3"/>
        <v>Geltende Rechtsgrundlage</v>
      </c>
      <c r="E71" s="32" t="s">
        <v>2724</v>
      </c>
      <c r="F71" s="6" t="s">
        <v>1011</v>
      </c>
    </row>
    <row r="72" spans="1:6" ht="110.25" hidden="1">
      <c r="A72" s="17">
        <f>ROW()</f>
        <v>72</v>
      </c>
      <c r="B72" s="18" t="s">
        <v>2702</v>
      </c>
      <c r="C72" s="18" t="str">
        <f t="shared" si="3"/>
        <v>Grundprinzipien</v>
      </c>
      <c r="D72" s="19" t="str">
        <f t="shared" si="3"/>
        <v>Grundprinzipien</v>
      </c>
      <c r="E72" s="32" t="s">
        <v>2709</v>
      </c>
      <c r="F72" s="6" t="s">
        <v>1041</v>
      </c>
    </row>
    <row r="73" spans="1:6" ht="315" hidden="1">
      <c r="A73" s="17">
        <f>ROW()</f>
        <v>73</v>
      </c>
      <c r="B73" s="18" t="s">
        <v>2702</v>
      </c>
      <c r="C73" s="19" t="str">
        <f t="shared" si="3"/>
        <v>Anwendungsbereich (in Bezug auf Verstorbene)</v>
      </c>
      <c r="D73" s="19" t="str">
        <f t="shared" si="3"/>
        <v>Anwendungsbereich (in Bezug auf Verstorbene)</v>
      </c>
      <c r="E73" s="32" t="s">
        <v>2725</v>
      </c>
      <c r="F73" s="6" t="s">
        <v>1070</v>
      </c>
    </row>
    <row r="74" spans="1:6" ht="409.5" hidden="1">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1087</v>
      </c>
    </row>
    <row r="75" spans="1:6" ht="144.75" hidden="1">
      <c r="A75" s="17">
        <f>ROW()</f>
        <v>75</v>
      </c>
      <c r="B75" s="18" t="s">
        <v>2702</v>
      </c>
      <c r="C75" s="19" t="str">
        <f t="shared" si="3"/>
        <v>Berechtigte Personen</v>
      </c>
      <c r="D75" s="19" t="str">
        <f t="shared" si="3"/>
        <v>Berechtigte Personen</v>
      </c>
      <c r="E75" s="32" t="s">
        <v>2730</v>
      </c>
      <c r="F75" s="6" t="s">
        <v>1116</v>
      </c>
    </row>
    <row r="76" spans="1:6" ht="102" hidden="1">
      <c r="A76" s="17">
        <f>ROW()</f>
        <v>76</v>
      </c>
      <c r="B76" s="18" t="s">
        <v>2702</v>
      </c>
      <c r="C76" s="1"/>
      <c r="D76" s="1"/>
      <c r="E76" s="32" t="s">
        <v>2783</v>
      </c>
      <c r="F76" s="6"/>
    </row>
    <row r="77" spans="1:6" ht="189.75" hidden="1">
      <c r="A77" s="17">
        <f>ROW()</f>
        <v>77</v>
      </c>
      <c r="B77" s="18" t="s">
        <v>2702</v>
      </c>
      <c r="C77" s="18" t="s">
        <v>2805</v>
      </c>
      <c r="D77" s="18" t="str">
        <f t="shared" ref="D77:D90" si="4">+E77</f>
        <v>1. Verstorbener Versicherter</v>
      </c>
      <c r="E77" s="33" t="s">
        <v>2806</v>
      </c>
      <c r="F77" s="6" t="s">
        <v>1147</v>
      </c>
    </row>
    <row r="78" spans="1:6" ht="195" hidden="1">
      <c r="A78" s="17">
        <f>ROW()</f>
        <v>78</v>
      </c>
      <c r="B78" s="18" t="s">
        <v>2702</v>
      </c>
      <c r="C78" s="18" t="s">
        <v>2805</v>
      </c>
      <c r="D78" s="18" t="str">
        <f t="shared" si="4"/>
        <v>2. Hinterbliebener Ehegatte</v>
      </c>
      <c r="E78" s="33" t="s">
        <v>2807</v>
      </c>
      <c r="F78" s="6" t="s">
        <v>1178</v>
      </c>
    </row>
    <row r="79" spans="1:6" ht="181.5" hidden="1">
      <c r="A79" s="17">
        <f>ROW()</f>
        <v>79</v>
      </c>
      <c r="B79" s="18" t="s">
        <v>2702</v>
      </c>
      <c r="C79" s="18" t="s">
        <v>2805</v>
      </c>
      <c r="D79" s="18" t="str">
        <f t="shared" si="4"/>
        <v>3. Geschiedener Ehegatte</v>
      </c>
      <c r="E79" s="33" t="s">
        <v>2808</v>
      </c>
      <c r="F79" s="6" t="s">
        <v>1207</v>
      </c>
    </row>
    <row r="80" spans="1:6" ht="216" hidden="1">
      <c r="A80" s="17">
        <f>ROW()</f>
        <v>80</v>
      </c>
      <c r="B80" s="18" t="s">
        <v>2702</v>
      </c>
      <c r="C80" s="18" t="s">
        <v>2805</v>
      </c>
      <c r="D80" s="18" t="str">
        <f t="shared" si="4"/>
        <v>4. Hinterbliebene Lebenspartner</v>
      </c>
      <c r="E80" s="33" t="s">
        <v>2809</v>
      </c>
      <c r="F80" s="6" t="s">
        <v>1218</v>
      </c>
    </row>
    <row r="81" spans="1:6" ht="181.5" hidden="1">
      <c r="A81" s="17">
        <f>ROW()</f>
        <v>81</v>
      </c>
      <c r="B81" s="18" t="s">
        <v>2702</v>
      </c>
      <c r="C81" s="18" t="s">
        <v>2805</v>
      </c>
      <c r="D81" s="18" t="str">
        <f t="shared" si="4"/>
        <v>5. Kinder</v>
      </c>
      <c r="E81" s="33" t="s">
        <v>2810</v>
      </c>
      <c r="F81" s="6" t="s">
        <v>1259</v>
      </c>
    </row>
    <row r="82" spans="1:6" ht="181.5" hidden="1">
      <c r="A82" s="17">
        <f>ROW()</f>
        <v>82</v>
      </c>
      <c r="B82" s="18" t="s">
        <v>2702</v>
      </c>
      <c r="C82" s="18" t="s">
        <v>2805</v>
      </c>
      <c r="D82" s="18" t="str">
        <f t="shared" si="4"/>
        <v>6. Andere Personen</v>
      </c>
      <c r="E82" s="33" t="s">
        <v>2811</v>
      </c>
      <c r="F82" s="6" t="s">
        <v>373</v>
      </c>
    </row>
    <row r="83" spans="1:6" ht="409.5" hidden="1">
      <c r="A83" s="17">
        <f>ROW()</f>
        <v>83</v>
      </c>
      <c r="B83" s="18" t="s">
        <v>2702</v>
      </c>
      <c r="C83" s="18" t="s">
        <v>2695</v>
      </c>
      <c r="D83" s="19" t="str">
        <f t="shared" si="4"/>
        <v>1. Hinterbliebener Ehegatte, geschiedener Ehegatte, hinterbliebene Lebenspartner</v>
      </c>
      <c r="E83" s="33" t="s">
        <v>2812</v>
      </c>
      <c r="F83" s="6" t="s">
        <v>1307</v>
      </c>
    </row>
    <row r="84" spans="1:6" ht="280.5" hidden="1">
      <c r="A84" s="17">
        <f>ROW()</f>
        <v>84</v>
      </c>
      <c r="B84" s="18" t="s">
        <v>2702</v>
      </c>
      <c r="C84" s="18" t="s">
        <v>2695</v>
      </c>
      <c r="D84" s="19" t="str">
        <f t="shared" si="4"/>
        <v>2. Hinterbliebener Ehegatte: Wiederheirat</v>
      </c>
      <c r="E84" s="33" t="s">
        <v>2813</v>
      </c>
      <c r="F84" s="6" t="s">
        <v>1336</v>
      </c>
    </row>
    <row r="85" spans="1:6" ht="135" hidden="1">
      <c r="A85" s="17">
        <f>ROW()</f>
        <v>85</v>
      </c>
      <c r="B85" s="18" t="s">
        <v>2702</v>
      </c>
      <c r="C85" s="18" t="s">
        <v>2695</v>
      </c>
      <c r="D85" s="19" t="str">
        <f t="shared" si="4"/>
        <v>3. Kinder</v>
      </c>
      <c r="E85" s="33" t="s">
        <v>2814</v>
      </c>
      <c r="F85" s="6" t="s">
        <v>1367</v>
      </c>
    </row>
    <row r="86" spans="1:6" ht="147" hidden="1">
      <c r="A86" s="17">
        <f>ROW()</f>
        <v>86</v>
      </c>
      <c r="B86" s="18" t="s">
        <v>2702</v>
      </c>
      <c r="C86" s="18" t="s">
        <v>2695</v>
      </c>
      <c r="D86" s="19" t="str">
        <f t="shared" si="4"/>
        <v>4. Andere Berechtigte</v>
      </c>
      <c r="E86" s="33" t="s">
        <v>2815</v>
      </c>
      <c r="F86" s="6" t="s">
        <v>373</v>
      </c>
    </row>
    <row r="87" spans="1:6" ht="381" hidden="1">
      <c r="A87" s="17">
        <f>ROW()</f>
        <v>87</v>
      </c>
      <c r="B87" s="18" t="s">
        <v>2702</v>
      </c>
      <c r="C87" s="18" t="s">
        <v>2695</v>
      </c>
      <c r="D87" s="19" t="str">
        <f t="shared" si="4"/>
        <v xml:space="preserve"> 5. Höchster zahlbarer Gesamtbetrag für alle Berechtigten</v>
      </c>
      <c r="E87" s="33" t="s">
        <v>2816</v>
      </c>
      <c r="F87" s="6" t="s">
        <v>1408</v>
      </c>
    </row>
    <row r="88" spans="1:6" ht="151.5" hidden="1">
      <c r="A88" s="17">
        <f>ROW()</f>
        <v>88</v>
      </c>
      <c r="B88" s="18" t="s">
        <v>2702</v>
      </c>
      <c r="C88" s="18" t="s">
        <v>2695</v>
      </c>
      <c r="D88" s="19" t="str">
        <f t="shared" si="4"/>
        <v>6. Sonstige Leistungen</v>
      </c>
      <c r="E88" s="33" t="s">
        <v>2817</v>
      </c>
      <c r="F88" s="6" t="s">
        <v>1437</v>
      </c>
    </row>
    <row r="89" spans="1:6" ht="126.75" hidden="1">
      <c r="A89" s="17">
        <f>ROW()</f>
        <v>89</v>
      </c>
      <c r="B89" s="18" t="s">
        <v>2702</v>
      </c>
      <c r="C89" s="18" t="s">
        <v>2695</v>
      </c>
      <c r="D89" s="19" t="str">
        <f>+E89</f>
        <v>7. Mindestleistung</v>
      </c>
      <c r="E89" s="33" t="s">
        <v>2818</v>
      </c>
      <c r="F89" s="6" t="s">
        <v>502</v>
      </c>
    </row>
    <row r="90" spans="1:6" ht="122.25" hidden="1">
      <c r="A90" s="17">
        <f>ROW()</f>
        <v>90</v>
      </c>
      <c r="B90" s="18" t="s">
        <v>2702</v>
      </c>
      <c r="C90" s="18" t="s">
        <v>2695</v>
      </c>
      <c r="D90" s="19" t="str">
        <f t="shared" si="4"/>
        <v xml:space="preserve"> 8. Höchstleistung</v>
      </c>
      <c r="E90" s="33" t="s">
        <v>2819</v>
      </c>
      <c r="F90" s="6" t="s">
        <v>532</v>
      </c>
    </row>
    <row r="91" spans="1:6" ht="179.25" hidden="1">
      <c r="A91" s="17">
        <f>ROW()</f>
        <v>91</v>
      </c>
      <c r="B91" s="18" t="s">
        <v>2702</v>
      </c>
      <c r="C91" s="18" t="s">
        <v>2799</v>
      </c>
      <c r="D91" s="19" t="str">
        <f>+C91</f>
        <v>Indexbindung / Anpassung</v>
      </c>
      <c r="E91" s="32" t="s">
        <v>2799</v>
      </c>
      <c r="F91" s="6" t="s">
        <v>1516</v>
      </c>
    </row>
    <row r="92" spans="1:6" ht="242.25" hidden="1">
      <c r="A92" s="17">
        <f>ROW()</f>
        <v>92</v>
      </c>
      <c r="B92" s="18" t="s">
        <v>2702</v>
      </c>
      <c r="C92" s="18" t="s">
        <v>2799</v>
      </c>
      <c r="D92" s="19" t="str">
        <f t="shared" ref="D92:D105" si="5">+E92</f>
        <v>Kumulation mit Erwerbseinkommen</v>
      </c>
      <c r="E92" s="32" t="s">
        <v>2723</v>
      </c>
      <c r="F92" s="6" t="s">
        <v>1546</v>
      </c>
    </row>
    <row r="93" spans="1:6" ht="275.25" hidden="1">
      <c r="A93" s="17">
        <f>ROW()</f>
        <v>93</v>
      </c>
      <c r="B93" s="18" t="s">
        <v>2702</v>
      </c>
      <c r="C93" s="18" t="s">
        <v>2799</v>
      </c>
      <c r="D93" s="19" t="str">
        <f t="shared" si="5"/>
        <v>Kumulation mit anderen Sozialleistungen</v>
      </c>
      <c r="E93" s="32" t="s">
        <v>2696</v>
      </c>
      <c r="F93" s="6" t="s">
        <v>1577</v>
      </c>
    </row>
    <row r="94" spans="1:6" ht="232.5" hidden="1">
      <c r="A94" s="17">
        <f>ROW()</f>
        <v>94</v>
      </c>
      <c r="B94" s="18" t="s">
        <v>2702</v>
      </c>
      <c r="C94" s="19" t="s">
        <v>2701</v>
      </c>
      <c r="D94" s="19" t="str">
        <f t="shared" si="5"/>
        <v>1. Besteuerung von Geldleistungen</v>
      </c>
      <c r="E94" s="33" t="s">
        <v>2770</v>
      </c>
      <c r="F94" s="6" t="s">
        <v>1584</v>
      </c>
    </row>
    <row r="95" spans="1:6" ht="387" hidden="1">
      <c r="A95" s="17">
        <f>ROW()</f>
        <v>95</v>
      </c>
      <c r="B95" s="18" t="s">
        <v>2702</v>
      </c>
      <c r="C95" s="19" t="s">
        <v>2701</v>
      </c>
      <c r="D95" s="19" t="str">
        <f t="shared" si="5"/>
        <v>2. Einkommensgrenze für Besteuerung von Geldleistungen</v>
      </c>
      <c r="E95" s="33" t="s">
        <v>2772</v>
      </c>
      <c r="F95" s="6" t="s">
        <v>1622</v>
      </c>
    </row>
    <row r="96" spans="1:6" ht="288.75" hidden="1">
      <c r="A96" s="17">
        <f>ROW()</f>
        <v>96</v>
      </c>
      <c r="B96" s="18" t="s">
        <v>2702</v>
      </c>
      <c r="C96" s="19" t="s">
        <v>2701</v>
      </c>
      <c r="D96" s="19" t="str">
        <f t="shared" si="5"/>
        <v>3. Auf Leistungen anfallende Sozialabgaben</v>
      </c>
      <c r="E96" s="33" t="s">
        <v>2773</v>
      </c>
      <c r="F96" s="6" t="s">
        <v>820</v>
      </c>
    </row>
    <row r="97" spans="1:6" ht="138" hidden="1">
      <c r="A97" s="17">
        <f>ROW()</f>
        <v>97</v>
      </c>
      <c r="B97" s="18" t="s">
        <v>2702</v>
      </c>
      <c r="C97" s="19" t="s">
        <v>2775</v>
      </c>
      <c r="D97" s="19" t="str">
        <f t="shared" si="5"/>
        <v>Anwendungsbereich</v>
      </c>
      <c r="E97" s="33" t="s">
        <v>2708</v>
      </c>
      <c r="F97" s="6" t="s">
        <v>860</v>
      </c>
    </row>
    <row r="98" spans="1:6" ht="110.25" hidden="1">
      <c r="A98" s="17">
        <f>ROW()</f>
        <v>98</v>
      </c>
      <c r="B98" s="18" t="s">
        <v>2702</v>
      </c>
      <c r="C98" s="19" t="s">
        <v>2775</v>
      </c>
      <c r="D98" s="19" t="str">
        <f t="shared" si="5"/>
        <v>Grundprinzipien</v>
      </c>
      <c r="E98" s="33" t="s">
        <v>2709</v>
      </c>
      <c r="F98" s="6" t="s">
        <v>888</v>
      </c>
    </row>
    <row r="99" spans="1:6" ht="224.25" hidden="1">
      <c r="A99" s="17">
        <f>ROW()</f>
        <v>99</v>
      </c>
      <c r="B99" s="18" t="s">
        <v>2702</v>
      </c>
      <c r="C99" s="19" t="s">
        <v>2775</v>
      </c>
      <c r="D99" s="19" t="str">
        <f t="shared" si="5"/>
        <v>Voraussetzungen für die Deckung</v>
      </c>
      <c r="E99" s="33" t="s">
        <v>2710</v>
      </c>
      <c r="F99" s="6" t="s">
        <v>1680</v>
      </c>
    </row>
    <row r="100" spans="1:6" ht="409.5" hidden="1">
      <c r="A100" s="17">
        <f>ROW()</f>
        <v>100</v>
      </c>
      <c r="B100" s="18" t="s">
        <v>2702</v>
      </c>
      <c r="C100" s="19" t="s">
        <v>2775</v>
      </c>
      <c r="D100" s="19" t="str">
        <f t="shared" si="5"/>
        <v>Kombination von selbstständiger und unselbstständiger Tätigkeit</v>
      </c>
      <c r="E100" s="33" t="s">
        <v>2698</v>
      </c>
      <c r="F100" s="6" t="s">
        <v>920</v>
      </c>
    </row>
    <row r="101" spans="1:6" ht="376.5" hidden="1">
      <c r="A101" s="17">
        <f>ROW()</f>
        <v>101</v>
      </c>
      <c r="B101" s="18" t="s">
        <v>2702</v>
      </c>
      <c r="C101" s="19" t="s">
        <v>2775</v>
      </c>
      <c r="D101" s="19" t="str">
        <f t="shared" si="5"/>
        <v xml:space="preserve">Voraussetzungen für den Zugang zu Diensten/Leistungen </v>
      </c>
      <c r="E101" s="33" t="s">
        <v>2699</v>
      </c>
      <c r="F101" s="6" t="s">
        <v>942</v>
      </c>
    </row>
    <row r="102" spans="1:6" ht="253.5" hidden="1">
      <c r="A102" s="17">
        <f>ROW()</f>
        <v>102</v>
      </c>
      <c r="B102" s="18" t="s">
        <v>2702</v>
      </c>
      <c r="C102" s="19" t="s">
        <v>2775</v>
      </c>
      <c r="D102" s="19" t="str">
        <f t="shared" si="5"/>
        <v>Beträge, Dauer und Kostenbeteiligung</v>
      </c>
      <c r="E102" s="33" t="s">
        <v>2700</v>
      </c>
      <c r="F102" s="6" t="s">
        <v>942</v>
      </c>
    </row>
    <row r="103" spans="1:6" ht="213.75" hidden="1">
      <c r="A103" s="17">
        <f>ROW()</f>
        <v>103</v>
      </c>
      <c r="B103" s="18" t="s">
        <v>2702</v>
      </c>
      <c r="C103" s="19" t="s">
        <v>2775</v>
      </c>
      <c r="D103" s="19" t="str">
        <f t="shared" si="5"/>
        <v>Besteuerung und Sozialabgaben</v>
      </c>
      <c r="E103" s="33" t="s">
        <v>2701</v>
      </c>
      <c r="F103" s="6"/>
    </row>
    <row r="104" spans="1:6" ht="216" hidden="1">
      <c r="A104" s="17">
        <f>ROW()</f>
        <v>104</v>
      </c>
      <c r="B104" s="18" t="s">
        <v>2702</v>
      </c>
      <c r="C104" s="19" t="s">
        <v>2775</v>
      </c>
      <c r="D104" s="19" t="str">
        <f t="shared" si="5"/>
        <v>Besteuerung von Geldleistungen</v>
      </c>
      <c r="E104" s="33" t="s">
        <v>2681</v>
      </c>
      <c r="F104" s="6" t="s">
        <v>942</v>
      </c>
    </row>
    <row r="105" spans="1:6" ht="272.25" hidden="1">
      <c r="A105" s="17">
        <f>ROW()</f>
        <v>105</v>
      </c>
      <c r="B105" s="18" t="s">
        <v>2702</v>
      </c>
      <c r="C105" s="19" t="s">
        <v>2775</v>
      </c>
      <c r="D105" s="19" t="str">
        <f t="shared" si="5"/>
        <v>Auf Leistungen anfallende Sozialabgaben</v>
      </c>
      <c r="E105" s="33" t="s">
        <v>2683</v>
      </c>
      <c r="F105" s="6" t="s">
        <v>942</v>
      </c>
    </row>
  </sheetData>
  <sheetProtection algorithmName="SHA-512" hashValue="YHC83EDnkEBvv6hKzB3naBedAJGsRUKXS/GaP5nUOcCbKi4oEDt0WPCMW0DbdMmsxwJTvLH955lcRgQPHWj2mw==" saltValue="b3af83Ed9V5KkWJSotUOHw==" spinCount="100000" sheet="1" formatColumns="0" autoFilter="0"/>
  <autoFilter ref="A2:F105" xr:uid="{367436D5-0E2E-4F29-9366-5DB1C7B71AF9}">
    <filterColumn colId="1">
      <filters>
        <filter val="Alter"/>
      </filters>
    </filterColumn>
  </autoFilter>
  <pageMargins left="0.7" right="0.7" top="0.78740157499999996" bottom="0.78740157499999996"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39E40-6AB2-460C-BFC2-3C09CD4B7800}">
  <sheetPr codeName="Tabelle28"/>
  <dimension ref="A1:F105"/>
  <sheetViews>
    <sheetView workbookViewId="0">
      <pane xSplit="5" ySplit="2" topLeftCell="F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39" t="s">
        <v>2726</v>
      </c>
      <c r="C1" s="136" t="s">
        <v>2739</v>
      </c>
      <c r="D1" s="136" t="s">
        <v>2728</v>
      </c>
      <c r="E1" s="128" t="s">
        <v>3506</v>
      </c>
      <c r="F1" s="16" t="s">
        <v>26</v>
      </c>
    </row>
    <row r="2" spans="1:6" ht="39.75" customHeight="1">
      <c r="A2" s="138"/>
      <c r="B2" s="139"/>
      <c r="C2" s="136"/>
      <c r="D2" s="136"/>
      <c r="E2" s="134"/>
      <c r="F2" s="173" t="str" cm="1">
        <f t="array" ref="F2">_xlfn.TEXTJOIN("; ", TRUE, IF(Entscheidungen!A2:A100=F1, Entscheidungen!B2:B100, ""))</f>
        <v/>
      </c>
    </row>
    <row r="3" spans="1:6" ht="195">
      <c r="A3" s="17">
        <f>ROW()</f>
        <v>3</v>
      </c>
      <c r="B3" s="18" t="s">
        <v>2740</v>
      </c>
      <c r="C3" s="18"/>
      <c r="D3" s="18" t="str">
        <f>+E3</f>
        <v>Geltende Rechtsgrundlage</v>
      </c>
      <c r="E3" s="31" t="s">
        <v>2724</v>
      </c>
      <c r="F3" s="6" t="s">
        <v>2939</v>
      </c>
    </row>
    <row r="4" spans="1:6" ht="110.25">
      <c r="A4" s="17">
        <f>ROW()</f>
        <v>4</v>
      </c>
      <c r="B4" s="18" t="s">
        <v>2740</v>
      </c>
      <c r="C4" s="1"/>
      <c r="D4" s="18" t="str">
        <f t="shared" ref="D4:D34" si="0">+E4</f>
        <v>Grundprinzipien</v>
      </c>
      <c r="E4" s="32" t="s">
        <v>2709</v>
      </c>
      <c r="F4" s="6" t="s">
        <v>2940</v>
      </c>
    </row>
    <row r="5" spans="1:6" ht="188.25">
      <c r="A5" s="17">
        <f>ROW()</f>
        <v>5</v>
      </c>
      <c r="B5" s="18" t="s">
        <v>2740</v>
      </c>
      <c r="C5" s="1"/>
      <c r="D5" s="18" t="str">
        <f t="shared" si="0"/>
        <v>Gedecktes Risiko: Definition</v>
      </c>
      <c r="E5" s="32" t="s">
        <v>2891</v>
      </c>
      <c r="F5" s="6" t="s">
        <v>2941</v>
      </c>
    </row>
    <row r="6" spans="1:6" ht="345">
      <c r="A6" s="17">
        <f>ROW()</f>
        <v>6</v>
      </c>
      <c r="B6" s="18" t="s">
        <v>2740</v>
      </c>
      <c r="C6" s="18" t="s">
        <v>2653</v>
      </c>
      <c r="D6" s="18" t="str">
        <f t="shared" si="0"/>
        <v>Versicherte Personen</v>
      </c>
      <c r="E6" s="33" t="s">
        <v>2653</v>
      </c>
      <c r="F6" s="6" t="s">
        <v>2942</v>
      </c>
    </row>
    <row r="7" spans="1:6" ht="273">
      <c r="A7" s="17">
        <f>ROW()</f>
        <v>7</v>
      </c>
      <c r="B7" s="18" t="s">
        <v>2740</v>
      </c>
      <c r="C7" s="18" t="str">
        <f>+E6</f>
        <v>Versicherte Personen</v>
      </c>
      <c r="D7" s="18" t="str">
        <f t="shared" si="0"/>
        <v>Ausnahmen von der Versicherungspflicht</v>
      </c>
      <c r="E7" s="33" t="s">
        <v>2685</v>
      </c>
      <c r="F7" s="6" t="s">
        <v>2943</v>
      </c>
    </row>
    <row r="8" spans="1:6" ht="194.25">
      <c r="A8" s="17">
        <f>ROW()</f>
        <v>8</v>
      </c>
      <c r="B8" s="18" t="s">
        <v>2740</v>
      </c>
      <c r="C8" s="19" t="s">
        <v>149</v>
      </c>
      <c r="D8" s="18" t="str">
        <f t="shared" si="0"/>
        <v>1. Anwartschaftszeit</v>
      </c>
      <c r="E8" s="33" t="s">
        <v>2744</v>
      </c>
      <c r="F8" s="6" t="s">
        <v>4899</v>
      </c>
    </row>
    <row r="9" spans="1:6" ht="409.5">
      <c r="A9" s="17">
        <f>ROW()</f>
        <v>9</v>
      </c>
      <c r="B9" s="18" t="s">
        <v>2740</v>
      </c>
      <c r="C9" s="19" t="s">
        <v>149</v>
      </c>
      <c r="D9" s="18" t="str">
        <f t="shared" si="0"/>
        <v xml:space="preserve">2. Begutachtungskriterien und Kategorien der Arbeitsunfähigkeit/Arbeitsfähigkeit  </v>
      </c>
      <c r="E9" s="33" t="s">
        <v>2745</v>
      </c>
      <c r="F9" s="6" t="s">
        <v>4900</v>
      </c>
    </row>
    <row r="10" spans="1:6" ht="222">
      <c r="A10" s="17">
        <f>ROW()</f>
        <v>10</v>
      </c>
      <c r="B10" s="18" t="s">
        <v>2740</v>
      </c>
      <c r="C10" s="19" t="s">
        <v>149</v>
      </c>
      <c r="D10" s="18" t="str">
        <f t="shared" si="0"/>
        <v>3. Zeitraum der Leistungszahlung</v>
      </c>
      <c r="E10" s="33" t="s">
        <v>2747</v>
      </c>
      <c r="F10" s="6" t="s">
        <v>2944</v>
      </c>
    </row>
    <row r="11" spans="1:6" ht="105">
      <c r="A11" s="17">
        <f>ROW()</f>
        <v>11</v>
      </c>
      <c r="B11" s="18" t="s">
        <v>2740</v>
      </c>
      <c r="C11" s="19" t="s">
        <v>2749</v>
      </c>
      <c r="D11" s="18" t="str">
        <f t="shared" si="0"/>
        <v>1. Gutachter</v>
      </c>
      <c r="E11" s="33" t="s">
        <v>2750</v>
      </c>
      <c r="F11" s="6" t="s">
        <v>2945</v>
      </c>
    </row>
    <row r="12" spans="1:6" ht="111.75">
      <c r="A12" s="17">
        <f>ROW()</f>
        <v>12</v>
      </c>
      <c r="B12" s="18" t="s">
        <v>2740</v>
      </c>
      <c r="C12" s="19" t="s">
        <v>2749</v>
      </c>
      <c r="D12" s="18" t="str">
        <f t="shared" si="0"/>
        <v xml:space="preserve">2. Überprüfung  </v>
      </c>
      <c r="E12" s="33" t="s">
        <v>2751</v>
      </c>
      <c r="F12" s="6" t="s">
        <v>2946</v>
      </c>
    </row>
    <row r="13" spans="1:6" ht="291.75">
      <c r="A13" s="17">
        <f>ROW()</f>
        <v>13</v>
      </c>
      <c r="B13" s="18" t="s">
        <v>2740</v>
      </c>
      <c r="C13" s="18" t="s">
        <v>2695</v>
      </c>
      <c r="D13" s="18" t="str">
        <f t="shared" si="0"/>
        <v>1. Berechnungsmethode bzw. Rentenformel</v>
      </c>
      <c r="E13" s="33" t="s">
        <v>2753</v>
      </c>
      <c r="F13" s="6" t="s">
        <v>2947</v>
      </c>
    </row>
    <row r="14" spans="1:6" ht="343.5">
      <c r="A14" s="17">
        <f>ROW()</f>
        <v>14</v>
      </c>
      <c r="B14" s="18" t="s">
        <v>2740</v>
      </c>
      <c r="C14" s="18" t="s">
        <v>2695</v>
      </c>
      <c r="D14" s="18" t="str">
        <f t="shared" si="0"/>
        <v>2. Referenzeinkommen bzw. Berechnungsgrundlage</v>
      </c>
      <c r="E14" s="33" t="s">
        <v>2754</v>
      </c>
      <c r="F14" s="6" t="s">
        <v>2948</v>
      </c>
    </row>
    <row r="15" spans="1:6" ht="226.5">
      <c r="A15" s="17">
        <f>ROW()</f>
        <v>15</v>
      </c>
      <c r="B15" s="18" t="s">
        <v>2740</v>
      </c>
      <c r="C15" s="18" t="s">
        <v>2695</v>
      </c>
      <c r="D15" s="18" t="str">
        <f t="shared" si="0"/>
        <v>3. Mindest- und Höchstleistungen</v>
      </c>
      <c r="E15" s="33" t="s">
        <v>2756</v>
      </c>
      <c r="F15" s="6" t="s">
        <v>2949</v>
      </c>
    </row>
    <row r="16" spans="1:6" ht="405">
      <c r="A16" s="17">
        <f>ROW()</f>
        <v>16</v>
      </c>
      <c r="B16" s="18" t="s">
        <v>2740</v>
      </c>
      <c r="C16" s="18" t="s">
        <v>2695</v>
      </c>
      <c r="D16" s="18" t="str">
        <f t="shared" si="0"/>
        <v>4. Anrechenbare oder als Beitragszeiten gewertete Zeiträume</v>
      </c>
      <c r="E16" s="33" t="s">
        <v>2757</v>
      </c>
      <c r="F16" s="6" t="s">
        <v>2950</v>
      </c>
    </row>
    <row r="17" spans="1:6" ht="250.5">
      <c r="A17" s="17">
        <f>ROW()</f>
        <v>17</v>
      </c>
      <c r="B17" s="18" t="s">
        <v>2740</v>
      </c>
      <c r="C17" s="18" t="s">
        <v>2695</v>
      </c>
      <c r="D17" s="18" t="str">
        <f t="shared" si="0"/>
        <v xml:space="preserve">5. Zulagen für Unterhaltsberechtigte  </v>
      </c>
      <c r="E17" s="33" t="s">
        <v>2759</v>
      </c>
      <c r="F17" s="6" t="s">
        <v>2247</v>
      </c>
    </row>
    <row r="18" spans="1:6" ht="405">
      <c r="A18" s="17">
        <f>ROW()</f>
        <v>18</v>
      </c>
      <c r="B18" s="18" t="s">
        <v>2740</v>
      </c>
      <c r="C18" s="18" t="str">
        <f>+E18</f>
        <v>Sonstige Leistungen</v>
      </c>
      <c r="D18" s="18" t="str">
        <f>+E18</f>
        <v>Sonstige Leistungen</v>
      </c>
      <c r="E18" s="32" t="s">
        <v>2678</v>
      </c>
      <c r="F18" s="6" t="s">
        <v>4901</v>
      </c>
    </row>
    <row r="19" spans="1:6" ht="300.75">
      <c r="A19" s="17">
        <f>ROW()</f>
        <v>19</v>
      </c>
      <c r="B19" s="18" t="s">
        <v>2740</v>
      </c>
      <c r="C19" s="18" t="s">
        <v>2761</v>
      </c>
      <c r="D19" s="18" t="str">
        <f t="shared" si="0"/>
        <v>Umschulung, berufsbezogene Rehabilitation</v>
      </c>
      <c r="E19" s="33" t="s">
        <v>2762</v>
      </c>
      <c r="F19" s="6" t="s">
        <v>2951</v>
      </c>
    </row>
    <row r="20" spans="1:6" ht="409.5">
      <c r="A20" s="17">
        <f>ROW()</f>
        <v>20</v>
      </c>
      <c r="B20" s="18" t="s">
        <v>2740</v>
      </c>
      <c r="C20" s="18" t="s">
        <v>2761</v>
      </c>
      <c r="D20" s="18" t="str">
        <f t="shared" si="0"/>
        <v xml:space="preserve">Bevorzugte und reservierte Beschäftigung von Menschen mit Behinderungen  </v>
      </c>
      <c r="E20" s="33" t="s">
        <v>2763</v>
      </c>
      <c r="F20" s="6" t="s">
        <v>2952</v>
      </c>
    </row>
    <row r="21" spans="1:6" ht="171.75">
      <c r="A21" s="17">
        <f>ROW()</f>
        <v>21</v>
      </c>
      <c r="B21" s="18" t="s">
        <v>2740</v>
      </c>
      <c r="C21" s="18" t="s">
        <v>2765</v>
      </c>
      <c r="D21" s="18" t="str">
        <f t="shared" si="0"/>
        <v>Indexbindung/Anpassung</v>
      </c>
      <c r="E21" s="32" t="s">
        <v>2766</v>
      </c>
      <c r="F21" s="6" t="s">
        <v>2953</v>
      </c>
    </row>
    <row r="22" spans="1:6" ht="242.25">
      <c r="A22" s="17">
        <f>ROW()</f>
        <v>22</v>
      </c>
      <c r="B22" s="18" t="s">
        <v>2740</v>
      </c>
      <c r="C22" s="18" t="s">
        <v>2765</v>
      </c>
      <c r="D22" s="18" t="str">
        <f>+E22</f>
        <v>Kumulation mit Erwerbseinkommen</v>
      </c>
      <c r="E22" s="32" t="s">
        <v>2723</v>
      </c>
      <c r="F22" s="6" t="s">
        <v>2954</v>
      </c>
    </row>
    <row r="23" spans="1:6" ht="275.25">
      <c r="A23" s="17">
        <f>ROW()</f>
        <v>23</v>
      </c>
      <c r="B23" s="18" t="s">
        <v>2740</v>
      </c>
      <c r="C23" s="18" t="s">
        <v>2765</v>
      </c>
      <c r="D23" s="18" t="str">
        <f t="shared" si="0"/>
        <v>Kumulation mit anderen Sozialleistungen</v>
      </c>
      <c r="E23" s="32" t="s">
        <v>2696</v>
      </c>
      <c r="F23" s="6" t="s">
        <v>2955</v>
      </c>
    </row>
    <row r="24" spans="1:6" ht="232.5">
      <c r="A24" s="17">
        <f>ROW()</f>
        <v>24</v>
      </c>
      <c r="B24" s="18" t="s">
        <v>2740</v>
      </c>
      <c r="C24" s="18" t="s">
        <v>2701</v>
      </c>
      <c r="D24" s="18" t="str">
        <f t="shared" si="0"/>
        <v>1. Besteuerung von Geldleistungen</v>
      </c>
      <c r="E24" s="33" t="s">
        <v>2770</v>
      </c>
      <c r="F24" s="6" t="s">
        <v>784</v>
      </c>
    </row>
    <row r="25" spans="1:6" ht="387">
      <c r="A25" s="17">
        <f>ROW()</f>
        <v>25</v>
      </c>
      <c r="B25" s="18" t="s">
        <v>2740</v>
      </c>
      <c r="C25" s="18" t="s">
        <v>2701</v>
      </c>
      <c r="D25" s="18" t="str">
        <f t="shared" si="0"/>
        <v>2. Einkommensgrenze für Besteuerung von Geldleistungen</v>
      </c>
      <c r="E25" s="33" t="s">
        <v>2772</v>
      </c>
      <c r="F25" s="6" t="s">
        <v>2956</v>
      </c>
    </row>
    <row r="26" spans="1:6" ht="288.75">
      <c r="A26" s="17">
        <f>ROW()</f>
        <v>26</v>
      </c>
      <c r="B26" s="18" t="s">
        <v>2740</v>
      </c>
      <c r="C26" s="18" t="s">
        <v>2701</v>
      </c>
      <c r="D26" s="18" t="str">
        <f t="shared" si="0"/>
        <v>3. Auf Leistungen anfallende Sozialabgaben</v>
      </c>
      <c r="E26" s="33" t="s">
        <v>2773</v>
      </c>
      <c r="F26" s="6" t="s">
        <v>2957</v>
      </c>
    </row>
    <row r="27" spans="1:6" ht="138">
      <c r="A27" s="17">
        <f>ROW()</f>
        <v>27</v>
      </c>
      <c r="B27" s="18" t="s">
        <v>2740</v>
      </c>
      <c r="C27" s="18" t="s">
        <v>2775</v>
      </c>
      <c r="D27" s="18" t="str">
        <f t="shared" si="0"/>
        <v>Anwendungsbereich</v>
      </c>
      <c r="E27" s="33" t="s">
        <v>2708</v>
      </c>
      <c r="F27" s="6" t="s">
        <v>860</v>
      </c>
    </row>
    <row r="28" spans="1:6" ht="110.25">
      <c r="A28" s="17">
        <f>ROW()</f>
        <v>28</v>
      </c>
      <c r="B28" s="18" t="s">
        <v>2740</v>
      </c>
      <c r="C28" s="18" t="s">
        <v>2775</v>
      </c>
      <c r="D28" s="18" t="str">
        <f t="shared" si="0"/>
        <v>Grundprinzipien</v>
      </c>
      <c r="E28" s="33" t="s">
        <v>2709</v>
      </c>
      <c r="F28" s="6" t="s">
        <v>2958</v>
      </c>
    </row>
    <row r="29" spans="1:6" ht="224.25">
      <c r="A29" s="17">
        <f>ROW()</f>
        <v>29</v>
      </c>
      <c r="B29" s="18" t="s">
        <v>2740</v>
      </c>
      <c r="C29" s="18" t="s">
        <v>2775</v>
      </c>
      <c r="D29" s="18" t="str">
        <f t="shared" si="0"/>
        <v>Voraussetzungen für die Deckung</v>
      </c>
      <c r="E29" s="33" t="s">
        <v>2710</v>
      </c>
      <c r="F29" s="6" t="s">
        <v>915</v>
      </c>
    </row>
    <row r="30" spans="1:6" ht="409.5">
      <c r="A30" s="17">
        <f>ROW()</f>
        <v>30</v>
      </c>
      <c r="B30" s="18" t="s">
        <v>2740</v>
      </c>
      <c r="C30" s="18" t="s">
        <v>2775</v>
      </c>
      <c r="D30" s="19" t="str">
        <f t="shared" si="0"/>
        <v>Kombination von selbstständiger und unselbstständiger Tätigkeit</v>
      </c>
      <c r="E30" s="33" t="s">
        <v>2698</v>
      </c>
      <c r="F30" s="6" t="s">
        <v>2622</v>
      </c>
    </row>
    <row r="31" spans="1:6" ht="376.5">
      <c r="A31" s="17">
        <f>ROW()</f>
        <v>31</v>
      </c>
      <c r="B31" s="18" t="s">
        <v>2740</v>
      </c>
      <c r="C31" s="18" t="s">
        <v>2695</v>
      </c>
      <c r="D31" s="19" t="str">
        <f t="shared" si="0"/>
        <v xml:space="preserve">Voraussetzungen für den Zugang zu Diensten/Leistungen </v>
      </c>
      <c r="E31" s="33" t="s">
        <v>2699</v>
      </c>
      <c r="F31" s="6" t="s">
        <v>942</v>
      </c>
    </row>
    <row r="32" spans="1:6" ht="253.5">
      <c r="A32" s="17">
        <f>ROW()</f>
        <v>32</v>
      </c>
      <c r="B32" s="18" t="s">
        <v>2740</v>
      </c>
      <c r="C32" s="18" t="s">
        <v>2695</v>
      </c>
      <c r="D32" s="18" t="str">
        <f t="shared" si="0"/>
        <v>Beträge, Dauer und Kostenbeteiligung</v>
      </c>
      <c r="E32" s="33" t="s">
        <v>2700</v>
      </c>
      <c r="F32" s="6" t="s">
        <v>942</v>
      </c>
    </row>
    <row r="33" spans="1:6" ht="216">
      <c r="A33" s="17">
        <f>ROW()</f>
        <v>33</v>
      </c>
      <c r="B33" s="18" t="s">
        <v>2740</v>
      </c>
      <c r="C33" s="18" t="s">
        <v>2695</v>
      </c>
      <c r="D33" s="18" t="str">
        <f t="shared" si="0"/>
        <v>Besteuerung von Geldleistungen</v>
      </c>
      <c r="E33" s="33" t="s">
        <v>2681</v>
      </c>
      <c r="F33" s="6" t="s">
        <v>942</v>
      </c>
    </row>
    <row r="34" spans="1:6" ht="276.75">
      <c r="A34" s="17">
        <f>ROW()</f>
        <v>34</v>
      </c>
      <c r="B34" s="18" t="s">
        <v>2740</v>
      </c>
      <c r="C34" s="18" t="s">
        <v>2695</v>
      </c>
      <c r="D34" s="18" t="str">
        <f t="shared" si="0"/>
        <v xml:space="preserve"> Auf Leistungen anfallende Sozialabgaben</v>
      </c>
      <c r="E34" s="33" t="s">
        <v>2779</v>
      </c>
      <c r="F34" s="6" t="s">
        <v>942</v>
      </c>
    </row>
    <row r="35" spans="1:6" ht="177">
      <c r="A35" s="17">
        <f>ROW()</f>
        <v>35</v>
      </c>
      <c r="B35" s="18" t="s">
        <v>2780</v>
      </c>
      <c r="C35" s="18" t="str">
        <f>+D35</f>
        <v>Geltende Rechtsgrundlage</v>
      </c>
      <c r="D35" s="18" t="str">
        <f>+E35</f>
        <v>Geltende Rechtsgrundlage</v>
      </c>
      <c r="E35" s="32" t="s">
        <v>2724</v>
      </c>
      <c r="F35" s="6" t="s">
        <v>57</v>
      </c>
    </row>
    <row r="36" spans="1:6" ht="110.25">
      <c r="A36" s="17">
        <f>ROW()</f>
        <v>36</v>
      </c>
      <c r="B36" s="18" t="s">
        <v>2780</v>
      </c>
      <c r="C36" s="18" t="str">
        <f>+D36</f>
        <v>Grundprinzipien</v>
      </c>
      <c r="D36" s="18" t="str">
        <f>+E36</f>
        <v>Grundprinzipien</v>
      </c>
      <c r="E36" s="32" t="s">
        <v>2709</v>
      </c>
      <c r="F36" s="6" t="s">
        <v>88</v>
      </c>
    </row>
    <row r="37" spans="1:6" ht="330">
      <c r="A37" s="17">
        <f>ROW()</f>
        <v>37</v>
      </c>
      <c r="B37" s="18" t="s">
        <v>2780</v>
      </c>
      <c r="C37" s="18" t="s">
        <v>2708</v>
      </c>
      <c r="D37" s="18" t="str">
        <f>+E37</f>
        <v>1. Versicherte Personen</v>
      </c>
      <c r="E37" s="33" t="s">
        <v>2781</v>
      </c>
      <c r="F37" s="6" t="s">
        <v>120</v>
      </c>
    </row>
    <row r="38" spans="1:6" ht="371.25">
      <c r="A38" s="17">
        <f>ROW()</f>
        <v>38</v>
      </c>
      <c r="B38" s="18" t="s">
        <v>2780</v>
      </c>
      <c r="C38" s="18" t="s">
        <v>2708</v>
      </c>
      <c r="D38" s="18" t="str">
        <f t="shared" ref="D38:D58" si="1">+E38</f>
        <v>2. Ausnahmen von der Deckung  der Pflichtversicherung</v>
      </c>
      <c r="E38" s="33" t="s">
        <v>2782</v>
      </c>
      <c r="F38" s="6" t="s">
        <v>144</v>
      </c>
    </row>
    <row r="39" spans="1:6" ht="194.25">
      <c r="A39" s="17">
        <f>ROW()</f>
        <v>39</v>
      </c>
      <c r="B39" s="18" t="s">
        <v>2780</v>
      </c>
      <c r="C39" s="18" t="s">
        <v>149</v>
      </c>
      <c r="D39" s="18" t="str">
        <f t="shared" si="1"/>
        <v>1. Rentenalter</v>
      </c>
      <c r="E39" s="33" t="s">
        <v>2784</v>
      </c>
      <c r="F39" s="6" t="s">
        <v>176</v>
      </c>
    </row>
    <row r="40" spans="1:6" ht="409.5">
      <c r="A40" s="17">
        <f>ROW()</f>
        <v>40</v>
      </c>
      <c r="B40" s="18" t="s">
        <v>2780</v>
      </c>
      <c r="C40" s="18" t="s">
        <v>149</v>
      </c>
      <c r="D40" s="18" t="str">
        <f t="shared" si="1"/>
        <v>2. Anwartschaftszeit und sonstige Anspruchsvoraussetzungen für den Bezug einer Altersrente</v>
      </c>
      <c r="E40" s="33" t="s">
        <v>2785</v>
      </c>
      <c r="F40" s="6" t="s">
        <v>207</v>
      </c>
    </row>
    <row r="41" spans="1:6" ht="194.25">
      <c r="A41" s="17">
        <f>ROW()</f>
        <v>41</v>
      </c>
      <c r="B41" s="18" t="s">
        <v>2780</v>
      </c>
      <c r="C41" s="18" t="s">
        <v>149</v>
      </c>
      <c r="D41" s="18" t="str">
        <f t="shared" si="1"/>
        <v>3. Vorruhestand</v>
      </c>
      <c r="E41" s="33" t="s">
        <v>2786</v>
      </c>
      <c r="F41" s="6" t="s">
        <v>238</v>
      </c>
    </row>
    <row r="42" spans="1:6" ht="409.5">
      <c r="A42" s="17">
        <f>ROW()</f>
        <v>42</v>
      </c>
      <c r="B42" s="18" t="s">
        <v>2780</v>
      </c>
      <c r="C42" s="18" t="s">
        <v>149</v>
      </c>
      <c r="D42" s="18" t="str">
        <f t="shared" si="1"/>
        <v>4. Beschwerliche und gefährliche Arbeit</v>
      </c>
      <c r="E42" s="33" t="s">
        <v>2787</v>
      </c>
      <c r="F42" s="6" t="s">
        <v>4902</v>
      </c>
    </row>
    <row r="43" spans="1:6" ht="194.25">
      <c r="A43" s="17">
        <f>ROW()</f>
        <v>43</v>
      </c>
      <c r="B43" s="18" t="s">
        <v>2780</v>
      </c>
      <c r="C43" s="18" t="s">
        <v>149</v>
      </c>
      <c r="D43" s="18" t="str">
        <f t="shared" si="1"/>
        <v>5. Rentenaufschub</v>
      </c>
      <c r="E43" s="33" t="s">
        <v>2788</v>
      </c>
      <c r="F43" s="6" t="s">
        <v>273</v>
      </c>
    </row>
    <row r="44" spans="1:6" ht="174">
      <c r="A44" s="17">
        <f>ROW()</f>
        <v>44</v>
      </c>
      <c r="B44" s="18" t="s">
        <v>2780</v>
      </c>
      <c r="C44" s="18" t="s">
        <v>2695</v>
      </c>
      <c r="D44" s="18" t="str">
        <f t="shared" si="1"/>
        <v>1. Bestimmende Faktoren</v>
      </c>
      <c r="E44" s="33" t="s">
        <v>2789</v>
      </c>
      <c r="F44" s="6" t="s">
        <v>323</v>
      </c>
    </row>
    <row r="45" spans="1:6" ht="349.5">
      <c r="A45" s="17">
        <f>ROW()</f>
        <v>45</v>
      </c>
      <c r="B45" s="18" t="s">
        <v>2780</v>
      </c>
      <c r="C45" s="18" t="s">
        <v>2695</v>
      </c>
      <c r="D45" s="18" t="str">
        <f t="shared" si="1"/>
        <v>2. Berechnungsmethode, Rentenformel bzw. Beträge</v>
      </c>
      <c r="E45" s="33" t="s">
        <v>2790</v>
      </c>
      <c r="F45" s="6" t="s">
        <v>354</v>
      </c>
    </row>
    <row r="46" spans="1:6" ht="343.5">
      <c r="A46" s="17">
        <f>ROW()</f>
        <v>46</v>
      </c>
      <c r="B46" s="18" t="s">
        <v>2780</v>
      </c>
      <c r="C46" s="18" t="s">
        <v>2695</v>
      </c>
      <c r="D46" s="18" t="str">
        <f t="shared" si="1"/>
        <v>3. Referenzeinkommen bzw. Berechnungsgrundlage</v>
      </c>
      <c r="E46" s="33" t="s">
        <v>2791</v>
      </c>
      <c r="F46" s="6" t="s">
        <v>385</v>
      </c>
    </row>
    <row r="47" spans="1:6" ht="405">
      <c r="A47" s="17">
        <f>ROW()</f>
        <v>47</v>
      </c>
      <c r="B47" s="18" t="s">
        <v>2780</v>
      </c>
      <c r="C47" s="18" t="s">
        <v>2695</v>
      </c>
      <c r="D47" s="18" t="str">
        <f t="shared" si="1"/>
        <v>4. Anrechenbare oder als Beitragszeiten gewertete Zeiträume</v>
      </c>
      <c r="E47" s="33" t="s">
        <v>2757</v>
      </c>
      <c r="F47" s="6" t="s">
        <v>4903</v>
      </c>
    </row>
    <row r="48" spans="1:6" ht="243.75">
      <c r="A48" s="17">
        <f>ROW()</f>
        <v>48</v>
      </c>
      <c r="B48" s="18" t="s">
        <v>2780</v>
      </c>
      <c r="C48" s="18" t="s">
        <v>2695</v>
      </c>
      <c r="D48" s="18" t="str">
        <f t="shared" si="1"/>
        <v>5. Rückkauf von Versicherungszeiten</v>
      </c>
      <c r="E48" s="33" t="s">
        <v>2792</v>
      </c>
      <c r="F48" s="6" t="s">
        <v>443</v>
      </c>
    </row>
    <row r="49" spans="1:6" ht="246">
      <c r="A49" s="17">
        <f>ROW()</f>
        <v>49</v>
      </c>
      <c r="B49" s="18" t="s">
        <v>2780</v>
      </c>
      <c r="C49" s="18" t="s">
        <v>2695</v>
      </c>
      <c r="D49" s="18" t="str">
        <f t="shared" si="1"/>
        <v>6.  Zulagen für Unterhaltsberechtigte</v>
      </c>
      <c r="E49" s="33" t="s">
        <v>2892</v>
      </c>
      <c r="F49" s="6" t="s">
        <v>447</v>
      </c>
    </row>
    <row r="50" spans="1:6" ht="145.5">
      <c r="A50" s="17">
        <f>ROW()</f>
        <v>50</v>
      </c>
      <c r="B50" s="18" t="s">
        <v>2780</v>
      </c>
      <c r="C50" s="18" t="s">
        <v>2695</v>
      </c>
      <c r="D50" s="18" t="str">
        <f t="shared" si="1"/>
        <v>7. Besondere Zulagen</v>
      </c>
      <c r="E50" s="33" t="s">
        <v>2793</v>
      </c>
      <c r="F50" s="6" t="s">
        <v>494</v>
      </c>
    </row>
    <row r="51" spans="1:6" ht="360.75">
      <c r="A51" s="17">
        <f>ROW()</f>
        <v>51</v>
      </c>
      <c r="B51" s="18" t="s">
        <v>2780</v>
      </c>
      <c r="C51" s="18" t="s">
        <v>2695</v>
      </c>
      <c r="D51" s="18" t="str">
        <f t="shared" si="1"/>
        <v>8. Mindestrente und bedürftigkeitsabhängige Leistung</v>
      </c>
      <c r="E51" s="33" t="s">
        <v>2794</v>
      </c>
      <c r="F51" s="6" t="s">
        <v>525</v>
      </c>
    </row>
    <row r="52" spans="1:6" ht="101.25">
      <c r="A52" s="17">
        <f>ROW()</f>
        <v>52</v>
      </c>
      <c r="B52" s="18" t="s">
        <v>2780</v>
      </c>
      <c r="C52" s="18" t="s">
        <v>2695</v>
      </c>
      <c r="D52" s="18" t="str">
        <f t="shared" si="1"/>
        <v>9. Höchstrente</v>
      </c>
      <c r="E52" s="33" t="s">
        <v>2795</v>
      </c>
      <c r="F52" s="6" t="s">
        <v>551</v>
      </c>
    </row>
    <row r="53" spans="1:6" ht="119.25">
      <c r="A53" s="17">
        <f>ROW()</f>
        <v>53</v>
      </c>
      <c r="B53" s="18" t="s">
        <v>2780</v>
      </c>
      <c r="C53" s="18" t="s">
        <v>2695</v>
      </c>
      <c r="D53" s="18" t="str">
        <f t="shared" si="1"/>
        <v>10. Vorruhestand</v>
      </c>
      <c r="E53" s="33" t="s">
        <v>2796</v>
      </c>
      <c r="F53" s="6" t="s">
        <v>580</v>
      </c>
    </row>
    <row r="54" spans="1:6" ht="272.25">
      <c r="A54" s="17">
        <f>ROW()</f>
        <v>54</v>
      </c>
      <c r="B54" s="18" t="s">
        <v>2780</v>
      </c>
      <c r="C54" s="18" t="s">
        <v>2695</v>
      </c>
      <c r="D54" s="18" t="str">
        <f t="shared" si="1"/>
        <v>11. Beschwerliche und gefährliche Arbeit</v>
      </c>
      <c r="E54" s="33" t="s">
        <v>2797</v>
      </c>
      <c r="F54" s="6" t="s">
        <v>4904</v>
      </c>
    </row>
    <row r="55" spans="1:6" ht="90">
      <c r="A55" s="17">
        <f>ROW()</f>
        <v>55</v>
      </c>
      <c r="B55" s="18" t="s">
        <v>2780</v>
      </c>
      <c r="C55" s="18" t="s">
        <v>2695</v>
      </c>
      <c r="D55" s="18" t="str">
        <f t="shared" si="1"/>
        <v>12. Teilrente</v>
      </c>
      <c r="E55" s="33" t="s">
        <v>2798</v>
      </c>
      <c r="F55" s="6" t="s">
        <v>633</v>
      </c>
    </row>
    <row r="56" spans="1:6" ht="171.75">
      <c r="A56" s="17">
        <f>ROW()</f>
        <v>56</v>
      </c>
      <c r="B56" s="18" t="s">
        <v>2780</v>
      </c>
      <c r="C56" s="18" t="s">
        <v>2695</v>
      </c>
      <c r="D56" s="18" t="str">
        <f t="shared" si="1"/>
        <v>13. Aufgeschobene Rente</v>
      </c>
      <c r="E56" s="33" t="s">
        <v>2893</v>
      </c>
      <c r="F56" s="6" t="s">
        <v>663</v>
      </c>
    </row>
    <row r="57" spans="1:6" ht="179.25">
      <c r="A57" s="17">
        <f>ROW()</f>
        <v>57</v>
      </c>
      <c r="B57" s="18" t="s">
        <v>2780</v>
      </c>
      <c r="C57" s="18" t="s">
        <v>2799</v>
      </c>
      <c r="D57" s="18" t="s">
        <v>2799</v>
      </c>
      <c r="E57" s="32" t="s">
        <v>2799</v>
      </c>
      <c r="F57" s="6" t="s">
        <v>694</v>
      </c>
    </row>
    <row r="58" spans="1:6" ht="246">
      <c r="A58" s="17">
        <f>ROW()</f>
        <v>58</v>
      </c>
      <c r="B58" s="18" t="s">
        <v>2780</v>
      </c>
      <c r="C58" s="18" t="s">
        <v>2799</v>
      </c>
      <c r="D58" s="18" t="str">
        <f t="shared" si="1"/>
        <v xml:space="preserve">Kumulation mit Erwerbseinkommen </v>
      </c>
      <c r="E58" s="32" t="s">
        <v>2697</v>
      </c>
      <c r="F58" s="6" t="s">
        <v>725</v>
      </c>
    </row>
    <row r="59" spans="1:6" ht="286.5">
      <c r="A59" s="17">
        <f>ROW()</f>
        <v>59</v>
      </c>
      <c r="B59" s="18" t="s">
        <v>2780</v>
      </c>
      <c r="C59" s="18" t="s">
        <v>2799</v>
      </c>
      <c r="D59" s="18" t="s">
        <v>2800</v>
      </c>
      <c r="E59" s="32" t="s">
        <v>2696</v>
      </c>
      <c r="F59" s="6" t="s">
        <v>756</v>
      </c>
    </row>
    <row r="60" spans="1:6" ht="225.75">
      <c r="A60" s="17">
        <f>ROW()</f>
        <v>60</v>
      </c>
      <c r="B60" s="18" t="s">
        <v>2780</v>
      </c>
      <c r="C60" s="18" t="s">
        <v>761</v>
      </c>
      <c r="D60" s="18" t="str">
        <f t="shared" ref="D60:D70" si="2">+E60</f>
        <v>1. Besteuerung von Renten</v>
      </c>
      <c r="E60" s="33" t="s">
        <v>2801</v>
      </c>
      <c r="F60" s="6" t="s">
        <v>784</v>
      </c>
    </row>
    <row r="61" spans="1:6" ht="335.25">
      <c r="A61" s="17">
        <f>ROW()</f>
        <v>61</v>
      </c>
      <c r="B61" s="18" t="s">
        <v>2780</v>
      </c>
      <c r="C61" s="18" t="s">
        <v>761</v>
      </c>
      <c r="D61" s="18" t="str">
        <f t="shared" si="2"/>
        <v>2. Einkommensgrenze für Besteuerung von Renten</v>
      </c>
      <c r="E61" s="33" t="s">
        <v>2802</v>
      </c>
      <c r="F61" s="6" t="s">
        <v>812</v>
      </c>
    </row>
    <row r="62" spans="1:6" ht="264">
      <c r="A62" s="17">
        <f>ROW()</f>
        <v>62</v>
      </c>
      <c r="B62" s="18" t="s">
        <v>2780</v>
      </c>
      <c r="C62" s="18" t="s">
        <v>761</v>
      </c>
      <c r="D62" s="18" t="str">
        <f t="shared" si="2"/>
        <v>3. Auf Renten anfallende Sozialabgaben</v>
      </c>
      <c r="E62" s="33" t="s">
        <v>2803</v>
      </c>
      <c r="F62" s="6" t="s">
        <v>835</v>
      </c>
    </row>
    <row r="63" spans="1:6" ht="138">
      <c r="A63" s="17">
        <f>ROW()</f>
        <v>63</v>
      </c>
      <c r="B63" s="18" t="s">
        <v>2804</v>
      </c>
      <c r="C63" s="18" t="str">
        <f>+E63</f>
        <v>Anwendungsbereich</v>
      </c>
      <c r="D63" s="18" t="str">
        <f t="shared" si="2"/>
        <v>Anwendungsbereich</v>
      </c>
      <c r="E63" s="33" t="s">
        <v>2708</v>
      </c>
      <c r="F63" s="6" t="s">
        <v>860</v>
      </c>
    </row>
    <row r="64" spans="1:6" ht="132.75">
      <c r="A64" s="17">
        <f>ROW()</f>
        <v>64</v>
      </c>
      <c r="B64" s="18" t="s">
        <v>2804</v>
      </c>
      <c r="C64" s="18" t="s">
        <v>2775</v>
      </c>
      <c r="D64" s="18" t="str">
        <f t="shared" si="2"/>
        <v>Grundprinzipien</v>
      </c>
      <c r="E64" s="33" t="s">
        <v>2709</v>
      </c>
      <c r="F64" s="6" t="s">
        <v>879</v>
      </c>
    </row>
    <row r="65" spans="1:6" ht="224.25">
      <c r="A65" s="17">
        <f>ROW()</f>
        <v>65</v>
      </c>
      <c r="B65" s="18" t="s">
        <v>2804</v>
      </c>
      <c r="C65" s="18" t="s">
        <v>2775</v>
      </c>
      <c r="D65" s="18" t="str">
        <f t="shared" si="2"/>
        <v>Voraussetzungen für die Deckung</v>
      </c>
      <c r="E65" s="33" t="s">
        <v>2710</v>
      </c>
      <c r="F65" s="6" t="s">
        <v>915</v>
      </c>
    </row>
    <row r="66" spans="1:6" ht="409.5">
      <c r="A66" s="17">
        <f>ROW()</f>
        <v>66</v>
      </c>
      <c r="B66" s="18" t="s">
        <v>2804</v>
      </c>
      <c r="C66" s="18" t="s">
        <v>2775</v>
      </c>
      <c r="D66" s="18" t="str">
        <f t="shared" si="2"/>
        <v>Kombination von selbstständiger und unselbstständiger Tätigkeit</v>
      </c>
      <c r="E66" s="33" t="s">
        <v>2698</v>
      </c>
      <c r="F66" s="6" t="s">
        <v>936</v>
      </c>
    </row>
    <row r="67" spans="1:6" ht="376.5">
      <c r="A67" s="17">
        <f>ROW()</f>
        <v>67</v>
      </c>
      <c r="B67" s="18" t="s">
        <v>2804</v>
      </c>
      <c r="C67" s="18" t="s">
        <v>2695</v>
      </c>
      <c r="D67" s="19" t="str">
        <f t="shared" si="2"/>
        <v xml:space="preserve">Voraussetzungen für den Zugang zu Diensten/Leistungen </v>
      </c>
      <c r="E67" s="33" t="s">
        <v>2699</v>
      </c>
      <c r="F67" s="6" t="s">
        <v>942</v>
      </c>
    </row>
    <row r="68" spans="1:6" ht="253.5">
      <c r="A68" s="17">
        <f>ROW()</f>
        <v>68</v>
      </c>
      <c r="B68" s="18" t="s">
        <v>2804</v>
      </c>
      <c r="C68" s="18" t="s">
        <v>2695</v>
      </c>
      <c r="D68" s="19" t="str">
        <f t="shared" si="2"/>
        <v>Beträge, Dauer und Kostenbeteiligung</v>
      </c>
      <c r="E68" s="33" t="s">
        <v>2700</v>
      </c>
      <c r="F68" s="6" t="s">
        <v>942</v>
      </c>
    </row>
    <row r="69" spans="1:6" ht="216">
      <c r="A69" s="17">
        <f>ROW()</f>
        <v>69</v>
      </c>
      <c r="B69" s="18" t="s">
        <v>2804</v>
      </c>
      <c r="C69" s="18" t="s">
        <v>2695</v>
      </c>
      <c r="D69" s="19" t="str">
        <f t="shared" si="2"/>
        <v>Besteuerung von Geldleistungen</v>
      </c>
      <c r="E69" s="33" t="s">
        <v>2681</v>
      </c>
      <c r="F69" s="6" t="s">
        <v>942</v>
      </c>
    </row>
    <row r="70" spans="1:6" ht="272.25">
      <c r="A70" s="17">
        <f>ROW()</f>
        <v>70</v>
      </c>
      <c r="B70" s="18" t="s">
        <v>2804</v>
      </c>
      <c r="C70" s="18" t="s">
        <v>2695</v>
      </c>
      <c r="D70" s="19" t="str">
        <f t="shared" si="2"/>
        <v>Auf Leistungen anfallende Sozialabgaben</v>
      </c>
      <c r="E70" s="33" t="s">
        <v>2683</v>
      </c>
      <c r="F70" s="6" t="s">
        <v>942</v>
      </c>
    </row>
    <row r="71" spans="1:6" ht="177">
      <c r="A71" s="17">
        <f>ROW()</f>
        <v>71</v>
      </c>
      <c r="B71" s="18" t="s">
        <v>2702</v>
      </c>
      <c r="C71" s="18" t="str">
        <f t="shared" ref="C71:D75" si="3">+D71</f>
        <v>Geltende Rechtsgrundlage</v>
      </c>
      <c r="D71" s="19" t="str">
        <f t="shared" si="3"/>
        <v>Geltende Rechtsgrundlage</v>
      </c>
      <c r="E71" s="32" t="s">
        <v>2724</v>
      </c>
      <c r="F71" s="6" t="s">
        <v>1012</v>
      </c>
    </row>
    <row r="72" spans="1:6" ht="110.25">
      <c r="A72" s="17">
        <f>ROW()</f>
        <v>72</v>
      </c>
      <c r="B72" s="18" t="s">
        <v>2702</v>
      </c>
      <c r="C72" s="18" t="str">
        <f t="shared" si="3"/>
        <v>Grundprinzipien</v>
      </c>
      <c r="D72" s="19" t="str">
        <f t="shared" si="3"/>
        <v>Grundprinzipien</v>
      </c>
      <c r="E72" s="32" t="s">
        <v>2709</v>
      </c>
      <c r="F72" s="6" t="s">
        <v>1042</v>
      </c>
    </row>
    <row r="73" spans="1:6" ht="315">
      <c r="A73" s="17">
        <f>ROW()</f>
        <v>73</v>
      </c>
      <c r="B73" s="18" t="s">
        <v>2702</v>
      </c>
      <c r="C73" s="19" t="str">
        <f t="shared" si="3"/>
        <v>Anwendungsbereich (in Bezug auf Verstorbene)</v>
      </c>
      <c r="D73" s="19" t="str">
        <f t="shared" si="3"/>
        <v>Anwendungsbereich (in Bezug auf Verstorbene)</v>
      </c>
      <c r="E73" s="32" t="s">
        <v>2725</v>
      </c>
      <c r="F73" s="6" t="s">
        <v>1071</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144</v>
      </c>
    </row>
    <row r="75" spans="1:6" ht="144.75">
      <c r="A75" s="17">
        <f>ROW()</f>
        <v>75</v>
      </c>
      <c r="B75" s="18" t="s">
        <v>2702</v>
      </c>
      <c r="C75" s="19" t="str">
        <f t="shared" si="3"/>
        <v>Berechtigte Personen</v>
      </c>
      <c r="D75" s="19" t="str">
        <f t="shared" si="3"/>
        <v>Berechtigte Personen</v>
      </c>
      <c r="E75" s="32" t="s">
        <v>2730</v>
      </c>
      <c r="F75" s="6" t="s">
        <v>4905</v>
      </c>
    </row>
    <row r="76" spans="1:6" ht="102">
      <c r="A76" s="17">
        <f>ROW()</f>
        <v>76</v>
      </c>
      <c r="B76" s="18" t="s">
        <v>2702</v>
      </c>
      <c r="C76" s="1"/>
      <c r="D76" s="1"/>
      <c r="E76" s="32" t="s">
        <v>2783</v>
      </c>
      <c r="F76" s="6"/>
    </row>
    <row r="77" spans="1:6" ht="189.75">
      <c r="A77" s="17">
        <f>ROW()</f>
        <v>77</v>
      </c>
      <c r="B77" s="18" t="s">
        <v>2702</v>
      </c>
      <c r="C77" s="18" t="s">
        <v>2805</v>
      </c>
      <c r="D77" s="18" t="str">
        <f t="shared" ref="D77:D90" si="4">+E77</f>
        <v>1. Verstorbener Versicherter</v>
      </c>
      <c r="E77" s="33" t="s">
        <v>2806</v>
      </c>
      <c r="F77" s="6" t="s">
        <v>4906</v>
      </c>
    </row>
    <row r="78" spans="1:6" ht="185.25">
      <c r="A78" s="17">
        <f>ROW()</f>
        <v>78</v>
      </c>
      <c r="B78" s="18" t="s">
        <v>2702</v>
      </c>
      <c r="C78" s="18" t="s">
        <v>2805</v>
      </c>
      <c r="D78" s="18" t="str">
        <f t="shared" si="4"/>
        <v>2. Hinterbliebener Ehegatte</v>
      </c>
      <c r="E78" s="33" t="s">
        <v>2807</v>
      </c>
      <c r="F78" s="6" t="s">
        <v>4907</v>
      </c>
    </row>
    <row r="79" spans="1:6" ht="181.5">
      <c r="A79" s="17">
        <f>ROW()</f>
        <v>79</v>
      </c>
      <c r="B79" s="18" t="s">
        <v>2702</v>
      </c>
      <c r="C79" s="18" t="s">
        <v>2805</v>
      </c>
      <c r="D79" s="18" t="str">
        <f t="shared" si="4"/>
        <v>3. Geschiedener Ehegatte</v>
      </c>
      <c r="E79" s="33" t="s">
        <v>2808</v>
      </c>
      <c r="F79" s="6" t="s">
        <v>1208</v>
      </c>
    </row>
    <row r="80" spans="1:6" ht="216">
      <c r="A80" s="17">
        <f>ROW()</f>
        <v>80</v>
      </c>
      <c r="B80" s="18" t="s">
        <v>2702</v>
      </c>
      <c r="C80" s="18" t="s">
        <v>2805</v>
      </c>
      <c r="D80" s="18" t="str">
        <f t="shared" si="4"/>
        <v>4. Hinterbliebene Lebenspartner</v>
      </c>
      <c r="E80" s="33" t="s">
        <v>2809</v>
      </c>
      <c r="F80" s="6" t="s">
        <v>4908</v>
      </c>
    </row>
    <row r="81" spans="1:6" ht="181.5">
      <c r="A81" s="17">
        <f>ROW()</f>
        <v>81</v>
      </c>
      <c r="B81" s="18" t="s">
        <v>2702</v>
      </c>
      <c r="C81" s="18" t="s">
        <v>2805</v>
      </c>
      <c r="D81" s="18" t="str">
        <f t="shared" si="4"/>
        <v>5. Kinder</v>
      </c>
      <c r="E81" s="33" t="s">
        <v>2810</v>
      </c>
      <c r="F81" s="6" t="s">
        <v>4909</v>
      </c>
    </row>
    <row r="82" spans="1:6" ht="181.5">
      <c r="A82" s="17">
        <f>ROW()</f>
        <v>82</v>
      </c>
      <c r="B82" s="18" t="s">
        <v>2702</v>
      </c>
      <c r="C82" s="18" t="s">
        <v>2805</v>
      </c>
      <c r="D82" s="18" t="str">
        <f t="shared" si="4"/>
        <v>6. Andere Personen</v>
      </c>
      <c r="E82" s="33" t="s">
        <v>2811</v>
      </c>
      <c r="F82" s="6" t="s">
        <v>1279</v>
      </c>
    </row>
    <row r="83" spans="1:6" ht="409.5">
      <c r="A83" s="17">
        <f>ROW()</f>
        <v>83</v>
      </c>
      <c r="B83" s="18" t="s">
        <v>2702</v>
      </c>
      <c r="C83" s="18" t="s">
        <v>2695</v>
      </c>
      <c r="D83" s="19" t="str">
        <f t="shared" si="4"/>
        <v>1. Hinterbliebener Ehegatte, geschiedener Ehegatte, hinterbliebene Lebenspartner</v>
      </c>
      <c r="E83" s="33" t="s">
        <v>2812</v>
      </c>
      <c r="F83" s="6" t="s">
        <v>4910</v>
      </c>
    </row>
    <row r="84" spans="1:6" ht="280.5">
      <c r="A84" s="17">
        <f>ROW()</f>
        <v>84</v>
      </c>
      <c r="B84" s="18" t="s">
        <v>2702</v>
      </c>
      <c r="C84" s="18" t="s">
        <v>2695</v>
      </c>
      <c r="D84" s="19" t="str">
        <f t="shared" si="4"/>
        <v>2. Hinterbliebener Ehegatte: Wiederheirat</v>
      </c>
      <c r="E84" s="33" t="s">
        <v>2813</v>
      </c>
      <c r="F84" s="6" t="s">
        <v>4911</v>
      </c>
    </row>
    <row r="85" spans="1:6" ht="285">
      <c r="A85" s="17">
        <f>ROW()</f>
        <v>85</v>
      </c>
      <c r="B85" s="18" t="s">
        <v>2702</v>
      </c>
      <c r="C85" s="18" t="s">
        <v>2695</v>
      </c>
      <c r="D85" s="19" t="str">
        <f t="shared" si="4"/>
        <v>3. Kinder</v>
      </c>
      <c r="E85" s="33" t="s">
        <v>2814</v>
      </c>
      <c r="F85" s="6" t="s">
        <v>4912</v>
      </c>
    </row>
    <row r="86" spans="1:6" ht="147">
      <c r="A86" s="17">
        <f>ROW()</f>
        <v>86</v>
      </c>
      <c r="B86" s="18" t="s">
        <v>2702</v>
      </c>
      <c r="C86" s="18" t="s">
        <v>2695</v>
      </c>
      <c r="D86" s="19" t="str">
        <f t="shared" si="4"/>
        <v>4. Andere Berechtigte</v>
      </c>
      <c r="E86" s="33" t="s">
        <v>2815</v>
      </c>
      <c r="F86" s="6" t="s">
        <v>4913</v>
      </c>
    </row>
    <row r="87" spans="1:6" ht="381">
      <c r="A87" s="17">
        <f>ROW()</f>
        <v>87</v>
      </c>
      <c r="B87" s="18" t="s">
        <v>2702</v>
      </c>
      <c r="C87" s="18" t="s">
        <v>2695</v>
      </c>
      <c r="D87" s="19" t="str">
        <f t="shared" si="4"/>
        <v xml:space="preserve"> 5. Höchster zahlbarer Gesamtbetrag für alle Berechtigten</v>
      </c>
      <c r="E87" s="33" t="s">
        <v>2816</v>
      </c>
      <c r="F87" s="6" t="s">
        <v>1409</v>
      </c>
    </row>
    <row r="88" spans="1:6" ht="151.5">
      <c r="A88" s="17">
        <f>ROW()</f>
        <v>88</v>
      </c>
      <c r="B88" s="18" t="s">
        <v>2702</v>
      </c>
      <c r="C88" s="18" t="s">
        <v>2695</v>
      </c>
      <c r="D88" s="19" t="str">
        <f t="shared" si="4"/>
        <v>6. Sonstige Leistungen</v>
      </c>
      <c r="E88" s="33" t="s">
        <v>2817</v>
      </c>
      <c r="F88" s="6" t="s">
        <v>4914</v>
      </c>
    </row>
    <row r="89" spans="1:6" ht="210">
      <c r="A89" s="17">
        <f>ROW()</f>
        <v>89</v>
      </c>
      <c r="B89" s="18" t="s">
        <v>2702</v>
      </c>
      <c r="C89" s="18" t="s">
        <v>2695</v>
      </c>
      <c r="D89" s="19" t="str">
        <f>+E89</f>
        <v>7. Mindestleistung</v>
      </c>
      <c r="E89" s="33" t="s">
        <v>2818</v>
      </c>
      <c r="F89" s="6" t="s">
        <v>1465</v>
      </c>
    </row>
    <row r="90" spans="1:6" ht="122.25">
      <c r="A90" s="17">
        <f>ROW()</f>
        <v>90</v>
      </c>
      <c r="B90" s="18" t="s">
        <v>2702</v>
      </c>
      <c r="C90" s="18" t="s">
        <v>2695</v>
      </c>
      <c r="D90" s="19" t="str">
        <f t="shared" si="4"/>
        <v xml:space="preserve"> 8. Höchstleistung</v>
      </c>
      <c r="E90" s="33" t="s">
        <v>2819</v>
      </c>
      <c r="F90" s="6" t="s">
        <v>1487</v>
      </c>
    </row>
    <row r="91" spans="1:6" ht="179.25">
      <c r="A91" s="17">
        <f>ROW()</f>
        <v>91</v>
      </c>
      <c r="B91" s="18" t="s">
        <v>2702</v>
      </c>
      <c r="C91" s="18" t="s">
        <v>2799</v>
      </c>
      <c r="D91" s="19" t="str">
        <f>+C91</f>
        <v>Indexbindung / Anpassung</v>
      </c>
      <c r="E91" s="32" t="s">
        <v>2799</v>
      </c>
      <c r="F91" s="6" t="s">
        <v>1517</v>
      </c>
    </row>
    <row r="92" spans="1:6" ht="242.25">
      <c r="A92" s="17">
        <f>ROW()</f>
        <v>92</v>
      </c>
      <c r="B92" s="18" t="s">
        <v>2702</v>
      </c>
      <c r="C92" s="18" t="s">
        <v>2799</v>
      </c>
      <c r="D92" s="19" t="str">
        <f t="shared" ref="D92:D105" si="5">+E92</f>
        <v>Kumulation mit Erwerbseinkommen</v>
      </c>
      <c r="E92" s="32" t="s">
        <v>2723</v>
      </c>
      <c r="F92" s="6" t="s">
        <v>1547</v>
      </c>
    </row>
    <row r="93" spans="1:6" ht="275.25">
      <c r="A93" s="17">
        <f>ROW()</f>
        <v>93</v>
      </c>
      <c r="B93" s="18" t="s">
        <v>2702</v>
      </c>
      <c r="C93" s="18" t="s">
        <v>2799</v>
      </c>
      <c r="D93" s="19" t="str">
        <f t="shared" si="5"/>
        <v>Kumulation mit anderen Sozialleistungen</v>
      </c>
      <c r="E93" s="32" t="s">
        <v>2696</v>
      </c>
      <c r="F93" s="6" t="s">
        <v>1578</v>
      </c>
    </row>
    <row r="94" spans="1:6" ht="232.5">
      <c r="A94" s="17">
        <f>ROW()</f>
        <v>94</v>
      </c>
      <c r="B94" s="18" t="s">
        <v>2702</v>
      </c>
      <c r="C94" s="19" t="s">
        <v>2701</v>
      </c>
      <c r="D94" s="19" t="str">
        <f t="shared" si="5"/>
        <v>1. Besteuerung von Geldleistungen</v>
      </c>
      <c r="E94" s="33" t="s">
        <v>2770</v>
      </c>
      <c r="F94" s="6" t="s">
        <v>1598</v>
      </c>
    </row>
    <row r="95" spans="1:6" ht="387">
      <c r="A95" s="17">
        <f>ROW()</f>
        <v>95</v>
      </c>
      <c r="B95" s="18" t="s">
        <v>2702</v>
      </c>
      <c r="C95" s="19" t="s">
        <v>2701</v>
      </c>
      <c r="D95" s="19" t="str">
        <f t="shared" si="5"/>
        <v>2. Einkommensgrenze für Besteuerung von Geldleistungen</v>
      </c>
      <c r="E95" s="33" t="s">
        <v>2772</v>
      </c>
      <c r="F95" s="6" t="s">
        <v>812</v>
      </c>
    </row>
    <row r="96" spans="1:6" ht="288.75">
      <c r="A96" s="17">
        <f>ROW()</f>
        <v>96</v>
      </c>
      <c r="B96" s="18" t="s">
        <v>2702</v>
      </c>
      <c r="C96" s="19" t="s">
        <v>2701</v>
      </c>
      <c r="D96" s="19" t="str">
        <f t="shared" si="5"/>
        <v>3. Auf Leistungen anfallende Sozialabgaben</v>
      </c>
      <c r="E96" s="33" t="s">
        <v>2773</v>
      </c>
      <c r="F96" s="6" t="s">
        <v>1640</v>
      </c>
    </row>
    <row r="97" spans="1:6" ht="138">
      <c r="A97" s="17">
        <f>ROW()</f>
        <v>97</v>
      </c>
      <c r="B97" s="18" t="s">
        <v>2702</v>
      </c>
      <c r="C97" s="19" t="s">
        <v>2775</v>
      </c>
      <c r="D97" s="19" t="str">
        <f t="shared" si="5"/>
        <v>Anwendungsbereich</v>
      </c>
      <c r="E97" s="33" t="s">
        <v>2708</v>
      </c>
      <c r="F97" s="6" t="s">
        <v>860</v>
      </c>
    </row>
    <row r="98" spans="1:6" ht="110.25">
      <c r="A98" s="17">
        <f>ROW()</f>
        <v>98</v>
      </c>
      <c r="B98" s="18" t="s">
        <v>2702</v>
      </c>
      <c r="C98" s="19" t="s">
        <v>2775</v>
      </c>
      <c r="D98" s="19" t="str">
        <f t="shared" si="5"/>
        <v>Grundprinzipien</v>
      </c>
      <c r="E98" s="33" t="s">
        <v>2709</v>
      </c>
      <c r="F98" s="6" t="s">
        <v>879</v>
      </c>
    </row>
    <row r="99" spans="1:6" ht="224.25">
      <c r="A99" s="17">
        <f>ROW()</f>
        <v>99</v>
      </c>
      <c r="B99" s="18" t="s">
        <v>2702</v>
      </c>
      <c r="C99" s="19" t="s">
        <v>2775</v>
      </c>
      <c r="D99" s="19" t="str">
        <f t="shared" si="5"/>
        <v>Voraussetzungen für die Deckung</v>
      </c>
      <c r="E99" s="33" t="s">
        <v>2710</v>
      </c>
      <c r="F99" s="6" t="s">
        <v>915</v>
      </c>
    </row>
    <row r="100" spans="1:6" ht="409.5">
      <c r="A100" s="17">
        <f>ROW()</f>
        <v>100</v>
      </c>
      <c r="B100" s="18" t="s">
        <v>2702</v>
      </c>
      <c r="C100" s="19" t="s">
        <v>2775</v>
      </c>
      <c r="D100" s="19" t="str">
        <f t="shared" si="5"/>
        <v>Kombination von selbstständiger und unselbstständiger Tätigkeit</v>
      </c>
      <c r="E100" s="33" t="s">
        <v>2698</v>
      </c>
      <c r="F100" s="6" t="s">
        <v>1689</v>
      </c>
    </row>
    <row r="101" spans="1:6" ht="376.5">
      <c r="A101" s="17">
        <f>ROW()</f>
        <v>101</v>
      </c>
      <c r="B101" s="18" t="s">
        <v>2702</v>
      </c>
      <c r="C101" s="19" t="s">
        <v>2775</v>
      </c>
      <c r="D101" s="19" t="str">
        <f t="shared" si="5"/>
        <v xml:space="preserve">Voraussetzungen für den Zugang zu Diensten/Leistungen </v>
      </c>
      <c r="E101" s="33" t="s">
        <v>2699</v>
      </c>
      <c r="F101" s="6" t="s">
        <v>942</v>
      </c>
    </row>
    <row r="102" spans="1:6" ht="253.5">
      <c r="A102" s="17">
        <f>ROW()</f>
        <v>102</v>
      </c>
      <c r="B102" s="18" t="s">
        <v>2702</v>
      </c>
      <c r="C102" s="19" t="s">
        <v>2775</v>
      </c>
      <c r="D102" s="19" t="str">
        <f t="shared" si="5"/>
        <v>Beträge, Dauer und Kostenbeteiligung</v>
      </c>
      <c r="E102" s="33" t="s">
        <v>2700</v>
      </c>
      <c r="F102" s="6" t="s">
        <v>942</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942</v>
      </c>
    </row>
    <row r="105" spans="1:6" ht="272.25">
      <c r="A105" s="17">
        <f>ROW()</f>
        <v>105</v>
      </c>
      <c r="B105" s="18" t="s">
        <v>2702</v>
      </c>
      <c r="C105" s="19" t="s">
        <v>2775</v>
      </c>
      <c r="D105" s="19" t="str">
        <f t="shared" si="5"/>
        <v>Auf Leistungen anfallende Sozialabgaben</v>
      </c>
      <c r="E105" s="33" t="s">
        <v>2683</v>
      </c>
      <c r="F105" s="6" t="s">
        <v>942</v>
      </c>
    </row>
  </sheetData>
  <sheetProtection algorithmName="SHA-512" hashValue="M93h6A7H6MVewRTORQDy61FkadyHnEYQFTjzW7sLYEdV29D54EcTCdTseLb7Tv7WAgNQzRCB+7VYE3DZfUrJ+g==" saltValue="5AhNcjw179Bm3oE3qMDCQw==" spinCount="100000" sheet="1" objects="1" scenarios="1" formatColumns="0" autoFilter="0"/>
  <autoFilter ref="A2:F2" xr:uid="{21039E40-6AB2-460C-BFC2-3C09CD4B7800}"/>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9F583-A53A-4ECB-9567-BFF21BE7E3B4}">
  <sheetPr codeName="Tabelle36"/>
  <dimension ref="A1:DO102"/>
  <sheetViews>
    <sheetView zoomScale="130" zoomScaleNormal="130" workbookViewId="0">
      <pane xSplit="1" ySplit="1" topLeftCell="BD42" activePane="bottomRight" state="frozen"/>
      <selection pane="topRight" activeCell="B1" sqref="B1"/>
      <selection pane="bottomLeft" activeCell="A2" sqref="A2"/>
      <selection pane="bottomRight" activeCell="CJ42" sqref="CJ42"/>
    </sheetView>
  </sheetViews>
  <sheetFormatPr baseColWidth="10" defaultColWidth="11.42578125" defaultRowHeight="11.25"/>
  <cols>
    <col min="1" max="1" width="3" style="53" customWidth="1"/>
    <col min="2" max="119" width="5.85546875" style="53" customWidth="1"/>
    <col min="120" max="16384" width="11.42578125" style="53"/>
  </cols>
  <sheetData>
    <row r="1" spans="1:119" s="54" customFormat="1">
      <c r="B1" s="54">
        <v>1900</v>
      </c>
      <c r="C1" s="54">
        <v>1901</v>
      </c>
      <c r="D1" s="54">
        <v>1902</v>
      </c>
      <c r="E1" s="54">
        <v>1903</v>
      </c>
      <c r="F1" s="54">
        <v>1904</v>
      </c>
      <c r="G1" s="54">
        <v>1905</v>
      </c>
      <c r="H1" s="54">
        <v>1906</v>
      </c>
      <c r="I1" s="54">
        <v>1907</v>
      </c>
      <c r="J1" s="54">
        <v>1908</v>
      </c>
      <c r="K1" s="54">
        <v>1909</v>
      </c>
      <c r="L1" s="54">
        <v>1910</v>
      </c>
      <c r="M1" s="54">
        <v>1911</v>
      </c>
      <c r="N1" s="54">
        <v>1912</v>
      </c>
      <c r="O1" s="54">
        <v>1913</v>
      </c>
      <c r="P1" s="54">
        <v>1914</v>
      </c>
      <c r="Q1" s="54">
        <v>1915</v>
      </c>
      <c r="R1" s="54">
        <v>1916</v>
      </c>
      <c r="S1" s="54">
        <v>1917</v>
      </c>
      <c r="T1" s="54">
        <v>1918</v>
      </c>
      <c r="U1" s="54">
        <v>1919</v>
      </c>
      <c r="V1" s="54">
        <v>1920</v>
      </c>
      <c r="W1" s="54">
        <v>1921</v>
      </c>
      <c r="X1" s="54">
        <v>1922</v>
      </c>
      <c r="Y1" s="54">
        <v>1923</v>
      </c>
      <c r="Z1" s="54">
        <v>1924</v>
      </c>
      <c r="AA1" s="54">
        <v>1925</v>
      </c>
      <c r="AB1" s="54">
        <v>1926</v>
      </c>
      <c r="AC1" s="54">
        <v>1927</v>
      </c>
      <c r="AD1" s="54">
        <v>1928</v>
      </c>
      <c r="AE1" s="54">
        <v>1929</v>
      </c>
      <c r="AF1" s="54">
        <v>1930</v>
      </c>
      <c r="AG1" s="54">
        <v>1931</v>
      </c>
      <c r="AH1" s="54">
        <v>1932</v>
      </c>
      <c r="AI1" s="54">
        <v>1933</v>
      </c>
      <c r="AJ1" s="54">
        <v>1934</v>
      </c>
      <c r="AK1" s="54">
        <v>1935</v>
      </c>
      <c r="AL1" s="54">
        <v>1936</v>
      </c>
      <c r="AM1" s="54">
        <v>1937</v>
      </c>
      <c r="AN1" s="54">
        <v>1938</v>
      </c>
      <c r="AO1" s="54">
        <v>1939</v>
      </c>
      <c r="AP1" s="54">
        <v>1940</v>
      </c>
      <c r="AQ1" s="54">
        <v>1941</v>
      </c>
      <c r="AR1" s="54">
        <v>1942</v>
      </c>
      <c r="AS1" s="54">
        <v>1943</v>
      </c>
      <c r="AT1" s="54">
        <v>1944</v>
      </c>
      <c r="AU1" s="54">
        <v>1945</v>
      </c>
      <c r="AV1" s="54">
        <v>1946</v>
      </c>
      <c r="AW1" s="54">
        <v>1947</v>
      </c>
      <c r="AX1" s="54">
        <v>1948</v>
      </c>
      <c r="AY1" s="54">
        <v>1949</v>
      </c>
      <c r="AZ1" s="54">
        <v>1950</v>
      </c>
      <c r="BA1" s="54">
        <v>1951</v>
      </c>
      <c r="BB1" s="54">
        <v>1952</v>
      </c>
      <c r="BC1" s="54">
        <v>1953</v>
      </c>
      <c r="BD1" s="54">
        <v>1954</v>
      </c>
      <c r="BE1" s="54">
        <v>1955</v>
      </c>
      <c r="BF1" s="54">
        <v>1956</v>
      </c>
      <c r="BG1" s="54">
        <v>1957</v>
      </c>
      <c r="BH1" s="54">
        <v>1958</v>
      </c>
      <c r="BI1" s="54">
        <v>1959</v>
      </c>
      <c r="BJ1" s="54">
        <v>1960</v>
      </c>
      <c r="BK1" s="54">
        <v>1961</v>
      </c>
      <c r="BL1" s="54">
        <v>1962</v>
      </c>
      <c r="BM1" s="54">
        <v>1963</v>
      </c>
      <c r="BN1" s="54">
        <v>1964</v>
      </c>
      <c r="BO1" s="54">
        <v>1965</v>
      </c>
      <c r="BP1" s="54">
        <v>1966</v>
      </c>
      <c r="BQ1" s="54">
        <v>1967</v>
      </c>
      <c r="BR1" s="54">
        <v>1968</v>
      </c>
      <c r="BS1" s="54">
        <v>1969</v>
      </c>
      <c r="BT1" s="54">
        <v>1970</v>
      </c>
      <c r="BU1" s="54">
        <v>1971</v>
      </c>
      <c r="BV1" s="54">
        <v>1972</v>
      </c>
      <c r="BW1" s="54">
        <v>1973</v>
      </c>
      <c r="BX1" s="54">
        <v>1974</v>
      </c>
      <c r="BY1" s="54">
        <v>1975</v>
      </c>
      <c r="BZ1" s="54">
        <v>1976</v>
      </c>
      <c r="CA1" s="54">
        <v>1977</v>
      </c>
      <c r="CB1" s="54">
        <v>1978</v>
      </c>
      <c r="CC1" s="54">
        <v>1979</v>
      </c>
      <c r="CD1" s="54">
        <v>1980</v>
      </c>
      <c r="CE1" s="54">
        <v>1981</v>
      </c>
      <c r="CF1" s="54">
        <v>1982</v>
      </c>
      <c r="CG1" s="54">
        <v>1983</v>
      </c>
      <c r="CH1" s="54">
        <v>1984</v>
      </c>
      <c r="CI1" s="54">
        <v>1985</v>
      </c>
      <c r="CJ1" s="54">
        <v>1986</v>
      </c>
      <c r="CK1" s="54">
        <v>1987</v>
      </c>
      <c r="CL1" s="54">
        <v>1988</v>
      </c>
      <c r="CM1" s="54">
        <v>1989</v>
      </c>
      <c r="CN1" s="54">
        <v>1990</v>
      </c>
      <c r="CO1" s="54">
        <v>1991</v>
      </c>
      <c r="CP1" s="54">
        <v>1992</v>
      </c>
      <c r="CQ1" s="54">
        <v>1993</v>
      </c>
      <c r="CR1" s="54">
        <v>1994</v>
      </c>
      <c r="CS1" s="54">
        <v>1995</v>
      </c>
      <c r="CT1" s="54">
        <v>1996</v>
      </c>
      <c r="CU1" s="54">
        <v>1997</v>
      </c>
      <c r="CV1" s="54">
        <v>1998</v>
      </c>
      <c r="CW1" s="54">
        <v>1999</v>
      </c>
      <c r="CX1" s="54">
        <v>2000</v>
      </c>
      <c r="CY1" s="54">
        <v>2001</v>
      </c>
      <c r="CZ1" s="54">
        <v>2002</v>
      </c>
      <c r="DA1" s="54">
        <v>2003</v>
      </c>
      <c r="DB1" s="54">
        <v>2004</v>
      </c>
      <c r="DC1" s="54">
        <v>2005</v>
      </c>
      <c r="DD1" s="54">
        <v>2006</v>
      </c>
      <c r="DE1" s="54">
        <v>2007</v>
      </c>
      <c r="DF1" s="54">
        <v>2008</v>
      </c>
      <c r="DG1" s="54">
        <v>2009</v>
      </c>
      <c r="DH1" s="54">
        <v>2010</v>
      </c>
      <c r="DI1" s="54">
        <v>2011</v>
      </c>
      <c r="DJ1" s="54">
        <v>2012</v>
      </c>
      <c r="DK1" s="54">
        <v>2013</v>
      </c>
      <c r="DL1" s="54">
        <v>2014</v>
      </c>
      <c r="DM1" s="54">
        <v>2015</v>
      </c>
      <c r="DN1" s="54">
        <v>2016</v>
      </c>
      <c r="DO1" s="54">
        <v>2017</v>
      </c>
    </row>
    <row r="2" spans="1:119">
      <c r="A2" s="52">
        <v>0</v>
      </c>
      <c r="W2" s="53">
        <v>100000</v>
      </c>
      <c r="X2" s="53">
        <v>100000</v>
      </c>
      <c r="Y2" s="53">
        <v>100000</v>
      </c>
      <c r="Z2" s="53">
        <v>100000</v>
      </c>
      <c r="AA2" s="53">
        <v>100000</v>
      </c>
      <c r="AB2" s="53">
        <v>100000</v>
      </c>
      <c r="AC2" s="53">
        <v>100000</v>
      </c>
      <c r="AD2" s="53">
        <v>100000</v>
      </c>
      <c r="AE2" s="53">
        <v>100000</v>
      </c>
      <c r="AF2" s="53">
        <v>100000</v>
      </c>
      <c r="AG2" s="53">
        <v>100000</v>
      </c>
      <c r="AH2" s="53">
        <v>100000</v>
      </c>
      <c r="AI2" s="53">
        <v>100000</v>
      </c>
      <c r="AJ2" s="53">
        <v>100000</v>
      </c>
      <c r="AK2" s="53">
        <v>100000</v>
      </c>
      <c r="AL2" s="53">
        <v>100000</v>
      </c>
      <c r="AM2" s="53">
        <v>100000</v>
      </c>
      <c r="AN2" s="53">
        <v>100000</v>
      </c>
      <c r="AO2" s="53">
        <v>100000</v>
      </c>
      <c r="AP2" s="53">
        <v>100000</v>
      </c>
      <c r="AQ2" s="53">
        <v>100000</v>
      </c>
      <c r="AR2" s="53">
        <v>100000</v>
      </c>
      <c r="AS2" s="53">
        <v>100000</v>
      </c>
      <c r="AT2" s="53">
        <v>100000</v>
      </c>
      <c r="AU2" s="53">
        <v>100000</v>
      </c>
      <c r="AV2" s="53">
        <v>100000</v>
      </c>
      <c r="AW2" s="53">
        <v>100000</v>
      </c>
      <c r="AX2" s="53">
        <v>100000</v>
      </c>
      <c r="AY2" s="53">
        <v>100000</v>
      </c>
      <c r="AZ2" s="53">
        <v>100000</v>
      </c>
      <c r="BA2" s="53">
        <v>100000</v>
      </c>
      <c r="BB2" s="53">
        <v>100000</v>
      </c>
      <c r="BC2" s="53">
        <v>100000</v>
      </c>
      <c r="BD2" s="53">
        <v>100000</v>
      </c>
      <c r="BE2" s="53">
        <v>100000</v>
      </c>
      <c r="BF2" s="53">
        <v>100000</v>
      </c>
      <c r="BG2" s="53">
        <v>100000</v>
      </c>
      <c r="BH2" s="53">
        <v>100000</v>
      </c>
      <c r="BI2" s="53">
        <v>100000</v>
      </c>
      <c r="BJ2" s="53">
        <v>100000</v>
      </c>
      <c r="BK2" s="53">
        <v>100000</v>
      </c>
      <c r="BL2" s="53">
        <v>100000</v>
      </c>
      <c r="BM2" s="53">
        <v>100000</v>
      </c>
      <c r="BN2" s="53">
        <v>100000</v>
      </c>
      <c r="BO2" s="53">
        <v>100000</v>
      </c>
      <c r="BP2" s="53">
        <v>100000</v>
      </c>
      <c r="BQ2" s="53">
        <v>100000</v>
      </c>
      <c r="BR2" s="53">
        <v>100000</v>
      </c>
      <c r="BS2" s="53">
        <v>100000</v>
      </c>
      <c r="BT2" s="53">
        <v>100000</v>
      </c>
      <c r="BU2" s="53">
        <v>100000</v>
      </c>
      <c r="BV2" s="53">
        <v>100000</v>
      </c>
      <c r="BW2" s="53">
        <v>100000</v>
      </c>
      <c r="BX2" s="53">
        <v>100000</v>
      </c>
      <c r="BY2" s="53">
        <v>100000</v>
      </c>
      <c r="BZ2" s="53">
        <v>100000</v>
      </c>
      <c r="CA2" s="53">
        <v>100000</v>
      </c>
      <c r="CB2" s="53">
        <v>100000</v>
      </c>
      <c r="CC2" s="53">
        <v>100000</v>
      </c>
      <c r="CD2" s="53">
        <v>100000</v>
      </c>
      <c r="CE2" s="53">
        <v>100000</v>
      </c>
      <c r="CF2" s="53">
        <v>100000</v>
      </c>
      <c r="CG2" s="53">
        <v>100000</v>
      </c>
      <c r="CH2" s="53">
        <v>100000</v>
      </c>
      <c r="CI2" s="53">
        <v>100000</v>
      </c>
      <c r="CJ2" s="53">
        <v>100000</v>
      </c>
      <c r="CK2" s="53">
        <v>100000</v>
      </c>
      <c r="CL2" s="53">
        <v>100000</v>
      </c>
      <c r="CM2" s="53">
        <v>100000</v>
      </c>
      <c r="CN2" s="53">
        <v>100000</v>
      </c>
      <c r="CO2" s="53">
        <v>100000</v>
      </c>
      <c r="CP2" s="53">
        <v>100000</v>
      </c>
      <c r="CQ2" s="53">
        <v>100000</v>
      </c>
      <c r="CR2" s="53">
        <v>100000</v>
      </c>
      <c r="CS2" s="53">
        <v>100000</v>
      </c>
      <c r="CT2" s="53">
        <v>100000</v>
      </c>
      <c r="CU2" s="53">
        <v>100000</v>
      </c>
      <c r="CV2" s="53">
        <v>100000</v>
      </c>
      <c r="CW2" s="53">
        <v>100000</v>
      </c>
      <c r="CX2" s="53">
        <v>100000</v>
      </c>
      <c r="CY2" s="53">
        <v>100000</v>
      </c>
      <c r="CZ2" s="53">
        <v>100000</v>
      </c>
      <c r="DA2" s="53">
        <v>100000</v>
      </c>
      <c r="DB2" s="53">
        <v>100000</v>
      </c>
      <c r="DC2" s="53">
        <v>100000</v>
      </c>
      <c r="DD2" s="53">
        <v>100000</v>
      </c>
      <c r="DE2" s="53">
        <v>100000</v>
      </c>
      <c r="DF2" s="53">
        <v>100000</v>
      </c>
      <c r="DG2" s="53">
        <v>100000</v>
      </c>
      <c r="DH2" s="53">
        <v>100000</v>
      </c>
      <c r="DI2" s="53">
        <v>100000</v>
      </c>
      <c r="DJ2" s="53">
        <v>100000</v>
      </c>
      <c r="DK2" s="53">
        <v>100000</v>
      </c>
      <c r="DL2" s="53">
        <v>100000</v>
      </c>
      <c r="DM2" s="53">
        <v>100000</v>
      </c>
      <c r="DN2" s="53">
        <v>100000</v>
      </c>
      <c r="DO2" s="53">
        <v>100000</v>
      </c>
    </row>
    <row r="3" spans="1:119">
      <c r="A3" s="52">
        <v>1</v>
      </c>
      <c r="W3" s="53">
        <v>87983</v>
      </c>
      <c r="X3" s="53">
        <v>88400</v>
      </c>
      <c r="Y3" s="53">
        <v>88100</v>
      </c>
      <c r="Z3" s="53">
        <v>90200</v>
      </c>
      <c r="AA3" s="53">
        <v>90600</v>
      </c>
      <c r="AB3" s="53">
        <v>90900</v>
      </c>
      <c r="AC3" s="53">
        <v>91400</v>
      </c>
      <c r="AD3" s="53">
        <v>92100</v>
      </c>
      <c r="AE3" s="53">
        <v>91553</v>
      </c>
      <c r="AF3" s="53">
        <v>92504</v>
      </c>
      <c r="AG3" s="53">
        <v>92843</v>
      </c>
      <c r="AH3" s="53">
        <v>92900</v>
      </c>
      <c r="AI3" s="53">
        <v>93200</v>
      </c>
      <c r="AJ3" s="53">
        <v>94200</v>
      </c>
      <c r="AK3" s="53">
        <v>94009</v>
      </c>
      <c r="AL3" s="53">
        <v>94200</v>
      </c>
      <c r="AM3" s="53">
        <v>94353</v>
      </c>
      <c r="AN3" s="53">
        <v>94756</v>
      </c>
      <c r="AO3" s="53">
        <v>94651</v>
      </c>
      <c r="AP3" s="53">
        <v>94651</v>
      </c>
      <c r="AQ3" s="53">
        <v>94651</v>
      </c>
      <c r="AR3" s="53">
        <v>94651</v>
      </c>
      <c r="AS3" s="53">
        <v>94116</v>
      </c>
      <c r="AT3" s="53">
        <v>93314</v>
      </c>
      <c r="AU3" s="53">
        <v>91977</v>
      </c>
      <c r="AV3" s="53">
        <v>91938</v>
      </c>
      <c r="AW3" s="53">
        <v>91938</v>
      </c>
      <c r="AX3" s="53">
        <v>93515</v>
      </c>
      <c r="AY3" s="53">
        <v>95091</v>
      </c>
      <c r="AZ3" s="53">
        <v>95091</v>
      </c>
      <c r="BA3" s="53">
        <v>95091</v>
      </c>
      <c r="BB3" s="53">
        <v>95647</v>
      </c>
      <c r="BC3" s="53">
        <v>95852</v>
      </c>
      <c r="BD3" s="53">
        <v>96137</v>
      </c>
      <c r="BE3" s="53">
        <v>96196</v>
      </c>
      <c r="BF3" s="53">
        <v>96477</v>
      </c>
      <c r="BG3" s="53">
        <v>96584</v>
      </c>
      <c r="BH3" s="53">
        <v>96756</v>
      </c>
      <c r="BI3" s="53">
        <v>96817</v>
      </c>
      <c r="BJ3" s="53">
        <v>96991</v>
      </c>
      <c r="BK3" s="53">
        <v>97199</v>
      </c>
      <c r="BL3" s="53">
        <v>97415</v>
      </c>
      <c r="BM3" s="53">
        <v>97581</v>
      </c>
      <c r="BN3" s="53">
        <v>97788</v>
      </c>
      <c r="BO3" s="53">
        <v>97906</v>
      </c>
      <c r="BP3" s="53">
        <v>97998</v>
      </c>
      <c r="BQ3" s="53">
        <v>98031</v>
      </c>
      <c r="BR3" s="53">
        <v>98115</v>
      </c>
      <c r="BS3" s="53">
        <v>98051</v>
      </c>
      <c r="BT3" s="53">
        <v>98082</v>
      </c>
      <c r="BU3" s="53">
        <v>98112</v>
      </c>
      <c r="BV3" s="53">
        <v>98163</v>
      </c>
      <c r="BW3" s="53">
        <v>98231</v>
      </c>
      <c r="BX3" s="53">
        <v>98300</v>
      </c>
      <c r="BY3" s="53">
        <v>98368</v>
      </c>
      <c r="BZ3" s="53">
        <v>98582</v>
      </c>
      <c r="CA3" s="53">
        <v>98724</v>
      </c>
      <c r="CB3" s="53">
        <v>98782</v>
      </c>
      <c r="CC3" s="53">
        <v>98859</v>
      </c>
      <c r="CD3" s="53">
        <v>98918</v>
      </c>
      <c r="CE3" s="53">
        <v>98982</v>
      </c>
      <c r="CF3" s="53">
        <v>99042</v>
      </c>
      <c r="CG3" s="53">
        <v>99118</v>
      </c>
      <c r="CH3" s="53">
        <v>99143</v>
      </c>
      <c r="CI3" s="53">
        <v>99203</v>
      </c>
      <c r="CJ3" s="53">
        <v>99251</v>
      </c>
      <c r="CK3" s="53">
        <v>99285</v>
      </c>
      <c r="CL3" s="53">
        <v>99349</v>
      </c>
      <c r="CM3" s="53">
        <v>99367</v>
      </c>
      <c r="CN3" s="53">
        <v>99394</v>
      </c>
      <c r="CO3" s="53">
        <v>99422</v>
      </c>
      <c r="CP3" s="53">
        <v>99465</v>
      </c>
      <c r="CQ3" s="53">
        <v>99508</v>
      </c>
      <c r="CR3" s="53">
        <v>99517</v>
      </c>
      <c r="CS3" s="53">
        <v>99538</v>
      </c>
      <c r="CT3" s="53">
        <v>99559</v>
      </c>
      <c r="CU3" s="53">
        <v>99581</v>
      </c>
      <c r="CV3" s="53">
        <v>99590</v>
      </c>
      <c r="CW3" s="53">
        <v>99602</v>
      </c>
      <c r="CX3" s="53">
        <v>99618</v>
      </c>
      <c r="CY3" s="53">
        <v>99625</v>
      </c>
      <c r="CZ3" s="53">
        <v>99615</v>
      </c>
      <c r="DA3" s="53">
        <v>99617</v>
      </c>
      <c r="DB3" s="53">
        <v>99631</v>
      </c>
      <c r="DC3" s="53">
        <v>99661</v>
      </c>
      <c r="DD3" s="53">
        <v>99653</v>
      </c>
      <c r="DE3" s="53">
        <v>99662</v>
      </c>
      <c r="DF3" s="53">
        <v>99692</v>
      </c>
      <c r="DG3" s="53">
        <v>99687</v>
      </c>
      <c r="DH3" s="53">
        <v>99690</v>
      </c>
      <c r="DI3" s="53">
        <v>99674</v>
      </c>
      <c r="DJ3" s="53">
        <v>99698</v>
      </c>
      <c r="DK3" s="53">
        <v>99709</v>
      </c>
      <c r="DL3" s="53">
        <v>99703</v>
      </c>
      <c r="DM3" s="53">
        <v>99716</v>
      </c>
      <c r="DN3" s="53">
        <v>99727</v>
      </c>
      <c r="DO3" s="53">
        <v>99739</v>
      </c>
    </row>
    <row r="4" spans="1:119">
      <c r="A4" s="52">
        <v>2</v>
      </c>
      <c r="W4" s="53">
        <v>86361</v>
      </c>
      <c r="X4" s="53">
        <v>86728</v>
      </c>
      <c r="Y4" s="53">
        <v>86785</v>
      </c>
      <c r="Z4" s="53">
        <v>88853</v>
      </c>
      <c r="AA4" s="53">
        <v>89247</v>
      </c>
      <c r="AB4" s="53">
        <v>89657</v>
      </c>
      <c r="AC4" s="53">
        <v>90392</v>
      </c>
      <c r="AD4" s="53">
        <v>91014</v>
      </c>
      <c r="AE4" s="53">
        <v>90727</v>
      </c>
      <c r="AF4" s="53">
        <v>91707</v>
      </c>
      <c r="AG4" s="53">
        <v>92079</v>
      </c>
      <c r="AH4" s="53">
        <v>92135</v>
      </c>
      <c r="AI4" s="53">
        <v>92433</v>
      </c>
      <c r="AJ4" s="53">
        <v>93521</v>
      </c>
      <c r="AK4" s="53">
        <v>93353</v>
      </c>
      <c r="AL4" s="53">
        <v>93560</v>
      </c>
      <c r="AM4" s="53">
        <v>93758</v>
      </c>
      <c r="AN4" s="53">
        <v>94146</v>
      </c>
      <c r="AO4" s="53">
        <v>94042</v>
      </c>
      <c r="AP4" s="53">
        <v>94042</v>
      </c>
      <c r="AQ4" s="53">
        <v>94042</v>
      </c>
      <c r="AR4" s="53">
        <v>93981</v>
      </c>
      <c r="AS4" s="53">
        <v>93359</v>
      </c>
      <c r="AT4" s="53">
        <v>92413</v>
      </c>
      <c r="AU4" s="53">
        <v>91097</v>
      </c>
      <c r="AV4" s="53">
        <v>91059</v>
      </c>
      <c r="AW4" s="53">
        <v>91231</v>
      </c>
      <c r="AX4" s="53">
        <v>93178</v>
      </c>
      <c r="AY4" s="53">
        <v>94749</v>
      </c>
      <c r="AZ4" s="53">
        <v>94749</v>
      </c>
      <c r="BA4" s="53">
        <v>94778</v>
      </c>
      <c r="BB4" s="53">
        <v>95351</v>
      </c>
      <c r="BC4" s="53">
        <v>95586</v>
      </c>
      <c r="BD4" s="53">
        <v>95856</v>
      </c>
      <c r="BE4" s="53">
        <v>95951</v>
      </c>
      <c r="BF4" s="53">
        <v>96221</v>
      </c>
      <c r="BG4" s="53">
        <v>96365</v>
      </c>
      <c r="BH4" s="53">
        <v>96523</v>
      </c>
      <c r="BI4" s="53">
        <v>96608</v>
      </c>
      <c r="BJ4" s="53">
        <v>96787</v>
      </c>
      <c r="BK4" s="53">
        <v>97002</v>
      </c>
      <c r="BL4" s="53">
        <v>97243</v>
      </c>
      <c r="BM4" s="53">
        <v>97414</v>
      </c>
      <c r="BN4" s="53">
        <v>97625</v>
      </c>
      <c r="BO4" s="53">
        <v>97748</v>
      </c>
      <c r="BP4" s="53">
        <v>97850</v>
      </c>
      <c r="BQ4" s="53">
        <v>97889</v>
      </c>
      <c r="BR4" s="53">
        <v>97965</v>
      </c>
      <c r="BS4" s="53">
        <v>97917</v>
      </c>
      <c r="BT4" s="53">
        <v>97955</v>
      </c>
      <c r="BU4" s="53">
        <v>97996</v>
      </c>
      <c r="BV4" s="53">
        <v>98053</v>
      </c>
      <c r="BW4" s="53">
        <v>98122</v>
      </c>
      <c r="BX4" s="53">
        <v>98193</v>
      </c>
      <c r="BY4" s="53">
        <v>98273</v>
      </c>
      <c r="BZ4" s="53">
        <v>98491</v>
      </c>
      <c r="CA4" s="53">
        <v>98629</v>
      </c>
      <c r="CB4" s="53">
        <v>98696</v>
      </c>
      <c r="CC4" s="53">
        <v>98768</v>
      </c>
      <c r="CD4" s="53">
        <v>98837</v>
      </c>
      <c r="CE4" s="53">
        <v>98904</v>
      </c>
      <c r="CF4" s="53">
        <v>98967</v>
      </c>
      <c r="CG4" s="53">
        <v>99045</v>
      </c>
      <c r="CH4" s="53">
        <v>99070</v>
      </c>
      <c r="CI4" s="53">
        <v>99136</v>
      </c>
      <c r="CJ4" s="53">
        <v>99186</v>
      </c>
      <c r="CK4" s="53">
        <v>99223</v>
      </c>
      <c r="CL4" s="53">
        <v>99287</v>
      </c>
      <c r="CM4" s="53">
        <v>99307</v>
      </c>
      <c r="CN4" s="53">
        <v>99342</v>
      </c>
      <c r="CO4" s="53">
        <v>99369</v>
      </c>
      <c r="CP4" s="53">
        <v>99414</v>
      </c>
      <c r="CQ4" s="53">
        <v>99454</v>
      </c>
      <c r="CR4" s="53">
        <v>99476</v>
      </c>
      <c r="CS4" s="53">
        <v>99502</v>
      </c>
      <c r="CT4" s="53">
        <v>99515</v>
      </c>
      <c r="CU4" s="53">
        <v>99541</v>
      </c>
      <c r="CV4" s="53">
        <v>99554</v>
      </c>
      <c r="CW4" s="53">
        <v>99567</v>
      </c>
      <c r="CX4" s="53">
        <v>99582</v>
      </c>
      <c r="CY4" s="53">
        <v>99585</v>
      </c>
      <c r="CZ4" s="53">
        <v>99580</v>
      </c>
      <c r="DA4" s="53">
        <v>99585</v>
      </c>
      <c r="DB4" s="53">
        <v>99603</v>
      </c>
      <c r="DC4" s="53">
        <v>99632</v>
      </c>
      <c r="DD4" s="53">
        <v>99624</v>
      </c>
      <c r="DE4" s="53">
        <v>99635</v>
      </c>
      <c r="DF4" s="53">
        <v>99670</v>
      </c>
      <c r="DG4" s="53">
        <v>99654</v>
      </c>
      <c r="DH4" s="53">
        <v>99670</v>
      </c>
      <c r="DI4" s="53">
        <v>99648</v>
      </c>
      <c r="DJ4" s="53">
        <v>99671</v>
      </c>
      <c r="DK4" s="53">
        <v>99684</v>
      </c>
      <c r="DL4" s="53">
        <v>99682</v>
      </c>
      <c r="DM4" s="53">
        <v>99696</v>
      </c>
      <c r="DN4" s="53">
        <v>99708</v>
      </c>
      <c r="DO4" s="53">
        <v>99721</v>
      </c>
    </row>
    <row r="5" spans="1:119">
      <c r="A5" s="52">
        <v>3</v>
      </c>
      <c r="W5" s="53">
        <v>85441</v>
      </c>
      <c r="X5" s="53">
        <v>86230</v>
      </c>
      <c r="Y5" s="53">
        <v>86287</v>
      </c>
      <c r="Z5" s="53">
        <v>88343</v>
      </c>
      <c r="AA5" s="53">
        <v>88705</v>
      </c>
      <c r="AB5" s="53">
        <v>89166</v>
      </c>
      <c r="AC5" s="53">
        <v>89842</v>
      </c>
      <c r="AD5" s="53">
        <v>90560</v>
      </c>
      <c r="AE5" s="53">
        <v>90338</v>
      </c>
      <c r="AF5" s="53">
        <v>91342</v>
      </c>
      <c r="AG5" s="53">
        <v>91712</v>
      </c>
      <c r="AH5" s="53">
        <v>91769</v>
      </c>
      <c r="AI5" s="53">
        <v>92009</v>
      </c>
      <c r="AJ5" s="53">
        <v>93054</v>
      </c>
      <c r="AK5" s="53">
        <v>92952</v>
      </c>
      <c r="AL5" s="53">
        <v>93186</v>
      </c>
      <c r="AM5" s="53">
        <v>93365</v>
      </c>
      <c r="AN5" s="53">
        <v>93751</v>
      </c>
      <c r="AO5" s="53">
        <v>93648</v>
      </c>
      <c r="AP5" s="53">
        <v>93648</v>
      </c>
      <c r="AQ5" s="53">
        <v>93608</v>
      </c>
      <c r="AR5" s="53">
        <v>93488</v>
      </c>
      <c r="AS5" s="53">
        <v>92772</v>
      </c>
      <c r="AT5" s="53">
        <v>91975</v>
      </c>
      <c r="AU5" s="53">
        <v>90665</v>
      </c>
      <c r="AV5" s="53">
        <v>90768</v>
      </c>
      <c r="AW5" s="53">
        <v>91035</v>
      </c>
      <c r="AX5" s="53">
        <v>92978</v>
      </c>
      <c r="AY5" s="53">
        <v>94545</v>
      </c>
      <c r="AZ5" s="53">
        <v>94609</v>
      </c>
      <c r="BA5" s="53">
        <v>94635</v>
      </c>
      <c r="BB5" s="53">
        <v>95207</v>
      </c>
      <c r="BC5" s="53">
        <v>95443</v>
      </c>
      <c r="BD5" s="53">
        <v>95726</v>
      </c>
      <c r="BE5" s="53">
        <v>95822</v>
      </c>
      <c r="BF5" s="53">
        <v>96101</v>
      </c>
      <c r="BG5" s="53">
        <v>96245</v>
      </c>
      <c r="BH5" s="53">
        <v>96416</v>
      </c>
      <c r="BI5" s="53">
        <v>96500</v>
      </c>
      <c r="BJ5" s="53">
        <v>96678</v>
      </c>
      <c r="BK5" s="53">
        <v>96904</v>
      </c>
      <c r="BL5" s="53">
        <v>97157</v>
      </c>
      <c r="BM5" s="53">
        <v>97327</v>
      </c>
      <c r="BN5" s="53">
        <v>97534</v>
      </c>
      <c r="BO5" s="53">
        <v>97668</v>
      </c>
      <c r="BP5" s="53">
        <v>97768</v>
      </c>
      <c r="BQ5" s="53">
        <v>97801</v>
      </c>
      <c r="BR5" s="53">
        <v>97889</v>
      </c>
      <c r="BS5" s="53">
        <v>97845</v>
      </c>
      <c r="BT5" s="53">
        <v>97886</v>
      </c>
      <c r="BU5" s="53">
        <v>97929</v>
      </c>
      <c r="BV5" s="53">
        <v>97984</v>
      </c>
      <c r="BW5" s="53">
        <v>98057</v>
      </c>
      <c r="BX5" s="53">
        <v>98136</v>
      </c>
      <c r="BY5" s="53">
        <v>98216</v>
      </c>
      <c r="BZ5" s="53">
        <v>98437</v>
      </c>
      <c r="CA5" s="53">
        <v>98575</v>
      </c>
      <c r="CB5" s="53">
        <v>98649</v>
      </c>
      <c r="CC5" s="53">
        <v>98715</v>
      </c>
      <c r="CD5" s="53">
        <v>98787</v>
      </c>
      <c r="CE5" s="53">
        <v>98861</v>
      </c>
      <c r="CF5" s="53">
        <v>98921</v>
      </c>
      <c r="CG5" s="53">
        <v>99005</v>
      </c>
      <c r="CH5" s="53">
        <v>99030</v>
      </c>
      <c r="CI5" s="53">
        <v>99098</v>
      </c>
      <c r="CJ5" s="53">
        <v>99145</v>
      </c>
      <c r="CK5" s="53">
        <v>99188</v>
      </c>
      <c r="CL5" s="53">
        <v>99255</v>
      </c>
      <c r="CM5" s="53">
        <v>99275</v>
      </c>
      <c r="CN5" s="53">
        <v>99321</v>
      </c>
      <c r="CO5" s="53">
        <v>99341</v>
      </c>
      <c r="CP5" s="53">
        <v>99387</v>
      </c>
      <c r="CQ5" s="53">
        <v>99428</v>
      </c>
      <c r="CR5" s="53">
        <v>99453</v>
      </c>
      <c r="CS5" s="53">
        <v>99477</v>
      </c>
      <c r="CT5" s="53">
        <v>99492</v>
      </c>
      <c r="CU5" s="53">
        <v>99517</v>
      </c>
      <c r="CV5" s="53">
        <v>99531</v>
      </c>
      <c r="CW5" s="53">
        <v>99547</v>
      </c>
      <c r="CX5" s="53">
        <v>99564</v>
      </c>
      <c r="CY5" s="53">
        <v>99565</v>
      </c>
      <c r="CZ5" s="53">
        <v>99560</v>
      </c>
      <c r="DA5" s="53">
        <v>99565</v>
      </c>
      <c r="DB5" s="53">
        <v>99585</v>
      </c>
      <c r="DC5" s="53">
        <v>99613</v>
      </c>
      <c r="DD5" s="53">
        <v>99609</v>
      </c>
      <c r="DE5" s="53">
        <v>99622</v>
      </c>
      <c r="DF5" s="53">
        <v>99654</v>
      </c>
      <c r="DG5" s="53">
        <v>99639</v>
      </c>
      <c r="DH5" s="53">
        <v>99658</v>
      </c>
      <c r="DI5" s="53">
        <v>99638</v>
      </c>
      <c r="DJ5" s="53">
        <v>99659</v>
      </c>
      <c r="DK5" s="53">
        <v>99669</v>
      </c>
      <c r="DL5" s="53">
        <v>99668</v>
      </c>
      <c r="DM5" s="53">
        <v>99682</v>
      </c>
      <c r="DN5" s="53">
        <v>99695</v>
      </c>
      <c r="DO5" s="53">
        <v>99708</v>
      </c>
    </row>
    <row r="6" spans="1:119">
      <c r="A6" s="52">
        <v>4</v>
      </c>
      <c r="W6" s="53">
        <v>85132</v>
      </c>
      <c r="X6" s="53">
        <v>85918</v>
      </c>
      <c r="Y6" s="53">
        <v>85974</v>
      </c>
      <c r="Z6" s="53">
        <v>88004</v>
      </c>
      <c r="AA6" s="53">
        <v>88375</v>
      </c>
      <c r="AB6" s="53">
        <v>88798</v>
      </c>
      <c r="AC6" s="53">
        <v>89518</v>
      </c>
      <c r="AD6" s="53">
        <v>90278</v>
      </c>
      <c r="AE6" s="53">
        <v>90078</v>
      </c>
      <c r="AF6" s="53">
        <v>91079</v>
      </c>
      <c r="AG6" s="53">
        <v>91448</v>
      </c>
      <c r="AH6" s="53">
        <v>91464</v>
      </c>
      <c r="AI6" s="53">
        <v>91677</v>
      </c>
      <c r="AJ6" s="53">
        <v>92766</v>
      </c>
      <c r="AK6" s="53">
        <v>92684</v>
      </c>
      <c r="AL6" s="53">
        <v>92904</v>
      </c>
      <c r="AM6" s="53">
        <v>93081</v>
      </c>
      <c r="AN6" s="53">
        <v>93467</v>
      </c>
      <c r="AO6" s="53">
        <v>93364</v>
      </c>
      <c r="AP6" s="53">
        <v>93335</v>
      </c>
      <c r="AQ6" s="53">
        <v>93253</v>
      </c>
      <c r="AR6" s="53">
        <v>93063</v>
      </c>
      <c r="AS6" s="53">
        <v>92447</v>
      </c>
      <c r="AT6" s="53">
        <v>91653</v>
      </c>
      <c r="AU6" s="53">
        <v>90452</v>
      </c>
      <c r="AV6" s="53">
        <v>90619</v>
      </c>
      <c r="AW6" s="53">
        <v>90886</v>
      </c>
      <c r="AX6" s="53">
        <v>92825</v>
      </c>
      <c r="AY6" s="53">
        <v>94439</v>
      </c>
      <c r="AZ6" s="53">
        <v>94508</v>
      </c>
      <c r="BA6" s="53">
        <v>94540</v>
      </c>
      <c r="BB6" s="53">
        <v>95116</v>
      </c>
      <c r="BC6" s="53">
        <v>95350</v>
      </c>
      <c r="BD6" s="53">
        <v>95634</v>
      </c>
      <c r="BE6" s="53">
        <v>95743</v>
      </c>
      <c r="BF6" s="53">
        <v>96011</v>
      </c>
      <c r="BG6" s="53">
        <v>96161</v>
      </c>
      <c r="BH6" s="53">
        <v>96335</v>
      </c>
      <c r="BI6" s="53">
        <v>96426</v>
      </c>
      <c r="BJ6" s="53">
        <v>96611</v>
      </c>
      <c r="BK6" s="53">
        <v>96839</v>
      </c>
      <c r="BL6" s="53">
        <v>97091</v>
      </c>
      <c r="BM6" s="53">
        <v>97262</v>
      </c>
      <c r="BN6" s="53">
        <v>97470</v>
      </c>
      <c r="BO6" s="53">
        <v>97605</v>
      </c>
      <c r="BP6" s="53">
        <v>97704</v>
      </c>
      <c r="BQ6" s="53">
        <v>97740</v>
      </c>
      <c r="BR6" s="53">
        <v>97829</v>
      </c>
      <c r="BS6" s="53">
        <v>97789</v>
      </c>
      <c r="BT6" s="53">
        <v>97833</v>
      </c>
      <c r="BU6" s="53">
        <v>97876</v>
      </c>
      <c r="BV6" s="53">
        <v>97933</v>
      </c>
      <c r="BW6" s="53">
        <v>98009</v>
      </c>
      <c r="BX6" s="53">
        <v>98084</v>
      </c>
      <c r="BY6" s="53">
        <v>98169</v>
      </c>
      <c r="BZ6" s="53">
        <v>98392</v>
      </c>
      <c r="CA6" s="53">
        <v>98536</v>
      </c>
      <c r="CB6" s="53">
        <v>98609</v>
      </c>
      <c r="CC6" s="53">
        <v>98680</v>
      </c>
      <c r="CD6" s="53">
        <v>98753</v>
      </c>
      <c r="CE6" s="53">
        <v>98829</v>
      </c>
      <c r="CF6" s="53">
        <v>98889</v>
      </c>
      <c r="CG6" s="53">
        <v>98979</v>
      </c>
      <c r="CH6" s="53">
        <v>99002</v>
      </c>
      <c r="CI6" s="53">
        <v>99067</v>
      </c>
      <c r="CJ6" s="53">
        <v>99120</v>
      </c>
      <c r="CK6" s="53">
        <v>99155</v>
      </c>
      <c r="CL6" s="53">
        <v>99230</v>
      </c>
      <c r="CM6" s="53">
        <v>99251</v>
      </c>
      <c r="CN6" s="53">
        <v>99298</v>
      </c>
      <c r="CO6" s="53">
        <v>99321</v>
      </c>
      <c r="CP6" s="53">
        <v>99368</v>
      </c>
      <c r="CQ6" s="53">
        <v>99410</v>
      </c>
      <c r="CR6" s="53">
        <v>99436</v>
      </c>
      <c r="CS6" s="53">
        <v>99458</v>
      </c>
      <c r="CT6" s="53">
        <v>99479</v>
      </c>
      <c r="CU6" s="53">
        <v>99500</v>
      </c>
      <c r="CV6" s="53">
        <v>99514</v>
      </c>
      <c r="CW6" s="53">
        <v>99529</v>
      </c>
      <c r="CX6" s="53">
        <v>99549</v>
      </c>
      <c r="CY6" s="53">
        <v>99551</v>
      </c>
      <c r="CZ6" s="53">
        <v>99548</v>
      </c>
      <c r="DA6" s="53">
        <v>99552</v>
      </c>
      <c r="DB6" s="53">
        <v>99570</v>
      </c>
      <c r="DC6" s="53">
        <v>99598</v>
      </c>
      <c r="DD6" s="53">
        <v>99600</v>
      </c>
      <c r="DE6" s="53">
        <v>99610</v>
      </c>
      <c r="DF6" s="53">
        <v>99643</v>
      </c>
      <c r="DG6" s="53">
        <v>99626</v>
      </c>
      <c r="DH6" s="53">
        <v>99648</v>
      </c>
      <c r="DI6" s="53">
        <v>99626</v>
      </c>
      <c r="DJ6" s="53">
        <v>99648</v>
      </c>
      <c r="DK6" s="53">
        <v>99659</v>
      </c>
      <c r="DL6" s="53">
        <v>99658</v>
      </c>
      <c r="DM6" s="53">
        <v>99672</v>
      </c>
      <c r="DN6" s="53">
        <v>99686</v>
      </c>
      <c r="DO6" s="53">
        <v>99699</v>
      </c>
    </row>
    <row r="7" spans="1:119">
      <c r="A7" s="52">
        <v>5</v>
      </c>
      <c r="W7" s="53">
        <v>84889</v>
      </c>
      <c r="X7" s="53">
        <v>85672</v>
      </c>
      <c r="Y7" s="53">
        <v>85714</v>
      </c>
      <c r="Z7" s="53">
        <v>87735</v>
      </c>
      <c r="AA7" s="53">
        <v>88075</v>
      </c>
      <c r="AB7" s="53">
        <v>88524</v>
      </c>
      <c r="AC7" s="53">
        <v>89279</v>
      </c>
      <c r="AD7" s="53">
        <v>90055</v>
      </c>
      <c r="AE7" s="53">
        <v>89855</v>
      </c>
      <c r="AF7" s="53">
        <v>90854</v>
      </c>
      <c r="AG7" s="53">
        <v>91188</v>
      </c>
      <c r="AH7" s="53">
        <v>91181</v>
      </c>
      <c r="AI7" s="53">
        <v>91433</v>
      </c>
      <c r="AJ7" s="53">
        <v>92536</v>
      </c>
      <c r="AK7" s="53">
        <v>92443</v>
      </c>
      <c r="AL7" s="53">
        <v>92662</v>
      </c>
      <c r="AM7" s="53">
        <v>92839</v>
      </c>
      <c r="AN7" s="53">
        <v>93224</v>
      </c>
      <c r="AO7" s="53">
        <v>93096</v>
      </c>
      <c r="AP7" s="53">
        <v>93032</v>
      </c>
      <c r="AQ7" s="53">
        <v>92889</v>
      </c>
      <c r="AR7" s="53">
        <v>92833</v>
      </c>
      <c r="AS7" s="53">
        <v>92219</v>
      </c>
      <c r="AT7" s="53">
        <v>91500</v>
      </c>
      <c r="AU7" s="53">
        <v>90337</v>
      </c>
      <c r="AV7" s="53">
        <v>90504</v>
      </c>
      <c r="AW7" s="53">
        <v>90770</v>
      </c>
      <c r="AX7" s="53">
        <v>92744</v>
      </c>
      <c r="AY7" s="53">
        <v>94360</v>
      </c>
      <c r="AZ7" s="53">
        <v>94426</v>
      </c>
      <c r="BA7" s="53">
        <v>94473</v>
      </c>
      <c r="BB7" s="53">
        <v>95045</v>
      </c>
      <c r="BC7" s="53">
        <v>95275</v>
      </c>
      <c r="BD7" s="53">
        <v>95570</v>
      </c>
      <c r="BE7" s="53">
        <v>95677</v>
      </c>
      <c r="BF7" s="53">
        <v>95947</v>
      </c>
      <c r="BG7" s="53">
        <v>96101</v>
      </c>
      <c r="BH7" s="53">
        <v>96281</v>
      </c>
      <c r="BI7" s="53">
        <v>96366</v>
      </c>
      <c r="BJ7" s="53">
        <v>96556</v>
      </c>
      <c r="BK7" s="53">
        <v>96782</v>
      </c>
      <c r="BL7" s="53">
        <v>97036</v>
      </c>
      <c r="BM7" s="53">
        <v>97203</v>
      </c>
      <c r="BN7" s="53">
        <v>97414</v>
      </c>
      <c r="BO7" s="53">
        <v>97549</v>
      </c>
      <c r="BP7" s="53">
        <v>97656</v>
      </c>
      <c r="BQ7" s="53">
        <v>97692</v>
      </c>
      <c r="BR7" s="53">
        <v>97777</v>
      </c>
      <c r="BS7" s="53">
        <v>97749</v>
      </c>
      <c r="BT7" s="53">
        <v>97786</v>
      </c>
      <c r="BU7" s="53">
        <v>97830</v>
      </c>
      <c r="BV7" s="53">
        <v>97891</v>
      </c>
      <c r="BW7" s="53">
        <v>97967</v>
      </c>
      <c r="BX7" s="53">
        <v>98048</v>
      </c>
      <c r="BY7" s="53">
        <v>98130</v>
      </c>
      <c r="BZ7" s="53">
        <v>98356</v>
      </c>
      <c r="CA7" s="53">
        <v>98505</v>
      </c>
      <c r="CB7" s="53">
        <v>98577</v>
      </c>
      <c r="CC7" s="53">
        <v>98653</v>
      </c>
      <c r="CD7" s="53">
        <v>98726</v>
      </c>
      <c r="CE7" s="53">
        <v>98805</v>
      </c>
      <c r="CF7" s="53">
        <v>98867</v>
      </c>
      <c r="CG7" s="53">
        <v>98957</v>
      </c>
      <c r="CH7" s="53">
        <v>98981</v>
      </c>
      <c r="CI7" s="53">
        <v>99048</v>
      </c>
      <c r="CJ7" s="53">
        <v>99097</v>
      </c>
      <c r="CK7" s="53">
        <v>99134</v>
      </c>
      <c r="CL7" s="53">
        <v>99207</v>
      </c>
      <c r="CM7" s="53">
        <v>99234</v>
      </c>
      <c r="CN7" s="53">
        <v>99279</v>
      </c>
      <c r="CO7" s="53">
        <v>99302</v>
      </c>
      <c r="CP7" s="53">
        <v>99355</v>
      </c>
      <c r="CQ7" s="53">
        <v>99392</v>
      </c>
      <c r="CR7" s="53">
        <v>99423</v>
      </c>
      <c r="CS7" s="53">
        <v>99444</v>
      </c>
      <c r="CT7" s="53">
        <v>99465</v>
      </c>
      <c r="CU7" s="53">
        <v>99486</v>
      </c>
      <c r="CV7" s="53">
        <v>99500</v>
      </c>
      <c r="CW7" s="53">
        <v>99518</v>
      </c>
      <c r="CX7" s="53">
        <v>99535</v>
      </c>
      <c r="CY7" s="53">
        <v>99542</v>
      </c>
      <c r="CZ7" s="53">
        <v>99537</v>
      </c>
      <c r="DA7" s="53">
        <v>99540</v>
      </c>
      <c r="DB7" s="53">
        <v>99558</v>
      </c>
      <c r="DC7" s="53">
        <v>99586</v>
      </c>
      <c r="DD7" s="53">
        <v>99587</v>
      </c>
      <c r="DE7" s="53">
        <v>99599</v>
      </c>
      <c r="DF7" s="53">
        <v>99635</v>
      </c>
      <c r="DG7" s="53">
        <v>99617</v>
      </c>
      <c r="DH7" s="53">
        <v>99639</v>
      </c>
      <c r="DI7" s="53">
        <v>99618</v>
      </c>
      <c r="DJ7" s="53">
        <v>99640</v>
      </c>
      <c r="DK7" s="53">
        <v>99651</v>
      </c>
      <c r="DL7" s="53">
        <v>99650</v>
      </c>
      <c r="DM7" s="53">
        <v>99665</v>
      </c>
      <c r="DN7" s="53">
        <v>99679</v>
      </c>
      <c r="DO7" s="53">
        <v>99693</v>
      </c>
    </row>
    <row r="8" spans="1:119">
      <c r="A8" s="52">
        <v>6</v>
      </c>
      <c r="W8" s="53">
        <v>84703</v>
      </c>
      <c r="X8" s="53">
        <v>85473</v>
      </c>
      <c r="Y8" s="53">
        <v>85499</v>
      </c>
      <c r="Z8" s="53">
        <v>87492</v>
      </c>
      <c r="AA8" s="53">
        <v>87838</v>
      </c>
      <c r="AB8" s="53">
        <v>88318</v>
      </c>
      <c r="AC8" s="53">
        <v>89087</v>
      </c>
      <c r="AD8" s="53">
        <v>89862</v>
      </c>
      <c r="AE8" s="53">
        <v>89662</v>
      </c>
      <c r="AF8" s="53">
        <v>90629</v>
      </c>
      <c r="AG8" s="53">
        <v>90942</v>
      </c>
      <c r="AH8" s="53">
        <v>90970</v>
      </c>
      <c r="AI8" s="53">
        <v>91235</v>
      </c>
      <c r="AJ8" s="53">
        <v>92326</v>
      </c>
      <c r="AK8" s="53">
        <v>92233</v>
      </c>
      <c r="AL8" s="53">
        <v>92452</v>
      </c>
      <c r="AM8" s="53">
        <v>92629</v>
      </c>
      <c r="AN8" s="53">
        <v>92992</v>
      </c>
      <c r="AO8" s="53">
        <v>92833</v>
      </c>
      <c r="AP8" s="53">
        <v>92716</v>
      </c>
      <c r="AQ8" s="53">
        <v>92722</v>
      </c>
      <c r="AR8" s="53">
        <v>92666</v>
      </c>
      <c r="AS8" s="53">
        <v>92107</v>
      </c>
      <c r="AT8" s="53">
        <v>91410</v>
      </c>
      <c r="AU8" s="53">
        <v>90247</v>
      </c>
      <c r="AV8" s="53">
        <v>90415</v>
      </c>
      <c r="AW8" s="53">
        <v>90704</v>
      </c>
      <c r="AX8" s="53">
        <v>92684</v>
      </c>
      <c r="AY8" s="53">
        <v>94293</v>
      </c>
      <c r="AZ8" s="53">
        <v>94368</v>
      </c>
      <c r="BA8" s="53">
        <v>94413</v>
      </c>
      <c r="BB8" s="53">
        <v>94980</v>
      </c>
      <c r="BC8" s="53">
        <v>95221</v>
      </c>
      <c r="BD8" s="53">
        <v>95520</v>
      </c>
      <c r="BE8" s="53">
        <v>95623</v>
      </c>
      <c r="BF8" s="53">
        <v>95897</v>
      </c>
      <c r="BG8" s="53">
        <v>96049</v>
      </c>
      <c r="BH8" s="53">
        <v>96234</v>
      </c>
      <c r="BI8" s="53">
        <v>96319</v>
      </c>
      <c r="BJ8" s="53">
        <v>96508</v>
      </c>
      <c r="BK8" s="53">
        <v>96732</v>
      </c>
      <c r="BL8" s="53">
        <v>96988</v>
      </c>
      <c r="BM8" s="53">
        <v>97160</v>
      </c>
      <c r="BN8" s="53">
        <v>97364</v>
      </c>
      <c r="BO8" s="53">
        <v>97500</v>
      </c>
      <c r="BP8" s="53">
        <v>97612</v>
      </c>
      <c r="BQ8" s="53">
        <v>97651</v>
      </c>
      <c r="BR8" s="53">
        <v>97735</v>
      </c>
      <c r="BS8" s="53">
        <v>97705</v>
      </c>
      <c r="BT8" s="53">
        <v>97748</v>
      </c>
      <c r="BU8" s="53">
        <v>97794</v>
      </c>
      <c r="BV8" s="53">
        <v>97860</v>
      </c>
      <c r="BW8" s="53">
        <v>97929</v>
      </c>
      <c r="BX8" s="53">
        <v>98020</v>
      </c>
      <c r="BY8" s="53">
        <v>98102</v>
      </c>
      <c r="BZ8" s="53">
        <v>98321</v>
      </c>
      <c r="CA8" s="53">
        <v>98481</v>
      </c>
      <c r="CB8" s="53">
        <v>98553</v>
      </c>
      <c r="CC8" s="53">
        <v>98624</v>
      </c>
      <c r="CD8" s="53">
        <v>98706</v>
      </c>
      <c r="CE8" s="53">
        <v>98786</v>
      </c>
      <c r="CF8" s="53">
        <v>98846</v>
      </c>
      <c r="CG8" s="53">
        <v>98936</v>
      </c>
      <c r="CH8" s="53">
        <v>98959</v>
      </c>
      <c r="CI8" s="53">
        <v>99027</v>
      </c>
      <c r="CJ8" s="53">
        <v>99076</v>
      </c>
      <c r="CK8" s="53">
        <v>99117</v>
      </c>
      <c r="CL8" s="53">
        <v>99193</v>
      </c>
      <c r="CM8" s="53">
        <v>99216</v>
      </c>
      <c r="CN8" s="53">
        <v>99266</v>
      </c>
      <c r="CO8" s="53">
        <v>99292</v>
      </c>
      <c r="CP8" s="53">
        <v>99345</v>
      </c>
      <c r="CQ8" s="53">
        <v>99383</v>
      </c>
      <c r="CR8" s="53">
        <v>99411</v>
      </c>
      <c r="CS8" s="53">
        <v>99434</v>
      </c>
      <c r="CT8" s="53">
        <v>99454</v>
      </c>
      <c r="CU8" s="53">
        <v>99472</v>
      </c>
      <c r="CV8" s="53">
        <v>99486</v>
      </c>
      <c r="CW8" s="53">
        <v>99508</v>
      </c>
      <c r="CX8" s="53">
        <v>99525</v>
      </c>
      <c r="CY8" s="53">
        <v>99535</v>
      </c>
      <c r="CZ8" s="53">
        <v>99527</v>
      </c>
      <c r="DA8" s="53">
        <v>99532</v>
      </c>
      <c r="DB8" s="53">
        <v>99549</v>
      </c>
      <c r="DC8" s="53">
        <v>99575</v>
      </c>
      <c r="DD8" s="53">
        <v>99575</v>
      </c>
      <c r="DE8" s="53">
        <v>99590</v>
      </c>
      <c r="DF8" s="53">
        <v>99628</v>
      </c>
      <c r="DG8" s="53">
        <v>99610</v>
      </c>
      <c r="DH8" s="53">
        <v>99632</v>
      </c>
      <c r="DI8" s="53">
        <v>99611</v>
      </c>
      <c r="DJ8" s="53">
        <v>99634</v>
      </c>
      <c r="DK8" s="53">
        <v>99645</v>
      </c>
      <c r="DL8" s="53">
        <v>99645</v>
      </c>
      <c r="DM8" s="53">
        <v>99659</v>
      </c>
      <c r="DN8" s="53">
        <v>99674</v>
      </c>
      <c r="DO8" s="53">
        <v>99687</v>
      </c>
    </row>
    <row r="9" spans="1:119">
      <c r="A9" s="52">
        <v>7</v>
      </c>
      <c r="W9" s="53">
        <v>84541</v>
      </c>
      <c r="X9" s="53">
        <v>85288</v>
      </c>
      <c r="Y9" s="53">
        <v>85294</v>
      </c>
      <c r="Z9" s="53">
        <v>87278</v>
      </c>
      <c r="AA9" s="53">
        <v>87653</v>
      </c>
      <c r="AB9" s="53">
        <v>88146</v>
      </c>
      <c r="AC9" s="53">
        <v>88914</v>
      </c>
      <c r="AD9" s="53">
        <v>89687</v>
      </c>
      <c r="AE9" s="53">
        <v>89460</v>
      </c>
      <c r="AF9" s="53">
        <v>90408</v>
      </c>
      <c r="AG9" s="53">
        <v>90751</v>
      </c>
      <c r="AH9" s="53">
        <v>90792</v>
      </c>
      <c r="AI9" s="53">
        <v>91048</v>
      </c>
      <c r="AJ9" s="53">
        <v>92137</v>
      </c>
      <c r="AK9" s="53">
        <v>92044</v>
      </c>
      <c r="AL9" s="53">
        <v>92262</v>
      </c>
      <c r="AM9" s="53">
        <v>92420</v>
      </c>
      <c r="AN9" s="53">
        <v>92753</v>
      </c>
      <c r="AO9" s="53">
        <v>92547</v>
      </c>
      <c r="AP9" s="53">
        <v>92587</v>
      </c>
      <c r="AQ9" s="53">
        <v>92593</v>
      </c>
      <c r="AR9" s="53">
        <v>92579</v>
      </c>
      <c r="AS9" s="53">
        <v>92031</v>
      </c>
      <c r="AT9" s="53">
        <v>91335</v>
      </c>
      <c r="AU9" s="53">
        <v>90173</v>
      </c>
      <c r="AV9" s="53">
        <v>90361</v>
      </c>
      <c r="AW9" s="53">
        <v>90652</v>
      </c>
      <c r="AX9" s="53">
        <v>92632</v>
      </c>
      <c r="AY9" s="53">
        <v>94246</v>
      </c>
      <c r="AZ9" s="53">
        <v>94320</v>
      </c>
      <c r="BA9" s="53">
        <v>94368</v>
      </c>
      <c r="BB9" s="53">
        <v>94938</v>
      </c>
      <c r="BC9" s="53">
        <v>95177</v>
      </c>
      <c r="BD9" s="53">
        <v>95476</v>
      </c>
      <c r="BE9" s="53">
        <v>95580</v>
      </c>
      <c r="BF9" s="53">
        <v>95858</v>
      </c>
      <c r="BG9" s="53">
        <v>96003</v>
      </c>
      <c r="BH9" s="53">
        <v>96191</v>
      </c>
      <c r="BI9" s="53">
        <v>96278</v>
      </c>
      <c r="BJ9" s="53">
        <v>96467</v>
      </c>
      <c r="BK9" s="53">
        <v>96689</v>
      </c>
      <c r="BL9" s="53">
        <v>96943</v>
      </c>
      <c r="BM9" s="53">
        <v>97115</v>
      </c>
      <c r="BN9" s="53">
        <v>97322</v>
      </c>
      <c r="BO9" s="53">
        <v>97456</v>
      </c>
      <c r="BP9" s="53">
        <v>97567</v>
      </c>
      <c r="BQ9" s="53">
        <v>97611</v>
      </c>
      <c r="BR9" s="53">
        <v>97701</v>
      </c>
      <c r="BS9" s="53">
        <v>97668</v>
      </c>
      <c r="BT9" s="53">
        <v>97715</v>
      </c>
      <c r="BU9" s="53">
        <v>97759</v>
      </c>
      <c r="BV9" s="53">
        <v>97832</v>
      </c>
      <c r="BW9" s="53">
        <v>97897</v>
      </c>
      <c r="BX9" s="53">
        <v>97997</v>
      </c>
      <c r="BY9" s="53">
        <v>98076</v>
      </c>
      <c r="BZ9" s="53">
        <v>98294</v>
      </c>
      <c r="CA9" s="53">
        <v>98459</v>
      </c>
      <c r="CB9" s="53">
        <v>98529</v>
      </c>
      <c r="CC9" s="53">
        <v>98602</v>
      </c>
      <c r="CD9" s="53">
        <v>98687</v>
      </c>
      <c r="CE9" s="53">
        <v>98769</v>
      </c>
      <c r="CF9" s="53">
        <v>98825</v>
      </c>
      <c r="CG9" s="53">
        <v>98918</v>
      </c>
      <c r="CH9" s="53">
        <v>98941</v>
      </c>
      <c r="CI9" s="53">
        <v>99009</v>
      </c>
      <c r="CJ9" s="53">
        <v>99057</v>
      </c>
      <c r="CK9" s="53">
        <v>99107</v>
      </c>
      <c r="CL9" s="53">
        <v>99177</v>
      </c>
      <c r="CM9" s="53">
        <v>99201</v>
      </c>
      <c r="CN9" s="53">
        <v>99252</v>
      </c>
      <c r="CO9" s="53">
        <v>99281</v>
      </c>
      <c r="CP9" s="53">
        <v>99334</v>
      </c>
      <c r="CQ9" s="53">
        <v>99373</v>
      </c>
      <c r="CR9" s="53">
        <v>99397</v>
      </c>
      <c r="CS9" s="53">
        <v>99424</v>
      </c>
      <c r="CT9" s="53">
        <v>99443</v>
      </c>
      <c r="CU9" s="53">
        <v>99465</v>
      </c>
      <c r="CV9" s="53">
        <v>99475</v>
      </c>
      <c r="CW9" s="53">
        <v>99497</v>
      </c>
      <c r="CX9" s="53">
        <v>99518</v>
      </c>
      <c r="CY9" s="53">
        <v>99529</v>
      </c>
      <c r="CZ9" s="53">
        <v>99516</v>
      </c>
      <c r="DA9" s="53">
        <v>99524</v>
      </c>
      <c r="DB9" s="53">
        <v>99539</v>
      </c>
      <c r="DC9" s="53">
        <v>99569</v>
      </c>
      <c r="DD9" s="53">
        <v>99568</v>
      </c>
      <c r="DE9" s="53">
        <v>99583</v>
      </c>
      <c r="DF9" s="53">
        <v>99623</v>
      </c>
      <c r="DG9" s="53">
        <v>99604</v>
      </c>
      <c r="DH9" s="53">
        <v>99626</v>
      </c>
      <c r="DI9" s="53">
        <v>99605</v>
      </c>
      <c r="DJ9" s="53">
        <v>99629</v>
      </c>
      <c r="DK9" s="53">
        <v>99640</v>
      </c>
      <c r="DL9" s="53">
        <v>99640</v>
      </c>
      <c r="DM9" s="53">
        <v>99655</v>
      </c>
      <c r="DN9" s="53">
        <v>99669</v>
      </c>
      <c r="DO9" s="53">
        <v>99683</v>
      </c>
    </row>
    <row r="10" spans="1:119">
      <c r="A10" s="52">
        <v>8</v>
      </c>
      <c r="W10" s="53">
        <v>84389</v>
      </c>
      <c r="X10" s="53">
        <v>85126</v>
      </c>
      <c r="Y10" s="53">
        <v>85132</v>
      </c>
      <c r="Z10" s="53">
        <v>87138</v>
      </c>
      <c r="AA10" s="53">
        <v>87503</v>
      </c>
      <c r="AB10" s="53">
        <v>87995</v>
      </c>
      <c r="AC10" s="53">
        <v>88762</v>
      </c>
      <c r="AD10" s="53">
        <v>89498</v>
      </c>
      <c r="AE10" s="53">
        <v>89282</v>
      </c>
      <c r="AF10" s="53">
        <v>90245</v>
      </c>
      <c r="AG10" s="53">
        <v>90597</v>
      </c>
      <c r="AH10" s="53">
        <v>90628</v>
      </c>
      <c r="AI10" s="53">
        <v>90884</v>
      </c>
      <c r="AJ10" s="53">
        <v>91971</v>
      </c>
      <c r="AK10" s="53">
        <v>91878</v>
      </c>
      <c r="AL10" s="53">
        <v>92080</v>
      </c>
      <c r="AM10" s="53">
        <v>92212</v>
      </c>
      <c r="AN10" s="53">
        <v>92503</v>
      </c>
      <c r="AO10" s="53">
        <v>92442</v>
      </c>
      <c r="AP10" s="53">
        <v>92481</v>
      </c>
      <c r="AQ10" s="53">
        <v>92510</v>
      </c>
      <c r="AR10" s="53">
        <v>92521</v>
      </c>
      <c r="AS10" s="53">
        <v>91973</v>
      </c>
      <c r="AT10" s="53">
        <v>91277</v>
      </c>
      <c r="AU10" s="53">
        <v>90127</v>
      </c>
      <c r="AV10" s="53">
        <v>90321</v>
      </c>
      <c r="AW10" s="53">
        <v>90610</v>
      </c>
      <c r="AX10" s="53">
        <v>92590</v>
      </c>
      <c r="AY10" s="53">
        <v>94205</v>
      </c>
      <c r="AZ10" s="53">
        <v>94280</v>
      </c>
      <c r="BA10" s="53">
        <v>94327</v>
      </c>
      <c r="BB10" s="53">
        <v>94894</v>
      </c>
      <c r="BC10" s="53">
        <v>95142</v>
      </c>
      <c r="BD10" s="53">
        <v>95432</v>
      </c>
      <c r="BE10" s="53">
        <v>95536</v>
      </c>
      <c r="BF10" s="53">
        <v>95823</v>
      </c>
      <c r="BG10" s="53">
        <v>95971</v>
      </c>
      <c r="BH10" s="53">
        <v>96154</v>
      </c>
      <c r="BI10" s="53">
        <v>96240</v>
      </c>
      <c r="BJ10" s="53">
        <v>96429</v>
      </c>
      <c r="BK10" s="53">
        <v>96654</v>
      </c>
      <c r="BL10" s="53">
        <v>96905</v>
      </c>
      <c r="BM10" s="53">
        <v>97074</v>
      </c>
      <c r="BN10" s="53">
        <v>97287</v>
      </c>
      <c r="BO10" s="53">
        <v>97419</v>
      </c>
      <c r="BP10" s="53">
        <v>97533</v>
      </c>
      <c r="BQ10" s="53">
        <v>97578</v>
      </c>
      <c r="BR10" s="53">
        <v>97664</v>
      </c>
      <c r="BS10" s="53">
        <v>97637</v>
      </c>
      <c r="BT10" s="53">
        <v>97683</v>
      </c>
      <c r="BU10" s="53">
        <v>97731</v>
      </c>
      <c r="BV10" s="53">
        <v>97806</v>
      </c>
      <c r="BW10" s="53">
        <v>97870</v>
      </c>
      <c r="BX10" s="53">
        <v>97973</v>
      </c>
      <c r="BY10" s="53">
        <v>98051</v>
      </c>
      <c r="BZ10" s="53">
        <v>98275</v>
      </c>
      <c r="CA10" s="53">
        <v>98439</v>
      </c>
      <c r="CB10" s="53">
        <v>98512</v>
      </c>
      <c r="CC10" s="53">
        <v>98583</v>
      </c>
      <c r="CD10" s="53">
        <v>98672</v>
      </c>
      <c r="CE10" s="53">
        <v>98750</v>
      </c>
      <c r="CF10" s="53">
        <v>98806</v>
      </c>
      <c r="CG10" s="53">
        <v>98901</v>
      </c>
      <c r="CH10" s="53">
        <v>98927</v>
      </c>
      <c r="CI10" s="53">
        <v>98996</v>
      </c>
      <c r="CJ10" s="53">
        <v>99043</v>
      </c>
      <c r="CK10" s="53">
        <v>99093</v>
      </c>
      <c r="CL10" s="53">
        <v>99164</v>
      </c>
      <c r="CM10" s="53">
        <v>99189</v>
      </c>
      <c r="CN10" s="53">
        <v>99241</v>
      </c>
      <c r="CO10" s="53">
        <v>99271</v>
      </c>
      <c r="CP10" s="53">
        <v>99321</v>
      </c>
      <c r="CQ10" s="53">
        <v>99364</v>
      </c>
      <c r="CR10" s="53">
        <v>99391</v>
      </c>
      <c r="CS10" s="53">
        <v>99414</v>
      </c>
      <c r="CT10" s="53">
        <v>99434</v>
      </c>
      <c r="CU10" s="53">
        <v>99458</v>
      </c>
      <c r="CV10" s="53">
        <v>99466</v>
      </c>
      <c r="CW10" s="53">
        <v>99489</v>
      </c>
      <c r="CX10" s="53">
        <v>99511</v>
      </c>
      <c r="CY10" s="53">
        <v>99521</v>
      </c>
      <c r="CZ10" s="53">
        <v>99507</v>
      </c>
      <c r="DA10" s="53">
        <v>99517</v>
      </c>
      <c r="DB10" s="53">
        <v>99532</v>
      </c>
      <c r="DC10" s="53">
        <v>99559</v>
      </c>
      <c r="DD10" s="53">
        <v>99564</v>
      </c>
      <c r="DE10" s="53">
        <v>99577</v>
      </c>
      <c r="DF10" s="53">
        <v>99618</v>
      </c>
      <c r="DG10" s="53">
        <v>99599</v>
      </c>
      <c r="DH10" s="53">
        <v>99621</v>
      </c>
      <c r="DI10" s="53">
        <v>99601</v>
      </c>
      <c r="DJ10" s="53">
        <v>99624</v>
      </c>
      <c r="DK10" s="53">
        <v>99636</v>
      </c>
      <c r="DL10" s="53">
        <v>99635</v>
      </c>
      <c r="DM10" s="53">
        <v>99651</v>
      </c>
      <c r="DN10" s="53">
        <v>99665</v>
      </c>
      <c r="DO10" s="53">
        <v>99679</v>
      </c>
    </row>
    <row r="11" spans="1:119">
      <c r="A11" s="52">
        <v>9</v>
      </c>
      <c r="W11" s="53">
        <v>84249</v>
      </c>
      <c r="X11" s="53">
        <v>84988</v>
      </c>
      <c r="Y11" s="53">
        <v>85015</v>
      </c>
      <c r="Z11" s="53">
        <v>87010</v>
      </c>
      <c r="AA11" s="53">
        <v>87375</v>
      </c>
      <c r="AB11" s="53">
        <v>87866</v>
      </c>
      <c r="AC11" s="53">
        <v>88602</v>
      </c>
      <c r="AD11" s="53">
        <v>89345</v>
      </c>
      <c r="AE11" s="53">
        <v>89144</v>
      </c>
      <c r="AF11" s="53">
        <v>90113</v>
      </c>
      <c r="AG11" s="53">
        <v>90457</v>
      </c>
      <c r="AH11" s="53">
        <v>90488</v>
      </c>
      <c r="AI11" s="53">
        <v>90744</v>
      </c>
      <c r="AJ11" s="53">
        <v>91829</v>
      </c>
      <c r="AK11" s="53">
        <v>91722</v>
      </c>
      <c r="AL11" s="53">
        <v>91902</v>
      </c>
      <c r="AM11" s="53">
        <v>91998</v>
      </c>
      <c r="AN11" s="53">
        <v>92408</v>
      </c>
      <c r="AO11" s="53">
        <v>92346</v>
      </c>
      <c r="AP11" s="53">
        <v>92406</v>
      </c>
      <c r="AQ11" s="53">
        <v>92456</v>
      </c>
      <c r="AR11" s="53">
        <v>92467</v>
      </c>
      <c r="AS11" s="53">
        <v>91920</v>
      </c>
      <c r="AT11" s="53">
        <v>91240</v>
      </c>
      <c r="AU11" s="53">
        <v>90093</v>
      </c>
      <c r="AV11" s="53">
        <v>90288</v>
      </c>
      <c r="AW11" s="53">
        <v>90576</v>
      </c>
      <c r="AX11" s="53">
        <v>92556</v>
      </c>
      <c r="AY11" s="53">
        <v>94172</v>
      </c>
      <c r="AZ11" s="53">
        <v>94250</v>
      </c>
      <c r="BA11" s="53">
        <v>94295</v>
      </c>
      <c r="BB11" s="53">
        <v>94860</v>
      </c>
      <c r="BC11" s="53">
        <v>95108</v>
      </c>
      <c r="BD11" s="53">
        <v>95398</v>
      </c>
      <c r="BE11" s="53">
        <v>95503</v>
      </c>
      <c r="BF11" s="53">
        <v>95793</v>
      </c>
      <c r="BG11" s="53">
        <v>95942</v>
      </c>
      <c r="BH11" s="53">
        <v>96122</v>
      </c>
      <c r="BI11" s="53">
        <v>96206</v>
      </c>
      <c r="BJ11" s="53">
        <v>96393</v>
      </c>
      <c r="BK11" s="53">
        <v>96620</v>
      </c>
      <c r="BL11" s="53">
        <v>96868</v>
      </c>
      <c r="BM11" s="53">
        <v>97042</v>
      </c>
      <c r="BN11" s="53">
        <v>97256</v>
      </c>
      <c r="BO11" s="53">
        <v>97391</v>
      </c>
      <c r="BP11" s="53">
        <v>97504</v>
      </c>
      <c r="BQ11" s="53">
        <v>97552</v>
      </c>
      <c r="BR11" s="53">
        <v>97640</v>
      </c>
      <c r="BS11" s="53">
        <v>97610</v>
      </c>
      <c r="BT11" s="53">
        <v>97658</v>
      </c>
      <c r="BU11" s="53">
        <v>97706</v>
      </c>
      <c r="BV11" s="53">
        <v>97784</v>
      </c>
      <c r="BW11" s="53">
        <v>97851</v>
      </c>
      <c r="BX11" s="53">
        <v>97953</v>
      </c>
      <c r="BY11" s="53">
        <v>98033</v>
      </c>
      <c r="BZ11" s="53">
        <v>98255</v>
      </c>
      <c r="CA11" s="53">
        <v>98419</v>
      </c>
      <c r="CB11" s="53">
        <v>98495</v>
      </c>
      <c r="CC11" s="53">
        <v>98567</v>
      </c>
      <c r="CD11" s="53">
        <v>98657</v>
      </c>
      <c r="CE11" s="53">
        <v>98727</v>
      </c>
      <c r="CF11" s="53">
        <v>98792</v>
      </c>
      <c r="CG11" s="53">
        <v>98883</v>
      </c>
      <c r="CH11" s="53">
        <v>98914</v>
      </c>
      <c r="CI11" s="53">
        <v>98984</v>
      </c>
      <c r="CJ11" s="53">
        <v>99031</v>
      </c>
      <c r="CK11" s="53">
        <v>99081</v>
      </c>
      <c r="CL11" s="53">
        <v>99156</v>
      </c>
      <c r="CM11" s="53">
        <v>99180</v>
      </c>
      <c r="CN11" s="53">
        <v>99232</v>
      </c>
      <c r="CO11" s="53">
        <v>99261</v>
      </c>
      <c r="CP11" s="53">
        <v>99313</v>
      </c>
      <c r="CQ11" s="53">
        <v>99355</v>
      </c>
      <c r="CR11" s="53">
        <v>99383</v>
      </c>
      <c r="CS11" s="53">
        <v>99401</v>
      </c>
      <c r="CT11" s="53">
        <v>99426</v>
      </c>
      <c r="CU11" s="53">
        <v>99450</v>
      </c>
      <c r="CV11" s="53">
        <v>99460</v>
      </c>
      <c r="CW11" s="53">
        <v>99483</v>
      </c>
      <c r="CX11" s="53">
        <v>99505</v>
      </c>
      <c r="CY11" s="53">
        <v>99514</v>
      </c>
      <c r="CZ11" s="53">
        <v>99498</v>
      </c>
      <c r="DA11" s="53">
        <v>99509</v>
      </c>
      <c r="DB11" s="53">
        <v>99524</v>
      </c>
      <c r="DC11" s="53">
        <v>99555</v>
      </c>
      <c r="DD11" s="53">
        <v>99557</v>
      </c>
      <c r="DE11" s="53">
        <v>99572</v>
      </c>
      <c r="DF11" s="53">
        <v>99612</v>
      </c>
      <c r="DG11" s="53">
        <v>99594</v>
      </c>
      <c r="DH11" s="53">
        <v>99617</v>
      </c>
      <c r="DI11" s="53">
        <v>99596</v>
      </c>
      <c r="DJ11" s="53">
        <v>99620</v>
      </c>
      <c r="DK11" s="53">
        <v>99631</v>
      </c>
      <c r="DL11" s="53">
        <v>99631</v>
      </c>
      <c r="DM11" s="53">
        <v>99647</v>
      </c>
      <c r="DN11" s="53">
        <v>99662</v>
      </c>
      <c r="DO11" s="53">
        <v>99676</v>
      </c>
    </row>
    <row r="12" spans="1:119">
      <c r="A12" s="52">
        <v>10</v>
      </c>
      <c r="W12" s="53">
        <v>84129</v>
      </c>
      <c r="X12" s="53">
        <v>84886</v>
      </c>
      <c r="Y12" s="53">
        <v>84906</v>
      </c>
      <c r="Z12" s="53">
        <v>86899</v>
      </c>
      <c r="AA12" s="53">
        <v>87263</v>
      </c>
      <c r="AB12" s="53">
        <v>87728</v>
      </c>
      <c r="AC12" s="53">
        <v>88469</v>
      </c>
      <c r="AD12" s="53">
        <v>89224</v>
      </c>
      <c r="AE12" s="53">
        <v>89030</v>
      </c>
      <c r="AF12" s="53">
        <v>89992</v>
      </c>
      <c r="AG12" s="53">
        <v>90335</v>
      </c>
      <c r="AH12" s="53">
        <v>90366</v>
      </c>
      <c r="AI12" s="53">
        <v>90622</v>
      </c>
      <c r="AJ12" s="53">
        <v>91693</v>
      </c>
      <c r="AK12" s="53">
        <v>91568</v>
      </c>
      <c r="AL12" s="53">
        <v>91716</v>
      </c>
      <c r="AM12" s="53">
        <v>91909</v>
      </c>
      <c r="AN12" s="53">
        <v>92318</v>
      </c>
      <c r="AO12" s="53">
        <v>92276</v>
      </c>
      <c r="AP12" s="53">
        <v>92358</v>
      </c>
      <c r="AQ12" s="53">
        <v>92408</v>
      </c>
      <c r="AR12" s="53">
        <v>92419</v>
      </c>
      <c r="AS12" s="53">
        <v>91881</v>
      </c>
      <c r="AT12" s="53">
        <v>91200</v>
      </c>
      <c r="AU12" s="53">
        <v>90064</v>
      </c>
      <c r="AV12" s="53">
        <v>90258</v>
      </c>
      <c r="AW12" s="53">
        <v>90543</v>
      </c>
      <c r="AX12" s="53">
        <v>92522</v>
      </c>
      <c r="AY12" s="53">
        <v>94140</v>
      </c>
      <c r="AZ12" s="53">
        <v>94221</v>
      </c>
      <c r="BA12" s="53">
        <v>94261</v>
      </c>
      <c r="BB12" s="53">
        <v>94830</v>
      </c>
      <c r="BC12" s="53">
        <v>95078</v>
      </c>
      <c r="BD12" s="53">
        <v>95369</v>
      </c>
      <c r="BE12" s="53">
        <v>95473</v>
      </c>
      <c r="BF12" s="53">
        <v>95764</v>
      </c>
      <c r="BG12" s="53">
        <v>95912</v>
      </c>
      <c r="BH12" s="53">
        <v>96092</v>
      </c>
      <c r="BI12" s="53">
        <v>96175</v>
      </c>
      <c r="BJ12" s="53">
        <v>96359</v>
      </c>
      <c r="BK12" s="53">
        <v>96591</v>
      </c>
      <c r="BL12" s="53">
        <v>96839</v>
      </c>
      <c r="BM12" s="53">
        <v>97015</v>
      </c>
      <c r="BN12" s="53">
        <v>97231</v>
      </c>
      <c r="BO12" s="53">
        <v>97369</v>
      </c>
      <c r="BP12" s="53">
        <v>97478</v>
      </c>
      <c r="BQ12" s="53">
        <v>97529</v>
      </c>
      <c r="BR12" s="53">
        <v>97612</v>
      </c>
      <c r="BS12" s="53">
        <v>97587</v>
      </c>
      <c r="BT12" s="53">
        <v>97639</v>
      </c>
      <c r="BU12" s="53">
        <v>97687</v>
      </c>
      <c r="BV12" s="53">
        <v>97766</v>
      </c>
      <c r="BW12" s="53">
        <v>97835</v>
      </c>
      <c r="BX12" s="53">
        <v>97936</v>
      </c>
      <c r="BY12" s="53">
        <v>98010</v>
      </c>
      <c r="BZ12" s="53">
        <v>98238</v>
      </c>
      <c r="CA12" s="53">
        <v>98404</v>
      </c>
      <c r="CB12" s="53">
        <v>98479</v>
      </c>
      <c r="CC12" s="53">
        <v>98552</v>
      </c>
      <c r="CD12" s="53">
        <v>98645</v>
      </c>
      <c r="CE12" s="53">
        <v>98710</v>
      </c>
      <c r="CF12" s="53">
        <v>98779</v>
      </c>
      <c r="CG12" s="53">
        <v>98872</v>
      </c>
      <c r="CH12" s="53">
        <v>98905</v>
      </c>
      <c r="CI12" s="53">
        <v>98969</v>
      </c>
      <c r="CJ12" s="53">
        <v>99021</v>
      </c>
      <c r="CK12" s="53">
        <v>99071</v>
      </c>
      <c r="CL12" s="53">
        <v>99147</v>
      </c>
      <c r="CM12" s="53">
        <v>99171</v>
      </c>
      <c r="CN12" s="53">
        <v>99221</v>
      </c>
      <c r="CO12" s="53">
        <v>99254</v>
      </c>
      <c r="CP12" s="53">
        <v>99303</v>
      </c>
      <c r="CQ12" s="53">
        <v>99348</v>
      </c>
      <c r="CR12" s="53">
        <v>99376</v>
      </c>
      <c r="CS12" s="53">
        <v>99395</v>
      </c>
      <c r="CT12" s="53">
        <v>99420</v>
      </c>
      <c r="CU12" s="53">
        <v>99443</v>
      </c>
      <c r="CV12" s="53">
        <v>99453</v>
      </c>
      <c r="CW12" s="53">
        <v>99476</v>
      </c>
      <c r="CX12" s="53">
        <v>99499</v>
      </c>
      <c r="CY12" s="53">
        <v>99506</v>
      </c>
      <c r="CZ12" s="53">
        <v>99493</v>
      </c>
      <c r="DA12" s="53">
        <v>99503</v>
      </c>
      <c r="DB12" s="53">
        <v>99517</v>
      </c>
      <c r="DC12" s="53">
        <v>99550</v>
      </c>
      <c r="DD12" s="53">
        <v>99552</v>
      </c>
      <c r="DE12" s="53">
        <v>99567</v>
      </c>
      <c r="DF12" s="53">
        <v>99607</v>
      </c>
      <c r="DG12" s="53">
        <v>99589</v>
      </c>
      <c r="DH12" s="53">
        <v>99612</v>
      </c>
      <c r="DI12" s="53">
        <v>99592</v>
      </c>
      <c r="DJ12" s="53">
        <v>99615</v>
      </c>
      <c r="DK12" s="53">
        <v>99627</v>
      </c>
      <c r="DL12" s="53">
        <v>99627</v>
      </c>
      <c r="DM12" s="53">
        <v>99643</v>
      </c>
      <c r="DN12" s="53">
        <v>99658</v>
      </c>
      <c r="DO12" s="53">
        <v>99672</v>
      </c>
    </row>
    <row r="13" spans="1:119">
      <c r="A13" s="52">
        <v>11</v>
      </c>
      <c r="W13" s="53">
        <v>84039</v>
      </c>
      <c r="X13" s="53">
        <v>84789</v>
      </c>
      <c r="Y13" s="53">
        <v>84809</v>
      </c>
      <c r="Z13" s="53">
        <v>86800</v>
      </c>
      <c r="AA13" s="53">
        <v>87141</v>
      </c>
      <c r="AB13" s="53">
        <v>87611</v>
      </c>
      <c r="AC13" s="53">
        <v>88363</v>
      </c>
      <c r="AD13" s="53">
        <v>89123</v>
      </c>
      <c r="AE13" s="53">
        <v>88924</v>
      </c>
      <c r="AF13" s="53">
        <v>89884</v>
      </c>
      <c r="AG13" s="53">
        <v>90227</v>
      </c>
      <c r="AH13" s="53">
        <v>90258</v>
      </c>
      <c r="AI13" s="53">
        <v>90502</v>
      </c>
      <c r="AJ13" s="53">
        <v>91555</v>
      </c>
      <c r="AK13" s="53">
        <v>91403</v>
      </c>
      <c r="AL13" s="53">
        <v>91632</v>
      </c>
      <c r="AM13" s="53">
        <v>91825</v>
      </c>
      <c r="AN13" s="53">
        <v>92251</v>
      </c>
      <c r="AO13" s="53">
        <v>92232</v>
      </c>
      <c r="AP13" s="53">
        <v>92315</v>
      </c>
      <c r="AQ13" s="53">
        <v>92365</v>
      </c>
      <c r="AR13" s="53">
        <v>92387</v>
      </c>
      <c r="AS13" s="53">
        <v>91847</v>
      </c>
      <c r="AT13" s="53">
        <v>91171</v>
      </c>
      <c r="AU13" s="53">
        <v>90038</v>
      </c>
      <c r="AV13" s="53">
        <v>90227</v>
      </c>
      <c r="AW13" s="53">
        <v>90511</v>
      </c>
      <c r="AX13" s="53">
        <v>92492</v>
      </c>
      <c r="AY13" s="53">
        <v>94113</v>
      </c>
      <c r="AZ13" s="53">
        <v>94194</v>
      </c>
      <c r="BA13" s="53">
        <v>94232</v>
      </c>
      <c r="BB13" s="53">
        <v>94805</v>
      </c>
      <c r="BC13" s="53">
        <v>95058</v>
      </c>
      <c r="BD13" s="53">
        <v>95340</v>
      </c>
      <c r="BE13" s="53">
        <v>95447</v>
      </c>
      <c r="BF13" s="53">
        <v>95738</v>
      </c>
      <c r="BG13" s="53">
        <v>95884</v>
      </c>
      <c r="BH13" s="53">
        <v>96063</v>
      </c>
      <c r="BI13" s="53">
        <v>96144</v>
      </c>
      <c r="BJ13" s="53">
        <v>96332</v>
      </c>
      <c r="BK13" s="53">
        <v>96561</v>
      </c>
      <c r="BL13" s="53">
        <v>96814</v>
      </c>
      <c r="BM13" s="53">
        <v>96992</v>
      </c>
      <c r="BN13" s="53">
        <v>97211</v>
      </c>
      <c r="BO13" s="53">
        <v>97344</v>
      </c>
      <c r="BP13" s="53">
        <v>97457</v>
      </c>
      <c r="BQ13" s="53">
        <v>97510</v>
      </c>
      <c r="BR13" s="53">
        <v>97595</v>
      </c>
      <c r="BS13" s="53">
        <v>97567</v>
      </c>
      <c r="BT13" s="53">
        <v>97617</v>
      </c>
      <c r="BU13" s="53">
        <v>97669</v>
      </c>
      <c r="BV13" s="53">
        <v>97750</v>
      </c>
      <c r="BW13" s="53">
        <v>97820</v>
      </c>
      <c r="BX13" s="53">
        <v>97921</v>
      </c>
      <c r="BY13" s="53">
        <v>97995</v>
      </c>
      <c r="BZ13" s="53">
        <v>98224</v>
      </c>
      <c r="CA13" s="53">
        <v>98392</v>
      </c>
      <c r="CB13" s="53">
        <v>98465</v>
      </c>
      <c r="CC13" s="53">
        <v>98540</v>
      </c>
      <c r="CD13" s="53">
        <v>98632</v>
      </c>
      <c r="CE13" s="53">
        <v>98697</v>
      </c>
      <c r="CF13" s="53">
        <v>98762</v>
      </c>
      <c r="CG13" s="53">
        <v>98857</v>
      </c>
      <c r="CH13" s="53">
        <v>98896</v>
      </c>
      <c r="CI13" s="53">
        <v>98956</v>
      </c>
      <c r="CJ13" s="53">
        <v>99012</v>
      </c>
      <c r="CK13" s="53">
        <v>99062</v>
      </c>
      <c r="CL13" s="53">
        <v>99138</v>
      </c>
      <c r="CM13" s="53">
        <v>99160</v>
      </c>
      <c r="CN13" s="53">
        <v>99213</v>
      </c>
      <c r="CO13" s="53">
        <v>99246</v>
      </c>
      <c r="CP13" s="53">
        <v>99293</v>
      </c>
      <c r="CQ13" s="53">
        <v>99342</v>
      </c>
      <c r="CR13" s="53">
        <v>99366</v>
      </c>
      <c r="CS13" s="53">
        <v>99388</v>
      </c>
      <c r="CT13" s="53">
        <v>99413</v>
      </c>
      <c r="CU13" s="53">
        <v>99435</v>
      </c>
      <c r="CV13" s="53">
        <v>99445</v>
      </c>
      <c r="CW13" s="53">
        <v>99470</v>
      </c>
      <c r="CX13" s="53">
        <v>99490</v>
      </c>
      <c r="CY13" s="53">
        <v>99502</v>
      </c>
      <c r="CZ13" s="53">
        <v>99486</v>
      </c>
      <c r="DA13" s="53">
        <v>99499</v>
      </c>
      <c r="DB13" s="53">
        <v>99510</v>
      </c>
      <c r="DC13" s="53">
        <v>99544</v>
      </c>
      <c r="DD13" s="53">
        <v>99546</v>
      </c>
      <c r="DE13" s="53">
        <v>99561</v>
      </c>
      <c r="DF13" s="53">
        <v>99602</v>
      </c>
      <c r="DG13" s="53">
        <v>99584</v>
      </c>
      <c r="DH13" s="53">
        <v>99607</v>
      </c>
      <c r="DI13" s="53">
        <v>99587</v>
      </c>
      <c r="DJ13" s="53">
        <v>99611</v>
      </c>
      <c r="DK13" s="53">
        <v>99623</v>
      </c>
      <c r="DL13" s="53">
        <v>99623</v>
      </c>
      <c r="DM13" s="53">
        <v>99639</v>
      </c>
      <c r="DN13" s="53">
        <v>99654</v>
      </c>
      <c r="DO13" s="53">
        <v>99668</v>
      </c>
    </row>
    <row r="14" spans="1:119">
      <c r="A14" s="52">
        <v>12</v>
      </c>
      <c r="W14" s="53">
        <v>83952</v>
      </c>
      <c r="X14" s="53">
        <v>84701</v>
      </c>
      <c r="Y14" s="53">
        <v>84721</v>
      </c>
      <c r="Z14" s="53">
        <v>86689</v>
      </c>
      <c r="AA14" s="53">
        <v>87035</v>
      </c>
      <c r="AB14" s="53">
        <v>87515</v>
      </c>
      <c r="AC14" s="53">
        <v>88272</v>
      </c>
      <c r="AD14" s="53">
        <v>89026</v>
      </c>
      <c r="AE14" s="53">
        <v>88826</v>
      </c>
      <c r="AF14" s="53">
        <v>89786</v>
      </c>
      <c r="AG14" s="53">
        <v>90128</v>
      </c>
      <c r="AH14" s="53">
        <v>90149</v>
      </c>
      <c r="AI14" s="53">
        <v>90378</v>
      </c>
      <c r="AJ14" s="53">
        <v>91405</v>
      </c>
      <c r="AK14" s="53">
        <v>91321</v>
      </c>
      <c r="AL14" s="53">
        <v>91550</v>
      </c>
      <c r="AM14" s="53">
        <v>91759</v>
      </c>
      <c r="AN14" s="53">
        <v>92209</v>
      </c>
      <c r="AO14" s="53">
        <v>92190</v>
      </c>
      <c r="AP14" s="53">
        <v>92272</v>
      </c>
      <c r="AQ14" s="53">
        <v>92334</v>
      </c>
      <c r="AR14" s="53">
        <v>92352</v>
      </c>
      <c r="AS14" s="53">
        <v>91816</v>
      </c>
      <c r="AT14" s="53">
        <v>91143</v>
      </c>
      <c r="AU14" s="53">
        <v>90007</v>
      </c>
      <c r="AV14" s="53">
        <v>90200</v>
      </c>
      <c r="AW14" s="53">
        <v>90482</v>
      </c>
      <c r="AX14" s="53">
        <v>92466</v>
      </c>
      <c r="AY14" s="53">
        <v>94086</v>
      </c>
      <c r="AZ14" s="53">
        <v>94163</v>
      </c>
      <c r="BA14" s="53">
        <v>94207</v>
      </c>
      <c r="BB14" s="53">
        <v>94781</v>
      </c>
      <c r="BC14" s="53">
        <v>95031</v>
      </c>
      <c r="BD14" s="53">
        <v>95310</v>
      </c>
      <c r="BE14" s="53">
        <v>95421</v>
      </c>
      <c r="BF14" s="53">
        <v>95706</v>
      </c>
      <c r="BG14" s="53">
        <v>95861</v>
      </c>
      <c r="BH14" s="53">
        <v>96038</v>
      </c>
      <c r="BI14" s="53">
        <v>96117</v>
      </c>
      <c r="BJ14" s="53">
        <v>96306</v>
      </c>
      <c r="BK14" s="53">
        <v>96537</v>
      </c>
      <c r="BL14" s="53">
        <v>96793</v>
      </c>
      <c r="BM14" s="53">
        <v>96972</v>
      </c>
      <c r="BN14" s="53">
        <v>97188</v>
      </c>
      <c r="BO14" s="53">
        <v>97321</v>
      </c>
      <c r="BP14" s="53">
        <v>97435</v>
      </c>
      <c r="BQ14" s="53">
        <v>97490</v>
      </c>
      <c r="BR14" s="53">
        <v>97576</v>
      </c>
      <c r="BS14" s="53">
        <v>97547</v>
      </c>
      <c r="BT14" s="53">
        <v>97597</v>
      </c>
      <c r="BU14" s="53">
        <v>97653</v>
      </c>
      <c r="BV14" s="53">
        <v>97735</v>
      </c>
      <c r="BW14" s="53">
        <v>97805</v>
      </c>
      <c r="BX14" s="53">
        <v>97906</v>
      </c>
      <c r="BY14" s="53">
        <v>97985</v>
      </c>
      <c r="BZ14" s="53">
        <v>98205</v>
      </c>
      <c r="CA14" s="53">
        <v>98382</v>
      </c>
      <c r="CB14" s="53">
        <v>98452</v>
      </c>
      <c r="CC14" s="53">
        <v>98526</v>
      </c>
      <c r="CD14" s="53">
        <v>98616</v>
      </c>
      <c r="CE14" s="53">
        <v>98684</v>
      </c>
      <c r="CF14" s="53">
        <v>98749</v>
      </c>
      <c r="CG14" s="53">
        <v>98846</v>
      </c>
      <c r="CH14" s="53">
        <v>98884</v>
      </c>
      <c r="CI14" s="53">
        <v>98949</v>
      </c>
      <c r="CJ14" s="53">
        <v>99000</v>
      </c>
      <c r="CK14" s="53">
        <v>99051</v>
      </c>
      <c r="CL14" s="53">
        <v>99129</v>
      </c>
      <c r="CM14" s="53">
        <v>99151</v>
      </c>
      <c r="CN14" s="53">
        <v>99203</v>
      </c>
      <c r="CO14" s="53">
        <v>99237</v>
      </c>
      <c r="CP14" s="53">
        <v>99283</v>
      </c>
      <c r="CQ14" s="53">
        <v>99334</v>
      </c>
      <c r="CR14" s="53">
        <v>99354</v>
      </c>
      <c r="CS14" s="53">
        <v>99381</v>
      </c>
      <c r="CT14" s="53">
        <v>99404</v>
      </c>
      <c r="CU14" s="53">
        <v>99429</v>
      </c>
      <c r="CV14" s="53">
        <v>99435</v>
      </c>
      <c r="CW14" s="53">
        <v>99462</v>
      </c>
      <c r="CX14" s="53">
        <v>99485</v>
      </c>
      <c r="CY14" s="53">
        <v>99496</v>
      </c>
      <c r="CZ14" s="53">
        <v>99480</v>
      </c>
      <c r="DA14" s="53">
        <v>99494</v>
      </c>
      <c r="DB14" s="53">
        <v>99504</v>
      </c>
      <c r="DC14" s="53">
        <v>99538</v>
      </c>
      <c r="DD14" s="53">
        <v>99540</v>
      </c>
      <c r="DE14" s="53">
        <v>99556</v>
      </c>
      <c r="DF14" s="53">
        <v>99597</v>
      </c>
      <c r="DG14" s="53">
        <v>99579</v>
      </c>
      <c r="DH14" s="53">
        <v>99602</v>
      </c>
      <c r="DI14" s="53">
        <v>99582</v>
      </c>
      <c r="DJ14" s="53">
        <v>99606</v>
      </c>
      <c r="DK14" s="53">
        <v>99618</v>
      </c>
      <c r="DL14" s="53">
        <v>99619</v>
      </c>
      <c r="DM14" s="53">
        <v>99634</v>
      </c>
      <c r="DN14" s="53">
        <v>99650</v>
      </c>
      <c r="DO14" s="53">
        <v>99664</v>
      </c>
    </row>
    <row r="15" spans="1:119">
      <c r="A15" s="52">
        <v>13</v>
      </c>
      <c r="W15" s="53">
        <v>83869</v>
      </c>
      <c r="X15" s="53">
        <v>84617</v>
      </c>
      <c r="Y15" s="53">
        <v>84611</v>
      </c>
      <c r="Z15" s="53">
        <v>86576</v>
      </c>
      <c r="AA15" s="53">
        <v>86931</v>
      </c>
      <c r="AB15" s="53">
        <v>87419</v>
      </c>
      <c r="AC15" s="53">
        <v>88166</v>
      </c>
      <c r="AD15" s="53">
        <v>88919</v>
      </c>
      <c r="AE15" s="53">
        <v>88720</v>
      </c>
      <c r="AF15" s="53">
        <v>89678</v>
      </c>
      <c r="AG15" s="53">
        <v>90009</v>
      </c>
      <c r="AH15" s="53">
        <v>90014</v>
      </c>
      <c r="AI15" s="53">
        <v>90216</v>
      </c>
      <c r="AJ15" s="53">
        <v>91323</v>
      </c>
      <c r="AK15" s="53">
        <v>91239</v>
      </c>
      <c r="AL15" s="53">
        <v>91486</v>
      </c>
      <c r="AM15" s="53">
        <v>91715</v>
      </c>
      <c r="AN15" s="53">
        <v>92164</v>
      </c>
      <c r="AO15" s="53">
        <v>92146</v>
      </c>
      <c r="AP15" s="53">
        <v>92239</v>
      </c>
      <c r="AQ15" s="53">
        <v>92302</v>
      </c>
      <c r="AR15" s="53">
        <v>92323</v>
      </c>
      <c r="AS15" s="53">
        <v>91786</v>
      </c>
      <c r="AT15" s="53">
        <v>91114</v>
      </c>
      <c r="AU15" s="53">
        <v>89979</v>
      </c>
      <c r="AV15" s="53">
        <v>90173</v>
      </c>
      <c r="AW15" s="53">
        <v>90452</v>
      </c>
      <c r="AX15" s="53">
        <v>92441</v>
      </c>
      <c r="AY15" s="53">
        <v>94055</v>
      </c>
      <c r="AZ15" s="53">
        <v>94140</v>
      </c>
      <c r="BA15" s="53">
        <v>94178</v>
      </c>
      <c r="BB15" s="53">
        <v>94751</v>
      </c>
      <c r="BC15" s="53">
        <v>95003</v>
      </c>
      <c r="BD15" s="53">
        <v>95284</v>
      </c>
      <c r="BE15" s="53">
        <v>95396</v>
      </c>
      <c r="BF15" s="53">
        <v>95681</v>
      </c>
      <c r="BG15" s="53">
        <v>95837</v>
      </c>
      <c r="BH15" s="53">
        <v>96011</v>
      </c>
      <c r="BI15" s="53">
        <v>96093</v>
      </c>
      <c r="BJ15" s="53">
        <v>96279</v>
      </c>
      <c r="BK15" s="53">
        <v>96516</v>
      </c>
      <c r="BL15" s="53">
        <v>96771</v>
      </c>
      <c r="BM15" s="53">
        <v>96948</v>
      </c>
      <c r="BN15" s="53">
        <v>97165</v>
      </c>
      <c r="BO15" s="53">
        <v>97299</v>
      </c>
      <c r="BP15" s="53">
        <v>97414</v>
      </c>
      <c r="BQ15" s="53">
        <v>97473</v>
      </c>
      <c r="BR15" s="53">
        <v>97555</v>
      </c>
      <c r="BS15" s="53">
        <v>97528</v>
      </c>
      <c r="BT15" s="53">
        <v>97580</v>
      </c>
      <c r="BU15" s="53">
        <v>97634</v>
      </c>
      <c r="BV15" s="53">
        <v>97723</v>
      </c>
      <c r="BW15" s="53">
        <v>97791</v>
      </c>
      <c r="BX15" s="53">
        <v>97891</v>
      </c>
      <c r="BY15" s="53">
        <v>97970</v>
      </c>
      <c r="BZ15" s="53">
        <v>98193</v>
      </c>
      <c r="CA15" s="53">
        <v>98370</v>
      </c>
      <c r="CB15" s="53">
        <v>98439</v>
      </c>
      <c r="CC15" s="53">
        <v>98513</v>
      </c>
      <c r="CD15" s="53">
        <v>98601</v>
      </c>
      <c r="CE15" s="53">
        <v>98671</v>
      </c>
      <c r="CF15" s="53">
        <v>98738</v>
      </c>
      <c r="CG15" s="53">
        <v>98834</v>
      </c>
      <c r="CH15" s="53">
        <v>98872</v>
      </c>
      <c r="CI15" s="53">
        <v>98938</v>
      </c>
      <c r="CJ15" s="53">
        <v>98990</v>
      </c>
      <c r="CK15" s="53">
        <v>99042</v>
      </c>
      <c r="CL15" s="53">
        <v>99117</v>
      </c>
      <c r="CM15" s="53">
        <v>99141</v>
      </c>
      <c r="CN15" s="53">
        <v>99194</v>
      </c>
      <c r="CO15" s="53">
        <v>99230</v>
      </c>
      <c r="CP15" s="53">
        <v>99274</v>
      </c>
      <c r="CQ15" s="53">
        <v>99326</v>
      </c>
      <c r="CR15" s="53">
        <v>99346</v>
      </c>
      <c r="CS15" s="53">
        <v>99374</v>
      </c>
      <c r="CT15" s="53">
        <v>99397</v>
      </c>
      <c r="CU15" s="53">
        <v>99423</v>
      </c>
      <c r="CV15" s="53">
        <v>99428</v>
      </c>
      <c r="CW15" s="53">
        <v>99453</v>
      </c>
      <c r="CX15" s="53">
        <v>99477</v>
      </c>
      <c r="CY15" s="53">
        <v>99490</v>
      </c>
      <c r="CZ15" s="53">
        <v>99471</v>
      </c>
      <c r="DA15" s="53">
        <v>99486</v>
      </c>
      <c r="DB15" s="53">
        <v>99496</v>
      </c>
      <c r="DC15" s="53">
        <v>99531</v>
      </c>
      <c r="DD15" s="53">
        <v>99533</v>
      </c>
      <c r="DE15" s="53">
        <v>99549</v>
      </c>
      <c r="DF15" s="53">
        <v>99590</v>
      </c>
      <c r="DG15" s="53">
        <v>99573</v>
      </c>
      <c r="DH15" s="53">
        <v>99596</v>
      </c>
      <c r="DI15" s="53">
        <v>99576</v>
      </c>
      <c r="DJ15" s="53">
        <v>99601</v>
      </c>
      <c r="DK15" s="53">
        <v>99613</v>
      </c>
      <c r="DL15" s="53">
        <v>99614</v>
      </c>
      <c r="DM15" s="53">
        <v>99630</v>
      </c>
      <c r="DN15" s="53">
        <v>99645</v>
      </c>
      <c r="DO15" s="53">
        <v>99660</v>
      </c>
    </row>
    <row r="16" spans="1:119">
      <c r="A16" s="52">
        <v>14</v>
      </c>
      <c r="W16" s="53">
        <v>83782</v>
      </c>
      <c r="X16" s="53">
        <v>84500</v>
      </c>
      <c r="Y16" s="53">
        <v>84494</v>
      </c>
      <c r="Z16" s="53">
        <v>86466</v>
      </c>
      <c r="AA16" s="53">
        <v>86826</v>
      </c>
      <c r="AB16" s="53">
        <v>87307</v>
      </c>
      <c r="AC16" s="53">
        <v>88053</v>
      </c>
      <c r="AD16" s="53">
        <v>88805</v>
      </c>
      <c r="AE16" s="53">
        <v>88606</v>
      </c>
      <c r="AF16" s="53">
        <v>89552</v>
      </c>
      <c r="AG16" s="53">
        <v>89865</v>
      </c>
      <c r="AH16" s="53">
        <v>89842</v>
      </c>
      <c r="AI16" s="53">
        <v>90130</v>
      </c>
      <c r="AJ16" s="53">
        <v>91236</v>
      </c>
      <c r="AK16" s="53">
        <v>91171</v>
      </c>
      <c r="AL16" s="53">
        <v>91438</v>
      </c>
      <c r="AM16" s="53">
        <v>91668</v>
      </c>
      <c r="AN16" s="53">
        <v>92116</v>
      </c>
      <c r="AO16" s="53">
        <v>92107</v>
      </c>
      <c r="AP16" s="53">
        <v>92202</v>
      </c>
      <c r="AQ16" s="53">
        <v>92269</v>
      </c>
      <c r="AR16" s="53">
        <v>92293</v>
      </c>
      <c r="AS16" s="53">
        <v>91757</v>
      </c>
      <c r="AT16" s="53">
        <v>91082</v>
      </c>
      <c r="AU16" s="53">
        <v>89948</v>
      </c>
      <c r="AV16" s="53">
        <v>90144</v>
      </c>
      <c r="AW16" s="53">
        <v>90423</v>
      </c>
      <c r="AX16" s="53">
        <v>92411</v>
      </c>
      <c r="AY16" s="53">
        <v>94028</v>
      </c>
      <c r="AZ16" s="53">
        <v>94114</v>
      </c>
      <c r="BA16" s="53">
        <v>94152</v>
      </c>
      <c r="BB16" s="53">
        <v>94721</v>
      </c>
      <c r="BC16" s="53">
        <v>94977</v>
      </c>
      <c r="BD16" s="53">
        <v>95257</v>
      </c>
      <c r="BE16" s="53">
        <v>95368</v>
      </c>
      <c r="BF16" s="53">
        <v>95653</v>
      </c>
      <c r="BG16" s="53">
        <v>95809</v>
      </c>
      <c r="BH16" s="53">
        <v>95985</v>
      </c>
      <c r="BI16" s="53">
        <v>96066</v>
      </c>
      <c r="BJ16" s="53">
        <v>96258</v>
      </c>
      <c r="BK16" s="53">
        <v>96493</v>
      </c>
      <c r="BL16" s="53">
        <v>96747</v>
      </c>
      <c r="BM16" s="53">
        <v>96925</v>
      </c>
      <c r="BN16" s="53">
        <v>97143</v>
      </c>
      <c r="BO16" s="53">
        <v>97276</v>
      </c>
      <c r="BP16" s="53">
        <v>97393</v>
      </c>
      <c r="BQ16" s="53">
        <v>97453</v>
      </c>
      <c r="BR16" s="53">
        <v>97538</v>
      </c>
      <c r="BS16" s="53">
        <v>97509</v>
      </c>
      <c r="BT16" s="53">
        <v>97563</v>
      </c>
      <c r="BU16" s="53">
        <v>97616</v>
      </c>
      <c r="BV16" s="53">
        <v>97708</v>
      </c>
      <c r="BW16" s="53">
        <v>97776</v>
      </c>
      <c r="BX16" s="53">
        <v>97872</v>
      </c>
      <c r="BY16" s="53">
        <v>97956</v>
      </c>
      <c r="BZ16" s="53">
        <v>98176</v>
      </c>
      <c r="CA16" s="53">
        <v>98355</v>
      </c>
      <c r="CB16" s="53">
        <v>98426</v>
      </c>
      <c r="CC16" s="53">
        <v>98499</v>
      </c>
      <c r="CD16" s="53">
        <v>98585</v>
      </c>
      <c r="CE16" s="53">
        <v>98659</v>
      </c>
      <c r="CF16" s="53">
        <v>98723</v>
      </c>
      <c r="CG16" s="53">
        <v>98823</v>
      </c>
      <c r="CH16" s="53">
        <v>98857</v>
      </c>
      <c r="CI16" s="53">
        <v>98928</v>
      </c>
      <c r="CJ16" s="53">
        <v>98978</v>
      </c>
      <c r="CK16" s="53">
        <v>99031</v>
      </c>
      <c r="CL16" s="53">
        <v>99102</v>
      </c>
      <c r="CM16" s="53">
        <v>99133</v>
      </c>
      <c r="CN16" s="53">
        <v>99186</v>
      </c>
      <c r="CO16" s="53">
        <v>99221</v>
      </c>
      <c r="CP16" s="53">
        <v>99262</v>
      </c>
      <c r="CQ16" s="53">
        <v>99314</v>
      </c>
      <c r="CR16" s="53">
        <v>99336</v>
      </c>
      <c r="CS16" s="53">
        <v>99363</v>
      </c>
      <c r="CT16" s="53">
        <v>99389</v>
      </c>
      <c r="CU16" s="53">
        <v>99417</v>
      </c>
      <c r="CV16" s="53">
        <v>99416</v>
      </c>
      <c r="CW16" s="53">
        <v>99446</v>
      </c>
      <c r="CX16" s="53">
        <v>99469</v>
      </c>
      <c r="CY16" s="53">
        <v>99481</v>
      </c>
      <c r="CZ16" s="53">
        <v>99463</v>
      </c>
      <c r="DA16" s="53">
        <v>99478</v>
      </c>
      <c r="DB16" s="53">
        <v>99488</v>
      </c>
      <c r="DC16" s="53">
        <v>99523</v>
      </c>
      <c r="DD16" s="53">
        <v>99526</v>
      </c>
      <c r="DE16" s="53">
        <v>99542</v>
      </c>
      <c r="DF16" s="53">
        <v>99583</v>
      </c>
      <c r="DG16" s="53">
        <v>99566</v>
      </c>
      <c r="DH16" s="53">
        <v>99590</v>
      </c>
      <c r="DI16" s="53">
        <v>99570</v>
      </c>
      <c r="DJ16" s="53">
        <v>99595</v>
      </c>
      <c r="DK16" s="53">
        <v>99607</v>
      </c>
      <c r="DL16" s="53">
        <v>99608</v>
      </c>
      <c r="DM16" s="53">
        <v>99624</v>
      </c>
      <c r="DN16" s="53">
        <v>99640</v>
      </c>
      <c r="DO16" s="53">
        <v>99655</v>
      </c>
    </row>
    <row r="17" spans="1:119">
      <c r="A17" s="52">
        <v>15</v>
      </c>
      <c r="W17" s="53">
        <v>83660</v>
      </c>
      <c r="X17" s="53">
        <v>84377</v>
      </c>
      <c r="Y17" s="53">
        <v>84380</v>
      </c>
      <c r="Z17" s="53">
        <v>86353</v>
      </c>
      <c r="AA17" s="53">
        <v>86708</v>
      </c>
      <c r="AB17" s="53">
        <v>87189</v>
      </c>
      <c r="AC17" s="53">
        <v>87933</v>
      </c>
      <c r="AD17" s="53">
        <v>88685</v>
      </c>
      <c r="AE17" s="53">
        <v>88474</v>
      </c>
      <c r="AF17" s="53">
        <v>89400</v>
      </c>
      <c r="AG17" s="53">
        <v>89682</v>
      </c>
      <c r="AH17" s="53">
        <v>89742</v>
      </c>
      <c r="AI17" s="53">
        <v>90030</v>
      </c>
      <c r="AJ17" s="53">
        <v>91157</v>
      </c>
      <c r="AK17" s="53">
        <v>91118</v>
      </c>
      <c r="AL17" s="53">
        <v>91384</v>
      </c>
      <c r="AM17" s="53">
        <v>91613</v>
      </c>
      <c r="AN17" s="53">
        <v>92076</v>
      </c>
      <c r="AO17" s="53">
        <v>92071</v>
      </c>
      <c r="AP17" s="53">
        <v>92169</v>
      </c>
      <c r="AQ17" s="53">
        <v>92233</v>
      </c>
      <c r="AR17" s="53">
        <v>92261</v>
      </c>
      <c r="AS17" s="53">
        <v>91718</v>
      </c>
      <c r="AT17" s="53">
        <v>91042</v>
      </c>
      <c r="AU17" s="53">
        <v>89914</v>
      </c>
      <c r="AV17" s="53">
        <v>90119</v>
      </c>
      <c r="AW17" s="53">
        <v>90389</v>
      </c>
      <c r="AX17" s="53">
        <v>92382</v>
      </c>
      <c r="AY17" s="53">
        <v>93998</v>
      </c>
      <c r="AZ17" s="53">
        <v>94084</v>
      </c>
      <c r="BA17" s="53">
        <v>94119</v>
      </c>
      <c r="BB17" s="53">
        <v>94690</v>
      </c>
      <c r="BC17" s="53">
        <v>94946</v>
      </c>
      <c r="BD17" s="53">
        <v>95227</v>
      </c>
      <c r="BE17" s="53">
        <v>95330</v>
      </c>
      <c r="BF17" s="53">
        <v>95621</v>
      </c>
      <c r="BG17" s="53">
        <v>95778</v>
      </c>
      <c r="BH17" s="53">
        <v>95956</v>
      </c>
      <c r="BI17" s="53">
        <v>96037</v>
      </c>
      <c r="BJ17" s="53">
        <v>96226</v>
      </c>
      <c r="BK17" s="53">
        <v>96464</v>
      </c>
      <c r="BL17" s="53">
        <v>96720</v>
      </c>
      <c r="BM17" s="53">
        <v>96899</v>
      </c>
      <c r="BN17" s="53">
        <v>97114</v>
      </c>
      <c r="BO17" s="53">
        <v>97249</v>
      </c>
      <c r="BP17" s="53">
        <v>97370</v>
      </c>
      <c r="BQ17" s="53">
        <v>97431</v>
      </c>
      <c r="BR17" s="53">
        <v>97515</v>
      </c>
      <c r="BS17" s="53">
        <v>97490</v>
      </c>
      <c r="BT17" s="53">
        <v>97542</v>
      </c>
      <c r="BU17" s="53">
        <v>97597</v>
      </c>
      <c r="BV17" s="53">
        <v>97690</v>
      </c>
      <c r="BW17" s="53">
        <v>97760</v>
      </c>
      <c r="BX17" s="53">
        <v>97855</v>
      </c>
      <c r="BY17" s="53">
        <v>97941</v>
      </c>
      <c r="BZ17" s="53">
        <v>98149</v>
      </c>
      <c r="CA17" s="53">
        <v>98343</v>
      </c>
      <c r="CB17" s="53">
        <v>98409</v>
      </c>
      <c r="CC17" s="53">
        <v>98484</v>
      </c>
      <c r="CD17" s="53">
        <v>98568</v>
      </c>
      <c r="CE17" s="53">
        <v>98643</v>
      </c>
      <c r="CF17" s="53">
        <v>98710</v>
      </c>
      <c r="CG17" s="53">
        <v>98810</v>
      </c>
      <c r="CH17" s="53">
        <v>98843</v>
      </c>
      <c r="CI17" s="53">
        <v>98914</v>
      </c>
      <c r="CJ17" s="53">
        <v>98962</v>
      </c>
      <c r="CK17" s="53">
        <v>99018</v>
      </c>
      <c r="CL17" s="53">
        <v>99090</v>
      </c>
      <c r="CM17" s="53">
        <v>99121</v>
      </c>
      <c r="CN17" s="53">
        <v>99175</v>
      </c>
      <c r="CO17" s="53">
        <v>99206</v>
      </c>
      <c r="CP17" s="53">
        <v>99252</v>
      </c>
      <c r="CQ17" s="53">
        <v>99302</v>
      </c>
      <c r="CR17" s="53">
        <v>99323</v>
      </c>
      <c r="CS17" s="53">
        <v>99353</v>
      </c>
      <c r="CT17" s="53">
        <v>99379</v>
      </c>
      <c r="CU17" s="53">
        <v>99408</v>
      </c>
      <c r="CV17" s="53">
        <v>99407</v>
      </c>
      <c r="CW17" s="53">
        <v>99436</v>
      </c>
      <c r="CX17" s="53">
        <v>99458</v>
      </c>
      <c r="CY17" s="53">
        <v>99471</v>
      </c>
      <c r="CZ17" s="53">
        <v>99453</v>
      </c>
      <c r="DA17" s="53">
        <v>99469</v>
      </c>
      <c r="DB17" s="53">
        <v>99479</v>
      </c>
      <c r="DC17" s="53">
        <v>99515</v>
      </c>
      <c r="DD17" s="53">
        <v>99518</v>
      </c>
      <c r="DE17" s="53">
        <v>99534</v>
      </c>
      <c r="DF17" s="53">
        <v>99576</v>
      </c>
      <c r="DG17" s="53">
        <v>99559</v>
      </c>
      <c r="DH17" s="53">
        <v>99582</v>
      </c>
      <c r="DI17" s="53">
        <v>99563</v>
      </c>
      <c r="DJ17" s="53">
        <v>99588</v>
      </c>
      <c r="DK17" s="53">
        <v>99601</v>
      </c>
      <c r="DL17" s="53">
        <v>99602</v>
      </c>
      <c r="DM17" s="53">
        <v>99618</v>
      </c>
      <c r="DN17" s="53">
        <v>99634</v>
      </c>
      <c r="DO17" s="53">
        <v>99649</v>
      </c>
    </row>
    <row r="18" spans="1:119">
      <c r="A18" s="52">
        <v>16</v>
      </c>
      <c r="W18" s="53">
        <v>83531</v>
      </c>
      <c r="X18" s="53">
        <v>84256</v>
      </c>
      <c r="Y18" s="53">
        <v>84262</v>
      </c>
      <c r="Z18" s="53">
        <v>86229</v>
      </c>
      <c r="AA18" s="53">
        <v>86584</v>
      </c>
      <c r="AB18" s="53">
        <v>87063</v>
      </c>
      <c r="AC18" s="53">
        <v>87807</v>
      </c>
      <c r="AD18" s="53">
        <v>88544</v>
      </c>
      <c r="AE18" s="53">
        <v>88315</v>
      </c>
      <c r="AF18" s="53">
        <v>89194</v>
      </c>
      <c r="AG18" s="53">
        <v>89562</v>
      </c>
      <c r="AH18" s="53">
        <v>89622</v>
      </c>
      <c r="AI18" s="53">
        <v>89936</v>
      </c>
      <c r="AJ18" s="53">
        <v>91095</v>
      </c>
      <c r="AK18" s="53">
        <v>91056</v>
      </c>
      <c r="AL18" s="53">
        <v>91322</v>
      </c>
      <c r="AM18" s="53">
        <v>91567</v>
      </c>
      <c r="AN18" s="53">
        <v>92031</v>
      </c>
      <c r="AO18" s="53">
        <v>92025</v>
      </c>
      <c r="AP18" s="53">
        <v>92125</v>
      </c>
      <c r="AQ18" s="53">
        <v>92190</v>
      </c>
      <c r="AR18" s="53">
        <v>92215</v>
      </c>
      <c r="AS18" s="53">
        <v>91679</v>
      </c>
      <c r="AT18" s="53">
        <v>91004</v>
      </c>
      <c r="AU18" s="53">
        <v>89876</v>
      </c>
      <c r="AV18" s="53">
        <v>90083</v>
      </c>
      <c r="AW18" s="53">
        <v>90353</v>
      </c>
      <c r="AX18" s="53">
        <v>92349</v>
      </c>
      <c r="AY18" s="53">
        <v>93964</v>
      </c>
      <c r="AZ18" s="53">
        <v>94047</v>
      </c>
      <c r="BA18" s="53">
        <v>94082</v>
      </c>
      <c r="BB18" s="53">
        <v>94652</v>
      </c>
      <c r="BC18" s="53">
        <v>94906</v>
      </c>
      <c r="BD18" s="53">
        <v>95187</v>
      </c>
      <c r="BE18" s="53">
        <v>95284</v>
      </c>
      <c r="BF18" s="53">
        <v>95579</v>
      </c>
      <c r="BG18" s="53">
        <v>95740</v>
      </c>
      <c r="BH18" s="53">
        <v>95919</v>
      </c>
      <c r="BI18" s="53">
        <v>96000</v>
      </c>
      <c r="BJ18" s="53">
        <v>96185</v>
      </c>
      <c r="BK18" s="53">
        <v>96421</v>
      </c>
      <c r="BL18" s="53">
        <v>96679</v>
      </c>
      <c r="BM18" s="53">
        <v>96861</v>
      </c>
      <c r="BN18" s="53">
        <v>97079</v>
      </c>
      <c r="BO18" s="53">
        <v>97216</v>
      </c>
      <c r="BP18" s="53">
        <v>97337</v>
      </c>
      <c r="BQ18" s="53">
        <v>97403</v>
      </c>
      <c r="BR18" s="53">
        <v>97485</v>
      </c>
      <c r="BS18" s="53">
        <v>97463</v>
      </c>
      <c r="BT18" s="53">
        <v>97517</v>
      </c>
      <c r="BU18" s="53">
        <v>97574</v>
      </c>
      <c r="BV18" s="53">
        <v>97669</v>
      </c>
      <c r="BW18" s="53">
        <v>97740</v>
      </c>
      <c r="BX18" s="53">
        <v>97834</v>
      </c>
      <c r="BY18" s="53">
        <v>97919</v>
      </c>
      <c r="BZ18" s="53">
        <v>98129</v>
      </c>
      <c r="CA18" s="53">
        <v>98320</v>
      </c>
      <c r="CB18" s="53">
        <v>98391</v>
      </c>
      <c r="CC18" s="53">
        <v>98460</v>
      </c>
      <c r="CD18" s="53">
        <v>98542</v>
      </c>
      <c r="CE18" s="53">
        <v>98625</v>
      </c>
      <c r="CF18" s="53">
        <v>98688</v>
      </c>
      <c r="CG18" s="53">
        <v>98791</v>
      </c>
      <c r="CH18" s="53">
        <v>98824</v>
      </c>
      <c r="CI18" s="53">
        <v>98896</v>
      </c>
      <c r="CJ18" s="53">
        <v>98944</v>
      </c>
      <c r="CK18" s="53">
        <v>99002</v>
      </c>
      <c r="CL18" s="53">
        <v>99073</v>
      </c>
      <c r="CM18" s="53">
        <v>99105</v>
      </c>
      <c r="CN18" s="53">
        <v>99160</v>
      </c>
      <c r="CO18" s="53">
        <v>99193</v>
      </c>
      <c r="CP18" s="53">
        <v>99238</v>
      </c>
      <c r="CQ18" s="53">
        <v>99289</v>
      </c>
      <c r="CR18" s="53">
        <v>99308</v>
      </c>
      <c r="CS18" s="53">
        <v>99340</v>
      </c>
      <c r="CT18" s="53">
        <v>99370</v>
      </c>
      <c r="CU18" s="53">
        <v>99395</v>
      </c>
      <c r="CV18" s="53">
        <v>99394</v>
      </c>
      <c r="CW18" s="53">
        <v>99424</v>
      </c>
      <c r="CX18" s="53">
        <v>99446</v>
      </c>
      <c r="CY18" s="53">
        <v>99460</v>
      </c>
      <c r="CZ18" s="53">
        <v>99442</v>
      </c>
      <c r="DA18" s="53">
        <v>99458</v>
      </c>
      <c r="DB18" s="53">
        <v>99469</v>
      </c>
      <c r="DC18" s="53">
        <v>99505</v>
      </c>
      <c r="DD18" s="53">
        <v>99508</v>
      </c>
      <c r="DE18" s="53">
        <v>99525</v>
      </c>
      <c r="DF18" s="53">
        <v>99567</v>
      </c>
      <c r="DG18" s="53">
        <v>99550</v>
      </c>
      <c r="DH18" s="53">
        <v>99574</v>
      </c>
      <c r="DI18" s="53">
        <v>99555</v>
      </c>
      <c r="DJ18" s="53">
        <v>99580</v>
      </c>
      <c r="DK18" s="53">
        <v>99593</v>
      </c>
      <c r="DL18" s="53">
        <v>99594</v>
      </c>
      <c r="DM18" s="53">
        <v>99611</v>
      </c>
      <c r="DN18" s="53">
        <v>99627</v>
      </c>
      <c r="DO18" s="53">
        <v>99642</v>
      </c>
    </row>
    <row r="19" spans="1:119">
      <c r="A19" s="52">
        <v>17</v>
      </c>
      <c r="W19" s="53">
        <v>83405</v>
      </c>
      <c r="X19" s="53">
        <v>84129</v>
      </c>
      <c r="Y19" s="53">
        <v>84134</v>
      </c>
      <c r="Z19" s="53">
        <v>86098</v>
      </c>
      <c r="AA19" s="53">
        <v>86452</v>
      </c>
      <c r="AB19" s="53">
        <v>86931</v>
      </c>
      <c r="AC19" s="53">
        <v>87660</v>
      </c>
      <c r="AD19" s="53">
        <v>88376</v>
      </c>
      <c r="AE19" s="53">
        <v>88087</v>
      </c>
      <c r="AF19" s="53">
        <v>89056</v>
      </c>
      <c r="AG19" s="53">
        <v>89423</v>
      </c>
      <c r="AH19" s="53">
        <v>89514</v>
      </c>
      <c r="AI19" s="53">
        <v>89866</v>
      </c>
      <c r="AJ19" s="53">
        <v>91024</v>
      </c>
      <c r="AK19" s="53">
        <v>90985</v>
      </c>
      <c r="AL19" s="53">
        <v>91263</v>
      </c>
      <c r="AM19" s="53">
        <v>91514</v>
      </c>
      <c r="AN19" s="53">
        <v>91985</v>
      </c>
      <c r="AO19" s="53">
        <v>91980</v>
      </c>
      <c r="AP19" s="53">
        <v>92082</v>
      </c>
      <c r="AQ19" s="53">
        <v>92140</v>
      </c>
      <c r="AR19" s="53">
        <v>92169</v>
      </c>
      <c r="AS19" s="53">
        <v>91635</v>
      </c>
      <c r="AT19" s="53">
        <v>90961</v>
      </c>
      <c r="AU19" s="53">
        <v>89834</v>
      </c>
      <c r="AV19" s="53">
        <v>90038</v>
      </c>
      <c r="AW19" s="53">
        <v>90311</v>
      </c>
      <c r="AX19" s="53">
        <v>92308</v>
      </c>
      <c r="AY19" s="53">
        <v>93921</v>
      </c>
      <c r="AZ19" s="53">
        <v>93998</v>
      </c>
      <c r="BA19" s="53">
        <v>94037</v>
      </c>
      <c r="BB19" s="53">
        <v>94611</v>
      </c>
      <c r="BC19" s="53">
        <v>94856</v>
      </c>
      <c r="BD19" s="53">
        <v>95135</v>
      </c>
      <c r="BE19" s="53">
        <v>95225</v>
      </c>
      <c r="BF19" s="53">
        <v>95529</v>
      </c>
      <c r="BG19" s="53">
        <v>95693</v>
      </c>
      <c r="BH19" s="53">
        <v>95873</v>
      </c>
      <c r="BI19" s="53">
        <v>95950</v>
      </c>
      <c r="BJ19" s="53">
        <v>96132</v>
      </c>
      <c r="BK19" s="53">
        <v>96367</v>
      </c>
      <c r="BL19" s="53">
        <v>96632</v>
      </c>
      <c r="BM19" s="53">
        <v>96815</v>
      </c>
      <c r="BN19" s="53">
        <v>97034</v>
      </c>
      <c r="BO19" s="53">
        <v>97177</v>
      </c>
      <c r="BP19" s="53">
        <v>97296</v>
      </c>
      <c r="BQ19" s="53">
        <v>97369</v>
      </c>
      <c r="BR19" s="53">
        <v>97452</v>
      </c>
      <c r="BS19" s="53">
        <v>97433</v>
      </c>
      <c r="BT19" s="53">
        <v>97487</v>
      </c>
      <c r="BU19" s="53">
        <v>97548</v>
      </c>
      <c r="BV19" s="53">
        <v>97642</v>
      </c>
      <c r="BW19" s="53">
        <v>97715</v>
      </c>
      <c r="BX19" s="53">
        <v>97811</v>
      </c>
      <c r="BY19" s="53">
        <v>97890</v>
      </c>
      <c r="BZ19" s="53">
        <v>98104</v>
      </c>
      <c r="CA19" s="53">
        <v>98289</v>
      </c>
      <c r="CB19" s="53">
        <v>98362</v>
      </c>
      <c r="CC19" s="53">
        <v>98433</v>
      </c>
      <c r="CD19" s="53">
        <v>98516</v>
      </c>
      <c r="CE19" s="53">
        <v>98598</v>
      </c>
      <c r="CF19" s="53">
        <v>98667</v>
      </c>
      <c r="CG19" s="53">
        <v>98770</v>
      </c>
      <c r="CH19" s="53">
        <v>98803</v>
      </c>
      <c r="CI19" s="53">
        <v>98876</v>
      </c>
      <c r="CJ19" s="53">
        <v>98924</v>
      </c>
      <c r="CK19" s="53">
        <v>98980</v>
      </c>
      <c r="CL19" s="53">
        <v>99056</v>
      </c>
      <c r="CM19" s="53">
        <v>99092</v>
      </c>
      <c r="CN19" s="53">
        <v>99142</v>
      </c>
      <c r="CO19" s="53">
        <v>99178</v>
      </c>
      <c r="CP19" s="53">
        <v>99221</v>
      </c>
      <c r="CQ19" s="53">
        <v>99275</v>
      </c>
      <c r="CR19" s="53">
        <v>99292</v>
      </c>
      <c r="CS19" s="53">
        <v>99330</v>
      </c>
      <c r="CT19" s="53">
        <v>99359</v>
      </c>
      <c r="CU19" s="53">
        <v>99379</v>
      </c>
      <c r="CV19" s="53">
        <v>99379</v>
      </c>
      <c r="CW19" s="53">
        <v>99410</v>
      </c>
      <c r="CX19" s="53">
        <v>99434</v>
      </c>
      <c r="CY19" s="53">
        <v>99448</v>
      </c>
      <c r="CZ19" s="53">
        <v>99430</v>
      </c>
      <c r="DA19" s="53">
        <v>99447</v>
      </c>
      <c r="DB19" s="53">
        <v>99458</v>
      </c>
      <c r="DC19" s="53">
        <v>99494</v>
      </c>
      <c r="DD19" s="53">
        <v>99498</v>
      </c>
      <c r="DE19" s="53">
        <v>99515</v>
      </c>
      <c r="DF19" s="53">
        <v>99557</v>
      </c>
      <c r="DG19" s="53">
        <v>99541</v>
      </c>
      <c r="DH19" s="53">
        <v>99565</v>
      </c>
      <c r="DI19" s="53">
        <v>99546</v>
      </c>
      <c r="DJ19" s="53">
        <v>99572</v>
      </c>
      <c r="DK19" s="53">
        <v>99585</v>
      </c>
      <c r="DL19" s="53">
        <v>99586</v>
      </c>
      <c r="DM19" s="53">
        <v>99603</v>
      </c>
      <c r="DN19" s="53">
        <v>99620</v>
      </c>
      <c r="DO19" s="53">
        <v>99635</v>
      </c>
    </row>
    <row r="20" spans="1:119">
      <c r="A20" s="52">
        <v>18</v>
      </c>
      <c r="W20" s="53">
        <v>83271</v>
      </c>
      <c r="X20" s="53">
        <v>83995</v>
      </c>
      <c r="Y20" s="53">
        <v>83999</v>
      </c>
      <c r="Z20" s="53">
        <v>85961</v>
      </c>
      <c r="AA20" s="53">
        <v>86314</v>
      </c>
      <c r="AB20" s="53">
        <v>86778</v>
      </c>
      <c r="AC20" s="53">
        <v>87485</v>
      </c>
      <c r="AD20" s="53">
        <v>88122</v>
      </c>
      <c r="AE20" s="53">
        <v>87932</v>
      </c>
      <c r="AF20" s="53">
        <v>88899</v>
      </c>
      <c r="AG20" s="53">
        <v>89307</v>
      </c>
      <c r="AH20" s="53">
        <v>89437</v>
      </c>
      <c r="AI20" s="53">
        <v>89789</v>
      </c>
      <c r="AJ20" s="53">
        <v>90946</v>
      </c>
      <c r="AK20" s="53">
        <v>90922</v>
      </c>
      <c r="AL20" s="53">
        <v>91208</v>
      </c>
      <c r="AM20" s="53">
        <v>91457</v>
      </c>
      <c r="AN20" s="53">
        <v>91928</v>
      </c>
      <c r="AO20" s="53">
        <v>91933</v>
      </c>
      <c r="AP20" s="53">
        <v>92032</v>
      </c>
      <c r="AQ20" s="53">
        <v>92095</v>
      </c>
      <c r="AR20" s="53">
        <v>92116</v>
      </c>
      <c r="AS20" s="53">
        <v>91593</v>
      </c>
      <c r="AT20" s="53">
        <v>90912</v>
      </c>
      <c r="AU20" s="53">
        <v>89792</v>
      </c>
      <c r="AV20" s="53">
        <v>89994</v>
      </c>
      <c r="AW20" s="53">
        <v>90270</v>
      </c>
      <c r="AX20" s="53">
        <v>92265</v>
      </c>
      <c r="AY20" s="53">
        <v>93877</v>
      </c>
      <c r="AZ20" s="53">
        <v>93947</v>
      </c>
      <c r="BA20" s="53">
        <v>93990</v>
      </c>
      <c r="BB20" s="53">
        <v>94557</v>
      </c>
      <c r="BC20" s="53">
        <v>94806</v>
      </c>
      <c r="BD20" s="53">
        <v>95083</v>
      </c>
      <c r="BE20" s="53">
        <v>95171</v>
      </c>
      <c r="BF20" s="53">
        <v>95483</v>
      </c>
      <c r="BG20" s="53">
        <v>95644</v>
      </c>
      <c r="BH20" s="53">
        <v>95817</v>
      </c>
      <c r="BI20" s="53">
        <v>95896</v>
      </c>
      <c r="BJ20" s="53">
        <v>96080</v>
      </c>
      <c r="BK20" s="53">
        <v>96319</v>
      </c>
      <c r="BL20" s="53">
        <v>96584</v>
      </c>
      <c r="BM20" s="53">
        <v>96771</v>
      </c>
      <c r="BN20" s="53">
        <v>96986</v>
      </c>
      <c r="BO20" s="53">
        <v>97133</v>
      </c>
      <c r="BP20" s="53">
        <v>97253</v>
      </c>
      <c r="BQ20" s="53">
        <v>97334</v>
      </c>
      <c r="BR20" s="53">
        <v>97415</v>
      </c>
      <c r="BS20" s="53">
        <v>97402</v>
      </c>
      <c r="BT20" s="53">
        <v>97458</v>
      </c>
      <c r="BU20" s="53">
        <v>97517</v>
      </c>
      <c r="BV20" s="53">
        <v>97612</v>
      </c>
      <c r="BW20" s="53">
        <v>97688</v>
      </c>
      <c r="BX20" s="53">
        <v>97780</v>
      </c>
      <c r="BY20" s="53">
        <v>97861</v>
      </c>
      <c r="BZ20" s="53">
        <v>98074</v>
      </c>
      <c r="CA20" s="53">
        <v>98260</v>
      </c>
      <c r="CB20" s="53">
        <v>98335</v>
      </c>
      <c r="CC20" s="53">
        <v>98407</v>
      </c>
      <c r="CD20" s="53">
        <v>98493</v>
      </c>
      <c r="CE20" s="53">
        <v>98569</v>
      </c>
      <c r="CF20" s="53">
        <v>98635</v>
      </c>
      <c r="CG20" s="53">
        <v>98746</v>
      </c>
      <c r="CH20" s="53">
        <v>98781</v>
      </c>
      <c r="CI20" s="53">
        <v>98853</v>
      </c>
      <c r="CJ20" s="53">
        <v>98903</v>
      </c>
      <c r="CK20" s="53">
        <v>98961</v>
      </c>
      <c r="CL20" s="53">
        <v>99037</v>
      </c>
      <c r="CM20" s="53">
        <v>99075</v>
      </c>
      <c r="CN20" s="53">
        <v>99125</v>
      </c>
      <c r="CO20" s="53">
        <v>99161</v>
      </c>
      <c r="CP20" s="53">
        <v>99205</v>
      </c>
      <c r="CQ20" s="53">
        <v>99255</v>
      </c>
      <c r="CR20" s="53">
        <v>99278</v>
      </c>
      <c r="CS20" s="53">
        <v>99317</v>
      </c>
      <c r="CT20" s="53">
        <v>99343</v>
      </c>
      <c r="CU20" s="53">
        <v>99367</v>
      </c>
      <c r="CV20" s="53">
        <v>99365</v>
      </c>
      <c r="CW20" s="53">
        <v>99396</v>
      </c>
      <c r="CX20" s="53">
        <v>99420</v>
      </c>
      <c r="CY20" s="53">
        <v>99435</v>
      </c>
      <c r="CZ20" s="53">
        <v>99418</v>
      </c>
      <c r="DA20" s="53">
        <v>99434</v>
      </c>
      <c r="DB20" s="53">
        <v>99446</v>
      </c>
      <c r="DC20" s="53">
        <v>99483</v>
      </c>
      <c r="DD20" s="53">
        <v>99487</v>
      </c>
      <c r="DE20" s="53">
        <v>99504</v>
      </c>
      <c r="DF20" s="53">
        <v>99546</v>
      </c>
      <c r="DG20" s="53">
        <v>99530</v>
      </c>
      <c r="DH20" s="53">
        <v>99555</v>
      </c>
      <c r="DI20" s="53">
        <v>99537</v>
      </c>
      <c r="DJ20" s="53">
        <v>99562</v>
      </c>
      <c r="DK20" s="53">
        <v>99576</v>
      </c>
      <c r="DL20" s="53">
        <v>99578</v>
      </c>
      <c r="DM20" s="53">
        <v>99595</v>
      </c>
      <c r="DN20" s="53">
        <v>99612</v>
      </c>
      <c r="DO20" s="53">
        <v>99627</v>
      </c>
    </row>
    <row r="21" spans="1:119">
      <c r="A21" s="52">
        <v>19</v>
      </c>
      <c r="W21" s="53">
        <v>83122</v>
      </c>
      <c r="X21" s="53">
        <v>83845</v>
      </c>
      <c r="Y21" s="53">
        <v>83849</v>
      </c>
      <c r="Z21" s="53">
        <v>85807</v>
      </c>
      <c r="AA21" s="53">
        <v>86144</v>
      </c>
      <c r="AB21" s="53">
        <v>86584</v>
      </c>
      <c r="AC21" s="53">
        <v>87203</v>
      </c>
      <c r="AD21" s="53">
        <v>87947</v>
      </c>
      <c r="AE21" s="53">
        <v>87757</v>
      </c>
      <c r="AF21" s="53">
        <v>88768</v>
      </c>
      <c r="AG21" s="53">
        <v>89221</v>
      </c>
      <c r="AH21" s="53">
        <v>89351</v>
      </c>
      <c r="AI21" s="53">
        <v>89703</v>
      </c>
      <c r="AJ21" s="53">
        <v>90878</v>
      </c>
      <c r="AK21" s="53">
        <v>90860</v>
      </c>
      <c r="AL21" s="53">
        <v>91144</v>
      </c>
      <c r="AM21" s="53">
        <v>91403</v>
      </c>
      <c r="AN21" s="53">
        <v>91876</v>
      </c>
      <c r="AO21" s="53">
        <v>91880</v>
      </c>
      <c r="AP21" s="53">
        <v>91981</v>
      </c>
      <c r="AQ21" s="53">
        <v>92043</v>
      </c>
      <c r="AR21" s="53">
        <v>92066</v>
      </c>
      <c r="AS21" s="53">
        <v>91539</v>
      </c>
      <c r="AT21" s="53">
        <v>90858</v>
      </c>
      <c r="AU21" s="53">
        <v>89745</v>
      </c>
      <c r="AV21" s="53">
        <v>89941</v>
      </c>
      <c r="AW21" s="53">
        <v>90218</v>
      </c>
      <c r="AX21" s="53">
        <v>92211</v>
      </c>
      <c r="AY21" s="53">
        <v>93822</v>
      </c>
      <c r="AZ21" s="53">
        <v>93892</v>
      </c>
      <c r="BA21" s="53">
        <v>93928</v>
      </c>
      <c r="BB21" s="53">
        <v>94497</v>
      </c>
      <c r="BC21" s="53">
        <v>94744</v>
      </c>
      <c r="BD21" s="53">
        <v>95023</v>
      </c>
      <c r="BE21" s="53">
        <v>95120</v>
      </c>
      <c r="BF21" s="53">
        <v>95424</v>
      </c>
      <c r="BG21" s="53">
        <v>95585</v>
      </c>
      <c r="BH21" s="53">
        <v>95757</v>
      </c>
      <c r="BI21" s="53">
        <v>95834</v>
      </c>
      <c r="BJ21" s="53">
        <v>96029</v>
      </c>
      <c r="BK21" s="53">
        <v>96266</v>
      </c>
      <c r="BL21" s="53">
        <v>96532</v>
      </c>
      <c r="BM21" s="53">
        <v>96718</v>
      </c>
      <c r="BN21" s="53">
        <v>96934</v>
      </c>
      <c r="BO21" s="53">
        <v>97088</v>
      </c>
      <c r="BP21" s="53">
        <v>97212</v>
      </c>
      <c r="BQ21" s="53">
        <v>97294</v>
      </c>
      <c r="BR21" s="53">
        <v>97376</v>
      </c>
      <c r="BS21" s="53">
        <v>97362</v>
      </c>
      <c r="BT21" s="53">
        <v>97424</v>
      </c>
      <c r="BU21" s="53">
        <v>97476</v>
      </c>
      <c r="BV21" s="53">
        <v>97570</v>
      </c>
      <c r="BW21" s="53">
        <v>97649</v>
      </c>
      <c r="BX21" s="53">
        <v>97744</v>
      </c>
      <c r="BY21" s="53">
        <v>97823</v>
      </c>
      <c r="BZ21" s="53">
        <v>98031</v>
      </c>
      <c r="CA21" s="53">
        <v>98221</v>
      </c>
      <c r="CB21" s="53">
        <v>98293</v>
      </c>
      <c r="CC21" s="53">
        <v>98367</v>
      </c>
      <c r="CD21" s="53">
        <v>98458</v>
      </c>
      <c r="CE21" s="53">
        <v>98536</v>
      </c>
      <c r="CF21" s="53">
        <v>98602</v>
      </c>
      <c r="CG21" s="53">
        <v>98711</v>
      </c>
      <c r="CH21" s="53">
        <v>98751</v>
      </c>
      <c r="CI21" s="53">
        <v>98828</v>
      </c>
      <c r="CJ21" s="53">
        <v>98877</v>
      </c>
      <c r="CK21" s="53">
        <v>98936</v>
      </c>
      <c r="CL21" s="53">
        <v>99013</v>
      </c>
      <c r="CM21" s="53">
        <v>99054</v>
      </c>
      <c r="CN21" s="53">
        <v>99107</v>
      </c>
      <c r="CO21" s="53">
        <v>99135</v>
      </c>
      <c r="CP21" s="53">
        <v>99182</v>
      </c>
      <c r="CQ21" s="53">
        <v>99232</v>
      </c>
      <c r="CR21" s="53">
        <v>99256</v>
      </c>
      <c r="CS21" s="53">
        <v>99298</v>
      </c>
      <c r="CT21" s="53">
        <v>99326</v>
      </c>
      <c r="CU21" s="53">
        <v>99351</v>
      </c>
      <c r="CV21" s="53">
        <v>99349</v>
      </c>
      <c r="CW21" s="53">
        <v>99381</v>
      </c>
      <c r="CX21" s="53">
        <v>99405</v>
      </c>
      <c r="CY21" s="53">
        <v>99421</v>
      </c>
      <c r="CZ21" s="53">
        <v>99404</v>
      </c>
      <c r="DA21" s="53">
        <v>99421</v>
      </c>
      <c r="DB21" s="53">
        <v>99433</v>
      </c>
      <c r="DC21" s="53">
        <v>99470</v>
      </c>
      <c r="DD21" s="53">
        <v>99475</v>
      </c>
      <c r="DE21" s="53">
        <v>99492</v>
      </c>
      <c r="DF21" s="53">
        <v>99535</v>
      </c>
      <c r="DG21" s="53">
        <v>99520</v>
      </c>
      <c r="DH21" s="53">
        <v>99545</v>
      </c>
      <c r="DI21" s="53">
        <v>99527</v>
      </c>
      <c r="DJ21" s="53">
        <v>99552</v>
      </c>
      <c r="DK21" s="53">
        <v>99566</v>
      </c>
      <c r="DL21" s="53">
        <v>99569</v>
      </c>
      <c r="DM21" s="53">
        <v>99586</v>
      </c>
      <c r="DN21" s="53">
        <v>99603</v>
      </c>
      <c r="DO21" s="53">
        <v>99619</v>
      </c>
    </row>
    <row r="22" spans="1:119">
      <c r="A22" s="52">
        <v>20</v>
      </c>
      <c r="W22" s="53">
        <v>82962</v>
      </c>
      <c r="X22" s="53">
        <v>83683</v>
      </c>
      <c r="Y22" s="53">
        <v>83687</v>
      </c>
      <c r="Z22" s="53">
        <v>85625</v>
      </c>
      <c r="AA22" s="53">
        <v>85937</v>
      </c>
      <c r="AB22" s="53">
        <v>86284</v>
      </c>
      <c r="AC22" s="53">
        <v>87010</v>
      </c>
      <c r="AD22" s="53">
        <v>87752</v>
      </c>
      <c r="AE22" s="53">
        <v>87613</v>
      </c>
      <c r="AF22" s="53">
        <v>88674</v>
      </c>
      <c r="AG22" s="53">
        <v>89127</v>
      </c>
      <c r="AH22" s="53">
        <v>89256</v>
      </c>
      <c r="AI22" s="53">
        <v>89632</v>
      </c>
      <c r="AJ22" s="53">
        <v>90811</v>
      </c>
      <c r="AK22" s="53">
        <v>90793</v>
      </c>
      <c r="AL22" s="53">
        <v>91087</v>
      </c>
      <c r="AM22" s="53">
        <v>91344</v>
      </c>
      <c r="AN22" s="53">
        <v>91813</v>
      </c>
      <c r="AO22" s="53">
        <v>91827</v>
      </c>
      <c r="AP22" s="53">
        <v>91926</v>
      </c>
      <c r="AQ22" s="53">
        <v>91992</v>
      </c>
      <c r="AR22" s="53">
        <v>92007</v>
      </c>
      <c r="AS22" s="53">
        <v>91481</v>
      </c>
      <c r="AT22" s="53">
        <v>90807</v>
      </c>
      <c r="AU22" s="53">
        <v>89697</v>
      </c>
      <c r="AV22" s="53">
        <v>89889</v>
      </c>
      <c r="AW22" s="53">
        <v>90169</v>
      </c>
      <c r="AX22" s="53">
        <v>92151</v>
      </c>
      <c r="AY22" s="53">
        <v>93770</v>
      </c>
      <c r="AZ22" s="53">
        <v>93837</v>
      </c>
      <c r="BA22" s="53">
        <v>93867</v>
      </c>
      <c r="BB22" s="53">
        <v>94430</v>
      </c>
      <c r="BC22" s="53">
        <v>94685</v>
      </c>
      <c r="BD22" s="53">
        <v>94973</v>
      </c>
      <c r="BE22" s="53">
        <v>95062</v>
      </c>
      <c r="BF22" s="53">
        <v>95366</v>
      </c>
      <c r="BG22" s="53">
        <v>95533</v>
      </c>
      <c r="BH22" s="53">
        <v>95693</v>
      </c>
      <c r="BI22" s="53">
        <v>95781</v>
      </c>
      <c r="BJ22" s="53">
        <v>95977</v>
      </c>
      <c r="BK22" s="53">
        <v>96217</v>
      </c>
      <c r="BL22" s="53">
        <v>96480</v>
      </c>
      <c r="BM22" s="53">
        <v>96671</v>
      </c>
      <c r="BN22" s="53">
        <v>96886</v>
      </c>
      <c r="BO22" s="53">
        <v>97041</v>
      </c>
      <c r="BP22" s="53">
        <v>97177</v>
      </c>
      <c r="BQ22" s="53">
        <v>97257</v>
      </c>
      <c r="BR22" s="53">
        <v>97335</v>
      </c>
      <c r="BS22" s="53">
        <v>97327</v>
      </c>
      <c r="BT22" s="53">
        <v>97387</v>
      </c>
      <c r="BU22" s="53">
        <v>97433</v>
      </c>
      <c r="BV22" s="53">
        <v>97523</v>
      </c>
      <c r="BW22" s="53">
        <v>97608</v>
      </c>
      <c r="BX22" s="53">
        <v>97704</v>
      </c>
      <c r="BY22" s="53">
        <v>97786</v>
      </c>
      <c r="BZ22" s="53">
        <v>97995</v>
      </c>
      <c r="CA22" s="53">
        <v>98185</v>
      </c>
      <c r="CB22" s="53">
        <v>98258</v>
      </c>
      <c r="CC22" s="53">
        <v>98332</v>
      </c>
      <c r="CD22" s="53">
        <v>98422</v>
      </c>
      <c r="CE22" s="53">
        <v>98498</v>
      </c>
      <c r="CF22" s="53">
        <v>98572</v>
      </c>
      <c r="CG22" s="53">
        <v>98682</v>
      </c>
      <c r="CH22" s="53">
        <v>98723</v>
      </c>
      <c r="CI22" s="53">
        <v>98805</v>
      </c>
      <c r="CJ22" s="53">
        <v>98853</v>
      </c>
      <c r="CK22" s="53">
        <v>98910</v>
      </c>
      <c r="CL22" s="53">
        <v>98993</v>
      </c>
      <c r="CM22" s="53">
        <v>99035</v>
      </c>
      <c r="CN22" s="53">
        <v>99085</v>
      </c>
      <c r="CO22" s="53">
        <v>99113</v>
      </c>
      <c r="CP22" s="53">
        <v>99164</v>
      </c>
      <c r="CQ22" s="53">
        <v>99214</v>
      </c>
      <c r="CR22" s="53">
        <v>99235</v>
      </c>
      <c r="CS22" s="53">
        <v>99279</v>
      </c>
      <c r="CT22" s="53">
        <v>99309</v>
      </c>
      <c r="CU22" s="53">
        <v>99335</v>
      </c>
      <c r="CV22" s="53">
        <v>99334</v>
      </c>
      <c r="CW22" s="53">
        <v>99366</v>
      </c>
      <c r="CX22" s="53">
        <v>99391</v>
      </c>
      <c r="CY22" s="53">
        <v>99406</v>
      </c>
      <c r="CZ22" s="53">
        <v>99390</v>
      </c>
      <c r="DA22" s="53">
        <v>99408</v>
      </c>
      <c r="DB22" s="53">
        <v>99420</v>
      </c>
      <c r="DC22" s="53">
        <v>99458</v>
      </c>
      <c r="DD22" s="53">
        <v>99462</v>
      </c>
      <c r="DE22" s="53">
        <v>99480</v>
      </c>
      <c r="DF22" s="53">
        <v>99524</v>
      </c>
      <c r="DG22" s="53">
        <v>99508</v>
      </c>
      <c r="DH22" s="53">
        <v>99534</v>
      </c>
      <c r="DI22" s="53">
        <v>99516</v>
      </c>
      <c r="DJ22" s="53">
        <v>99542</v>
      </c>
      <c r="DK22" s="53">
        <v>99557</v>
      </c>
      <c r="DL22" s="53">
        <v>99559</v>
      </c>
      <c r="DM22" s="53">
        <v>99577</v>
      </c>
      <c r="DN22" s="53">
        <v>99594</v>
      </c>
      <c r="DO22" s="53">
        <v>99611</v>
      </c>
    </row>
    <row r="23" spans="1:119">
      <c r="A23" s="52">
        <v>21</v>
      </c>
      <c r="W23" s="53">
        <v>82791</v>
      </c>
      <c r="X23" s="53">
        <v>83511</v>
      </c>
      <c r="Y23" s="53">
        <v>83498</v>
      </c>
      <c r="Z23" s="53">
        <v>85404</v>
      </c>
      <c r="AA23" s="53">
        <v>85618</v>
      </c>
      <c r="AB23" s="53">
        <v>86080</v>
      </c>
      <c r="AC23" s="53">
        <v>86805</v>
      </c>
      <c r="AD23" s="53">
        <v>87599</v>
      </c>
      <c r="AE23" s="53">
        <v>87513</v>
      </c>
      <c r="AF23" s="53">
        <v>88572</v>
      </c>
      <c r="AG23" s="53">
        <v>89024</v>
      </c>
      <c r="AH23" s="53">
        <v>89177</v>
      </c>
      <c r="AI23" s="53">
        <v>89559</v>
      </c>
      <c r="AJ23" s="53">
        <v>90744</v>
      </c>
      <c r="AK23" s="53">
        <v>90724</v>
      </c>
      <c r="AL23" s="53">
        <v>91019</v>
      </c>
      <c r="AM23" s="53">
        <v>91277</v>
      </c>
      <c r="AN23" s="53">
        <v>91756</v>
      </c>
      <c r="AO23" s="53">
        <v>91770</v>
      </c>
      <c r="AP23" s="53">
        <v>91873</v>
      </c>
      <c r="AQ23" s="53">
        <v>91934</v>
      </c>
      <c r="AR23" s="53">
        <v>91958</v>
      </c>
      <c r="AS23" s="53">
        <v>91429</v>
      </c>
      <c r="AT23" s="53">
        <v>90757</v>
      </c>
      <c r="AU23" s="53">
        <v>89641</v>
      </c>
      <c r="AV23" s="53">
        <v>89836</v>
      </c>
      <c r="AW23" s="53">
        <v>90118</v>
      </c>
      <c r="AX23" s="53">
        <v>92100</v>
      </c>
      <c r="AY23" s="53">
        <v>93715</v>
      </c>
      <c r="AZ23" s="53">
        <v>93773</v>
      </c>
      <c r="BA23" s="53">
        <v>93810</v>
      </c>
      <c r="BB23" s="53">
        <v>94374</v>
      </c>
      <c r="BC23" s="53">
        <v>94630</v>
      </c>
      <c r="BD23" s="53">
        <v>94919</v>
      </c>
      <c r="BE23" s="53">
        <v>95004</v>
      </c>
      <c r="BF23" s="53">
        <v>95314</v>
      </c>
      <c r="BG23" s="53">
        <v>95473</v>
      </c>
      <c r="BH23" s="53">
        <v>95638</v>
      </c>
      <c r="BI23" s="53">
        <v>95734</v>
      </c>
      <c r="BJ23" s="53">
        <v>95931</v>
      </c>
      <c r="BK23" s="53">
        <v>96174</v>
      </c>
      <c r="BL23" s="53">
        <v>96435</v>
      </c>
      <c r="BM23" s="53">
        <v>96627</v>
      </c>
      <c r="BN23" s="53">
        <v>96842</v>
      </c>
      <c r="BO23" s="53">
        <v>97007</v>
      </c>
      <c r="BP23" s="53">
        <v>97139</v>
      </c>
      <c r="BQ23" s="53">
        <v>97219</v>
      </c>
      <c r="BR23" s="53">
        <v>97298</v>
      </c>
      <c r="BS23" s="53">
        <v>97285</v>
      </c>
      <c r="BT23" s="53">
        <v>97347</v>
      </c>
      <c r="BU23" s="53">
        <v>97394</v>
      </c>
      <c r="BV23" s="53">
        <v>97491</v>
      </c>
      <c r="BW23" s="53">
        <v>97568</v>
      </c>
      <c r="BX23" s="53">
        <v>97674</v>
      </c>
      <c r="BY23" s="53">
        <v>97745</v>
      </c>
      <c r="BZ23" s="53">
        <v>97960</v>
      </c>
      <c r="CA23" s="53">
        <v>98148</v>
      </c>
      <c r="CB23" s="53">
        <v>98227</v>
      </c>
      <c r="CC23" s="53">
        <v>98302</v>
      </c>
      <c r="CD23" s="53">
        <v>98385</v>
      </c>
      <c r="CE23" s="53">
        <v>98465</v>
      </c>
      <c r="CF23" s="53">
        <v>98542</v>
      </c>
      <c r="CG23" s="53">
        <v>98650</v>
      </c>
      <c r="CH23" s="53">
        <v>98695</v>
      </c>
      <c r="CI23" s="53">
        <v>98785</v>
      </c>
      <c r="CJ23" s="53">
        <v>98831</v>
      </c>
      <c r="CK23" s="53">
        <v>98888</v>
      </c>
      <c r="CL23" s="53">
        <v>98972</v>
      </c>
      <c r="CM23" s="53">
        <v>99013</v>
      </c>
      <c r="CN23" s="53">
        <v>99062</v>
      </c>
      <c r="CO23" s="53">
        <v>99093</v>
      </c>
      <c r="CP23" s="53">
        <v>99149</v>
      </c>
      <c r="CQ23" s="53">
        <v>99194</v>
      </c>
      <c r="CR23" s="53">
        <v>99216</v>
      </c>
      <c r="CS23" s="53">
        <v>99262</v>
      </c>
      <c r="CT23" s="53">
        <v>99292</v>
      </c>
      <c r="CU23" s="53">
        <v>99319</v>
      </c>
      <c r="CV23" s="53">
        <v>99318</v>
      </c>
      <c r="CW23" s="53">
        <v>99351</v>
      </c>
      <c r="CX23" s="53">
        <v>99376</v>
      </c>
      <c r="CY23" s="53">
        <v>99392</v>
      </c>
      <c r="CZ23" s="53">
        <v>99376</v>
      </c>
      <c r="DA23" s="53">
        <v>99394</v>
      </c>
      <c r="DB23" s="53">
        <v>99407</v>
      </c>
      <c r="DC23" s="53">
        <v>99445</v>
      </c>
      <c r="DD23" s="53">
        <v>99450</v>
      </c>
      <c r="DE23" s="53">
        <v>99468</v>
      </c>
      <c r="DF23" s="53">
        <v>99512</v>
      </c>
      <c r="DG23" s="53">
        <v>99497</v>
      </c>
      <c r="DH23" s="53">
        <v>99523</v>
      </c>
      <c r="DI23" s="53">
        <v>99506</v>
      </c>
      <c r="DJ23" s="53">
        <v>99532</v>
      </c>
      <c r="DK23" s="53">
        <v>99547</v>
      </c>
      <c r="DL23" s="53">
        <v>99550</v>
      </c>
      <c r="DM23" s="53">
        <v>99568</v>
      </c>
      <c r="DN23" s="53">
        <v>99585</v>
      </c>
      <c r="DO23" s="53">
        <v>99602</v>
      </c>
    </row>
    <row r="24" spans="1:119">
      <c r="A24" s="52">
        <v>22</v>
      </c>
      <c r="W24" s="53">
        <v>82611</v>
      </c>
      <c r="X24" s="53">
        <v>83310</v>
      </c>
      <c r="Y24" s="53">
        <v>83270</v>
      </c>
      <c r="Z24" s="53">
        <v>85069</v>
      </c>
      <c r="AA24" s="53">
        <v>85409</v>
      </c>
      <c r="AB24" s="53">
        <v>85870</v>
      </c>
      <c r="AC24" s="53">
        <v>86649</v>
      </c>
      <c r="AD24" s="53">
        <v>87492</v>
      </c>
      <c r="AE24" s="53">
        <v>87405</v>
      </c>
      <c r="AF24" s="53">
        <v>88463</v>
      </c>
      <c r="AG24" s="53">
        <v>88941</v>
      </c>
      <c r="AH24" s="53">
        <v>89100</v>
      </c>
      <c r="AI24" s="53">
        <v>89488</v>
      </c>
      <c r="AJ24" s="53">
        <v>90676</v>
      </c>
      <c r="AK24" s="53">
        <v>90659</v>
      </c>
      <c r="AL24" s="53">
        <v>90962</v>
      </c>
      <c r="AM24" s="53">
        <v>91218</v>
      </c>
      <c r="AN24" s="53">
        <v>91700</v>
      </c>
      <c r="AO24" s="53">
        <v>91717</v>
      </c>
      <c r="AP24" s="53">
        <v>91807</v>
      </c>
      <c r="AQ24" s="53">
        <v>91882</v>
      </c>
      <c r="AR24" s="53">
        <v>91901</v>
      </c>
      <c r="AS24" s="53">
        <v>91377</v>
      </c>
      <c r="AT24" s="53">
        <v>90709</v>
      </c>
      <c r="AU24" s="53">
        <v>89589</v>
      </c>
      <c r="AV24" s="53">
        <v>89782</v>
      </c>
      <c r="AW24" s="53">
        <v>90068</v>
      </c>
      <c r="AX24" s="53">
        <v>92045</v>
      </c>
      <c r="AY24" s="53">
        <v>93658</v>
      </c>
      <c r="AZ24" s="53">
        <v>93717</v>
      </c>
      <c r="BA24" s="53">
        <v>93752</v>
      </c>
      <c r="BB24" s="53">
        <v>94321</v>
      </c>
      <c r="BC24" s="53">
        <v>94578</v>
      </c>
      <c r="BD24" s="53">
        <v>94869</v>
      </c>
      <c r="BE24" s="53">
        <v>94945</v>
      </c>
      <c r="BF24" s="53">
        <v>95266</v>
      </c>
      <c r="BG24" s="53">
        <v>95425</v>
      </c>
      <c r="BH24" s="53">
        <v>95591</v>
      </c>
      <c r="BI24" s="53">
        <v>95686</v>
      </c>
      <c r="BJ24" s="53">
        <v>95882</v>
      </c>
      <c r="BK24" s="53">
        <v>96132</v>
      </c>
      <c r="BL24" s="53">
        <v>96392</v>
      </c>
      <c r="BM24" s="53">
        <v>96587</v>
      </c>
      <c r="BN24" s="53">
        <v>96800</v>
      </c>
      <c r="BO24" s="53">
        <v>96971</v>
      </c>
      <c r="BP24" s="53">
        <v>97101</v>
      </c>
      <c r="BQ24" s="53">
        <v>97184</v>
      </c>
      <c r="BR24" s="53">
        <v>97265</v>
      </c>
      <c r="BS24" s="53">
        <v>97246</v>
      </c>
      <c r="BT24" s="53">
        <v>97312</v>
      </c>
      <c r="BU24" s="53">
        <v>97361</v>
      </c>
      <c r="BV24" s="53">
        <v>97463</v>
      </c>
      <c r="BW24" s="53">
        <v>97534</v>
      </c>
      <c r="BX24" s="53">
        <v>97637</v>
      </c>
      <c r="BY24" s="53">
        <v>97714</v>
      </c>
      <c r="BZ24" s="53">
        <v>97930</v>
      </c>
      <c r="CA24" s="53">
        <v>98116</v>
      </c>
      <c r="CB24" s="53">
        <v>98194</v>
      </c>
      <c r="CC24" s="53">
        <v>98273</v>
      </c>
      <c r="CD24" s="53">
        <v>98358</v>
      </c>
      <c r="CE24" s="53">
        <v>98442</v>
      </c>
      <c r="CF24" s="53">
        <v>98519</v>
      </c>
      <c r="CG24" s="53">
        <v>98625</v>
      </c>
      <c r="CH24" s="53">
        <v>98675</v>
      </c>
      <c r="CI24" s="53">
        <v>98763</v>
      </c>
      <c r="CJ24" s="53">
        <v>98811</v>
      </c>
      <c r="CK24" s="53">
        <v>98866</v>
      </c>
      <c r="CL24" s="53">
        <v>98952</v>
      </c>
      <c r="CM24" s="53">
        <v>98991</v>
      </c>
      <c r="CN24" s="53">
        <v>99044</v>
      </c>
      <c r="CO24" s="53">
        <v>99074</v>
      </c>
      <c r="CP24" s="53">
        <v>99132</v>
      </c>
      <c r="CQ24" s="53">
        <v>99177</v>
      </c>
      <c r="CR24" s="53">
        <v>99199</v>
      </c>
      <c r="CS24" s="53">
        <v>99245</v>
      </c>
      <c r="CT24" s="53">
        <v>99276</v>
      </c>
      <c r="CU24" s="53">
        <v>99303</v>
      </c>
      <c r="CV24" s="53">
        <v>99302</v>
      </c>
      <c r="CW24" s="53">
        <v>99336</v>
      </c>
      <c r="CX24" s="53">
        <v>99361</v>
      </c>
      <c r="CY24" s="53">
        <v>99378</v>
      </c>
      <c r="CZ24" s="53">
        <v>99363</v>
      </c>
      <c r="DA24" s="53">
        <v>99381</v>
      </c>
      <c r="DB24" s="53">
        <v>99395</v>
      </c>
      <c r="DC24" s="53">
        <v>99433</v>
      </c>
      <c r="DD24" s="53">
        <v>99438</v>
      </c>
      <c r="DE24" s="53">
        <v>99457</v>
      </c>
      <c r="DF24" s="53">
        <v>99501</v>
      </c>
      <c r="DG24" s="53">
        <v>99486</v>
      </c>
      <c r="DH24" s="53">
        <v>99512</v>
      </c>
      <c r="DI24" s="53">
        <v>99495</v>
      </c>
      <c r="DJ24" s="53">
        <v>99522</v>
      </c>
      <c r="DK24" s="53">
        <v>99537</v>
      </c>
      <c r="DL24" s="53">
        <v>99540</v>
      </c>
      <c r="DM24" s="53">
        <v>99559</v>
      </c>
      <c r="DN24" s="53">
        <v>99576</v>
      </c>
      <c r="DO24" s="53">
        <v>99593</v>
      </c>
    </row>
    <row r="25" spans="1:119">
      <c r="A25" s="52">
        <v>23</v>
      </c>
      <c r="W25" s="53">
        <v>82411</v>
      </c>
      <c r="X25" s="53">
        <v>83081</v>
      </c>
      <c r="Y25" s="53">
        <v>82941</v>
      </c>
      <c r="Z25" s="53">
        <v>84857</v>
      </c>
      <c r="AA25" s="53">
        <v>85196</v>
      </c>
      <c r="AB25" s="53">
        <v>85699</v>
      </c>
      <c r="AC25" s="53">
        <v>86539</v>
      </c>
      <c r="AD25" s="53">
        <v>87380</v>
      </c>
      <c r="AE25" s="53">
        <v>87294</v>
      </c>
      <c r="AF25" s="53">
        <v>88380</v>
      </c>
      <c r="AG25" s="53">
        <v>88860</v>
      </c>
      <c r="AH25" s="53">
        <v>89032</v>
      </c>
      <c r="AI25" s="53">
        <v>89420</v>
      </c>
      <c r="AJ25" s="53">
        <v>90610</v>
      </c>
      <c r="AK25" s="53">
        <v>90587</v>
      </c>
      <c r="AL25" s="53">
        <v>90902</v>
      </c>
      <c r="AM25" s="53">
        <v>91156</v>
      </c>
      <c r="AN25" s="53">
        <v>91639</v>
      </c>
      <c r="AO25" s="53">
        <v>91664</v>
      </c>
      <c r="AP25" s="53">
        <v>91747</v>
      </c>
      <c r="AQ25" s="53">
        <v>91832</v>
      </c>
      <c r="AR25" s="53">
        <v>91844</v>
      </c>
      <c r="AS25" s="53">
        <v>91325</v>
      </c>
      <c r="AT25" s="53">
        <v>90651</v>
      </c>
      <c r="AU25" s="53">
        <v>89540</v>
      </c>
      <c r="AV25" s="53">
        <v>89723</v>
      </c>
      <c r="AW25" s="53">
        <v>90018</v>
      </c>
      <c r="AX25" s="53">
        <v>91992</v>
      </c>
      <c r="AY25" s="53">
        <v>93600</v>
      </c>
      <c r="AZ25" s="53">
        <v>93666</v>
      </c>
      <c r="BA25" s="53">
        <v>93704</v>
      </c>
      <c r="BB25" s="53">
        <v>94265</v>
      </c>
      <c r="BC25" s="53">
        <v>94527</v>
      </c>
      <c r="BD25" s="53">
        <v>94817</v>
      </c>
      <c r="BE25" s="53">
        <v>94894</v>
      </c>
      <c r="BF25" s="53">
        <v>95211</v>
      </c>
      <c r="BG25" s="53">
        <v>95380</v>
      </c>
      <c r="BH25" s="53">
        <v>95542</v>
      </c>
      <c r="BI25" s="53">
        <v>95643</v>
      </c>
      <c r="BJ25" s="53">
        <v>95840</v>
      </c>
      <c r="BK25" s="53">
        <v>96088</v>
      </c>
      <c r="BL25" s="53">
        <v>96351</v>
      </c>
      <c r="BM25" s="53">
        <v>96549</v>
      </c>
      <c r="BN25" s="53">
        <v>96766</v>
      </c>
      <c r="BO25" s="53">
        <v>96935</v>
      </c>
      <c r="BP25" s="53">
        <v>97065</v>
      </c>
      <c r="BQ25" s="53">
        <v>97146</v>
      </c>
      <c r="BR25" s="53">
        <v>97228</v>
      </c>
      <c r="BS25" s="53">
        <v>97214</v>
      </c>
      <c r="BT25" s="53">
        <v>97275</v>
      </c>
      <c r="BU25" s="53">
        <v>97323</v>
      </c>
      <c r="BV25" s="53">
        <v>97433</v>
      </c>
      <c r="BW25" s="53">
        <v>97501</v>
      </c>
      <c r="BX25" s="53">
        <v>97605</v>
      </c>
      <c r="BY25" s="53">
        <v>97684</v>
      </c>
      <c r="BZ25" s="53">
        <v>97904</v>
      </c>
      <c r="CA25" s="53">
        <v>98085</v>
      </c>
      <c r="CB25" s="53">
        <v>98169</v>
      </c>
      <c r="CC25" s="53">
        <v>98247</v>
      </c>
      <c r="CD25" s="53">
        <v>98333</v>
      </c>
      <c r="CE25" s="53">
        <v>98413</v>
      </c>
      <c r="CF25" s="53">
        <v>98496</v>
      </c>
      <c r="CG25" s="53">
        <v>98600</v>
      </c>
      <c r="CH25" s="53">
        <v>98650</v>
      </c>
      <c r="CI25" s="53">
        <v>98741</v>
      </c>
      <c r="CJ25" s="53">
        <v>98791</v>
      </c>
      <c r="CK25" s="53">
        <v>98842</v>
      </c>
      <c r="CL25" s="53">
        <v>98932</v>
      </c>
      <c r="CM25" s="53">
        <v>98965</v>
      </c>
      <c r="CN25" s="53">
        <v>99027</v>
      </c>
      <c r="CO25" s="53">
        <v>99057</v>
      </c>
      <c r="CP25" s="53">
        <v>99118</v>
      </c>
      <c r="CQ25" s="53">
        <v>99159</v>
      </c>
      <c r="CR25" s="53">
        <v>99182</v>
      </c>
      <c r="CS25" s="53">
        <v>99229</v>
      </c>
      <c r="CT25" s="53">
        <v>99260</v>
      </c>
      <c r="CU25" s="53">
        <v>99288</v>
      </c>
      <c r="CV25" s="53">
        <v>99288</v>
      </c>
      <c r="CW25" s="53">
        <v>99321</v>
      </c>
      <c r="CX25" s="53">
        <v>99347</v>
      </c>
      <c r="CY25" s="53">
        <v>99364</v>
      </c>
      <c r="CZ25" s="53">
        <v>99349</v>
      </c>
      <c r="DA25" s="53">
        <v>99368</v>
      </c>
      <c r="DB25" s="53">
        <v>99382</v>
      </c>
      <c r="DC25" s="53">
        <v>99420</v>
      </c>
      <c r="DD25" s="53">
        <v>99426</v>
      </c>
      <c r="DE25" s="53">
        <v>99445</v>
      </c>
      <c r="DF25" s="53">
        <v>99490</v>
      </c>
      <c r="DG25" s="53">
        <v>99476</v>
      </c>
      <c r="DH25" s="53">
        <v>99502</v>
      </c>
      <c r="DI25" s="53">
        <v>99485</v>
      </c>
      <c r="DJ25" s="53">
        <v>99512</v>
      </c>
      <c r="DK25" s="53">
        <v>99528</v>
      </c>
      <c r="DL25" s="53">
        <v>99531</v>
      </c>
      <c r="DM25" s="53">
        <v>99550</v>
      </c>
      <c r="DN25" s="53">
        <v>99568</v>
      </c>
      <c r="DO25" s="53">
        <v>99585</v>
      </c>
    </row>
    <row r="26" spans="1:119">
      <c r="A26" s="52">
        <v>24</v>
      </c>
      <c r="W26" s="53">
        <v>82179</v>
      </c>
      <c r="X26" s="53">
        <v>82745</v>
      </c>
      <c r="Y26" s="53">
        <v>82727</v>
      </c>
      <c r="Z26" s="53">
        <v>84638</v>
      </c>
      <c r="AA26" s="53">
        <v>85020</v>
      </c>
      <c r="AB26" s="53">
        <v>85587</v>
      </c>
      <c r="AC26" s="53">
        <v>86426</v>
      </c>
      <c r="AD26" s="53">
        <v>87267</v>
      </c>
      <c r="AE26" s="53">
        <v>87202</v>
      </c>
      <c r="AF26" s="53">
        <v>88299</v>
      </c>
      <c r="AG26" s="53">
        <v>88781</v>
      </c>
      <c r="AH26" s="53">
        <v>88953</v>
      </c>
      <c r="AI26" s="53">
        <v>89351</v>
      </c>
      <c r="AJ26" s="53">
        <v>90543</v>
      </c>
      <c r="AK26" s="53">
        <v>90522</v>
      </c>
      <c r="AL26" s="53">
        <v>90840</v>
      </c>
      <c r="AM26" s="53">
        <v>91092</v>
      </c>
      <c r="AN26" s="53">
        <v>91574</v>
      </c>
      <c r="AO26" s="53">
        <v>91608</v>
      </c>
      <c r="AP26" s="53">
        <v>91692</v>
      </c>
      <c r="AQ26" s="53">
        <v>91777</v>
      </c>
      <c r="AR26" s="53">
        <v>91790</v>
      </c>
      <c r="AS26" s="53">
        <v>91273</v>
      </c>
      <c r="AT26" s="53">
        <v>90598</v>
      </c>
      <c r="AU26" s="53">
        <v>89489</v>
      </c>
      <c r="AV26" s="53">
        <v>89670</v>
      </c>
      <c r="AW26" s="53">
        <v>89963</v>
      </c>
      <c r="AX26" s="53">
        <v>91937</v>
      </c>
      <c r="AY26" s="53">
        <v>93538</v>
      </c>
      <c r="AZ26" s="53">
        <v>93613</v>
      </c>
      <c r="BA26" s="53">
        <v>93653</v>
      </c>
      <c r="BB26" s="53">
        <v>94210</v>
      </c>
      <c r="BC26" s="53">
        <v>94478</v>
      </c>
      <c r="BD26" s="53">
        <v>94764</v>
      </c>
      <c r="BE26" s="53">
        <v>94842</v>
      </c>
      <c r="BF26" s="53">
        <v>95163</v>
      </c>
      <c r="BG26" s="53">
        <v>95332</v>
      </c>
      <c r="BH26" s="53">
        <v>95497</v>
      </c>
      <c r="BI26" s="53">
        <v>95599</v>
      </c>
      <c r="BJ26" s="53">
        <v>95799</v>
      </c>
      <c r="BK26" s="53">
        <v>96046</v>
      </c>
      <c r="BL26" s="53">
        <v>96315</v>
      </c>
      <c r="BM26" s="53">
        <v>96515</v>
      </c>
      <c r="BN26" s="53">
        <v>96729</v>
      </c>
      <c r="BO26" s="53">
        <v>96896</v>
      </c>
      <c r="BP26" s="53">
        <v>97026</v>
      </c>
      <c r="BQ26" s="53">
        <v>97108</v>
      </c>
      <c r="BR26" s="53">
        <v>97193</v>
      </c>
      <c r="BS26" s="53">
        <v>97181</v>
      </c>
      <c r="BT26" s="53">
        <v>97243</v>
      </c>
      <c r="BU26" s="53">
        <v>97295</v>
      </c>
      <c r="BV26" s="53">
        <v>97401</v>
      </c>
      <c r="BW26" s="53">
        <v>97474</v>
      </c>
      <c r="BX26" s="53">
        <v>97578</v>
      </c>
      <c r="BY26" s="53">
        <v>97660</v>
      </c>
      <c r="BZ26" s="53">
        <v>97874</v>
      </c>
      <c r="CA26" s="53">
        <v>98054</v>
      </c>
      <c r="CB26" s="53">
        <v>98145</v>
      </c>
      <c r="CC26" s="53">
        <v>98220</v>
      </c>
      <c r="CD26" s="53">
        <v>98307</v>
      </c>
      <c r="CE26" s="53">
        <v>98389</v>
      </c>
      <c r="CF26" s="53">
        <v>98470</v>
      </c>
      <c r="CG26" s="53">
        <v>98576</v>
      </c>
      <c r="CH26" s="53">
        <v>98626</v>
      </c>
      <c r="CI26" s="53">
        <v>98722</v>
      </c>
      <c r="CJ26" s="53">
        <v>98767</v>
      </c>
      <c r="CK26" s="53">
        <v>98818</v>
      </c>
      <c r="CL26" s="53">
        <v>98911</v>
      </c>
      <c r="CM26" s="53">
        <v>98945</v>
      </c>
      <c r="CN26" s="53">
        <v>99003</v>
      </c>
      <c r="CO26" s="53">
        <v>99034</v>
      </c>
      <c r="CP26" s="53">
        <v>99101</v>
      </c>
      <c r="CQ26" s="53">
        <v>99142</v>
      </c>
      <c r="CR26" s="53">
        <v>99166</v>
      </c>
      <c r="CS26" s="53">
        <v>99213</v>
      </c>
      <c r="CT26" s="53">
        <v>99245</v>
      </c>
      <c r="CU26" s="53">
        <v>99273</v>
      </c>
      <c r="CV26" s="53">
        <v>99273</v>
      </c>
      <c r="CW26" s="53">
        <v>99307</v>
      </c>
      <c r="CX26" s="53">
        <v>99334</v>
      </c>
      <c r="CY26" s="53">
        <v>99351</v>
      </c>
      <c r="CZ26" s="53">
        <v>99336</v>
      </c>
      <c r="DA26" s="53">
        <v>99356</v>
      </c>
      <c r="DB26" s="53">
        <v>99370</v>
      </c>
      <c r="DC26" s="53">
        <v>99409</v>
      </c>
      <c r="DD26" s="53">
        <v>99415</v>
      </c>
      <c r="DE26" s="53">
        <v>99434</v>
      </c>
      <c r="DF26" s="53">
        <v>99479</v>
      </c>
      <c r="DG26" s="53">
        <v>99465</v>
      </c>
      <c r="DH26" s="53">
        <v>99492</v>
      </c>
      <c r="DI26" s="53">
        <v>99475</v>
      </c>
      <c r="DJ26" s="53">
        <v>99503</v>
      </c>
      <c r="DK26" s="53">
        <v>99518</v>
      </c>
      <c r="DL26" s="53">
        <v>99522</v>
      </c>
      <c r="DM26" s="53">
        <v>99541</v>
      </c>
      <c r="DN26" s="53">
        <v>99559</v>
      </c>
      <c r="DO26" s="53">
        <v>99577</v>
      </c>
    </row>
    <row r="27" spans="1:119">
      <c r="A27" s="52">
        <v>25</v>
      </c>
      <c r="W27" s="53">
        <v>81840</v>
      </c>
      <c r="X27" s="53">
        <v>82527</v>
      </c>
      <c r="Y27" s="53">
        <v>82509</v>
      </c>
      <c r="Z27" s="53">
        <v>84460</v>
      </c>
      <c r="AA27" s="53">
        <v>84908</v>
      </c>
      <c r="AB27" s="53">
        <v>85474</v>
      </c>
      <c r="AC27" s="53">
        <v>86312</v>
      </c>
      <c r="AD27" s="53">
        <v>87169</v>
      </c>
      <c r="AE27" s="53">
        <v>87118</v>
      </c>
      <c r="AF27" s="53">
        <v>88221</v>
      </c>
      <c r="AG27" s="53">
        <v>88701</v>
      </c>
      <c r="AH27" s="53">
        <v>88879</v>
      </c>
      <c r="AI27" s="53">
        <v>89281</v>
      </c>
      <c r="AJ27" s="53">
        <v>90475</v>
      </c>
      <c r="AK27" s="53">
        <v>90449</v>
      </c>
      <c r="AL27" s="53">
        <v>90777</v>
      </c>
      <c r="AM27" s="53">
        <v>91031</v>
      </c>
      <c r="AN27" s="53">
        <v>91515</v>
      </c>
      <c r="AO27" s="53">
        <v>91549</v>
      </c>
      <c r="AP27" s="53">
        <v>91636</v>
      </c>
      <c r="AQ27" s="53">
        <v>91717</v>
      </c>
      <c r="AR27" s="53">
        <v>91728</v>
      </c>
      <c r="AS27" s="53">
        <v>91211</v>
      </c>
      <c r="AT27" s="53">
        <v>90546</v>
      </c>
      <c r="AU27" s="53">
        <v>89438</v>
      </c>
      <c r="AV27" s="53">
        <v>89612</v>
      </c>
      <c r="AW27" s="53">
        <v>89910</v>
      </c>
      <c r="AX27" s="53">
        <v>91881</v>
      </c>
      <c r="AY27" s="53">
        <v>93489</v>
      </c>
      <c r="AZ27" s="53">
        <v>93561</v>
      </c>
      <c r="BA27" s="53">
        <v>93603</v>
      </c>
      <c r="BB27" s="53">
        <v>94158</v>
      </c>
      <c r="BC27" s="53">
        <v>94420</v>
      </c>
      <c r="BD27" s="53">
        <v>94706</v>
      </c>
      <c r="BE27" s="53">
        <v>94793</v>
      </c>
      <c r="BF27" s="53">
        <v>95118</v>
      </c>
      <c r="BG27" s="53">
        <v>95284</v>
      </c>
      <c r="BH27" s="53">
        <v>95452</v>
      </c>
      <c r="BI27" s="53">
        <v>95554</v>
      </c>
      <c r="BJ27" s="53">
        <v>95762</v>
      </c>
      <c r="BK27" s="53">
        <v>96005</v>
      </c>
      <c r="BL27" s="53">
        <v>96273</v>
      </c>
      <c r="BM27" s="53">
        <v>96473</v>
      </c>
      <c r="BN27" s="53">
        <v>96692</v>
      </c>
      <c r="BO27" s="53">
        <v>96857</v>
      </c>
      <c r="BP27" s="53">
        <v>96989</v>
      </c>
      <c r="BQ27" s="53">
        <v>97070</v>
      </c>
      <c r="BR27" s="53">
        <v>97157</v>
      </c>
      <c r="BS27" s="53">
        <v>97145</v>
      </c>
      <c r="BT27" s="53">
        <v>97211</v>
      </c>
      <c r="BU27" s="53">
        <v>97259</v>
      </c>
      <c r="BV27" s="53">
        <v>97371</v>
      </c>
      <c r="BW27" s="53">
        <v>97443</v>
      </c>
      <c r="BX27" s="53">
        <v>97550</v>
      </c>
      <c r="BY27" s="53">
        <v>97630</v>
      </c>
      <c r="BZ27" s="53">
        <v>97846</v>
      </c>
      <c r="CA27" s="53">
        <v>98025</v>
      </c>
      <c r="CB27" s="53">
        <v>98120</v>
      </c>
      <c r="CC27" s="53">
        <v>98193</v>
      </c>
      <c r="CD27" s="53">
        <v>98282</v>
      </c>
      <c r="CE27" s="53">
        <v>98367</v>
      </c>
      <c r="CF27" s="53">
        <v>98451</v>
      </c>
      <c r="CG27" s="53">
        <v>98556</v>
      </c>
      <c r="CH27" s="53">
        <v>98602</v>
      </c>
      <c r="CI27" s="53">
        <v>98699</v>
      </c>
      <c r="CJ27" s="53">
        <v>98747</v>
      </c>
      <c r="CK27" s="53">
        <v>98801</v>
      </c>
      <c r="CL27" s="53">
        <v>98887</v>
      </c>
      <c r="CM27" s="53">
        <v>98926</v>
      </c>
      <c r="CN27" s="53">
        <v>98986</v>
      </c>
      <c r="CO27" s="53">
        <v>99016</v>
      </c>
      <c r="CP27" s="53">
        <v>99084</v>
      </c>
      <c r="CQ27" s="53">
        <v>99126</v>
      </c>
      <c r="CR27" s="53">
        <v>99149</v>
      </c>
      <c r="CS27" s="53">
        <v>99197</v>
      </c>
      <c r="CT27" s="53">
        <v>99229</v>
      </c>
      <c r="CU27" s="53">
        <v>99258</v>
      </c>
      <c r="CV27" s="53">
        <v>99258</v>
      </c>
      <c r="CW27" s="53">
        <v>99293</v>
      </c>
      <c r="CX27" s="53">
        <v>99320</v>
      </c>
      <c r="CY27" s="53">
        <v>99338</v>
      </c>
      <c r="CZ27" s="53">
        <v>99323</v>
      </c>
      <c r="DA27" s="53">
        <v>99343</v>
      </c>
      <c r="DB27" s="53">
        <v>99358</v>
      </c>
      <c r="DC27" s="53">
        <v>99397</v>
      </c>
      <c r="DD27" s="53">
        <v>99403</v>
      </c>
      <c r="DE27" s="53">
        <v>99423</v>
      </c>
      <c r="DF27" s="53">
        <v>99468</v>
      </c>
      <c r="DG27" s="53">
        <v>99454</v>
      </c>
      <c r="DH27" s="53">
        <v>99481</v>
      </c>
      <c r="DI27" s="53">
        <v>99465</v>
      </c>
      <c r="DJ27" s="53">
        <v>99493</v>
      </c>
      <c r="DK27" s="53">
        <v>99509</v>
      </c>
      <c r="DL27" s="53">
        <v>99513</v>
      </c>
      <c r="DM27" s="53">
        <v>99532</v>
      </c>
      <c r="DN27" s="53">
        <v>99551</v>
      </c>
      <c r="DO27" s="53">
        <v>99568</v>
      </c>
    </row>
    <row r="28" spans="1:119">
      <c r="A28" s="52">
        <v>26</v>
      </c>
      <c r="W28" s="53">
        <v>81626</v>
      </c>
      <c r="X28" s="53">
        <v>82312</v>
      </c>
      <c r="Y28" s="53">
        <v>82336</v>
      </c>
      <c r="Z28" s="53">
        <v>84346</v>
      </c>
      <c r="AA28" s="53">
        <v>84793</v>
      </c>
      <c r="AB28" s="53">
        <v>85359</v>
      </c>
      <c r="AC28" s="53">
        <v>86225</v>
      </c>
      <c r="AD28" s="53">
        <v>87083</v>
      </c>
      <c r="AE28" s="53">
        <v>87035</v>
      </c>
      <c r="AF28" s="53">
        <v>88146</v>
      </c>
      <c r="AG28" s="53">
        <v>88621</v>
      </c>
      <c r="AH28" s="53">
        <v>88799</v>
      </c>
      <c r="AI28" s="53">
        <v>89213</v>
      </c>
      <c r="AJ28" s="53">
        <v>90402</v>
      </c>
      <c r="AK28" s="53">
        <v>90387</v>
      </c>
      <c r="AL28" s="53">
        <v>90714</v>
      </c>
      <c r="AM28" s="53">
        <v>90969</v>
      </c>
      <c r="AN28" s="53">
        <v>91455</v>
      </c>
      <c r="AO28" s="53">
        <v>91488</v>
      </c>
      <c r="AP28" s="53">
        <v>91575</v>
      </c>
      <c r="AQ28" s="53">
        <v>91663</v>
      </c>
      <c r="AR28" s="53">
        <v>91661</v>
      </c>
      <c r="AS28" s="53">
        <v>91159</v>
      </c>
      <c r="AT28" s="53">
        <v>90488</v>
      </c>
      <c r="AU28" s="53">
        <v>89381</v>
      </c>
      <c r="AV28" s="53">
        <v>89556</v>
      </c>
      <c r="AW28" s="53">
        <v>89856</v>
      </c>
      <c r="AX28" s="53">
        <v>91826</v>
      </c>
      <c r="AY28" s="53">
        <v>93435</v>
      </c>
      <c r="AZ28" s="53">
        <v>93507</v>
      </c>
      <c r="BA28" s="53">
        <v>93550</v>
      </c>
      <c r="BB28" s="53">
        <v>94099</v>
      </c>
      <c r="BC28" s="53">
        <v>94368</v>
      </c>
      <c r="BD28" s="53">
        <v>94652</v>
      </c>
      <c r="BE28" s="53">
        <v>94743</v>
      </c>
      <c r="BF28" s="53">
        <v>95073</v>
      </c>
      <c r="BG28" s="53">
        <v>95236</v>
      </c>
      <c r="BH28" s="53">
        <v>95410</v>
      </c>
      <c r="BI28" s="53">
        <v>95515</v>
      </c>
      <c r="BJ28" s="53">
        <v>95721</v>
      </c>
      <c r="BK28" s="53">
        <v>95968</v>
      </c>
      <c r="BL28" s="53">
        <v>96234</v>
      </c>
      <c r="BM28" s="53">
        <v>96435</v>
      </c>
      <c r="BN28" s="53">
        <v>96656</v>
      </c>
      <c r="BO28" s="53">
        <v>96815</v>
      </c>
      <c r="BP28" s="53">
        <v>96954</v>
      </c>
      <c r="BQ28" s="53">
        <v>97028</v>
      </c>
      <c r="BR28" s="53">
        <v>97120</v>
      </c>
      <c r="BS28" s="53">
        <v>97115</v>
      </c>
      <c r="BT28" s="53">
        <v>97177</v>
      </c>
      <c r="BU28" s="53">
        <v>97230</v>
      </c>
      <c r="BV28" s="53">
        <v>97341</v>
      </c>
      <c r="BW28" s="53">
        <v>97409</v>
      </c>
      <c r="BX28" s="53">
        <v>97521</v>
      </c>
      <c r="BY28" s="53">
        <v>97605</v>
      </c>
      <c r="BZ28" s="53">
        <v>97822</v>
      </c>
      <c r="CA28" s="53">
        <v>97995</v>
      </c>
      <c r="CB28" s="53">
        <v>98098</v>
      </c>
      <c r="CC28" s="53">
        <v>98171</v>
      </c>
      <c r="CD28" s="53">
        <v>98258</v>
      </c>
      <c r="CE28" s="53">
        <v>98347</v>
      </c>
      <c r="CF28" s="53">
        <v>98426</v>
      </c>
      <c r="CG28" s="53">
        <v>98534</v>
      </c>
      <c r="CH28" s="53">
        <v>98579</v>
      </c>
      <c r="CI28" s="53">
        <v>98678</v>
      </c>
      <c r="CJ28" s="53">
        <v>98723</v>
      </c>
      <c r="CK28" s="53">
        <v>98779</v>
      </c>
      <c r="CL28" s="53">
        <v>98867</v>
      </c>
      <c r="CM28" s="53">
        <v>98906</v>
      </c>
      <c r="CN28" s="53">
        <v>98968</v>
      </c>
      <c r="CO28" s="53">
        <v>98998</v>
      </c>
      <c r="CP28" s="53">
        <v>99066</v>
      </c>
      <c r="CQ28" s="53">
        <v>99109</v>
      </c>
      <c r="CR28" s="53">
        <v>99133</v>
      </c>
      <c r="CS28" s="53">
        <v>99181</v>
      </c>
      <c r="CT28" s="53">
        <v>99214</v>
      </c>
      <c r="CU28" s="53">
        <v>99243</v>
      </c>
      <c r="CV28" s="53">
        <v>99244</v>
      </c>
      <c r="CW28" s="53">
        <v>99279</v>
      </c>
      <c r="CX28" s="53">
        <v>99306</v>
      </c>
      <c r="CY28" s="53">
        <v>99324</v>
      </c>
      <c r="CZ28" s="53">
        <v>99310</v>
      </c>
      <c r="DA28" s="53">
        <v>99330</v>
      </c>
      <c r="DB28" s="53">
        <v>99345</v>
      </c>
      <c r="DC28" s="53">
        <v>99385</v>
      </c>
      <c r="DD28" s="53">
        <v>99391</v>
      </c>
      <c r="DE28" s="53">
        <v>99412</v>
      </c>
      <c r="DF28" s="53">
        <v>99457</v>
      </c>
      <c r="DG28" s="53">
        <v>99444</v>
      </c>
      <c r="DH28" s="53">
        <v>99471</v>
      </c>
      <c r="DI28" s="53">
        <v>99455</v>
      </c>
      <c r="DJ28" s="53">
        <v>99483</v>
      </c>
      <c r="DK28" s="53">
        <v>99499</v>
      </c>
      <c r="DL28" s="53">
        <v>99504</v>
      </c>
      <c r="DM28" s="53">
        <v>99523</v>
      </c>
      <c r="DN28" s="53">
        <v>99542</v>
      </c>
      <c r="DO28" s="53">
        <v>99560</v>
      </c>
    </row>
    <row r="29" spans="1:119">
      <c r="A29" s="52">
        <v>27</v>
      </c>
      <c r="W29" s="53">
        <v>81415</v>
      </c>
      <c r="X29" s="53">
        <v>82141</v>
      </c>
      <c r="Y29" s="53">
        <v>82222</v>
      </c>
      <c r="Z29" s="53">
        <v>84228</v>
      </c>
      <c r="AA29" s="53">
        <v>84675</v>
      </c>
      <c r="AB29" s="53">
        <v>85265</v>
      </c>
      <c r="AC29" s="53">
        <v>86135</v>
      </c>
      <c r="AD29" s="53">
        <v>86989</v>
      </c>
      <c r="AE29" s="53">
        <v>86949</v>
      </c>
      <c r="AF29" s="53">
        <v>88063</v>
      </c>
      <c r="AG29" s="53">
        <v>88539</v>
      </c>
      <c r="AH29" s="53">
        <v>88724</v>
      </c>
      <c r="AI29" s="53">
        <v>89140</v>
      </c>
      <c r="AJ29" s="53">
        <v>90325</v>
      </c>
      <c r="AK29" s="53">
        <v>90316</v>
      </c>
      <c r="AL29" s="53">
        <v>90649</v>
      </c>
      <c r="AM29" s="53">
        <v>90908</v>
      </c>
      <c r="AN29" s="53">
        <v>91393</v>
      </c>
      <c r="AO29" s="53">
        <v>91426</v>
      </c>
      <c r="AP29" s="53">
        <v>91513</v>
      </c>
      <c r="AQ29" s="53">
        <v>91603</v>
      </c>
      <c r="AR29" s="53">
        <v>91600</v>
      </c>
      <c r="AS29" s="53">
        <v>91102</v>
      </c>
      <c r="AT29" s="53">
        <v>90429</v>
      </c>
      <c r="AU29" s="53">
        <v>89322</v>
      </c>
      <c r="AV29" s="53">
        <v>89498</v>
      </c>
      <c r="AW29" s="53">
        <v>89804</v>
      </c>
      <c r="AX29" s="53">
        <v>91773</v>
      </c>
      <c r="AY29" s="53">
        <v>93378</v>
      </c>
      <c r="AZ29" s="53">
        <v>93452</v>
      </c>
      <c r="BA29" s="53">
        <v>93496</v>
      </c>
      <c r="BB29" s="53">
        <v>94047</v>
      </c>
      <c r="BC29" s="53">
        <v>94315</v>
      </c>
      <c r="BD29" s="53">
        <v>94599</v>
      </c>
      <c r="BE29" s="53">
        <v>94690</v>
      </c>
      <c r="BF29" s="53">
        <v>95025</v>
      </c>
      <c r="BG29" s="53">
        <v>95187</v>
      </c>
      <c r="BH29" s="53">
        <v>95368</v>
      </c>
      <c r="BI29" s="53">
        <v>95471</v>
      </c>
      <c r="BJ29" s="53">
        <v>95678</v>
      </c>
      <c r="BK29" s="53">
        <v>95930</v>
      </c>
      <c r="BL29" s="53">
        <v>96196</v>
      </c>
      <c r="BM29" s="53">
        <v>96400</v>
      </c>
      <c r="BN29" s="53">
        <v>96619</v>
      </c>
      <c r="BO29" s="53">
        <v>96773</v>
      </c>
      <c r="BP29" s="53">
        <v>96917</v>
      </c>
      <c r="BQ29" s="53">
        <v>96994</v>
      </c>
      <c r="BR29" s="53">
        <v>97085</v>
      </c>
      <c r="BS29" s="53">
        <v>97082</v>
      </c>
      <c r="BT29" s="53">
        <v>97147</v>
      </c>
      <c r="BU29" s="53">
        <v>97201</v>
      </c>
      <c r="BV29" s="53">
        <v>97307</v>
      </c>
      <c r="BW29" s="53">
        <v>97381</v>
      </c>
      <c r="BX29" s="53">
        <v>97495</v>
      </c>
      <c r="BY29" s="53">
        <v>97577</v>
      </c>
      <c r="BZ29" s="53">
        <v>97796</v>
      </c>
      <c r="CA29" s="53">
        <v>97966</v>
      </c>
      <c r="CB29" s="53">
        <v>98074</v>
      </c>
      <c r="CC29" s="53">
        <v>98149</v>
      </c>
      <c r="CD29" s="53">
        <v>98234</v>
      </c>
      <c r="CE29" s="53">
        <v>98322</v>
      </c>
      <c r="CF29" s="53">
        <v>98400</v>
      </c>
      <c r="CG29" s="53">
        <v>98508</v>
      </c>
      <c r="CH29" s="53">
        <v>98557</v>
      </c>
      <c r="CI29" s="53">
        <v>98657</v>
      </c>
      <c r="CJ29" s="53">
        <v>98702</v>
      </c>
      <c r="CK29" s="53">
        <v>98759</v>
      </c>
      <c r="CL29" s="53">
        <v>98850</v>
      </c>
      <c r="CM29" s="53">
        <v>98887</v>
      </c>
      <c r="CN29" s="53">
        <v>98949</v>
      </c>
      <c r="CO29" s="53">
        <v>98979</v>
      </c>
      <c r="CP29" s="53">
        <v>99048</v>
      </c>
      <c r="CQ29" s="53">
        <v>99091</v>
      </c>
      <c r="CR29" s="53">
        <v>99116</v>
      </c>
      <c r="CS29" s="53">
        <v>99164</v>
      </c>
      <c r="CT29" s="53">
        <v>99197</v>
      </c>
      <c r="CU29" s="53">
        <v>99227</v>
      </c>
      <c r="CV29" s="53">
        <v>99228</v>
      </c>
      <c r="CW29" s="53">
        <v>99264</v>
      </c>
      <c r="CX29" s="53">
        <v>99291</v>
      </c>
      <c r="CY29" s="53">
        <v>99310</v>
      </c>
      <c r="CZ29" s="53">
        <v>99296</v>
      </c>
      <c r="DA29" s="53">
        <v>99317</v>
      </c>
      <c r="DB29" s="53">
        <v>99332</v>
      </c>
      <c r="DC29" s="53">
        <v>99372</v>
      </c>
      <c r="DD29" s="53">
        <v>99379</v>
      </c>
      <c r="DE29" s="53">
        <v>99400</v>
      </c>
      <c r="DF29" s="53">
        <v>99445</v>
      </c>
      <c r="DG29" s="53">
        <v>99432</v>
      </c>
      <c r="DH29" s="53">
        <v>99460</v>
      </c>
      <c r="DI29" s="53">
        <v>99444</v>
      </c>
      <c r="DJ29" s="53">
        <v>99473</v>
      </c>
      <c r="DK29" s="53">
        <v>99489</v>
      </c>
      <c r="DL29" s="53">
        <v>99494</v>
      </c>
      <c r="DM29" s="53">
        <v>99513</v>
      </c>
      <c r="DN29" s="53">
        <v>99532</v>
      </c>
      <c r="DO29" s="53">
        <v>99551</v>
      </c>
    </row>
    <row r="30" spans="1:119">
      <c r="A30" s="52">
        <v>28</v>
      </c>
      <c r="W30" s="53">
        <v>81245</v>
      </c>
      <c r="X30" s="53">
        <v>82023</v>
      </c>
      <c r="Y30" s="53">
        <v>82103</v>
      </c>
      <c r="Z30" s="53">
        <v>84107</v>
      </c>
      <c r="AA30" s="53">
        <v>84570</v>
      </c>
      <c r="AB30" s="53">
        <v>85170</v>
      </c>
      <c r="AC30" s="53">
        <v>86045</v>
      </c>
      <c r="AD30" s="53">
        <v>86902</v>
      </c>
      <c r="AE30" s="53">
        <v>86861</v>
      </c>
      <c r="AF30" s="53">
        <v>87978</v>
      </c>
      <c r="AG30" s="53">
        <v>88456</v>
      </c>
      <c r="AH30" s="53">
        <v>88641</v>
      </c>
      <c r="AI30" s="53">
        <v>89065</v>
      </c>
      <c r="AJ30" s="53">
        <v>90252</v>
      </c>
      <c r="AK30" s="53">
        <v>90245</v>
      </c>
      <c r="AL30" s="53">
        <v>90586</v>
      </c>
      <c r="AM30" s="53">
        <v>90847</v>
      </c>
      <c r="AN30" s="53">
        <v>91328</v>
      </c>
      <c r="AO30" s="53">
        <v>91358</v>
      </c>
      <c r="AP30" s="53">
        <v>91451</v>
      </c>
      <c r="AQ30" s="53">
        <v>91540</v>
      </c>
      <c r="AR30" s="53">
        <v>91535</v>
      </c>
      <c r="AS30" s="53">
        <v>91037</v>
      </c>
      <c r="AT30" s="53">
        <v>90366</v>
      </c>
      <c r="AU30" s="53">
        <v>89268</v>
      </c>
      <c r="AV30" s="53">
        <v>89439</v>
      </c>
      <c r="AW30" s="53">
        <v>89750</v>
      </c>
      <c r="AX30" s="53">
        <v>91722</v>
      </c>
      <c r="AY30" s="53">
        <v>93323</v>
      </c>
      <c r="AZ30" s="53">
        <v>93387</v>
      </c>
      <c r="BA30" s="53">
        <v>93443</v>
      </c>
      <c r="BB30" s="53">
        <v>93994</v>
      </c>
      <c r="BC30" s="53">
        <v>94260</v>
      </c>
      <c r="BD30" s="53">
        <v>94548</v>
      </c>
      <c r="BE30" s="53">
        <v>94638</v>
      </c>
      <c r="BF30" s="53">
        <v>94980</v>
      </c>
      <c r="BG30" s="53">
        <v>95138</v>
      </c>
      <c r="BH30" s="53">
        <v>95323</v>
      </c>
      <c r="BI30" s="53">
        <v>95426</v>
      </c>
      <c r="BJ30" s="53">
        <v>95634</v>
      </c>
      <c r="BK30" s="53">
        <v>95890</v>
      </c>
      <c r="BL30" s="53">
        <v>96157</v>
      </c>
      <c r="BM30" s="53">
        <v>96361</v>
      </c>
      <c r="BN30" s="53">
        <v>96581</v>
      </c>
      <c r="BO30" s="53">
        <v>96733</v>
      </c>
      <c r="BP30" s="53">
        <v>96884</v>
      </c>
      <c r="BQ30" s="53">
        <v>96958</v>
      </c>
      <c r="BR30" s="53">
        <v>97051</v>
      </c>
      <c r="BS30" s="53">
        <v>97049</v>
      </c>
      <c r="BT30" s="53">
        <v>97113</v>
      </c>
      <c r="BU30" s="53">
        <v>97172</v>
      </c>
      <c r="BV30" s="53">
        <v>97273</v>
      </c>
      <c r="BW30" s="53">
        <v>97348</v>
      </c>
      <c r="BX30" s="53">
        <v>97462</v>
      </c>
      <c r="BY30" s="53">
        <v>97551</v>
      </c>
      <c r="BZ30" s="53">
        <v>97768</v>
      </c>
      <c r="CA30" s="53">
        <v>97937</v>
      </c>
      <c r="CB30" s="53">
        <v>98050</v>
      </c>
      <c r="CC30" s="53">
        <v>98123</v>
      </c>
      <c r="CD30" s="53">
        <v>98210</v>
      </c>
      <c r="CE30" s="53">
        <v>98297</v>
      </c>
      <c r="CF30" s="53">
        <v>98373</v>
      </c>
      <c r="CG30" s="53">
        <v>98478</v>
      </c>
      <c r="CH30" s="53">
        <v>98534</v>
      </c>
      <c r="CI30" s="53">
        <v>98635</v>
      </c>
      <c r="CJ30" s="53">
        <v>98680</v>
      </c>
      <c r="CK30" s="53">
        <v>98736</v>
      </c>
      <c r="CL30" s="53">
        <v>98829</v>
      </c>
      <c r="CM30" s="53">
        <v>98866</v>
      </c>
      <c r="CN30" s="53">
        <v>98928</v>
      </c>
      <c r="CO30" s="53">
        <v>98959</v>
      </c>
      <c r="CP30" s="53">
        <v>99029</v>
      </c>
      <c r="CQ30" s="53">
        <v>99072</v>
      </c>
      <c r="CR30" s="53">
        <v>99097</v>
      </c>
      <c r="CS30" s="53">
        <v>99147</v>
      </c>
      <c r="CT30" s="53">
        <v>99180</v>
      </c>
      <c r="CU30" s="53">
        <v>99210</v>
      </c>
      <c r="CV30" s="53">
        <v>99212</v>
      </c>
      <c r="CW30" s="53">
        <v>99248</v>
      </c>
      <c r="CX30" s="53">
        <v>99276</v>
      </c>
      <c r="CY30" s="53">
        <v>99295</v>
      </c>
      <c r="CZ30" s="53">
        <v>99282</v>
      </c>
      <c r="DA30" s="53">
        <v>99302</v>
      </c>
      <c r="DB30" s="53">
        <v>99318</v>
      </c>
      <c r="DC30" s="53">
        <v>99358</v>
      </c>
      <c r="DD30" s="53">
        <v>99366</v>
      </c>
      <c r="DE30" s="53">
        <v>99387</v>
      </c>
      <c r="DF30" s="53">
        <v>99433</v>
      </c>
      <c r="DG30" s="53">
        <v>99420</v>
      </c>
      <c r="DH30" s="53">
        <v>99448</v>
      </c>
      <c r="DI30" s="53">
        <v>99433</v>
      </c>
      <c r="DJ30" s="53">
        <v>99462</v>
      </c>
      <c r="DK30" s="53">
        <v>99478</v>
      </c>
      <c r="DL30" s="53">
        <v>99483</v>
      </c>
      <c r="DM30" s="53">
        <v>99503</v>
      </c>
      <c r="DN30" s="53">
        <v>99523</v>
      </c>
      <c r="DO30" s="53">
        <v>99541</v>
      </c>
    </row>
    <row r="31" spans="1:119">
      <c r="A31" s="52">
        <v>29</v>
      </c>
      <c r="W31" s="53">
        <v>81122</v>
      </c>
      <c r="X31" s="53">
        <v>81899</v>
      </c>
      <c r="Y31" s="53">
        <v>81979</v>
      </c>
      <c r="Z31" s="53">
        <v>84006</v>
      </c>
      <c r="AA31" s="53">
        <v>84475</v>
      </c>
      <c r="AB31" s="53">
        <v>85075</v>
      </c>
      <c r="AC31" s="53">
        <v>85951</v>
      </c>
      <c r="AD31" s="53">
        <v>86816</v>
      </c>
      <c r="AE31" s="53">
        <v>86765</v>
      </c>
      <c r="AF31" s="53">
        <v>87893</v>
      </c>
      <c r="AG31" s="53">
        <v>88362</v>
      </c>
      <c r="AH31" s="53">
        <v>88555</v>
      </c>
      <c r="AI31" s="53">
        <v>88986</v>
      </c>
      <c r="AJ31" s="53">
        <v>90174</v>
      </c>
      <c r="AK31" s="53">
        <v>90170</v>
      </c>
      <c r="AL31" s="53">
        <v>90515</v>
      </c>
      <c r="AM31" s="53">
        <v>90782</v>
      </c>
      <c r="AN31" s="53">
        <v>91265</v>
      </c>
      <c r="AO31" s="53">
        <v>91294</v>
      </c>
      <c r="AP31" s="53">
        <v>91389</v>
      </c>
      <c r="AQ31" s="53">
        <v>91474</v>
      </c>
      <c r="AR31" s="53">
        <v>91477</v>
      </c>
      <c r="AS31" s="53">
        <v>90978</v>
      </c>
      <c r="AT31" s="53">
        <v>90303</v>
      </c>
      <c r="AU31" s="53">
        <v>89206</v>
      </c>
      <c r="AV31" s="53">
        <v>89384</v>
      </c>
      <c r="AW31" s="53">
        <v>89694</v>
      </c>
      <c r="AX31" s="53">
        <v>91665</v>
      </c>
      <c r="AY31" s="53">
        <v>93260</v>
      </c>
      <c r="AZ31" s="53">
        <v>93333</v>
      </c>
      <c r="BA31" s="53">
        <v>93385</v>
      </c>
      <c r="BB31" s="53">
        <v>93939</v>
      </c>
      <c r="BC31" s="53">
        <v>94205</v>
      </c>
      <c r="BD31" s="53">
        <v>94500</v>
      </c>
      <c r="BE31" s="53">
        <v>94579</v>
      </c>
      <c r="BF31" s="53">
        <v>94932</v>
      </c>
      <c r="BG31" s="53">
        <v>95090</v>
      </c>
      <c r="BH31" s="53">
        <v>95276</v>
      </c>
      <c r="BI31" s="53">
        <v>95383</v>
      </c>
      <c r="BJ31" s="53">
        <v>95594</v>
      </c>
      <c r="BK31" s="53">
        <v>95845</v>
      </c>
      <c r="BL31" s="53">
        <v>96118</v>
      </c>
      <c r="BM31" s="53">
        <v>96315</v>
      </c>
      <c r="BN31" s="53">
        <v>96536</v>
      </c>
      <c r="BO31" s="53">
        <v>96696</v>
      </c>
      <c r="BP31" s="53">
        <v>96846</v>
      </c>
      <c r="BQ31" s="53">
        <v>96919</v>
      </c>
      <c r="BR31" s="53">
        <v>97011</v>
      </c>
      <c r="BS31" s="53">
        <v>97011</v>
      </c>
      <c r="BT31" s="53">
        <v>97082</v>
      </c>
      <c r="BU31" s="53">
        <v>97137</v>
      </c>
      <c r="BV31" s="53">
        <v>97240</v>
      </c>
      <c r="BW31" s="53">
        <v>97319</v>
      </c>
      <c r="BX31" s="53">
        <v>97432</v>
      </c>
      <c r="BY31" s="53">
        <v>97522</v>
      </c>
      <c r="BZ31" s="53">
        <v>97747</v>
      </c>
      <c r="CA31" s="53">
        <v>97913</v>
      </c>
      <c r="CB31" s="53">
        <v>98026</v>
      </c>
      <c r="CC31" s="53">
        <v>98098</v>
      </c>
      <c r="CD31" s="53">
        <v>98184</v>
      </c>
      <c r="CE31" s="53">
        <v>98272</v>
      </c>
      <c r="CF31" s="53">
        <v>98350</v>
      </c>
      <c r="CG31" s="53">
        <v>98452</v>
      </c>
      <c r="CH31" s="53">
        <v>98509</v>
      </c>
      <c r="CI31" s="53">
        <v>98611</v>
      </c>
      <c r="CJ31" s="53">
        <v>98654</v>
      </c>
      <c r="CK31" s="53">
        <v>98712</v>
      </c>
      <c r="CL31" s="53">
        <v>98806</v>
      </c>
      <c r="CM31" s="53">
        <v>98843</v>
      </c>
      <c r="CN31" s="53">
        <v>98907</v>
      </c>
      <c r="CO31" s="53">
        <v>98938</v>
      </c>
      <c r="CP31" s="53">
        <v>99008</v>
      </c>
      <c r="CQ31" s="53">
        <v>99052</v>
      </c>
      <c r="CR31" s="53">
        <v>99078</v>
      </c>
      <c r="CS31" s="53">
        <v>99128</v>
      </c>
      <c r="CT31" s="53">
        <v>99161</v>
      </c>
      <c r="CU31" s="53">
        <v>99192</v>
      </c>
      <c r="CV31" s="53">
        <v>99194</v>
      </c>
      <c r="CW31" s="53">
        <v>99231</v>
      </c>
      <c r="CX31" s="53">
        <v>99259</v>
      </c>
      <c r="CY31" s="53">
        <v>99279</v>
      </c>
      <c r="CZ31" s="53">
        <v>99266</v>
      </c>
      <c r="DA31" s="53">
        <v>99287</v>
      </c>
      <c r="DB31" s="53">
        <v>99303</v>
      </c>
      <c r="DC31" s="53">
        <v>99344</v>
      </c>
      <c r="DD31" s="53">
        <v>99352</v>
      </c>
      <c r="DE31" s="53">
        <v>99373</v>
      </c>
      <c r="DF31" s="53">
        <v>99419</v>
      </c>
      <c r="DG31" s="53">
        <v>99407</v>
      </c>
      <c r="DH31" s="53">
        <v>99435</v>
      </c>
      <c r="DI31" s="53">
        <v>99421</v>
      </c>
      <c r="DJ31" s="53">
        <v>99450</v>
      </c>
      <c r="DK31" s="53">
        <v>99467</v>
      </c>
      <c r="DL31" s="53">
        <v>99472</v>
      </c>
      <c r="DM31" s="53">
        <v>99492</v>
      </c>
      <c r="DN31" s="53">
        <v>99512</v>
      </c>
      <c r="DO31" s="53">
        <v>99531</v>
      </c>
    </row>
    <row r="32" spans="1:119">
      <c r="A32" s="52">
        <v>30</v>
      </c>
      <c r="W32" s="53">
        <v>80994</v>
      </c>
      <c r="X32" s="53">
        <v>81770</v>
      </c>
      <c r="Y32" s="53">
        <v>81867</v>
      </c>
      <c r="Z32" s="53">
        <v>83902</v>
      </c>
      <c r="AA32" s="53">
        <v>84374</v>
      </c>
      <c r="AB32" s="53">
        <v>84978</v>
      </c>
      <c r="AC32" s="53">
        <v>85856</v>
      </c>
      <c r="AD32" s="53">
        <v>86724</v>
      </c>
      <c r="AE32" s="53">
        <v>86672</v>
      </c>
      <c r="AF32" s="53">
        <v>87798</v>
      </c>
      <c r="AG32" s="53">
        <v>88273</v>
      </c>
      <c r="AH32" s="53">
        <v>88468</v>
      </c>
      <c r="AI32" s="53">
        <v>88905</v>
      </c>
      <c r="AJ32" s="53">
        <v>90093</v>
      </c>
      <c r="AK32" s="53">
        <v>90092</v>
      </c>
      <c r="AL32" s="53">
        <v>90444</v>
      </c>
      <c r="AM32" s="53">
        <v>90709</v>
      </c>
      <c r="AN32" s="53">
        <v>91190</v>
      </c>
      <c r="AO32" s="53">
        <v>91228</v>
      </c>
      <c r="AP32" s="53">
        <v>91322</v>
      </c>
      <c r="AQ32" s="53">
        <v>91407</v>
      </c>
      <c r="AR32" s="53">
        <v>91411</v>
      </c>
      <c r="AS32" s="53">
        <v>90913</v>
      </c>
      <c r="AT32" s="53">
        <v>90241</v>
      </c>
      <c r="AU32" s="53">
        <v>89141</v>
      </c>
      <c r="AV32" s="53">
        <v>89321</v>
      </c>
      <c r="AW32" s="53">
        <v>89634</v>
      </c>
      <c r="AX32" s="53">
        <v>91606</v>
      </c>
      <c r="AY32" s="53">
        <v>93191</v>
      </c>
      <c r="AZ32" s="53">
        <v>93270</v>
      </c>
      <c r="BA32" s="53">
        <v>93330</v>
      </c>
      <c r="BB32" s="53">
        <v>93881</v>
      </c>
      <c r="BC32" s="53">
        <v>94149</v>
      </c>
      <c r="BD32" s="53">
        <v>94448</v>
      </c>
      <c r="BE32" s="53">
        <v>94523</v>
      </c>
      <c r="BF32" s="53">
        <v>94884</v>
      </c>
      <c r="BG32" s="53">
        <v>95049</v>
      </c>
      <c r="BH32" s="53">
        <v>95231</v>
      </c>
      <c r="BI32" s="53">
        <v>95332</v>
      </c>
      <c r="BJ32" s="53">
        <v>95543</v>
      </c>
      <c r="BK32" s="53">
        <v>95799</v>
      </c>
      <c r="BL32" s="53">
        <v>96069</v>
      </c>
      <c r="BM32" s="53">
        <v>96267</v>
      </c>
      <c r="BN32" s="53">
        <v>96494</v>
      </c>
      <c r="BO32" s="53">
        <v>96657</v>
      </c>
      <c r="BP32" s="53">
        <v>96803</v>
      </c>
      <c r="BQ32" s="53">
        <v>96880</v>
      </c>
      <c r="BR32" s="53">
        <v>96977</v>
      </c>
      <c r="BS32" s="53">
        <v>96975</v>
      </c>
      <c r="BT32" s="53">
        <v>97048</v>
      </c>
      <c r="BU32" s="53">
        <v>97103</v>
      </c>
      <c r="BV32" s="53">
        <v>97212</v>
      </c>
      <c r="BW32" s="53">
        <v>97291</v>
      </c>
      <c r="BX32" s="53">
        <v>97403</v>
      </c>
      <c r="BY32" s="53">
        <v>97494</v>
      </c>
      <c r="BZ32" s="53">
        <v>97719</v>
      </c>
      <c r="CA32" s="53">
        <v>97882</v>
      </c>
      <c r="CB32" s="53">
        <v>97996</v>
      </c>
      <c r="CC32" s="53">
        <v>98075</v>
      </c>
      <c r="CD32" s="53">
        <v>98157</v>
      </c>
      <c r="CE32" s="53">
        <v>98242</v>
      </c>
      <c r="CF32" s="53">
        <v>98326</v>
      </c>
      <c r="CG32" s="53">
        <v>98421</v>
      </c>
      <c r="CH32" s="53">
        <v>98484</v>
      </c>
      <c r="CI32" s="53">
        <v>98587</v>
      </c>
      <c r="CJ32" s="53">
        <v>98629</v>
      </c>
      <c r="CK32" s="53">
        <v>98687</v>
      </c>
      <c r="CL32" s="53">
        <v>98782</v>
      </c>
      <c r="CM32" s="53">
        <v>98820</v>
      </c>
      <c r="CN32" s="53">
        <v>98883</v>
      </c>
      <c r="CO32" s="53">
        <v>98916</v>
      </c>
      <c r="CP32" s="53">
        <v>98986</v>
      </c>
      <c r="CQ32" s="53">
        <v>99031</v>
      </c>
      <c r="CR32" s="53">
        <v>99057</v>
      </c>
      <c r="CS32" s="53">
        <v>99107</v>
      </c>
      <c r="CT32" s="53">
        <v>99142</v>
      </c>
      <c r="CU32" s="53">
        <v>99173</v>
      </c>
      <c r="CV32" s="53">
        <v>99176</v>
      </c>
      <c r="CW32" s="53">
        <v>99212</v>
      </c>
      <c r="CX32" s="53">
        <v>99241</v>
      </c>
      <c r="CY32" s="53">
        <v>99261</v>
      </c>
      <c r="CZ32" s="53">
        <v>99249</v>
      </c>
      <c r="DA32" s="53">
        <v>99271</v>
      </c>
      <c r="DB32" s="53">
        <v>99287</v>
      </c>
      <c r="DC32" s="53">
        <v>99328</v>
      </c>
      <c r="DD32" s="53">
        <v>99337</v>
      </c>
      <c r="DE32" s="53">
        <v>99358</v>
      </c>
      <c r="DF32" s="53">
        <v>99405</v>
      </c>
      <c r="DG32" s="53">
        <v>99393</v>
      </c>
      <c r="DH32" s="53">
        <v>99422</v>
      </c>
      <c r="DI32" s="53">
        <v>99407</v>
      </c>
      <c r="DJ32" s="53">
        <v>99437</v>
      </c>
      <c r="DK32" s="53">
        <v>99454</v>
      </c>
      <c r="DL32" s="53">
        <v>99460</v>
      </c>
      <c r="DM32" s="53">
        <v>99480</v>
      </c>
      <c r="DN32" s="53">
        <v>99500</v>
      </c>
      <c r="DO32" s="53">
        <v>99519</v>
      </c>
    </row>
    <row r="33" spans="1:119">
      <c r="A33" s="52">
        <v>31</v>
      </c>
      <c r="W33" s="53">
        <v>80860</v>
      </c>
      <c r="X33" s="53">
        <v>81664</v>
      </c>
      <c r="Y33" s="53">
        <v>81763</v>
      </c>
      <c r="Z33" s="53">
        <v>83794</v>
      </c>
      <c r="AA33" s="53">
        <v>84274</v>
      </c>
      <c r="AB33" s="53">
        <v>84880</v>
      </c>
      <c r="AC33" s="53">
        <v>85752</v>
      </c>
      <c r="AD33" s="53">
        <v>86637</v>
      </c>
      <c r="AE33" s="53">
        <v>86579</v>
      </c>
      <c r="AF33" s="53">
        <v>87715</v>
      </c>
      <c r="AG33" s="53">
        <v>88191</v>
      </c>
      <c r="AH33" s="53">
        <v>88389</v>
      </c>
      <c r="AI33" s="53">
        <v>88818</v>
      </c>
      <c r="AJ33" s="53">
        <v>90014</v>
      </c>
      <c r="AK33" s="53">
        <v>90010</v>
      </c>
      <c r="AL33" s="53">
        <v>90365</v>
      </c>
      <c r="AM33" s="53">
        <v>90633</v>
      </c>
      <c r="AN33" s="53">
        <v>91113</v>
      </c>
      <c r="AO33" s="53">
        <v>91152</v>
      </c>
      <c r="AP33" s="53">
        <v>91252</v>
      </c>
      <c r="AQ33" s="53">
        <v>91334</v>
      </c>
      <c r="AR33" s="53">
        <v>91338</v>
      </c>
      <c r="AS33" s="53">
        <v>90845</v>
      </c>
      <c r="AT33" s="53">
        <v>90171</v>
      </c>
      <c r="AU33" s="53">
        <v>89071</v>
      </c>
      <c r="AV33" s="53">
        <v>89258</v>
      </c>
      <c r="AW33" s="53">
        <v>89570</v>
      </c>
      <c r="AX33" s="53">
        <v>91543</v>
      </c>
      <c r="AY33" s="53">
        <v>93130</v>
      </c>
      <c r="AZ33" s="53">
        <v>93208</v>
      </c>
      <c r="BA33" s="53">
        <v>93267</v>
      </c>
      <c r="BB33" s="53">
        <v>93822</v>
      </c>
      <c r="BC33" s="53">
        <v>94094</v>
      </c>
      <c r="BD33" s="53">
        <v>94390</v>
      </c>
      <c r="BE33" s="53">
        <v>94472</v>
      </c>
      <c r="BF33" s="53">
        <v>94830</v>
      </c>
      <c r="BG33" s="53">
        <v>94997</v>
      </c>
      <c r="BH33" s="53">
        <v>95181</v>
      </c>
      <c r="BI33" s="53">
        <v>95282</v>
      </c>
      <c r="BJ33" s="53">
        <v>95492</v>
      </c>
      <c r="BK33" s="53">
        <v>95743</v>
      </c>
      <c r="BL33" s="53">
        <v>96021</v>
      </c>
      <c r="BM33" s="53">
        <v>96218</v>
      </c>
      <c r="BN33" s="53">
        <v>96447</v>
      </c>
      <c r="BO33" s="53">
        <v>96614</v>
      </c>
      <c r="BP33" s="53">
        <v>96762</v>
      </c>
      <c r="BQ33" s="53">
        <v>96842</v>
      </c>
      <c r="BR33" s="53">
        <v>96940</v>
      </c>
      <c r="BS33" s="53">
        <v>96941</v>
      </c>
      <c r="BT33" s="53">
        <v>97019</v>
      </c>
      <c r="BU33" s="53">
        <v>97070</v>
      </c>
      <c r="BV33" s="53">
        <v>97182</v>
      </c>
      <c r="BW33" s="53">
        <v>97256</v>
      </c>
      <c r="BX33" s="53">
        <v>97371</v>
      </c>
      <c r="BY33" s="53">
        <v>97465</v>
      </c>
      <c r="BZ33" s="53">
        <v>97690</v>
      </c>
      <c r="CA33" s="53">
        <v>97854</v>
      </c>
      <c r="CB33" s="53">
        <v>97967</v>
      </c>
      <c r="CC33" s="53">
        <v>98051</v>
      </c>
      <c r="CD33" s="53">
        <v>98127</v>
      </c>
      <c r="CE33" s="53">
        <v>98215</v>
      </c>
      <c r="CF33" s="53">
        <v>98298</v>
      </c>
      <c r="CG33" s="53">
        <v>98393</v>
      </c>
      <c r="CH33" s="53">
        <v>98457</v>
      </c>
      <c r="CI33" s="53">
        <v>98559</v>
      </c>
      <c r="CJ33" s="53">
        <v>98601</v>
      </c>
      <c r="CK33" s="53">
        <v>98660</v>
      </c>
      <c r="CL33" s="53">
        <v>98756</v>
      </c>
      <c r="CM33" s="53">
        <v>98794</v>
      </c>
      <c r="CN33" s="53">
        <v>98859</v>
      </c>
      <c r="CO33" s="53">
        <v>98892</v>
      </c>
      <c r="CP33" s="53">
        <v>98963</v>
      </c>
      <c r="CQ33" s="53">
        <v>99008</v>
      </c>
      <c r="CR33" s="53">
        <v>99035</v>
      </c>
      <c r="CS33" s="53">
        <v>99086</v>
      </c>
      <c r="CT33" s="53">
        <v>99121</v>
      </c>
      <c r="CU33" s="53">
        <v>99152</v>
      </c>
      <c r="CV33" s="53">
        <v>99156</v>
      </c>
      <c r="CW33" s="53">
        <v>99193</v>
      </c>
      <c r="CX33" s="53">
        <v>99222</v>
      </c>
      <c r="CY33" s="53">
        <v>99243</v>
      </c>
      <c r="CZ33" s="53">
        <v>99231</v>
      </c>
      <c r="DA33" s="53">
        <v>99253</v>
      </c>
      <c r="DB33" s="53">
        <v>99270</v>
      </c>
      <c r="DC33" s="53">
        <v>99312</v>
      </c>
      <c r="DD33" s="53">
        <v>99320</v>
      </c>
      <c r="DE33" s="53">
        <v>99342</v>
      </c>
      <c r="DF33" s="53">
        <v>99390</v>
      </c>
      <c r="DG33" s="53">
        <v>99378</v>
      </c>
      <c r="DH33" s="53">
        <v>99407</v>
      </c>
      <c r="DI33" s="53">
        <v>99393</v>
      </c>
      <c r="DJ33" s="53">
        <v>99423</v>
      </c>
      <c r="DK33" s="53">
        <v>99441</v>
      </c>
      <c r="DL33" s="53">
        <v>99446</v>
      </c>
      <c r="DM33" s="53">
        <v>99467</v>
      </c>
      <c r="DN33" s="53">
        <v>99488</v>
      </c>
      <c r="DO33" s="53">
        <v>99507</v>
      </c>
    </row>
    <row r="34" spans="1:119">
      <c r="A34" s="52">
        <v>32</v>
      </c>
      <c r="W34" s="53">
        <v>80745</v>
      </c>
      <c r="X34" s="53">
        <v>81559</v>
      </c>
      <c r="Y34" s="53">
        <v>81657</v>
      </c>
      <c r="Z34" s="53">
        <v>83691</v>
      </c>
      <c r="AA34" s="53">
        <v>84171</v>
      </c>
      <c r="AB34" s="53">
        <v>84785</v>
      </c>
      <c r="AC34" s="53">
        <v>85658</v>
      </c>
      <c r="AD34" s="53">
        <v>86530</v>
      </c>
      <c r="AE34" s="53">
        <v>86481</v>
      </c>
      <c r="AF34" s="53">
        <v>87624</v>
      </c>
      <c r="AG34" s="53">
        <v>88102</v>
      </c>
      <c r="AH34" s="53">
        <v>88305</v>
      </c>
      <c r="AI34" s="53">
        <v>88734</v>
      </c>
      <c r="AJ34" s="53">
        <v>89920</v>
      </c>
      <c r="AK34" s="53">
        <v>89936</v>
      </c>
      <c r="AL34" s="53">
        <v>90291</v>
      </c>
      <c r="AM34" s="53">
        <v>90555</v>
      </c>
      <c r="AN34" s="53">
        <v>91034</v>
      </c>
      <c r="AO34" s="53">
        <v>91078</v>
      </c>
      <c r="AP34" s="53">
        <v>91176</v>
      </c>
      <c r="AQ34" s="53">
        <v>91263</v>
      </c>
      <c r="AR34" s="53">
        <v>91270</v>
      </c>
      <c r="AS34" s="53">
        <v>90766</v>
      </c>
      <c r="AT34" s="53">
        <v>90098</v>
      </c>
      <c r="AU34" s="53">
        <v>88999</v>
      </c>
      <c r="AV34" s="53">
        <v>89187</v>
      </c>
      <c r="AW34" s="53">
        <v>89504</v>
      </c>
      <c r="AX34" s="53">
        <v>91480</v>
      </c>
      <c r="AY34" s="53">
        <v>93064</v>
      </c>
      <c r="AZ34" s="53">
        <v>93140</v>
      </c>
      <c r="BA34" s="53">
        <v>93203</v>
      </c>
      <c r="BB34" s="53">
        <v>93766</v>
      </c>
      <c r="BC34" s="53">
        <v>94041</v>
      </c>
      <c r="BD34" s="53">
        <v>94334</v>
      </c>
      <c r="BE34" s="53">
        <v>94416</v>
      </c>
      <c r="BF34" s="53">
        <v>94769</v>
      </c>
      <c r="BG34" s="53">
        <v>94944</v>
      </c>
      <c r="BH34" s="53">
        <v>95124</v>
      </c>
      <c r="BI34" s="53">
        <v>95227</v>
      </c>
      <c r="BJ34" s="53">
        <v>95444</v>
      </c>
      <c r="BK34" s="53">
        <v>95691</v>
      </c>
      <c r="BL34" s="53">
        <v>95976</v>
      </c>
      <c r="BM34" s="53">
        <v>96170</v>
      </c>
      <c r="BN34" s="53">
        <v>96397</v>
      </c>
      <c r="BO34" s="53">
        <v>96569</v>
      </c>
      <c r="BP34" s="53">
        <v>96721</v>
      </c>
      <c r="BQ34" s="53">
        <v>96806</v>
      </c>
      <c r="BR34" s="53">
        <v>96900</v>
      </c>
      <c r="BS34" s="53">
        <v>96904</v>
      </c>
      <c r="BT34" s="53">
        <v>96986</v>
      </c>
      <c r="BU34" s="53">
        <v>97033</v>
      </c>
      <c r="BV34" s="53">
        <v>97147</v>
      </c>
      <c r="BW34" s="53">
        <v>97225</v>
      </c>
      <c r="BX34" s="53">
        <v>97339</v>
      </c>
      <c r="BY34" s="53">
        <v>97437</v>
      </c>
      <c r="BZ34" s="53">
        <v>97654</v>
      </c>
      <c r="CA34" s="53">
        <v>97825</v>
      </c>
      <c r="CB34" s="53">
        <v>97938</v>
      </c>
      <c r="CC34" s="53">
        <v>98020</v>
      </c>
      <c r="CD34" s="53">
        <v>98101</v>
      </c>
      <c r="CE34" s="53">
        <v>98184</v>
      </c>
      <c r="CF34" s="53">
        <v>98271</v>
      </c>
      <c r="CG34" s="53">
        <v>98360</v>
      </c>
      <c r="CH34" s="53">
        <v>98426</v>
      </c>
      <c r="CI34" s="53">
        <v>98529</v>
      </c>
      <c r="CJ34" s="53">
        <v>98573</v>
      </c>
      <c r="CK34" s="53">
        <v>98632</v>
      </c>
      <c r="CL34" s="53">
        <v>98728</v>
      </c>
      <c r="CM34" s="53">
        <v>98768</v>
      </c>
      <c r="CN34" s="53">
        <v>98833</v>
      </c>
      <c r="CO34" s="53">
        <v>98866</v>
      </c>
      <c r="CP34" s="53">
        <v>98938</v>
      </c>
      <c r="CQ34" s="53">
        <v>98984</v>
      </c>
      <c r="CR34" s="53">
        <v>99011</v>
      </c>
      <c r="CS34" s="53">
        <v>99063</v>
      </c>
      <c r="CT34" s="53">
        <v>99098</v>
      </c>
      <c r="CU34" s="53">
        <v>99130</v>
      </c>
      <c r="CV34" s="53">
        <v>99134</v>
      </c>
      <c r="CW34" s="53">
        <v>99172</v>
      </c>
      <c r="CX34" s="53">
        <v>99202</v>
      </c>
      <c r="CY34" s="53">
        <v>99223</v>
      </c>
      <c r="CZ34" s="53">
        <v>99212</v>
      </c>
      <c r="DA34" s="53">
        <v>99234</v>
      </c>
      <c r="DB34" s="53">
        <v>99252</v>
      </c>
      <c r="DC34" s="53">
        <v>99294</v>
      </c>
      <c r="DD34" s="53">
        <v>99303</v>
      </c>
      <c r="DE34" s="53">
        <v>99326</v>
      </c>
      <c r="DF34" s="53">
        <v>99373</v>
      </c>
      <c r="DG34" s="53">
        <v>99362</v>
      </c>
      <c r="DH34" s="53">
        <v>99392</v>
      </c>
      <c r="DI34" s="53">
        <v>99378</v>
      </c>
      <c r="DJ34" s="53">
        <v>99408</v>
      </c>
      <c r="DK34" s="53">
        <v>99426</v>
      </c>
      <c r="DL34" s="53">
        <v>99432</v>
      </c>
      <c r="DM34" s="53">
        <v>99454</v>
      </c>
      <c r="DN34" s="53">
        <v>99474</v>
      </c>
      <c r="DO34" s="53">
        <v>99494</v>
      </c>
    </row>
    <row r="35" spans="1:119">
      <c r="A35" s="52">
        <v>33</v>
      </c>
      <c r="W35" s="53">
        <v>80627</v>
      </c>
      <c r="X35" s="53">
        <v>81440</v>
      </c>
      <c r="Y35" s="53">
        <v>81544</v>
      </c>
      <c r="Z35" s="53">
        <v>83581</v>
      </c>
      <c r="AA35" s="53">
        <v>84061</v>
      </c>
      <c r="AB35" s="53">
        <v>84681</v>
      </c>
      <c r="AC35" s="53">
        <v>85562</v>
      </c>
      <c r="AD35" s="53">
        <v>86437</v>
      </c>
      <c r="AE35" s="53">
        <v>86383</v>
      </c>
      <c r="AF35" s="53">
        <v>87528</v>
      </c>
      <c r="AG35" s="53">
        <v>88012</v>
      </c>
      <c r="AH35" s="53">
        <v>88212</v>
      </c>
      <c r="AI35" s="53">
        <v>88642</v>
      </c>
      <c r="AJ35" s="53">
        <v>89833</v>
      </c>
      <c r="AK35" s="53">
        <v>89846</v>
      </c>
      <c r="AL35" s="53">
        <v>90210</v>
      </c>
      <c r="AM35" s="53">
        <v>90470</v>
      </c>
      <c r="AN35" s="53">
        <v>90956</v>
      </c>
      <c r="AO35" s="53">
        <v>90997</v>
      </c>
      <c r="AP35" s="53">
        <v>91098</v>
      </c>
      <c r="AQ35" s="53">
        <v>91183</v>
      </c>
      <c r="AR35" s="53">
        <v>91189</v>
      </c>
      <c r="AS35" s="53">
        <v>90689</v>
      </c>
      <c r="AT35" s="53">
        <v>90023</v>
      </c>
      <c r="AU35" s="53">
        <v>88924</v>
      </c>
      <c r="AV35" s="53">
        <v>89114</v>
      </c>
      <c r="AW35" s="53">
        <v>89434</v>
      </c>
      <c r="AX35" s="53">
        <v>91406</v>
      </c>
      <c r="AY35" s="53">
        <v>92995</v>
      </c>
      <c r="AZ35" s="53">
        <v>93075</v>
      </c>
      <c r="BA35" s="53">
        <v>93141</v>
      </c>
      <c r="BB35" s="53">
        <v>93703</v>
      </c>
      <c r="BC35" s="53">
        <v>93976</v>
      </c>
      <c r="BD35" s="53">
        <v>94276</v>
      </c>
      <c r="BE35" s="53">
        <v>94353</v>
      </c>
      <c r="BF35" s="53">
        <v>94708</v>
      </c>
      <c r="BG35" s="53">
        <v>94881</v>
      </c>
      <c r="BH35" s="53">
        <v>95064</v>
      </c>
      <c r="BI35" s="53">
        <v>95166</v>
      </c>
      <c r="BJ35" s="53">
        <v>95388</v>
      </c>
      <c r="BK35" s="53">
        <v>95635</v>
      </c>
      <c r="BL35" s="53">
        <v>95919</v>
      </c>
      <c r="BM35" s="53">
        <v>96124</v>
      </c>
      <c r="BN35" s="53">
        <v>96348</v>
      </c>
      <c r="BO35" s="53">
        <v>96527</v>
      </c>
      <c r="BP35" s="53">
        <v>96678</v>
      </c>
      <c r="BQ35" s="53">
        <v>96759</v>
      </c>
      <c r="BR35" s="53">
        <v>96861</v>
      </c>
      <c r="BS35" s="53">
        <v>96869</v>
      </c>
      <c r="BT35" s="53">
        <v>96950</v>
      </c>
      <c r="BU35" s="53">
        <v>97001</v>
      </c>
      <c r="BV35" s="53">
        <v>97112</v>
      </c>
      <c r="BW35" s="53">
        <v>97193</v>
      </c>
      <c r="BX35" s="53">
        <v>97306</v>
      </c>
      <c r="BY35" s="53">
        <v>97405</v>
      </c>
      <c r="BZ35" s="53">
        <v>97622</v>
      </c>
      <c r="CA35" s="53">
        <v>97789</v>
      </c>
      <c r="CB35" s="53">
        <v>97905</v>
      </c>
      <c r="CC35" s="53">
        <v>97988</v>
      </c>
      <c r="CD35" s="53">
        <v>98072</v>
      </c>
      <c r="CE35" s="53">
        <v>98151</v>
      </c>
      <c r="CF35" s="53">
        <v>98234</v>
      </c>
      <c r="CG35" s="53">
        <v>98328</v>
      </c>
      <c r="CH35" s="53">
        <v>98394</v>
      </c>
      <c r="CI35" s="53">
        <v>98498</v>
      </c>
      <c r="CJ35" s="53">
        <v>98542</v>
      </c>
      <c r="CK35" s="53">
        <v>98603</v>
      </c>
      <c r="CL35" s="53">
        <v>98699</v>
      </c>
      <c r="CM35" s="53">
        <v>98739</v>
      </c>
      <c r="CN35" s="53">
        <v>98805</v>
      </c>
      <c r="CO35" s="53">
        <v>98839</v>
      </c>
      <c r="CP35" s="53">
        <v>98912</v>
      </c>
      <c r="CQ35" s="53">
        <v>98958</v>
      </c>
      <c r="CR35" s="53">
        <v>98986</v>
      </c>
      <c r="CS35" s="53">
        <v>99038</v>
      </c>
      <c r="CT35" s="53">
        <v>99075</v>
      </c>
      <c r="CU35" s="53">
        <v>99107</v>
      </c>
      <c r="CV35" s="53">
        <v>99112</v>
      </c>
      <c r="CW35" s="53">
        <v>99150</v>
      </c>
      <c r="CX35" s="53">
        <v>99181</v>
      </c>
      <c r="CY35" s="53">
        <v>99202</v>
      </c>
      <c r="CZ35" s="53">
        <v>99192</v>
      </c>
      <c r="DA35" s="53">
        <v>99215</v>
      </c>
      <c r="DB35" s="53">
        <v>99233</v>
      </c>
      <c r="DC35" s="53">
        <v>99275</v>
      </c>
      <c r="DD35" s="53">
        <v>99285</v>
      </c>
      <c r="DE35" s="53">
        <v>99308</v>
      </c>
      <c r="DF35" s="53">
        <v>99356</v>
      </c>
      <c r="DG35" s="53">
        <v>99345</v>
      </c>
      <c r="DH35" s="53">
        <v>99375</v>
      </c>
      <c r="DI35" s="53">
        <v>99362</v>
      </c>
      <c r="DJ35" s="53">
        <v>99392</v>
      </c>
      <c r="DK35" s="53">
        <v>99411</v>
      </c>
      <c r="DL35" s="53">
        <v>99417</v>
      </c>
      <c r="DM35" s="53">
        <v>99439</v>
      </c>
      <c r="DN35" s="53">
        <v>99460</v>
      </c>
      <c r="DO35" s="53">
        <v>99480</v>
      </c>
    </row>
    <row r="36" spans="1:119">
      <c r="A36" s="52">
        <v>34</v>
      </c>
      <c r="W36" s="53">
        <v>80513</v>
      </c>
      <c r="X36" s="53">
        <v>81319</v>
      </c>
      <c r="Y36" s="53">
        <v>81436</v>
      </c>
      <c r="Z36" s="53">
        <v>83475</v>
      </c>
      <c r="AA36" s="53">
        <v>83960</v>
      </c>
      <c r="AB36" s="53">
        <v>84575</v>
      </c>
      <c r="AC36" s="53">
        <v>85457</v>
      </c>
      <c r="AD36" s="53">
        <v>86338</v>
      </c>
      <c r="AE36" s="53">
        <v>86280</v>
      </c>
      <c r="AF36" s="53">
        <v>87433</v>
      </c>
      <c r="AG36" s="53">
        <v>87919</v>
      </c>
      <c r="AH36" s="53">
        <v>88117</v>
      </c>
      <c r="AI36" s="53">
        <v>88539</v>
      </c>
      <c r="AJ36" s="53">
        <v>89743</v>
      </c>
      <c r="AK36" s="53">
        <v>89760</v>
      </c>
      <c r="AL36" s="53">
        <v>90124</v>
      </c>
      <c r="AM36" s="53">
        <v>90380</v>
      </c>
      <c r="AN36" s="53">
        <v>90870</v>
      </c>
      <c r="AO36" s="53">
        <v>90910</v>
      </c>
      <c r="AP36" s="53">
        <v>91016</v>
      </c>
      <c r="AQ36" s="53">
        <v>91102</v>
      </c>
      <c r="AR36" s="53">
        <v>91107</v>
      </c>
      <c r="AS36" s="53">
        <v>90609</v>
      </c>
      <c r="AT36" s="53">
        <v>89936</v>
      </c>
      <c r="AU36" s="53">
        <v>88841</v>
      </c>
      <c r="AV36" s="53">
        <v>89033</v>
      </c>
      <c r="AW36" s="53">
        <v>89360</v>
      </c>
      <c r="AX36" s="53">
        <v>91339</v>
      </c>
      <c r="AY36" s="53">
        <v>92919</v>
      </c>
      <c r="AZ36" s="53">
        <v>93005</v>
      </c>
      <c r="BA36" s="53">
        <v>93071</v>
      </c>
      <c r="BB36" s="53">
        <v>93640</v>
      </c>
      <c r="BC36" s="53">
        <v>93911</v>
      </c>
      <c r="BD36" s="53">
        <v>94216</v>
      </c>
      <c r="BE36" s="53">
        <v>94287</v>
      </c>
      <c r="BF36" s="53">
        <v>94647</v>
      </c>
      <c r="BG36" s="53">
        <v>94813</v>
      </c>
      <c r="BH36" s="53">
        <v>95000</v>
      </c>
      <c r="BI36" s="53">
        <v>95103</v>
      </c>
      <c r="BJ36" s="53">
        <v>95319</v>
      </c>
      <c r="BK36" s="53">
        <v>95573</v>
      </c>
      <c r="BL36" s="53">
        <v>95863</v>
      </c>
      <c r="BM36" s="53">
        <v>96074</v>
      </c>
      <c r="BN36" s="53">
        <v>96300</v>
      </c>
      <c r="BO36" s="53">
        <v>96479</v>
      </c>
      <c r="BP36" s="53">
        <v>96631</v>
      </c>
      <c r="BQ36" s="53">
        <v>96717</v>
      </c>
      <c r="BR36" s="53">
        <v>96822</v>
      </c>
      <c r="BS36" s="53">
        <v>96830</v>
      </c>
      <c r="BT36" s="53">
        <v>96911</v>
      </c>
      <c r="BU36" s="53">
        <v>96963</v>
      </c>
      <c r="BV36" s="53">
        <v>97078</v>
      </c>
      <c r="BW36" s="53">
        <v>97150</v>
      </c>
      <c r="BX36" s="53">
        <v>97271</v>
      </c>
      <c r="BY36" s="53">
        <v>97370</v>
      </c>
      <c r="BZ36" s="53">
        <v>97589</v>
      </c>
      <c r="CA36" s="53">
        <v>97751</v>
      </c>
      <c r="CB36" s="53">
        <v>97865</v>
      </c>
      <c r="CC36" s="53">
        <v>97948</v>
      </c>
      <c r="CD36" s="53">
        <v>98036</v>
      </c>
      <c r="CE36" s="53">
        <v>98116</v>
      </c>
      <c r="CF36" s="53">
        <v>98199</v>
      </c>
      <c r="CG36" s="53">
        <v>98293</v>
      </c>
      <c r="CH36" s="53">
        <v>98361</v>
      </c>
      <c r="CI36" s="53">
        <v>98466</v>
      </c>
      <c r="CJ36" s="53">
        <v>98511</v>
      </c>
      <c r="CK36" s="53">
        <v>98572</v>
      </c>
      <c r="CL36" s="53">
        <v>98669</v>
      </c>
      <c r="CM36" s="53">
        <v>98710</v>
      </c>
      <c r="CN36" s="53">
        <v>98776</v>
      </c>
      <c r="CO36" s="53">
        <v>98811</v>
      </c>
      <c r="CP36" s="53">
        <v>98884</v>
      </c>
      <c r="CQ36" s="53">
        <v>98931</v>
      </c>
      <c r="CR36" s="53">
        <v>98960</v>
      </c>
      <c r="CS36" s="53">
        <v>99013</v>
      </c>
      <c r="CT36" s="53">
        <v>99050</v>
      </c>
      <c r="CU36" s="53">
        <v>99083</v>
      </c>
      <c r="CV36" s="53">
        <v>99088</v>
      </c>
      <c r="CW36" s="53">
        <v>99127</v>
      </c>
      <c r="CX36" s="53">
        <v>99158</v>
      </c>
      <c r="CY36" s="53">
        <v>99180</v>
      </c>
      <c r="CZ36" s="53">
        <v>99170</v>
      </c>
      <c r="DA36" s="53">
        <v>99194</v>
      </c>
      <c r="DB36" s="53">
        <v>99212</v>
      </c>
      <c r="DC36" s="53">
        <v>99255</v>
      </c>
      <c r="DD36" s="53">
        <v>99266</v>
      </c>
      <c r="DE36" s="53">
        <v>99289</v>
      </c>
      <c r="DF36" s="53">
        <v>99338</v>
      </c>
      <c r="DG36" s="53">
        <v>99327</v>
      </c>
      <c r="DH36" s="53">
        <v>99358</v>
      </c>
      <c r="DI36" s="53">
        <v>99345</v>
      </c>
      <c r="DJ36" s="53">
        <v>99376</v>
      </c>
      <c r="DK36" s="53">
        <v>99395</v>
      </c>
      <c r="DL36" s="53">
        <v>99402</v>
      </c>
      <c r="DM36" s="53">
        <v>99424</v>
      </c>
      <c r="DN36" s="53">
        <v>99445</v>
      </c>
      <c r="DO36" s="53">
        <v>99466</v>
      </c>
    </row>
    <row r="37" spans="1:119">
      <c r="A37" s="52">
        <v>35</v>
      </c>
      <c r="W37" s="53">
        <v>80387</v>
      </c>
      <c r="X37" s="53">
        <v>81205</v>
      </c>
      <c r="Y37" s="53">
        <v>81317</v>
      </c>
      <c r="Z37" s="53">
        <v>83358</v>
      </c>
      <c r="AA37" s="53">
        <v>83847</v>
      </c>
      <c r="AB37" s="53">
        <v>84461</v>
      </c>
      <c r="AC37" s="53">
        <v>85355</v>
      </c>
      <c r="AD37" s="53">
        <v>86238</v>
      </c>
      <c r="AE37" s="53">
        <v>86173</v>
      </c>
      <c r="AF37" s="53">
        <v>87330</v>
      </c>
      <c r="AG37" s="53">
        <v>87817</v>
      </c>
      <c r="AH37" s="53">
        <v>88013</v>
      </c>
      <c r="AI37" s="53">
        <v>88442</v>
      </c>
      <c r="AJ37" s="53">
        <v>89645</v>
      </c>
      <c r="AK37" s="53">
        <v>89660</v>
      </c>
      <c r="AL37" s="53">
        <v>90030</v>
      </c>
      <c r="AM37" s="53">
        <v>90293</v>
      </c>
      <c r="AN37" s="53">
        <v>90780</v>
      </c>
      <c r="AO37" s="53">
        <v>90817</v>
      </c>
      <c r="AP37" s="53">
        <v>90926</v>
      </c>
      <c r="AQ37" s="53">
        <v>91015</v>
      </c>
      <c r="AR37" s="53">
        <v>91025</v>
      </c>
      <c r="AS37" s="53">
        <v>90518</v>
      </c>
      <c r="AT37" s="53">
        <v>89847</v>
      </c>
      <c r="AU37" s="53">
        <v>88768</v>
      </c>
      <c r="AV37" s="53">
        <v>88954</v>
      </c>
      <c r="AW37" s="53">
        <v>89287</v>
      </c>
      <c r="AX37" s="53">
        <v>91264</v>
      </c>
      <c r="AY37" s="53">
        <v>92844</v>
      </c>
      <c r="AZ37" s="53">
        <v>92938</v>
      </c>
      <c r="BA37" s="53">
        <v>92996</v>
      </c>
      <c r="BB37" s="53">
        <v>93571</v>
      </c>
      <c r="BC37" s="53">
        <v>93840</v>
      </c>
      <c r="BD37" s="53">
        <v>94149</v>
      </c>
      <c r="BE37" s="53">
        <v>94211</v>
      </c>
      <c r="BF37" s="53">
        <v>94576</v>
      </c>
      <c r="BG37" s="53">
        <v>94738</v>
      </c>
      <c r="BH37" s="53">
        <v>94928</v>
      </c>
      <c r="BI37" s="53">
        <v>95036</v>
      </c>
      <c r="BJ37" s="53">
        <v>95250</v>
      </c>
      <c r="BK37" s="53">
        <v>95510</v>
      </c>
      <c r="BL37" s="53">
        <v>95803</v>
      </c>
      <c r="BM37" s="53">
        <v>96018</v>
      </c>
      <c r="BN37" s="53">
        <v>96247</v>
      </c>
      <c r="BO37" s="53">
        <v>96430</v>
      </c>
      <c r="BP37" s="53">
        <v>96584</v>
      </c>
      <c r="BQ37" s="53">
        <v>96670</v>
      </c>
      <c r="BR37" s="53">
        <v>96776</v>
      </c>
      <c r="BS37" s="53">
        <v>96784</v>
      </c>
      <c r="BT37" s="53">
        <v>96873</v>
      </c>
      <c r="BU37" s="53">
        <v>96921</v>
      </c>
      <c r="BV37" s="53">
        <v>97040</v>
      </c>
      <c r="BW37" s="53">
        <v>97114</v>
      </c>
      <c r="BX37" s="53">
        <v>97231</v>
      </c>
      <c r="BY37" s="53">
        <v>97325</v>
      </c>
      <c r="BZ37" s="53">
        <v>97549</v>
      </c>
      <c r="CA37" s="53">
        <v>97710</v>
      </c>
      <c r="CB37" s="53">
        <v>97827</v>
      </c>
      <c r="CC37" s="53">
        <v>97913</v>
      </c>
      <c r="CD37" s="53">
        <v>97996</v>
      </c>
      <c r="CE37" s="53">
        <v>98078</v>
      </c>
      <c r="CF37" s="53">
        <v>98163</v>
      </c>
      <c r="CG37" s="53">
        <v>98258</v>
      </c>
      <c r="CH37" s="53">
        <v>98326</v>
      </c>
      <c r="CI37" s="53">
        <v>98432</v>
      </c>
      <c r="CJ37" s="53">
        <v>98477</v>
      </c>
      <c r="CK37" s="53">
        <v>98539</v>
      </c>
      <c r="CL37" s="53">
        <v>98637</v>
      </c>
      <c r="CM37" s="53">
        <v>98679</v>
      </c>
      <c r="CN37" s="53">
        <v>98746</v>
      </c>
      <c r="CO37" s="53">
        <v>98782</v>
      </c>
      <c r="CP37" s="53">
        <v>98856</v>
      </c>
      <c r="CQ37" s="53">
        <v>98904</v>
      </c>
      <c r="CR37" s="53">
        <v>98933</v>
      </c>
      <c r="CS37" s="53">
        <v>98986</v>
      </c>
      <c r="CT37" s="53">
        <v>99024</v>
      </c>
      <c r="CU37" s="53">
        <v>99058</v>
      </c>
      <c r="CV37" s="53">
        <v>99064</v>
      </c>
      <c r="CW37" s="53">
        <v>99103</v>
      </c>
      <c r="CX37" s="53">
        <v>99135</v>
      </c>
      <c r="CY37" s="53">
        <v>99157</v>
      </c>
      <c r="CZ37" s="53">
        <v>99148</v>
      </c>
      <c r="DA37" s="53">
        <v>99172</v>
      </c>
      <c r="DB37" s="53">
        <v>99191</v>
      </c>
      <c r="DC37" s="53">
        <v>99234</v>
      </c>
      <c r="DD37" s="53">
        <v>99245</v>
      </c>
      <c r="DE37" s="53">
        <v>99269</v>
      </c>
      <c r="DF37" s="53">
        <v>99318</v>
      </c>
      <c r="DG37" s="53">
        <v>99308</v>
      </c>
      <c r="DH37" s="53">
        <v>99339</v>
      </c>
      <c r="DI37" s="53">
        <v>99327</v>
      </c>
      <c r="DJ37" s="53">
        <v>99358</v>
      </c>
      <c r="DK37" s="53">
        <v>99377</v>
      </c>
      <c r="DL37" s="53">
        <v>99385</v>
      </c>
      <c r="DM37" s="53">
        <v>99407</v>
      </c>
      <c r="DN37" s="53">
        <v>99429</v>
      </c>
      <c r="DO37" s="53">
        <v>99450</v>
      </c>
    </row>
    <row r="38" spans="1:119">
      <c r="A38" s="52">
        <v>36</v>
      </c>
      <c r="W38" s="53">
        <v>80265</v>
      </c>
      <c r="X38" s="53">
        <v>81083</v>
      </c>
      <c r="Y38" s="53">
        <v>81202</v>
      </c>
      <c r="Z38" s="53">
        <v>83236</v>
      </c>
      <c r="AA38" s="53">
        <v>83724</v>
      </c>
      <c r="AB38" s="53">
        <v>84341</v>
      </c>
      <c r="AC38" s="53">
        <v>85239</v>
      </c>
      <c r="AD38" s="53">
        <v>86122</v>
      </c>
      <c r="AE38" s="53">
        <v>86062</v>
      </c>
      <c r="AF38" s="53">
        <v>87221</v>
      </c>
      <c r="AG38" s="53">
        <v>87706</v>
      </c>
      <c r="AH38" s="53">
        <v>87908</v>
      </c>
      <c r="AI38" s="53">
        <v>88334</v>
      </c>
      <c r="AJ38" s="53">
        <v>89533</v>
      </c>
      <c r="AK38" s="53">
        <v>89555</v>
      </c>
      <c r="AL38" s="53">
        <v>89921</v>
      </c>
      <c r="AM38" s="53">
        <v>90203</v>
      </c>
      <c r="AN38" s="53">
        <v>90681</v>
      </c>
      <c r="AO38" s="53">
        <v>90723</v>
      </c>
      <c r="AP38" s="53">
        <v>90834</v>
      </c>
      <c r="AQ38" s="53">
        <v>90921</v>
      </c>
      <c r="AR38" s="53">
        <v>90925</v>
      </c>
      <c r="AS38" s="53">
        <v>90427</v>
      </c>
      <c r="AT38" s="53">
        <v>89756</v>
      </c>
      <c r="AU38" s="53">
        <v>88679</v>
      </c>
      <c r="AV38" s="53">
        <v>88870</v>
      </c>
      <c r="AW38" s="53">
        <v>89200</v>
      </c>
      <c r="AX38" s="53">
        <v>91180</v>
      </c>
      <c r="AY38" s="53">
        <v>92755</v>
      </c>
      <c r="AZ38" s="53">
        <v>92868</v>
      </c>
      <c r="BA38" s="53">
        <v>92922</v>
      </c>
      <c r="BB38" s="53">
        <v>93497</v>
      </c>
      <c r="BC38" s="53">
        <v>93766</v>
      </c>
      <c r="BD38" s="53">
        <v>94075</v>
      </c>
      <c r="BE38" s="53">
        <v>94133</v>
      </c>
      <c r="BF38" s="53">
        <v>94500</v>
      </c>
      <c r="BG38" s="53">
        <v>94663</v>
      </c>
      <c r="BH38" s="53">
        <v>94863</v>
      </c>
      <c r="BI38" s="53">
        <v>94963</v>
      </c>
      <c r="BJ38" s="53">
        <v>95177</v>
      </c>
      <c r="BK38" s="53">
        <v>95447</v>
      </c>
      <c r="BL38" s="53">
        <v>95736</v>
      </c>
      <c r="BM38" s="53">
        <v>95960</v>
      </c>
      <c r="BN38" s="53">
        <v>96193</v>
      </c>
      <c r="BO38" s="53">
        <v>96373</v>
      </c>
      <c r="BP38" s="53">
        <v>96531</v>
      </c>
      <c r="BQ38" s="53">
        <v>96617</v>
      </c>
      <c r="BR38" s="53">
        <v>96727</v>
      </c>
      <c r="BS38" s="53">
        <v>96740</v>
      </c>
      <c r="BT38" s="53">
        <v>96827</v>
      </c>
      <c r="BU38" s="53">
        <v>96876</v>
      </c>
      <c r="BV38" s="53">
        <v>96998</v>
      </c>
      <c r="BW38" s="53">
        <v>97074</v>
      </c>
      <c r="BX38" s="53">
        <v>97187</v>
      </c>
      <c r="BY38" s="53">
        <v>97290</v>
      </c>
      <c r="BZ38" s="53">
        <v>97505</v>
      </c>
      <c r="CA38" s="53">
        <v>97667</v>
      </c>
      <c r="CB38" s="53">
        <v>97787</v>
      </c>
      <c r="CC38" s="53">
        <v>97876</v>
      </c>
      <c r="CD38" s="53">
        <v>97956</v>
      </c>
      <c r="CE38" s="53">
        <v>98039</v>
      </c>
      <c r="CF38" s="53">
        <v>98125</v>
      </c>
      <c r="CG38" s="53">
        <v>98220</v>
      </c>
      <c r="CH38" s="53">
        <v>98290</v>
      </c>
      <c r="CI38" s="53">
        <v>98396</v>
      </c>
      <c r="CJ38" s="53">
        <v>98443</v>
      </c>
      <c r="CK38" s="53">
        <v>98505</v>
      </c>
      <c r="CL38" s="53">
        <v>98604</v>
      </c>
      <c r="CM38" s="53">
        <v>98647</v>
      </c>
      <c r="CN38" s="53">
        <v>98715</v>
      </c>
      <c r="CO38" s="53">
        <v>98751</v>
      </c>
      <c r="CP38" s="53">
        <v>98826</v>
      </c>
      <c r="CQ38" s="53">
        <v>98874</v>
      </c>
      <c r="CR38" s="53">
        <v>98904</v>
      </c>
      <c r="CS38" s="53">
        <v>98958</v>
      </c>
      <c r="CT38" s="53">
        <v>98996</v>
      </c>
      <c r="CU38" s="53">
        <v>99031</v>
      </c>
      <c r="CV38" s="53">
        <v>99037</v>
      </c>
      <c r="CW38" s="53">
        <v>99078</v>
      </c>
      <c r="CX38" s="53">
        <v>99110</v>
      </c>
      <c r="CY38" s="53">
        <v>99133</v>
      </c>
      <c r="CZ38" s="53">
        <v>99124</v>
      </c>
      <c r="DA38" s="53">
        <v>99149</v>
      </c>
      <c r="DB38" s="53">
        <v>99168</v>
      </c>
      <c r="DC38" s="53">
        <v>99212</v>
      </c>
      <c r="DD38" s="53">
        <v>99224</v>
      </c>
      <c r="DE38" s="53">
        <v>99248</v>
      </c>
      <c r="DF38" s="53">
        <v>99298</v>
      </c>
      <c r="DG38" s="53">
        <v>99288</v>
      </c>
      <c r="DH38" s="53">
        <v>99320</v>
      </c>
      <c r="DI38" s="53">
        <v>99308</v>
      </c>
      <c r="DJ38" s="53">
        <v>99340</v>
      </c>
      <c r="DK38" s="53">
        <v>99359</v>
      </c>
      <c r="DL38" s="53">
        <v>99367</v>
      </c>
      <c r="DM38" s="53">
        <v>99390</v>
      </c>
      <c r="DN38" s="53">
        <v>99412</v>
      </c>
      <c r="DO38" s="53">
        <v>99434</v>
      </c>
    </row>
    <row r="39" spans="1:119">
      <c r="A39" s="52">
        <v>37</v>
      </c>
      <c r="W39" s="53">
        <v>80133</v>
      </c>
      <c r="X39" s="53">
        <v>80955</v>
      </c>
      <c r="Y39" s="53">
        <v>81070</v>
      </c>
      <c r="Z39" s="53">
        <v>83109</v>
      </c>
      <c r="AA39" s="53">
        <v>83601</v>
      </c>
      <c r="AB39" s="53">
        <v>84229</v>
      </c>
      <c r="AC39" s="53">
        <v>85119</v>
      </c>
      <c r="AD39" s="53">
        <v>86004</v>
      </c>
      <c r="AE39" s="53">
        <v>85952</v>
      </c>
      <c r="AF39" s="53">
        <v>87103</v>
      </c>
      <c r="AG39" s="53">
        <v>87594</v>
      </c>
      <c r="AH39" s="53">
        <v>87799</v>
      </c>
      <c r="AI39" s="53">
        <v>88216</v>
      </c>
      <c r="AJ39" s="53">
        <v>89414</v>
      </c>
      <c r="AK39" s="53">
        <v>89444</v>
      </c>
      <c r="AL39" s="53">
        <v>89814</v>
      </c>
      <c r="AM39" s="53">
        <v>90104</v>
      </c>
      <c r="AN39" s="53">
        <v>90578</v>
      </c>
      <c r="AO39" s="53">
        <v>90620</v>
      </c>
      <c r="AP39" s="53">
        <v>90735</v>
      </c>
      <c r="AQ39" s="53">
        <v>90825</v>
      </c>
      <c r="AR39" s="53">
        <v>90829</v>
      </c>
      <c r="AS39" s="53">
        <v>90333</v>
      </c>
      <c r="AT39" s="53">
        <v>89662</v>
      </c>
      <c r="AU39" s="53">
        <v>88587</v>
      </c>
      <c r="AV39" s="53">
        <v>88773</v>
      </c>
      <c r="AW39" s="53">
        <v>89113</v>
      </c>
      <c r="AX39" s="53">
        <v>91092</v>
      </c>
      <c r="AY39" s="53">
        <v>92673</v>
      </c>
      <c r="AZ39" s="53">
        <v>92789</v>
      </c>
      <c r="BA39" s="53">
        <v>92841</v>
      </c>
      <c r="BB39" s="53">
        <v>93414</v>
      </c>
      <c r="BC39" s="53">
        <v>93679</v>
      </c>
      <c r="BD39" s="53">
        <v>93979</v>
      </c>
      <c r="BE39" s="53">
        <v>94048</v>
      </c>
      <c r="BF39" s="53">
        <v>94417</v>
      </c>
      <c r="BG39" s="53">
        <v>94584</v>
      </c>
      <c r="BH39" s="53">
        <v>94786</v>
      </c>
      <c r="BI39" s="53">
        <v>94892</v>
      </c>
      <c r="BJ39" s="53">
        <v>95105</v>
      </c>
      <c r="BK39" s="53">
        <v>95371</v>
      </c>
      <c r="BL39" s="53">
        <v>95673</v>
      </c>
      <c r="BM39" s="53">
        <v>95900</v>
      </c>
      <c r="BN39" s="53">
        <v>96131</v>
      </c>
      <c r="BO39" s="53">
        <v>96314</v>
      </c>
      <c r="BP39" s="53">
        <v>96471</v>
      </c>
      <c r="BQ39" s="53">
        <v>96565</v>
      </c>
      <c r="BR39" s="53">
        <v>96676</v>
      </c>
      <c r="BS39" s="53">
        <v>96689</v>
      </c>
      <c r="BT39" s="53">
        <v>96779</v>
      </c>
      <c r="BU39" s="53">
        <v>96832</v>
      </c>
      <c r="BV39" s="53">
        <v>96952</v>
      </c>
      <c r="BW39" s="53">
        <v>97026</v>
      </c>
      <c r="BX39" s="53">
        <v>97142</v>
      </c>
      <c r="BY39" s="53">
        <v>97243</v>
      </c>
      <c r="BZ39" s="53">
        <v>97462</v>
      </c>
      <c r="CA39" s="53">
        <v>97619</v>
      </c>
      <c r="CB39" s="53">
        <v>97743</v>
      </c>
      <c r="CC39" s="53">
        <v>97832</v>
      </c>
      <c r="CD39" s="53">
        <v>97913</v>
      </c>
      <c r="CE39" s="53">
        <v>97998</v>
      </c>
      <c r="CF39" s="53">
        <v>98084</v>
      </c>
      <c r="CG39" s="53">
        <v>98181</v>
      </c>
      <c r="CH39" s="53">
        <v>98251</v>
      </c>
      <c r="CI39" s="53">
        <v>98358</v>
      </c>
      <c r="CJ39" s="53">
        <v>98406</v>
      </c>
      <c r="CK39" s="53">
        <v>98469</v>
      </c>
      <c r="CL39" s="53">
        <v>98569</v>
      </c>
      <c r="CM39" s="53">
        <v>98612</v>
      </c>
      <c r="CN39" s="53">
        <v>98681</v>
      </c>
      <c r="CO39" s="53">
        <v>98718</v>
      </c>
      <c r="CP39" s="53">
        <v>98794</v>
      </c>
      <c r="CQ39" s="53">
        <v>98843</v>
      </c>
      <c r="CR39" s="53">
        <v>98874</v>
      </c>
      <c r="CS39" s="53">
        <v>98928</v>
      </c>
      <c r="CT39" s="53">
        <v>98967</v>
      </c>
      <c r="CU39" s="53">
        <v>99002</v>
      </c>
      <c r="CV39" s="53">
        <v>99010</v>
      </c>
      <c r="CW39" s="53">
        <v>99051</v>
      </c>
      <c r="CX39" s="53">
        <v>99083</v>
      </c>
      <c r="CY39" s="53">
        <v>99107</v>
      </c>
      <c r="CZ39" s="53">
        <v>99099</v>
      </c>
      <c r="DA39" s="53">
        <v>99124</v>
      </c>
      <c r="DB39" s="53">
        <v>99144</v>
      </c>
      <c r="DC39" s="53">
        <v>99189</v>
      </c>
      <c r="DD39" s="53">
        <v>99201</v>
      </c>
      <c r="DE39" s="53">
        <v>99226</v>
      </c>
      <c r="DF39" s="53">
        <v>99276</v>
      </c>
      <c r="DG39" s="53">
        <v>99267</v>
      </c>
      <c r="DH39" s="53">
        <v>99299</v>
      </c>
      <c r="DI39" s="53">
        <v>99287</v>
      </c>
      <c r="DJ39" s="53">
        <v>99320</v>
      </c>
      <c r="DK39" s="53">
        <v>99340</v>
      </c>
      <c r="DL39" s="53">
        <v>99348</v>
      </c>
      <c r="DM39" s="53">
        <v>99372</v>
      </c>
      <c r="DN39" s="53">
        <v>99394</v>
      </c>
      <c r="DO39" s="53">
        <v>99416</v>
      </c>
    </row>
    <row r="40" spans="1:119">
      <c r="A40" s="52">
        <v>38</v>
      </c>
      <c r="W40" s="53">
        <v>79996</v>
      </c>
      <c r="X40" s="53">
        <v>80820</v>
      </c>
      <c r="Y40" s="53">
        <v>80930</v>
      </c>
      <c r="Z40" s="53">
        <v>82973</v>
      </c>
      <c r="AA40" s="53">
        <v>83470</v>
      </c>
      <c r="AB40" s="53">
        <v>84107</v>
      </c>
      <c r="AC40" s="53">
        <v>84991</v>
      </c>
      <c r="AD40" s="53">
        <v>85868</v>
      </c>
      <c r="AE40" s="53">
        <v>85821</v>
      </c>
      <c r="AF40" s="53">
        <v>86985</v>
      </c>
      <c r="AG40" s="53">
        <v>87470</v>
      </c>
      <c r="AH40" s="53">
        <v>87669</v>
      </c>
      <c r="AI40" s="53">
        <v>88091</v>
      </c>
      <c r="AJ40" s="53">
        <v>89291</v>
      </c>
      <c r="AK40" s="53">
        <v>89321</v>
      </c>
      <c r="AL40" s="53">
        <v>89701</v>
      </c>
      <c r="AM40" s="53">
        <v>89995</v>
      </c>
      <c r="AN40" s="53">
        <v>90471</v>
      </c>
      <c r="AO40" s="53">
        <v>90514</v>
      </c>
      <c r="AP40" s="53">
        <v>90631</v>
      </c>
      <c r="AQ40" s="53">
        <v>90725</v>
      </c>
      <c r="AR40" s="53">
        <v>90724</v>
      </c>
      <c r="AS40" s="53">
        <v>90226</v>
      </c>
      <c r="AT40" s="53">
        <v>89557</v>
      </c>
      <c r="AU40" s="53">
        <v>88491</v>
      </c>
      <c r="AV40" s="53">
        <v>88683</v>
      </c>
      <c r="AW40" s="53">
        <v>89012</v>
      </c>
      <c r="AX40" s="53">
        <v>91003</v>
      </c>
      <c r="AY40" s="53">
        <v>92580</v>
      </c>
      <c r="AZ40" s="53">
        <v>92701</v>
      </c>
      <c r="BA40" s="53">
        <v>92755</v>
      </c>
      <c r="BB40" s="53">
        <v>93325</v>
      </c>
      <c r="BC40" s="53">
        <v>93582</v>
      </c>
      <c r="BD40" s="53">
        <v>93887</v>
      </c>
      <c r="BE40" s="53">
        <v>93952</v>
      </c>
      <c r="BF40" s="53">
        <v>94326</v>
      </c>
      <c r="BG40" s="53">
        <v>94502</v>
      </c>
      <c r="BH40" s="53">
        <v>94702</v>
      </c>
      <c r="BI40" s="53">
        <v>94808</v>
      </c>
      <c r="BJ40" s="53">
        <v>95029</v>
      </c>
      <c r="BK40" s="53">
        <v>95295</v>
      </c>
      <c r="BL40" s="53">
        <v>95605</v>
      </c>
      <c r="BM40" s="53">
        <v>95829</v>
      </c>
      <c r="BN40" s="53">
        <v>96065</v>
      </c>
      <c r="BO40" s="53">
        <v>96251</v>
      </c>
      <c r="BP40" s="53">
        <v>96415</v>
      </c>
      <c r="BQ40" s="53">
        <v>96506</v>
      </c>
      <c r="BR40" s="53">
        <v>96621</v>
      </c>
      <c r="BS40" s="53">
        <v>96636</v>
      </c>
      <c r="BT40" s="53">
        <v>96730</v>
      </c>
      <c r="BU40" s="53">
        <v>96782</v>
      </c>
      <c r="BV40" s="53">
        <v>96899</v>
      </c>
      <c r="BW40" s="53">
        <v>96974</v>
      </c>
      <c r="BX40" s="53">
        <v>97092</v>
      </c>
      <c r="BY40" s="53">
        <v>97196</v>
      </c>
      <c r="BZ40" s="53">
        <v>97417</v>
      </c>
      <c r="CA40" s="53">
        <v>97576</v>
      </c>
      <c r="CB40" s="53">
        <v>97696</v>
      </c>
      <c r="CC40" s="53">
        <v>97786</v>
      </c>
      <c r="CD40" s="53">
        <v>97868</v>
      </c>
      <c r="CE40" s="53">
        <v>97954</v>
      </c>
      <c r="CF40" s="53">
        <v>98041</v>
      </c>
      <c r="CG40" s="53">
        <v>98139</v>
      </c>
      <c r="CH40" s="53">
        <v>98210</v>
      </c>
      <c r="CI40" s="53">
        <v>98318</v>
      </c>
      <c r="CJ40" s="53">
        <v>98366</v>
      </c>
      <c r="CK40" s="53">
        <v>98431</v>
      </c>
      <c r="CL40" s="53">
        <v>98532</v>
      </c>
      <c r="CM40" s="53">
        <v>98576</v>
      </c>
      <c r="CN40" s="53">
        <v>98645</v>
      </c>
      <c r="CO40" s="53">
        <v>98683</v>
      </c>
      <c r="CP40" s="53">
        <v>98759</v>
      </c>
      <c r="CQ40" s="53">
        <v>98809</v>
      </c>
      <c r="CR40" s="53">
        <v>98841</v>
      </c>
      <c r="CS40" s="53">
        <v>98897</v>
      </c>
      <c r="CT40" s="53">
        <v>98936</v>
      </c>
      <c r="CU40" s="53">
        <v>98972</v>
      </c>
      <c r="CV40" s="53">
        <v>98980</v>
      </c>
      <c r="CW40" s="53">
        <v>99021</v>
      </c>
      <c r="CX40" s="53">
        <v>99055</v>
      </c>
      <c r="CY40" s="53">
        <v>99079</v>
      </c>
      <c r="CZ40" s="53">
        <v>99072</v>
      </c>
      <c r="DA40" s="53">
        <v>99098</v>
      </c>
      <c r="DB40" s="53">
        <v>99118</v>
      </c>
      <c r="DC40" s="53">
        <v>99163</v>
      </c>
      <c r="DD40" s="53">
        <v>99176</v>
      </c>
      <c r="DE40" s="53">
        <v>99201</v>
      </c>
      <c r="DF40" s="53">
        <v>99252</v>
      </c>
      <c r="DG40" s="53">
        <v>99244</v>
      </c>
      <c r="DH40" s="53">
        <v>99276</v>
      </c>
      <c r="DI40" s="53">
        <v>99265</v>
      </c>
      <c r="DJ40" s="53">
        <v>99298</v>
      </c>
      <c r="DK40" s="53">
        <v>99319</v>
      </c>
      <c r="DL40" s="53">
        <v>99328</v>
      </c>
      <c r="DM40" s="53">
        <v>99351</v>
      </c>
      <c r="DN40" s="53">
        <v>99374</v>
      </c>
      <c r="DO40" s="53">
        <v>99397</v>
      </c>
    </row>
    <row r="41" spans="1:119">
      <c r="A41" s="52">
        <v>39</v>
      </c>
      <c r="W41" s="53">
        <v>79853</v>
      </c>
      <c r="X41" s="53">
        <v>80668</v>
      </c>
      <c r="Y41" s="53">
        <v>80798</v>
      </c>
      <c r="Z41" s="53">
        <v>82830</v>
      </c>
      <c r="AA41" s="53">
        <v>83332</v>
      </c>
      <c r="AB41" s="53">
        <v>83976</v>
      </c>
      <c r="AC41" s="53">
        <v>84859</v>
      </c>
      <c r="AD41" s="53">
        <v>85727</v>
      </c>
      <c r="AE41" s="53">
        <v>85682</v>
      </c>
      <c r="AF41" s="53">
        <v>86846</v>
      </c>
      <c r="AG41" s="53">
        <v>87325</v>
      </c>
      <c r="AH41" s="53">
        <v>87533</v>
      </c>
      <c r="AI41" s="53">
        <v>87951</v>
      </c>
      <c r="AJ41" s="53">
        <v>89160</v>
      </c>
      <c r="AK41" s="53">
        <v>89199</v>
      </c>
      <c r="AL41" s="53">
        <v>89583</v>
      </c>
      <c r="AM41" s="53">
        <v>89863</v>
      </c>
      <c r="AN41" s="53">
        <v>90353</v>
      </c>
      <c r="AO41" s="53">
        <v>90401</v>
      </c>
      <c r="AP41" s="53">
        <v>90523</v>
      </c>
      <c r="AQ41" s="53">
        <v>90613</v>
      </c>
      <c r="AR41" s="53">
        <v>90617</v>
      </c>
      <c r="AS41" s="53">
        <v>90119</v>
      </c>
      <c r="AT41" s="53">
        <v>89452</v>
      </c>
      <c r="AU41" s="53">
        <v>88381</v>
      </c>
      <c r="AV41" s="53">
        <v>88582</v>
      </c>
      <c r="AW41" s="53">
        <v>88911</v>
      </c>
      <c r="AX41" s="53">
        <v>90907</v>
      </c>
      <c r="AY41" s="53">
        <v>92481</v>
      </c>
      <c r="AZ41" s="53">
        <v>92597</v>
      </c>
      <c r="BA41" s="53">
        <v>92657</v>
      </c>
      <c r="BB41" s="53">
        <v>93224</v>
      </c>
      <c r="BC41" s="53">
        <v>93482</v>
      </c>
      <c r="BD41" s="53">
        <v>93787</v>
      </c>
      <c r="BE41" s="53">
        <v>93864</v>
      </c>
      <c r="BF41" s="53">
        <v>94235</v>
      </c>
      <c r="BG41" s="53">
        <v>94409</v>
      </c>
      <c r="BH41" s="53">
        <v>94614</v>
      </c>
      <c r="BI41" s="53">
        <v>94725</v>
      </c>
      <c r="BJ41" s="53">
        <v>94950</v>
      </c>
      <c r="BK41" s="53">
        <v>95214</v>
      </c>
      <c r="BL41" s="53">
        <v>95526</v>
      </c>
      <c r="BM41" s="53">
        <v>95760</v>
      </c>
      <c r="BN41" s="53">
        <v>95995</v>
      </c>
      <c r="BO41" s="53">
        <v>96184</v>
      </c>
      <c r="BP41" s="53">
        <v>96356</v>
      </c>
      <c r="BQ41" s="53">
        <v>96448</v>
      </c>
      <c r="BR41" s="53">
        <v>96567</v>
      </c>
      <c r="BS41" s="53">
        <v>96576</v>
      </c>
      <c r="BT41" s="53">
        <v>96671</v>
      </c>
      <c r="BU41" s="53">
        <v>96730</v>
      </c>
      <c r="BV41" s="53">
        <v>96840</v>
      </c>
      <c r="BW41" s="53">
        <v>96926</v>
      </c>
      <c r="BX41" s="53">
        <v>97034</v>
      </c>
      <c r="BY41" s="53">
        <v>97140</v>
      </c>
      <c r="BZ41" s="53">
        <v>97360</v>
      </c>
      <c r="CA41" s="53">
        <v>97524</v>
      </c>
      <c r="CB41" s="53">
        <v>97646</v>
      </c>
      <c r="CC41" s="53">
        <v>97737</v>
      </c>
      <c r="CD41" s="53">
        <v>97820</v>
      </c>
      <c r="CE41" s="53">
        <v>97906</v>
      </c>
      <c r="CF41" s="53">
        <v>97995</v>
      </c>
      <c r="CG41" s="53">
        <v>98094</v>
      </c>
      <c r="CH41" s="53">
        <v>98166</v>
      </c>
      <c r="CI41" s="53">
        <v>98275</v>
      </c>
      <c r="CJ41" s="53">
        <v>98324</v>
      </c>
      <c r="CK41" s="53">
        <v>98390</v>
      </c>
      <c r="CL41" s="53">
        <v>98491</v>
      </c>
      <c r="CM41" s="53">
        <v>98536</v>
      </c>
      <c r="CN41" s="53">
        <v>98607</v>
      </c>
      <c r="CO41" s="53">
        <v>98646</v>
      </c>
      <c r="CP41" s="53">
        <v>98723</v>
      </c>
      <c r="CQ41" s="53">
        <v>98773</v>
      </c>
      <c r="CR41" s="53">
        <v>98806</v>
      </c>
      <c r="CS41" s="53">
        <v>98862</v>
      </c>
      <c r="CT41" s="53">
        <v>98902</v>
      </c>
      <c r="CU41" s="53">
        <v>98939</v>
      </c>
      <c r="CV41" s="53">
        <v>98948</v>
      </c>
      <c r="CW41" s="53">
        <v>98990</v>
      </c>
      <c r="CX41" s="53">
        <v>99024</v>
      </c>
      <c r="CY41" s="53">
        <v>99049</v>
      </c>
      <c r="CZ41" s="53">
        <v>99042</v>
      </c>
      <c r="DA41" s="53">
        <v>99069</v>
      </c>
      <c r="DB41" s="53">
        <v>99090</v>
      </c>
      <c r="DC41" s="53">
        <v>99136</v>
      </c>
      <c r="DD41" s="53">
        <v>99149</v>
      </c>
      <c r="DE41" s="53">
        <v>99175</v>
      </c>
      <c r="DF41" s="53">
        <v>99226</v>
      </c>
      <c r="DG41" s="53">
        <v>99219</v>
      </c>
      <c r="DH41" s="53">
        <v>99252</v>
      </c>
      <c r="DI41" s="53">
        <v>99241</v>
      </c>
      <c r="DJ41" s="53">
        <v>99275</v>
      </c>
      <c r="DK41" s="53">
        <v>99296</v>
      </c>
      <c r="DL41" s="53">
        <v>99305</v>
      </c>
      <c r="DM41" s="53">
        <v>99330</v>
      </c>
      <c r="DN41" s="53">
        <v>99353</v>
      </c>
      <c r="DO41" s="53">
        <v>99376</v>
      </c>
    </row>
    <row r="42" spans="1:119">
      <c r="A42" s="52">
        <v>40</v>
      </c>
      <c r="W42" s="53">
        <v>79702</v>
      </c>
      <c r="X42" s="53">
        <v>80517</v>
      </c>
      <c r="Y42" s="53">
        <v>80652</v>
      </c>
      <c r="Z42" s="53">
        <v>82693</v>
      </c>
      <c r="AA42" s="53">
        <v>83181</v>
      </c>
      <c r="AB42" s="53">
        <v>83826</v>
      </c>
      <c r="AC42" s="53">
        <v>84711</v>
      </c>
      <c r="AD42" s="53">
        <v>85586</v>
      </c>
      <c r="AE42" s="53">
        <v>85535</v>
      </c>
      <c r="AF42" s="53">
        <v>86692</v>
      </c>
      <c r="AG42" s="53">
        <v>87184</v>
      </c>
      <c r="AH42" s="53">
        <v>87391</v>
      </c>
      <c r="AI42" s="53">
        <v>87816</v>
      </c>
      <c r="AJ42" s="53">
        <v>89022</v>
      </c>
      <c r="AK42" s="53">
        <v>89064</v>
      </c>
      <c r="AL42" s="53">
        <v>89456</v>
      </c>
      <c r="AM42" s="53">
        <v>89741</v>
      </c>
      <c r="AN42" s="53">
        <v>90223</v>
      </c>
      <c r="AO42" s="53">
        <v>90280</v>
      </c>
      <c r="AP42" s="53">
        <v>90400</v>
      </c>
      <c r="AQ42" s="53">
        <v>90493</v>
      </c>
      <c r="AR42" s="53">
        <v>90502</v>
      </c>
      <c r="AS42" s="53">
        <v>89996</v>
      </c>
      <c r="AT42" s="53">
        <v>89344</v>
      </c>
      <c r="AU42" s="53">
        <v>88276</v>
      </c>
      <c r="AV42" s="53">
        <v>88472</v>
      </c>
      <c r="AW42" s="53">
        <v>88812</v>
      </c>
      <c r="AX42" s="53">
        <v>90798</v>
      </c>
      <c r="AY42" s="53">
        <v>92378</v>
      </c>
      <c r="AZ42" s="53">
        <v>92479</v>
      </c>
      <c r="BA42" s="53">
        <v>92555</v>
      </c>
      <c r="BB42" s="53">
        <v>93115</v>
      </c>
      <c r="BC42" s="53">
        <v>93379</v>
      </c>
      <c r="BD42" s="53">
        <v>93688</v>
      </c>
      <c r="BE42" s="53">
        <v>93764</v>
      </c>
      <c r="BF42" s="53">
        <v>94134</v>
      </c>
      <c r="BG42" s="53">
        <v>94316</v>
      </c>
      <c r="BH42" s="53">
        <v>94522</v>
      </c>
      <c r="BI42" s="53">
        <v>94637</v>
      </c>
      <c r="BJ42" s="53">
        <v>94860</v>
      </c>
      <c r="BK42" s="53">
        <v>95134</v>
      </c>
      <c r="BL42" s="53">
        <v>95442</v>
      </c>
      <c r="BM42" s="53">
        <v>95680</v>
      </c>
      <c r="BN42" s="53">
        <v>95920</v>
      </c>
      <c r="BO42" s="53">
        <v>96115</v>
      </c>
      <c r="BP42" s="53">
        <v>96284</v>
      </c>
      <c r="BQ42" s="53">
        <v>96379</v>
      </c>
      <c r="BR42" s="53">
        <v>96501</v>
      </c>
      <c r="BS42" s="53">
        <v>96509</v>
      </c>
      <c r="BT42" s="53">
        <v>96608</v>
      </c>
      <c r="BU42" s="53">
        <v>96666</v>
      </c>
      <c r="BV42" s="53">
        <v>96778</v>
      </c>
      <c r="BW42" s="53">
        <v>96862</v>
      </c>
      <c r="BX42" s="53">
        <v>96975</v>
      </c>
      <c r="BY42" s="53">
        <v>97080</v>
      </c>
      <c r="BZ42" s="53">
        <v>97304</v>
      </c>
      <c r="CA42" s="53">
        <v>97468</v>
      </c>
      <c r="CB42" s="53">
        <v>97591</v>
      </c>
      <c r="CC42" s="53">
        <v>97684</v>
      </c>
      <c r="CD42" s="53">
        <v>97768</v>
      </c>
      <c r="CE42" s="53">
        <v>97855</v>
      </c>
      <c r="CF42" s="53">
        <v>97945</v>
      </c>
      <c r="CG42" s="53">
        <v>98045</v>
      </c>
      <c r="CH42" s="53">
        <v>98118</v>
      </c>
      <c r="CI42" s="53">
        <v>98229</v>
      </c>
      <c r="CJ42" s="53">
        <v>98279</v>
      </c>
      <c r="CK42" s="53">
        <v>98345</v>
      </c>
      <c r="CL42" s="53">
        <v>98448</v>
      </c>
      <c r="CM42" s="53">
        <v>98494</v>
      </c>
      <c r="CN42" s="53">
        <v>98565</v>
      </c>
      <c r="CO42" s="53">
        <v>98605</v>
      </c>
      <c r="CP42" s="53">
        <v>98683</v>
      </c>
      <c r="CQ42" s="53">
        <v>98734</v>
      </c>
      <c r="CR42" s="53">
        <v>98768</v>
      </c>
      <c r="CS42" s="53">
        <v>98825</v>
      </c>
      <c r="CT42" s="53">
        <v>98866</v>
      </c>
      <c r="CU42" s="53">
        <v>98903</v>
      </c>
      <c r="CV42" s="53">
        <v>98913</v>
      </c>
      <c r="CW42" s="53">
        <v>98956</v>
      </c>
      <c r="CX42" s="53">
        <v>98991</v>
      </c>
      <c r="CY42" s="53">
        <v>99017</v>
      </c>
      <c r="CZ42" s="53">
        <v>99011</v>
      </c>
      <c r="DA42" s="53">
        <v>99038</v>
      </c>
      <c r="DB42" s="53">
        <v>99060</v>
      </c>
      <c r="DC42" s="53">
        <v>99106</v>
      </c>
      <c r="DD42" s="53">
        <v>99120</v>
      </c>
      <c r="DE42" s="53">
        <v>99147</v>
      </c>
      <c r="DF42" s="53">
        <v>99199</v>
      </c>
      <c r="DG42" s="53">
        <v>99192</v>
      </c>
      <c r="DH42" s="53">
        <v>99225</v>
      </c>
      <c r="DI42" s="53">
        <v>99215</v>
      </c>
      <c r="DJ42" s="53">
        <v>99249</v>
      </c>
      <c r="DK42" s="53">
        <v>99271</v>
      </c>
      <c r="DL42" s="53">
        <v>99281</v>
      </c>
      <c r="DM42" s="53">
        <v>99306</v>
      </c>
      <c r="DN42" s="53">
        <v>99330</v>
      </c>
      <c r="DO42" s="53">
        <v>99353</v>
      </c>
    </row>
    <row r="43" spans="1:119">
      <c r="A43" s="52">
        <v>41</v>
      </c>
      <c r="W43" s="53">
        <v>79544</v>
      </c>
      <c r="X43" s="53">
        <v>80357</v>
      </c>
      <c r="Y43" s="53">
        <v>80490</v>
      </c>
      <c r="Z43" s="53">
        <v>82535</v>
      </c>
      <c r="AA43" s="53">
        <v>83028</v>
      </c>
      <c r="AB43" s="53">
        <v>83671</v>
      </c>
      <c r="AC43" s="53">
        <v>84562</v>
      </c>
      <c r="AD43" s="53">
        <v>85433</v>
      </c>
      <c r="AE43" s="53">
        <v>85370</v>
      </c>
      <c r="AF43" s="53">
        <v>86542</v>
      </c>
      <c r="AG43" s="53">
        <v>87041</v>
      </c>
      <c r="AH43" s="53">
        <v>87249</v>
      </c>
      <c r="AI43" s="53">
        <v>87665</v>
      </c>
      <c r="AJ43" s="53">
        <v>88883</v>
      </c>
      <c r="AK43" s="53">
        <v>88913</v>
      </c>
      <c r="AL43" s="53">
        <v>89312</v>
      </c>
      <c r="AM43" s="53">
        <v>89601</v>
      </c>
      <c r="AN43" s="53">
        <v>90087</v>
      </c>
      <c r="AO43" s="53">
        <v>90151</v>
      </c>
      <c r="AP43" s="53">
        <v>90270</v>
      </c>
      <c r="AQ43" s="53">
        <v>90365</v>
      </c>
      <c r="AR43" s="53">
        <v>90373</v>
      </c>
      <c r="AS43" s="53">
        <v>89868</v>
      </c>
      <c r="AT43" s="53">
        <v>89228</v>
      </c>
      <c r="AU43" s="53">
        <v>88156</v>
      </c>
      <c r="AV43" s="53">
        <v>88359</v>
      </c>
      <c r="AW43" s="53">
        <v>88698</v>
      </c>
      <c r="AX43" s="53">
        <v>90681</v>
      </c>
      <c r="AY43" s="53">
        <v>92256</v>
      </c>
      <c r="AZ43" s="53">
        <v>92357</v>
      </c>
      <c r="BA43" s="53">
        <v>92439</v>
      </c>
      <c r="BB43" s="53">
        <v>93001</v>
      </c>
      <c r="BC43" s="53">
        <v>93263</v>
      </c>
      <c r="BD43" s="53">
        <v>93573</v>
      </c>
      <c r="BE43" s="53">
        <v>93649</v>
      </c>
      <c r="BF43" s="53">
        <v>94026</v>
      </c>
      <c r="BG43" s="53">
        <v>94214</v>
      </c>
      <c r="BH43" s="53">
        <v>94422</v>
      </c>
      <c r="BI43" s="53">
        <v>94545</v>
      </c>
      <c r="BJ43" s="53">
        <v>94770</v>
      </c>
      <c r="BK43" s="53">
        <v>95040</v>
      </c>
      <c r="BL43" s="53">
        <v>95357</v>
      </c>
      <c r="BM43" s="53">
        <v>95600</v>
      </c>
      <c r="BN43" s="53">
        <v>95840</v>
      </c>
      <c r="BO43" s="53">
        <v>96037</v>
      </c>
      <c r="BP43" s="53">
        <v>96211</v>
      </c>
      <c r="BQ43" s="53">
        <v>96313</v>
      </c>
      <c r="BR43" s="53">
        <v>96430</v>
      </c>
      <c r="BS43" s="53">
        <v>96438</v>
      </c>
      <c r="BT43" s="53">
        <v>96542</v>
      </c>
      <c r="BU43" s="53">
        <v>96596</v>
      </c>
      <c r="BV43" s="53">
        <v>96712</v>
      </c>
      <c r="BW43" s="53">
        <v>96795</v>
      </c>
      <c r="BX43" s="53">
        <v>96913</v>
      </c>
      <c r="BY43" s="53">
        <v>97017</v>
      </c>
      <c r="BZ43" s="53">
        <v>97242</v>
      </c>
      <c r="CA43" s="53">
        <v>97408</v>
      </c>
      <c r="CB43" s="53">
        <v>97533</v>
      </c>
      <c r="CC43" s="53">
        <v>97626</v>
      </c>
      <c r="CD43" s="53">
        <v>97711</v>
      </c>
      <c r="CE43" s="53">
        <v>97800</v>
      </c>
      <c r="CF43" s="53">
        <v>97891</v>
      </c>
      <c r="CG43" s="53">
        <v>97992</v>
      </c>
      <c r="CH43" s="53">
        <v>98067</v>
      </c>
      <c r="CI43" s="53">
        <v>98178</v>
      </c>
      <c r="CJ43" s="53">
        <v>98229</v>
      </c>
      <c r="CK43" s="53">
        <v>98297</v>
      </c>
      <c r="CL43" s="53">
        <v>98400</v>
      </c>
      <c r="CM43" s="53">
        <v>98447</v>
      </c>
      <c r="CN43" s="53">
        <v>98520</v>
      </c>
      <c r="CO43" s="53">
        <v>98561</v>
      </c>
      <c r="CP43" s="53">
        <v>98639</v>
      </c>
      <c r="CQ43" s="53">
        <v>98692</v>
      </c>
      <c r="CR43" s="53">
        <v>98726</v>
      </c>
      <c r="CS43" s="53">
        <v>98784</v>
      </c>
      <c r="CT43" s="53">
        <v>98826</v>
      </c>
      <c r="CU43" s="53">
        <v>98865</v>
      </c>
      <c r="CV43" s="53">
        <v>98875</v>
      </c>
      <c r="CW43" s="53">
        <v>98919</v>
      </c>
      <c r="CX43" s="53">
        <v>98954</v>
      </c>
      <c r="CY43" s="53">
        <v>98981</v>
      </c>
      <c r="CZ43" s="53">
        <v>98976</v>
      </c>
      <c r="DA43" s="53">
        <v>99004</v>
      </c>
      <c r="DB43" s="53">
        <v>99027</v>
      </c>
      <c r="DC43" s="53">
        <v>99074</v>
      </c>
      <c r="DD43" s="53">
        <v>99088</v>
      </c>
      <c r="DE43" s="53">
        <v>99116</v>
      </c>
      <c r="DF43" s="53">
        <v>99168</v>
      </c>
      <c r="DG43" s="53">
        <v>99162</v>
      </c>
      <c r="DH43" s="53">
        <v>99196</v>
      </c>
      <c r="DI43" s="53">
        <v>99187</v>
      </c>
      <c r="DJ43" s="53">
        <v>99221</v>
      </c>
      <c r="DK43" s="53">
        <v>99244</v>
      </c>
      <c r="DL43" s="53">
        <v>99254</v>
      </c>
      <c r="DM43" s="53">
        <v>99280</v>
      </c>
      <c r="DN43" s="53">
        <v>99304</v>
      </c>
      <c r="DO43" s="53">
        <v>99328</v>
      </c>
    </row>
    <row r="44" spans="1:119">
      <c r="A44" s="52">
        <v>42</v>
      </c>
      <c r="W44" s="53">
        <v>79377</v>
      </c>
      <c r="X44" s="53">
        <v>80177</v>
      </c>
      <c r="Y44" s="53">
        <v>80325</v>
      </c>
      <c r="Z44" s="53">
        <v>82368</v>
      </c>
      <c r="AA44" s="53">
        <v>82861</v>
      </c>
      <c r="AB44" s="53">
        <v>83506</v>
      </c>
      <c r="AC44" s="53">
        <v>84394</v>
      </c>
      <c r="AD44" s="53">
        <v>85255</v>
      </c>
      <c r="AE44" s="53">
        <v>85203</v>
      </c>
      <c r="AF44" s="53">
        <v>86374</v>
      </c>
      <c r="AG44" s="53">
        <v>86874</v>
      </c>
      <c r="AH44" s="53">
        <v>87097</v>
      </c>
      <c r="AI44" s="53">
        <v>87501</v>
      </c>
      <c r="AJ44" s="53">
        <v>88718</v>
      </c>
      <c r="AK44" s="53">
        <v>88754</v>
      </c>
      <c r="AL44" s="53">
        <v>89159</v>
      </c>
      <c r="AM44" s="53">
        <v>89460</v>
      </c>
      <c r="AN44" s="53">
        <v>89946</v>
      </c>
      <c r="AO44" s="53">
        <v>90014</v>
      </c>
      <c r="AP44" s="53">
        <v>90133</v>
      </c>
      <c r="AQ44" s="53">
        <v>90226</v>
      </c>
      <c r="AR44" s="53">
        <v>90237</v>
      </c>
      <c r="AS44" s="53">
        <v>89735</v>
      </c>
      <c r="AT44" s="53">
        <v>89100</v>
      </c>
      <c r="AU44" s="53">
        <v>88032</v>
      </c>
      <c r="AV44" s="53">
        <v>88242</v>
      </c>
      <c r="AW44" s="53">
        <v>88579</v>
      </c>
      <c r="AX44" s="53">
        <v>90549</v>
      </c>
      <c r="AY44" s="53">
        <v>92130</v>
      </c>
      <c r="AZ44" s="53">
        <v>92230</v>
      </c>
      <c r="BA44" s="53">
        <v>92308</v>
      </c>
      <c r="BB44" s="53">
        <v>92878</v>
      </c>
      <c r="BC44" s="53">
        <v>93132</v>
      </c>
      <c r="BD44" s="53">
        <v>93449</v>
      </c>
      <c r="BE44" s="53">
        <v>93531</v>
      </c>
      <c r="BF44" s="53">
        <v>93910</v>
      </c>
      <c r="BG44" s="53">
        <v>94102</v>
      </c>
      <c r="BH44" s="53">
        <v>94316</v>
      </c>
      <c r="BI44" s="53">
        <v>94439</v>
      </c>
      <c r="BJ44" s="53">
        <v>94666</v>
      </c>
      <c r="BK44" s="53">
        <v>94941</v>
      </c>
      <c r="BL44" s="53">
        <v>95264</v>
      </c>
      <c r="BM44" s="53">
        <v>95515</v>
      </c>
      <c r="BN44" s="53">
        <v>95759</v>
      </c>
      <c r="BO44" s="53">
        <v>95950</v>
      </c>
      <c r="BP44" s="53">
        <v>96130</v>
      </c>
      <c r="BQ44" s="53">
        <v>96236</v>
      </c>
      <c r="BR44" s="53">
        <v>96348</v>
      </c>
      <c r="BS44" s="53">
        <v>96363</v>
      </c>
      <c r="BT44" s="53">
        <v>96465</v>
      </c>
      <c r="BU44" s="53">
        <v>96523</v>
      </c>
      <c r="BV44" s="53">
        <v>96639</v>
      </c>
      <c r="BW44" s="53">
        <v>96721</v>
      </c>
      <c r="BX44" s="53">
        <v>96844</v>
      </c>
      <c r="BY44" s="53">
        <v>96949</v>
      </c>
      <c r="BZ44" s="53">
        <v>97176</v>
      </c>
      <c r="CA44" s="53">
        <v>97343</v>
      </c>
      <c r="CB44" s="53">
        <v>97469</v>
      </c>
      <c r="CC44" s="53">
        <v>97563</v>
      </c>
      <c r="CD44" s="53">
        <v>97650</v>
      </c>
      <c r="CE44" s="53">
        <v>97740</v>
      </c>
      <c r="CF44" s="53">
        <v>97832</v>
      </c>
      <c r="CG44" s="53">
        <v>97935</v>
      </c>
      <c r="CH44" s="53">
        <v>98010</v>
      </c>
      <c r="CI44" s="53">
        <v>98123</v>
      </c>
      <c r="CJ44" s="53">
        <v>98175</v>
      </c>
      <c r="CK44" s="53">
        <v>98244</v>
      </c>
      <c r="CL44" s="53">
        <v>98349</v>
      </c>
      <c r="CM44" s="53">
        <v>98397</v>
      </c>
      <c r="CN44" s="53">
        <v>98470</v>
      </c>
      <c r="CO44" s="53">
        <v>98512</v>
      </c>
      <c r="CP44" s="53">
        <v>98592</v>
      </c>
      <c r="CQ44" s="53">
        <v>98645</v>
      </c>
      <c r="CR44" s="53">
        <v>98681</v>
      </c>
      <c r="CS44" s="53">
        <v>98740</v>
      </c>
      <c r="CT44" s="53">
        <v>98783</v>
      </c>
      <c r="CU44" s="53">
        <v>98822</v>
      </c>
      <c r="CV44" s="53">
        <v>98833</v>
      </c>
      <c r="CW44" s="53">
        <v>98878</v>
      </c>
      <c r="CX44" s="53">
        <v>98915</v>
      </c>
      <c r="CY44" s="53">
        <v>98942</v>
      </c>
      <c r="CZ44" s="53">
        <v>98937</v>
      </c>
      <c r="DA44" s="53">
        <v>98966</v>
      </c>
      <c r="DB44" s="53">
        <v>98990</v>
      </c>
      <c r="DC44" s="53">
        <v>99038</v>
      </c>
      <c r="DD44" s="53">
        <v>99053</v>
      </c>
      <c r="DE44" s="53">
        <v>99081</v>
      </c>
      <c r="DF44" s="53">
        <v>99134</v>
      </c>
      <c r="DG44" s="53">
        <v>99129</v>
      </c>
      <c r="DH44" s="53">
        <v>99164</v>
      </c>
      <c r="DI44" s="53">
        <v>99155</v>
      </c>
      <c r="DJ44" s="53">
        <v>99191</v>
      </c>
      <c r="DK44" s="53">
        <v>99214</v>
      </c>
      <c r="DL44" s="53">
        <v>99225</v>
      </c>
      <c r="DM44" s="53">
        <v>99251</v>
      </c>
      <c r="DN44" s="53">
        <v>99276</v>
      </c>
      <c r="DO44" s="53">
        <v>99301</v>
      </c>
    </row>
    <row r="45" spans="1:119">
      <c r="A45" s="52">
        <v>43</v>
      </c>
      <c r="W45" s="53">
        <v>79195</v>
      </c>
      <c r="X45" s="53">
        <v>80001</v>
      </c>
      <c r="Y45" s="53">
        <v>80142</v>
      </c>
      <c r="Z45" s="53">
        <v>82178</v>
      </c>
      <c r="AA45" s="53">
        <v>82671</v>
      </c>
      <c r="AB45" s="53">
        <v>83330</v>
      </c>
      <c r="AC45" s="53">
        <v>84199</v>
      </c>
      <c r="AD45" s="53">
        <v>85070</v>
      </c>
      <c r="AE45" s="53">
        <v>85017</v>
      </c>
      <c r="AF45" s="53">
        <v>86194</v>
      </c>
      <c r="AG45" s="53">
        <v>86697</v>
      </c>
      <c r="AH45" s="53">
        <v>86919</v>
      </c>
      <c r="AI45" s="53">
        <v>87333</v>
      </c>
      <c r="AJ45" s="53">
        <v>88533</v>
      </c>
      <c r="AK45" s="53">
        <v>88595</v>
      </c>
      <c r="AL45" s="53">
        <v>89004</v>
      </c>
      <c r="AM45" s="53">
        <v>89296</v>
      </c>
      <c r="AN45" s="53">
        <v>89797</v>
      </c>
      <c r="AO45" s="53">
        <v>89855</v>
      </c>
      <c r="AP45" s="53">
        <v>89983</v>
      </c>
      <c r="AQ45" s="53">
        <v>90075</v>
      </c>
      <c r="AR45" s="53">
        <v>90099</v>
      </c>
      <c r="AS45" s="53">
        <v>89598</v>
      </c>
      <c r="AT45" s="53">
        <v>88952</v>
      </c>
      <c r="AU45" s="53">
        <v>87898</v>
      </c>
      <c r="AV45" s="53">
        <v>88101</v>
      </c>
      <c r="AW45" s="53">
        <v>88446</v>
      </c>
      <c r="AX45" s="53">
        <v>90413</v>
      </c>
      <c r="AY45" s="53">
        <v>91991</v>
      </c>
      <c r="AZ45" s="53">
        <v>92087</v>
      </c>
      <c r="BA45" s="53">
        <v>92173</v>
      </c>
      <c r="BB45" s="53">
        <v>92743</v>
      </c>
      <c r="BC45" s="53">
        <v>92988</v>
      </c>
      <c r="BD45" s="53">
        <v>93321</v>
      </c>
      <c r="BE45" s="53">
        <v>93411</v>
      </c>
      <c r="BF45" s="53">
        <v>93788</v>
      </c>
      <c r="BG45" s="53">
        <v>93974</v>
      </c>
      <c r="BH45" s="53">
        <v>94200</v>
      </c>
      <c r="BI45" s="53">
        <v>94329</v>
      </c>
      <c r="BJ45" s="53">
        <v>94553</v>
      </c>
      <c r="BK45" s="53">
        <v>94841</v>
      </c>
      <c r="BL45" s="53">
        <v>95162</v>
      </c>
      <c r="BM45" s="53">
        <v>95415</v>
      </c>
      <c r="BN45" s="53">
        <v>95662</v>
      </c>
      <c r="BO45" s="53">
        <v>95853</v>
      </c>
      <c r="BP45" s="53">
        <v>96041</v>
      </c>
      <c r="BQ45" s="53">
        <v>96153</v>
      </c>
      <c r="BR45" s="53">
        <v>96260</v>
      </c>
      <c r="BS45" s="53">
        <v>96281</v>
      </c>
      <c r="BT45" s="53">
        <v>96379</v>
      </c>
      <c r="BU45" s="53">
        <v>96440</v>
      </c>
      <c r="BV45" s="53">
        <v>96557</v>
      </c>
      <c r="BW45" s="53">
        <v>96643</v>
      </c>
      <c r="BX45" s="53">
        <v>96768</v>
      </c>
      <c r="BY45" s="53">
        <v>96875</v>
      </c>
      <c r="BZ45" s="53">
        <v>97103</v>
      </c>
      <c r="CA45" s="53">
        <v>97272</v>
      </c>
      <c r="CB45" s="53">
        <v>97399</v>
      </c>
      <c r="CC45" s="53">
        <v>97495</v>
      </c>
      <c r="CD45" s="53">
        <v>97583</v>
      </c>
      <c r="CE45" s="53">
        <v>97675</v>
      </c>
      <c r="CF45" s="53">
        <v>97768</v>
      </c>
      <c r="CG45" s="53">
        <v>97872</v>
      </c>
      <c r="CH45" s="53">
        <v>97949</v>
      </c>
      <c r="CI45" s="53">
        <v>98063</v>
      </c>
      <c r="CJ45" s="53">
        <v>98116</v>
      </c>
      <c r="CK45" s="53">
        <v>98186</v>
      </c>
      <c r="CL45" s="53">
        <v>98292</v>
      </c>
      <c r="CM45" s="53">
        <v>98341</v>
      </c>
      <c r="CN45" s="53">
        <v>98416</v>
      </c>
      <c r="CO45" s="53">
        <v>98459</v>
      </c>
      <c r="CP45" s="53">
        <v>98540</v>
      </c>
      <c r="CQ45" s="53">
        <v>98594</v>
      </c>
      <c r="CR45" s="53">
        <v>98631</v>
      </c>
      <c r="CS45" s="53">
        <v>98691</v>
      </c>
      <c r="CT45" s="53">
        <v>98735</v>
      </c>
      <c r="CU45" s="53">
        <v>98775</v>
      </c>
      <c r="CV45" s="53">
        <v>98787</v>
      </c>
      <c r="CW45" s="53">
        <v>98833</v>
      </c>
      <c r="CX45" s="53">
        <v>98871</v>
      </c>
      <c r="CY45" s="53">
        <v>98899</v>
      </c>
      <c r="CZ45" s="53">
        <v>98895</v>
      </c>
      <c r="DA45" s="53">
        <v>98925</v>
      </c>
      <c r="DB45" s="53">
        <v>98950</v>
      </c>
      <c r="DC45" s="53">
        <v>98998</v>
      </c>
      <c r="DD45" s="53">
        <v>99014</v>
      </c>
      <c r="DE45" s="53">
        <v>99043</v>
      </c>
      <c r="DF45" s="53">
        <v>99097</v>
      </c>
      <c r="DG45" s="53">
        <v>99093</v>
      </c>
      <c r="DH45" s="53">
        <v>99128</v>
      </c>
      <c r="DI45" s="53">
        <v>99121</v>
      </c>
      <c r="DJ45" s="53">
        <v>99157</v>
      </c>
      <c r="DK45" s="53">
        <v>99180</v>
      </c>
      <c r="DL45" s="53">
        <v>99192</v>
      </c>
      <c r="DM45" s="53">
        <v>99219</v>
      </c>
      <c r="DN45" s="53">
        <v>99245</v>
      </c>
      <c r="DO45" s="53">
        <v>99270</v>
      </c>
    </row>
    <row r="46" spans="1:119">
      <c r="A46" s="52">
        <v>44</v>
      </c>
      <c r="W46" s="53">
        <v>78994</v>
      </c>
      <c r="X46" s="53">
        <v>79805</v>
      </c>
      <c r="Y46" s="53">
        <v>79942</v>
      </c>
      <c r="Z46" s="53">
        <v>81977</v>
      </c>
      <c r="AA46" s="53">
        <v>82472</v>
      </c>
      <c r="AB46" s="53">
        <v>83118</v>
      </c>
      <c r="AC46" s="53">
        <v>83995</v>
      </c>
      <c r="AD46" s="53">
        <v>84880</v>
      </c>
      <c r="AE46" s="53">
        <v>84817</v>
      </c>
      <c r="AF46" s="53">
        <v>85993</v>
      </c>
      <c r="AG46" s="53">
        <v>86495</v>
      </c>
      <c r="AH46" s="53">
        <v>86726</v>
      </c>
      <c r="AI46" s="53">
        <v>87142</v>
      </c>
      <c r="AJ46" s="53">
        <v>88349</v>
      </c>
      <c r="AK46" s="53">
        <v>88411</v>
      </c>
      <c r="AL46" s="53">
        <v>88830</v>
      </c>
      <c r="AM46" s="53">
        <v>89125</v>
      </c>
      <c r="AN46" s="53">
        <v>89627</v>
      </c>
      <c r="AO46" s="53">
        <v>89696</v>
      </c>
      <c r="AP46" s="53">
        <v>89828</v>
      </c>
      <c r="AQ46" s="53">
        <v>89923</v>
      </c>
      <c r="AR46" s="53">
        <v>89952</v>
      </c>
      <c r="AS46" s="53">
        <v>89448</v>
      </c>
      <c r="AT46" s="53">
        <v>88793</v>
      </c>
      <c r="AU46" s="53">
        <v>87755</v>
      </c>
      <c r="AV46" s="53">
        <v>87955</v>
      </c>
      <c r="AW46" s="53">
        <v>88300</v>
      </c>
      <c r="AX46" s="53">
        <v>90267</v>
      </c>
      <c r="AY46" s="53">
        <v>91837</v>
      </c>
      <c r="AZ46" s="53">
        <v>91929</v>
      </c>
      <c r="BA46" s="53">
        <v>92030</v>
      </c>
      <c r="BB46" s="53">
        <v>92601</v>
      </c>
      <c r="BC46" s="53">
        <v>92844</v>
      </c>
      <c r="BD46" s="53">
        <v>93176</v>
      </c>
      <c r="BE46" s="53">
        <v>93265</v>
      </c>
      <c r="BF46" s="53">
        <v>93655</v>
      </c>
      <c r="BG46" s="53">
        <v>93847</v>
      </c>
      <c r="BH46" s="53">
        <v>94073</v>
      </c>
      <c r="BI46" s="53">
        <v>94198</v>
      </c>
      <c r="BJ46" s="53">
        <v>94434</v>
      </c>
      <c r="BK46" s="53">
        <v>94732</v>
      </c>
      <c r="BL46" s="53">
        <v>95043</v>
      </c>
      <c r="BM46" s="53">
        <v>95313</v>
      </c>
      <c r="BN46" s="53">
        <v>95561</v>
      </c>
      <c r="BO46" s="53">
        <v>95753</v>
      </c>
      <c r="BP46" s="53">
        <v>95940</v>
      </c>
      <c r="BQ46" s="53">
        <v>96056</v>
      </c>
      <c r="BR46" s="53">
        <v>96164</v>
      </c>
      <c r="BS46" s="53">
        <v>96190</v>
      </c>
      <c r="BT46" s="53">
        <v>96289</v>
      </c>
      <c r="BU46" s="53">
        <v>96354</v>
      </c>
      <c r="BV46" s="53">
        <v>96471</v>
      </c>
      <c r="BW46" s="53">
        <v>96559</v>
      </c>
      <c r="BX46" s="53">
        <v>96685</v>
      </c>
      <c r="BY46" s="53">
        <v>96794</v>
      </c>
      <c r="BZ46" s="53">
        <v>97024</v>
      </c>
      <c r="CA46" s="53">
        <v>97194</v>
      </c>
      <c r="CB46" s="53">
        <v>97323</v>
      </c>
      <c r="CC46" s="53">
        <v>97420</v>
      </c>
      <c r="CD46" s="53">
        <v>97510</v>
      </c>
      <c r="CE46" s="53">
        <v>97603</v>
      </c>
      <c r="CF46" s="53">
        <v>97698</v>
      </c>
      <c r="CG46" s="53">
        <v>97803</v>
      </c>
      <c r="CH46" s="53">
        <v>97881</v>
      </c>
      <c r="CI46" s="53">
        <v>97996</v>
      </c>
      <c r="CJ46" s="53">
        <v>98051</v>
      </c>
      <c r="CK46" s="53">
        <v>98123</v>
      </c>
      <c r="CL46" s="53">
        <v>98230</v>
      </c>
      <c r="CM46" s="53">
        <v>98280</v>
      </c>
      <c r="CN46" s="53">
        <v>98356</v>
      </c>
      <c r="CO46" s="53">
        <v>98401</v>
      </c>
      <c r="CP46" s="53">
        <v>98483</v>
      </c>
      <c r="CQ46" s="53">
        <v>98538</v>
      </c>
      <c r="CR46" s="53">
        <v>98576</v>
      </c>
      <c r="CS46" s="53">
        <v>98637</v>
      </c>
      <c r="CT46" s="53">
        <v>98682</v>
      </c>
      <c r="CU46" s="53">
        <v>98724</v>
      </c>
      <c r="CV46" s="53">
        <v>98737</v>
      </c>
      <c r="CW46" s="53">
        <v>98784</v>
      </c>
      <c r="CX46" s="53">
        <v>98822</v>
      </c>
      <c r="CY46" s="53">
        <v>98852</v>
      </c>
      <c r="CZ46" s="53">
        <v>98849</v>
      </c>
      <c r="DA46" s="53">
        <v>98880</v>
      </c>
      <c r="DB46" s="53">
        <v>98905</v>
      </c>
      <c r="DC46" s="53">
        <v>98955</v>
      </c>
      <c r="DD46" s="53">
        <v>98972</v>
      </c>
      <c r="DE46" s="53">
        <v>99002</v>
      </c>
      <c r="DF46" s="53">
        <v>99057</v>
      </c>
      <c r="DG46" s="53">
        <v>99053</v>
      </c>
      <c r="DH46" s="53">
        <v>99089</v>
      </c>
      <c r="DI46" s="53">
        <v>99082</v>
      </c>
      <c r="DJ46" s="53">
        <v>99119</v>
      </c>
      <c r="DK46" s="53">
        <v>99144</v>
      </c>
      <c r="DL46" s="53">
        <v>99156</v>
      </c>
      <c r="DM46" s="53">
        <v>99184</v>
      </c>
      <c r="DN46" s="53">
        <v>99210</v>
      </c>
      <c r="DO46" s="53">
        <v>99236</v>
      </c>
    </row>
    <row r="47" spans="1:119">
      <c r="A47" s="52">
        <v>45</v>
      </c>
      <c r="W47" s="53">
        <v>78782</v>
      </c>
      <c r="X47" s="53">
        <v>79595</v>
      </c>
      <c r="Y47" s="53">
        <v>79734</v>
      </c>
      <c r="Z47" s="53">
        <v>81765</v>
      </c>
      <c r="AA47" s="53">
        <v>82247</v>
      </c>
      <c r="AB47" s="53">
        <v>82900</v>
      </c>
      <c r="AC47" s="53">
        <v>83782</v>
      </c>
      <c r="AD47" s="53">
        <v>84670</v>
      </c>
      <c r="AE47" s="53">
        <v>84603</v>
      </c>
      <c r="AF47" s="53">
        <v>85787</v>
      </c>
      <c r="AG47" s="53">
        <v>86285</v>
      </c>
      <c r="AH47" s="53">
        <v>86517</v>
      </c>
      <c r="AI47" s="53">
        <v>86940</v>
      </c>
      <c r="AJ47" s="53">
        <v>88142</v>
      </c>
      <c r="AK47" s="53">
        <v>88217</v>
      </c>
      <c r="AL47" s="53">
        <v>88648</v>
      </c>
      <c r="AM47" s="53">
        <v>88943</v>
      </c>
      <c r="AN47" s="53">
        <v>89448</v>
      </c>
      <c r="AO47" s="53">
        <v>89520</v>
      </c>
      <c r="AP47" s="53">
        <v>89667</v>
      </c>
      <c r="AQ47" s="53">
        <v>89755</v>
      </c>
      <c r="AR47" s="53">
        <v>89788</v>
      </c>
      <c r="AS47" s="53">
        <v>89279</v>
      </c>
      <c r="AT47" s="53">
        <v>88636</v>
      </c>
      <c r="AU47" s="53">
        <v>87592</v>
      </c>
      <c r="AV47" s="53">
        <v>87794</v>
      </c>
      <c r="AW47" s="53">
        <v>88145</v>
      </c>
      <c r="AX47" s="53">
        <v>90103</v>
      </c>
      <c r="AY47" s="53">
        <v>91669</v>
      </c>
      <c r="AZ47" s="53">
        <v>91769</v>
      </c>
      <c r="BA47" s="53">
        <v>91864</v>
      </c>
      <c r="BB47" s="53">
        <v>92449</v>
      </c>
      <c r="BC47" s="53">
        <v>92688</v>
      </c>
      <c r="BD47" s="53">
        <v>93032</v>
      </c>
      <c r="BE47" s="53">
        <v>93122</v>
      </c>
      <c r="BF47" s="53">
        <v>93510</v>
      </c>
      <c r="BG47" s="53">
        <v>93711</v>
      </c>
      <c r="BH47" s="53">
        <v>93933</v>
      </c>
      <c r="BI47" s="53">
        <v>94072</v>
      </c>
      <c r="BJ47" s="53">
        <v>94309</v>
      </c>
      <c r="BK47" s="53">
        <v>94613</v>
      </c>
      <c r="BL47" s="53">
        <v>94930</v>
      </c>
      <c r="BM47" s="53">
        <v>95210</v>
      </c>
      <c r="BN47" s="53">
        <v>95451</v>
      </c>
      <c r="BO47" s="53">
        <v>95640</v>
      </c>
      <c r="BP47" s="53">
        <v>95835</v>
      </c>
      <c r="BQ47" s="53">
        <v>95951</v>
      </c>
      <c r="BR47" s="53">
        <v>96064</v>
      </c>
      <c r="BS47" s="53">
        <v>96087</v>
      </c>
      <c r="BT47" s="53">
        <v>96192</v>
      </c>
      <c r="BU47" s="53">
        <v>96258</v>
      </c>
      <c r="BV47" s="53">
        <v>96377</v>
      </c>
      <c r="BW47" s="53">
        <v>96467</v>
      </c>
      <c r="BX47" s="53">
        <v>96595</v>
      </c>
      <c r="BY47" s="53">
        <v>96706</v>
      </c>
      <c r="BZ47" s="53">
        <v>96937</v>
      </c>
      <c r="CA47" s="53">
        <v>97109</v>
      </c>
      <c r="CB47" s="53">
        <v>97239</v>
      </c>
      <c r="CC47" s="53">
        <v>97338</v>
      </c>
      <c r="CD47" s="53">
        <v>97430</v>
      </c>
      <c r="CE47" s="53">
        <v>97524</v>
      </c>
      <c r="CF47" s="53">
        <v>97621</v>
      </c>
      <c r="CG47" s="53">
        <v>97727</v>
      </c>
      <c r="CH47" s="53">
        <v>97807</v>
      </c>
      <c r="CI47" s="53">
        <v>97924</v>
      </c>
      <c r="CJ47" s="53">
        <v>97980</v>
      </c>
      <c r="CK47" s="53">
        <v>98053</v>
      </c>
      <c r="CL47" s="53">
        <v>98161</v>
      </c>
      <c r="CM47" s="53">
        <v>98213</v>
      </c>
      <c r="CN47" s="53">
        <v>98291</v>
      </c>
      <c r="CO47" s="53">
        <v>98336</v>
      </c>
      <c r="CP47" s="53">
        <v>98420</v>
      </c>
      <c r="CQ47" s="53">
        <v>98477</v>
      </c>
      <c r="CR47" s="53">
        <v>98516</v>
      </c>
      <c r="CS47" s="53">
        <v>98578</v>
      </c>
      <c r="CT47" s="53">
        <v>98624</v>
      </c>
      <c r="CU47" s="53">
        <v>98667</v>
      </c>
      <c r="CV47" s="53">
        <v>98681</v>
      </c>
      <c r="CW47" s="53">
        <v>98729</v>
      </c>
      <c r="CX47" s="53">
        <v>98769</v>
      </c>
      <c r="CY47" s="53">
        <v>98799</v>
      </c>
      <c r="CZ47" s="53">
        <v>98798</v>
      </c>
      <c r="DA47" s="53">
        <v>98830</v>
      </c>
      <c r="DB47" s="53">
        <v>98856</v>
      </c>
      <c r="DC47" s="53">
        <v>98907</v>
      </c>
      <c r="DD47" s="53">
        <v>98925</v>
      </c>
      <c r="DE47" s="53">
        <v>98956</v>
      </c>
      <c r="DF47" s="53">
        <v>99011</v>
      </c>
      <c r="DG47" s="53">
        <v>99008</v>
      </c>
      <c r="DH47" s="53">
        <v>99046</v>
      </c>
      <c r="DI47" s="53">
        <v>99040</v>
      </c>
      <c r="DJ47" s="53">
        <v>99078</v>
      </c>
      <c r="DK47" s="53">
        <v>99103</v>
      </c>
      <c r="DL47" s="53">
        <v>99116</v>
      </c>
      <c r="DM47" s="53">
        <v>99145</v>
      </c>
      <c r="DN47" s="53">
        <v>99172</v>
      </c>
      <c r="DO47" s="53">
        <v>99199</v>
      </c>
    </row>
    <row r="48" spans="1:119">
      <c r="A48" s="52">
        <v>46</v>
      </c>
      <c r="W48" s="53">
        <v>78551</v>
      </c>
      <c r="X48" s="53">
        <v>79362</v>
      </c>
      <c r="Y48" s="53">
        <v>79506</v>
      </c>
      <c r="Z48" s="53">
        <v>81523</v>
      </c>
      <c r="AA48" s="53">
        <v>82024</v>
      </c>
      <c r="AB48" s="53">
        <v>82680</v>
      </c>
      <c r="AC48" s="53">
        <v>83558</v>
      </c>
      <c r="AD48" s="53">
        <v>84431</v>
      </c>
      <c r="AE48" s="53">
        <v>84378</v>
      </c>
      <c r="AF48" s="53">
        <v>85569</v>
      </c>
      <c r="AG48" s="53">
        <v>86067</v>
      </c>
      <c r="AH48" s="53">
        <v>86292</v>
      </c>
      <c r="AI48" s="53">
        <v>86713</v>
      </c>
      <c r="AJ48" s="53">
        <v>87932</v>
      </c>
      <c r="AK48" s="53">
        <v>88010</v>
      </c>
      <c r="AL48" s="53">
        <v>88450</v>
      </c>
      <c r="AM48" s="53">
        <v>88747</v>
      </c>
      <c r="AN48" s="53">
        <v>89263</v>
      </c>
      <c r="AO48" s="53">
        <v>89334</v>
      </c>
      <c r="AP48" s="53">
        <v>89488</v>
      </c>
      <c r="AQ48" s="53">
        <v>89576</v>
      </c>
      <c r="AR48" s="53">
        <v>89602</v>
      </c>
      <c r="AS48" s="53">
        <v>89102</v>
      </c>
      <c r="AT48" s="53">
        <v>88458</v>
      </c>
      <c r="AU48" s="53">
        <v>87404</v>
      </c>
      <c r="AV48" s="53">
        <v>87622</v>
      </c>
      <c r="AW48" s="53">
        <v>87971</v>
      </c>
      <c r="AX48" s="53">
        <v>89922</v>
      </c>
      <c r="AY48" s="53">
        <v>91498</v>
      </c>
      <c r="AZ48" s="53">
        <v>91597</v>
      </c>
      <c r="BA48" s="53">
        <v>91691</v>
      </c>
      <c r="BB48" s="53">
        <v>92284</v>
      </c>
      <c r="BC48" s="53">
        <v>92528</v>
      </c>
      <c r="BD48" s="53">
        <v>92869</v>
      </c>
      <c r="BE48" s="53">
        <v>92965</v>
      </c>
      <c r="BF48" s="53">
        <v>93354</v>
      </c>
      <c r="BG48" s="53">
        <v>93556</v>
      </c>
      <c r="BH48" s="53">
        <v>93793</v>
      </c>
      <c r="BI48" s="53">
        <v>93929</v>
      </c>
      <c r="BJ48" s="53">
        <v>94168</v>
      </c>
      <c r="BK48" s="53">
        <v>94474</v>
      </c>
      <c r="BL48" s="53">
        <v>94799</v>
      </c>
      <c r="BM48" s="53">
        <v>95084</v>
      </c>
      <c r="BN48" s="53">
        <v>95330</v>
      </c>
      <c r="BO48" s="53">
        <v>95520</v>
      </c>
      <c r="BP48" s="53">
        <v>95727</v>
      </c>
      <c r="BQ48" s="53">
        <v>95836</v>
      </c>
      <c r="BR48" s="53">
        <v>95954</v>
      </c>
      <c r="BS48" s="53">
        <v>95985</v>
      </c>
      <c r="BT48" s="53">
        <v>96085</v>
      </c>
      <c r="BU48" s="53">
        <v>96153</v>
      </c>
      <c r="BV48" s="53">
        <v>96273</v>
      </c>
      <c r="BW48" s="53">
        <v>96366</v>
      </c>
      <c r="BX48" s="53">
        <v>96496</v>
      </c>
      <c r="BY48" s="53">
        <v>96608</v>
      </c>
      <c r="BZ48" s="53">
        <v>96841</v>
      </c>
      <c r="CA48" s="53">
        <v>97015</v>
      </c>
      <c r="CB48" s="53">
        <v>97147</v>
      </c>
      <c r="CC48" s="53">
        <v>97248</v>
      </c>
      <c r="CD48" s="53">
        <v>97341</v>
      </c>
      <c r="CE48" s="53">
        <v>97438</v>
      </c>
      <c r="CF48" s="53">
        <v>97536</v>
      </c>
      <c r="CG48" s="53">
        <v>97644</v>
      </c>
      <c r="CH48" s="53">
        <v>97726</v>
      </c>
      <c r="CI48" s="53">
        <v>97844</v>
      </c>
      <c r="CJ48" s="53">
        <v>97902</v>
      </c>
      <c r="CK48" s="53">
        <v>97976</v>
      </c>
      <c r="CL48" s="53">
        <v>98086</v>
      </c>
      <c r="CM48" s="53">
        <v>98140</v>
      </c>
      <c r="CN48" s="53">
        <v>98218</v>
      </c>
      <c r="CO48" s="53">
        <v>98266</v>
      </c>
      <c r="CP48" s="53">
        <v>98350</v>
      </c>
      <c r="CQ48" s="53">
        <v>98409</v>
      </c>
      <c r="CR48" s="53">
        <v>98449</v>
      </c>
      <c r="CS48" s="53">
        <v>98513</v>
      </c>
      <c r="CT48" s="53">
        <v>98560</v>
      </c>
      <c r="CU48" s="53">
        <v>98604</v>
      </c>
      <c r="CV48" s="53">
        <v>98620</v>
      </c>
      <c r="CW48" s="53">
        <v>98669</v>
      </c>
      <c r="CX48" s="53">
        <v>98710</v>
      </c>
      <c r="CY48" s="53">
        <v>98742</v>
      </c>
      <c r="CZ48" s="53">
        <v>98741</v>
      </c>
      <c r="DA48" s="53">
        <v>98774</v>
      </c>
      <c r="DB48" s="53">
        <v>98802</v>
      </c>
      <c r="DC48" s="53">
        <v>98853</v>
      </c>
      <c r="DD48" s="53">
        <v>98873</v>
      </c>
      <c r="DE48" s="53">
        <v>98904</v>
      </c>
      <c r="DF48" s="53">
        <v>98961</v>
      </c>
      <c r="DG48" s="53">
        <v>98959</v>
      </c>
      <c r="DH48" s="53">
        <v>98998</v>
      </c>
      <c r="DI48" s="53">
        <v>98993</v>
      </c>
      <c r="DJ48" s="53">
        <v>99031</v>
      </c>
      <c r="DK48" s="53">
        <v>99058</v>
      </c>
      <c r="DL48" s="53">
        <v>99072</v>
      </c>
      <c r="DM48" s="53">
        <v>99101</v>
      </c>
      <c r="DN48" s="53">
        <v>99130</v>
      </c>
      <c r="DO48" s="53">
        <v>99157</v>
      </c>
    </row>
    <row r="49" spans="1:119">
      <c r="A49" s="52">
        <v>47</v>
      </c>
      <c r="W49" s="53">
        <v>78305</v>
      </c>
      <c r="X49" s="53">
        <v>79106</v>
      </c>
      <c r="Y49" s="53">
        <v>79239</v>
      </c>
      <c r="Z49" s="53">
        <v>81270</v>
      </c>
      <c r="AA49" s="53">
        <v>81764</v>
      </c>
      <c r="AB49" s="53">
        <v>82430</v>
      </c>
      <c r="AC49" s="53">
        <v>83312</v>
      </c>
      <c r="AD49" s="53">
        <v>84178</v>
      </c>
      <c r="AE49" s="53">
        <v>84136</v>
      </c>
      <c r="AF49" s="53">
        <v>85332</v>
      </c>
      <c r="AG49" s="53">
        <v>85835</v>
      </c>
      <c r="AH49" s="53">
        <v>86054</v>
      </c>
      <c r="AI49" s="53">
        <v>86483</v>
      </c>
      <c r="AJ49" s="53">
        <v>87710</v>
      </c>
      <c r="AK49" s="53">
        <v>87788</v>
      </c>
      <c r="AL49" s="53">
        <v>88235</v>
      </c>
      <c r="AM49" s="53">
        <v>88553</v>
      </c>
      <c r="AN49" s="53">
        <v>89057</v>
      </c>
      <c r="AO49" s="53">
        <v>89139</v>
      </c>
      <c r="AP49" s="53">
        <v>89289</v>
      </c>
      <c r="AQ49" s="53">
        <v>89375</v>
      </c>
      <c r="AR49" s="53">
        <v>89403</v>
      </c>
      <c r="AS49" s="53">
        <v>88927</v>
      </c>
      <c r="AT49" s="53">
        <v>88251</v>
      </c>
      <c r="AU49" s="53">
        <v>87205</v>
      </c>
      <c r="AV49" s="53">
        <v>87427</v>
      </c>
      <c r="AW49" s="53">
        <v>87791</v>
      </c>
      <c r="AX49" s="53">
        <v>89735</v>
      </c>
      <c r="AY49" s="53">
        <v>91312</v>
      </c>
      <c r="AZ49" s="53">
        <v>91413</v>
      </c>
      <c r="BA49" s="53">
        <v>91516</v>
      </c>
      <c r="BB49" s="53">
        <v>92108</v>
      </c>
      <c r="BC49" s="53">
        <v>92353</v>
      </c>
      <c r="BD49" s="53">
        <v>92695</v>
      </c>
      <c r="BE49" s="53">
        <v>92800</v>
      </c>
      <c r="BF49" s="53">
        <v>93180</v>
      </c>
      <c r="BG49" s="53">
        <v>93393</v>
      </c>
      <c r="BH49" s="53">
        <v>93634</v>
      </c>
      <c r="BI49" s="53">
        <v>93774</v>
      </c>
      <c r="BJ49" s="53">
        <v>94016</v>
      </c>
      <c r="BK49" s="53">
        <v>94330</v>
      </c>
      <c r="BL49" s="53">
        <v>94647</v>
      </c>
      <c r="BM49" s="53">
        <v>94945</v>
      </c>
      <c r="BN49" s="53">
        <v>95203</v>
      </c>
      <c r="BO49" s="53">
        <v>95389</v>
      </c>
      <c r="BP49" s="53">
        <v>95594</v>
      </c>
      <c r="BQ49" s="53">
        <v>95715</v>
      </c>
      <c r="BR49" s="53">
        <v>95827</v>
      </c>
      <c r="BS49" s="53">
        <v>95865</v>
      </c>
      <c r="BT49" s="53">
        <v>95967</v>
      </c>
      <c r="BU49" s="53">
        <v>96038</v>
      </c>
      <c r="BV49" s="53">
        <v>96160</v>
      </c>
      <c r="BW49" s="53">
        <v>96255</v>
      </c>
      <c r="BX49" s="53">
        <v>96387</v>
      </c>
      <c r="BY49" s="53">
        <v>96502</v>
      </c>
      <c r="BZ49" s="53">
        <v>96736</v>
      </c>
      <c r="CA49" s="53">
        <v>96912</v>
      </c>
      <c r="CB49" s="53">
        <v>97046</v>
      </c>
      <c r="CC49" s="53">
        <v>97149</v>
      </c>
      <c r="CD49" s="53">
        <v>97244</v>
      </c>
      <c r="CE49" s="53">
        <v>97343</v>
      </c>
      <c r="CF49" s="53">
        <v>97443</v>
      </c>
      <c r="CG49" s="53">
        <v>97553</v>
      </c>
      <c r="CH49" s="53">
        <v>97636</v>
      </c>
      <c r="CI49" s="53">
        <v>97756</v>
      </c>
      <c r="CJ49" s="53">
        <v>97816</v>
      </c>
      <c r="CK49" s="53">
        <v>97892</v>
      </c>
      <c r="CL49" s="53">
        <v>98003</v>
      </c>
      <c r="CM49" s="53">
        <v>98058</v>
      </c>
      <c r="CN49" s="53">
        <v>98139</v>
      </c>
      <c r="CO49" s="53">
        <v>98187</v>
      </c>
      <c r="CP49" s="53">
        <v>98274</v>
      </c>
      <c r="CQ49" s="53">
        <v>98334</v>
      </c>
      <c r="CR49" s="53">
        <v>98375</v>
      </c>
      <c r="CS49" s="53">
        <v>98440</v>
      </c>
      <c r="CT49" s="53">
        <v>98489</v>
      </c>
      <c r="CU49" s="53">
        <v>98535</v>
      </c>
      <c r="CV49" s="53">
        <v>98552</v>
      </c>
      <c r="CW49" s="53">
        <v>98602</v>
      </c>
      <c r="CX49" s="53">
        <v>98645</v>
      </c>
      <c r="CY49" s="53">
        <v>98678</v>
      </c>
      <c r="CZ49" s="53">
        <v>98679</v>
      </c>
      <c r="DA49" s="53">
        <v>98713</v>
      </c>
      <c r="DB49" s="53">
        <v>98742</v>
      </c>
      <c r="DC49" s="53">
        <v>98794</v>
      </c>
      <c r="DD49" s="53">
        <v>98815</v>
      </c>
      <c r="DE49" s="53">
        <v>98848</v>
      </c>
      <c r="DF49" s="53">
        <v>98906</v>
      </c>
      <c r="DG49" s="53">
        <v>98905</v>
      </c>
      <c r="DH49" s="53">
        <v>98944</v>
      </c>
      <c r="DI49" s="53">
        <v>98941</v>
      </c>
      <c r="DJ49" s="53">
        <v>98980</v>
      </c>
      <c r="DK49" s="53">
        <v>99008</v>
      </c>
      <c r="DL49" s="53">
        <v>99023</v>
      </c>
      <c r="DM49" s="53">
        <v>99053</v>
      </c>
      <c r="DN49" s="53">
        <v>99083</v>
      </c>
      <c r="DO49" s="53">
        <v>99111</v>
      </c>
    </row>
    <row r="50" spans="1:119">
      <c r="A50" s="52">
        <v>48</v>
      </c>
      <c r="W50" s="53">
        <v>78030</v>
      </c>
      <c r="X50" s="53">
        <v>78819</v>
      </c>
      <c r="Y50" s="53">
        <v>78970</v>
      </c>
      <c r="Z50" s="53">
        <v>81003</v>
      </c>
      <c r="AA50" s="53">
        <v>81501</v>
      </c>
      <c r="AB50" s="53">
        <v>82157</v>
      </c>
      <c r="AC50" s="53">
        <v>83045</v>
      </c>
      <c r="AD50" s="53">
        <v>83915</v>
      </c>
      <c r="AE50" s="53">
        <v>83877</v>
      </c>
      <c r="AF50" s="53">
        <v>85067</v>
      </c>
      <c r="AG50" s="53">
        <v>85577</v>
      </c>
      <c r="AH50" s="53">
        <v>85795</v>
      </c>
      <c r="AI50" s="53">
        <v>86233</v>
      </c>
      <c r="AJ50" s="53">
        <v>87466</v>
      </c>
      <c r="AK50" s="53">
        <v>87557</v>
      </c>
      <c r="AL50" s="53">
        <v>88011</v>
      </c>
      <c r="AM50" s="53">
        <v>88347</v>
      </c>
      <c r="AN50" s="53">
        <v>88842</v>
      </c>
      <c r="AO50" s="53">
        <v>88930</v>
      </c>
      <c r="AP50" s="53">
        <v>89081</v>
      </c>
      <c r="AQ50" s="53">
        <v>89166</v>
      </c>
      <c r="AR50" s="53">
        <v>89199</v>
      </c>
      <c r="AS50" s="53">
        <v>88715</v>
      </c>
      <c r="AT50" s="53">
        <v>88040</v>
      </c>
      <c r="AU50" s="53">
        <v>87003</v>
      </c>
      <c r="AV50" s="53">
        <v>87224</v>
      </c>
      <c r="AW50" s="53">
        <v>87592</v>
      </c>
      <c r="AX50" s="53">
        <v>89537</v>
      </c>
      <c r="AY50" s="53">
        <v>91115</v>
      </c>
      <c r="AZ50" s="53">
        <v>91218</v>
      </c>
      <c r="BA50" s="53">
        <v>91329</v>
      </c>
      <c r="BB50" s="53">
        <v>91916</v>
      </c>
      <c r="BC50" s="53">
        <v>92170</v>
      </c>
      <c r="BD50" s="53">
        <v>92511</v>
      </c>
      <c r="BE50" s="53">
        <v>92617</v>
      </c>
      <c r="BF50" s="53">
        <v>93001</v>
      </c>
      <c r="BG50" s="53">
        <v>93218</v>
      </c>
      <c r="BH50" s="53">
        <v>93466</v>
      </c>
      <c r="BI50" s="53">
        <v>93605</v>
      </c>
      <c r="BJ50" s="53">
        <v>93849</v>
      </c>
      <c r="BK50" s="53">
        <v>94168</v>
      </c>
      <c r="BL50" s="53">
        <v>94497</v>
      </c>
      <c r="BM50" s="53">
        <v>94788</v>
      </c>
      <c r="BN50" s="53">
        <v>95050</v>
      </c>
      <c r="BO50" s="53">
        <v>95236</v>
      </c>
      <c r="BP50" s="53">
        <v>95456</v>
      </c>
      <c r="BQ50" s="53">
        <v>95577</v>
      </c>
      <c r="BR50" s="53">
        <v>95693</v>
      </c>
      <c r="BS50" s="53">
        <v>95733</v>
      </c>
      <c r="BT50" s="53">
        <v>95838</v>
      </c>
      <c r="BU50" s="53">
        <v>95912</v>
      </c>
      <c r="BV50" s="53">
        <v>96036</v>
      </c>
      <c r="BW50" s="53">
        <v>96133</v>
      </c>
      <c r="BX50" s="53">
        <v>96268</v>
      </c>
      <c r="BY50" s="53">
        <v>96385</v>
      </c>
      <c r="BZ50" s="53">
        <v>96621</v>
      </c>
      <c r="CA50" s="53">
        <v>96799</v>
      </c>
      <c r="CB50" s="53">
        <v>96935</v>
      </c>
      <c r="CC50" s="53">
        <v>97041</v>
      </c>
      <c r="CD50" s="53">
        <v>97138</v>
      </c>
      <c r="CE50" s="53">
        <v>97238</v>
      </c>
      <c r="CF50" s="53">
        <v>97340</v>
      </c>
      <c r="CG50" s="53">
        <v>97452</v>
      </c>
      <c r="CH50" s="53">
        <v>97537</v>
      </c>
      <c r="CI50" s="53">
        <v>97659</v>
      </c>
      <c r="CJ50" s="53">
        <v>97721</v>
      </c>
      <c r="CK50" s="53">
        <v>97799</v>
      </c>
      <c r="CL50" s="53">
        <v>97912</v>
      </c>
      <c r="CM50" s="53">
        <v>97969</v>
      </c>
      <c r="CN50" s="53">
        <v>98051</v>
      </c>
      <c r="CO50" s="53">
        <v>98101</v>
      </c>
      <c r="CP50" s="53">
        <v>98189</v>
      </c>
      <c r="CQ50" s="53">
        <v>98251</v>
      </c>
      <c r="CR50" s="53">
        <v>98294</v>
      </c>
      <c r="CS50" s="53">
        <v>98361</v>
      </c>
      <c r="CT50" s="53">
        <v>98411</v>
      </c>
      <c r="CU50" s="53">
        <v>98458</v>
      </c>
      <c r="CV50" s="53">
        <v>98477</v>
      </c>
      <c r="CW50" s="53">
        <v>98529</v>
      </c>
      <c r="CX50" s="53">
        <v>98572</v>
      </c>
      <c r="CY50" s="53">
        <v>98607</v>
      </c>
      <c r="CZ50" s="53">
        <v>98609</v>
      </c>
      <c r="DA50" s="53">
        <v>98645</v>
      </c>
      <c r="DB50" s="53">
        <v>98675</v>
      </c>
      <c r="DC50" s="53">
        <v>98729</v>
      </c>
      <c r="DD50" s="53">
        <v>98751</v>
      </c>
      <c r="DE50" s="53">
        <v>98785</v>
      </c>
      <c r="DF50" s="53">
        <v>98844</v>
      </c>
      <c r="DG50" s="53">
        <v>98845</v>
      </c>
      <c r="DH50" s="53">
        <v>98885</v>
      </c>
      <c r="DI50" s="53">
        <v>98883</v>
      </c>
      <c r="DJ50" s="53">
        <v>98923</v>
      </c>
      <c r="DK50" s="53">
        <v>98952</v>
      </c>
      <c r="DL50" s="53">
        <v>98968</v>
      </c>
      <c r="DM50" s="53">
        <v>99000</v>
      </c>
      <c r="DN50" s="53">
        <v>99030</v>
      </c>
      <c r="DO50" s="53">
        <v>99059</v>
      </c>
    </row>
    <row r="51" spans="1:119">
      <c r="A51" s="52">
        <v>49</v>
      </c>
      <c r="W51" s="53">
        <v>77715</v>
      </c>
      <c r="X51" s="53">
        <v>78524</v>
      </c>
      <c r="Y51" s="53">
        <v>78666</v>
      </c>
      <c r="Z51" s="53">
        <v>80712</v>
      </c>
      <c r="AA51" s="53">
        <v>81209</v>
      </c>
      <c r="AB51" s="53">
        <v>81854</v>
      </c>
      <c r="AC51" s="53">
        <v>82758</v>
      </c>
      <c r="AD51" s="53">
        <v>83633</v>
      </c>
      <c r="AE51" s="53">
        <v>83598</v>
      </c>
      <c r="AF51" s="53">
        <v>84786</v>
      </c>
      <c r="AG51" s="53">
        <v>85309</v>
      </c>
      <c r="AH51" s="53">
        <v>85515</v>
      </c>
      <c r="AI51" s="53">
        <v>85979</v>
      </c>
      <c r="AJ51" s="53">
        <v>87216</v>
      </c>
      <c r="AK51" s="53">
        <v>87312</v>
      </c>
      <c r="AL51" s="53">
        <v>87772</v>
      </c>
      <c r="AM51" s="53">
        <v>88108</v>
      </c>
      <c r="AN51" s="53">
        <v>88604</v>
      </c>
      <c r="AO51" s="53">
        <v>88699</v>
      </c>
      <c r="AP51" s="53">
        <v>88853</v>
      </c>
      <c r="AQ51" s="53">
        <v>88934</v>
      </c>
      <c r="AR51" s="53">
        <v>88964</v>
      </c>
      <c r="AS51" s="53">
        <v>88483</v>
      </c>
      <c r="AT51" s="53">
        <v>87814</v>
      </c>
      <c r="AU51" s="53">
        <v>86777</v>
      </c>
      <c r="AV51" s="53">
        <v>87002</v>
      </c>
      <c r="AW51" s="53">
        <v>87374</v>
      </c>
      <c r="AX51" s="53">
        <v>89326</v>
      </c>
      <c r="AY51" s="53">
        <v>90902</v>
      </c>
      <c r="AZ51" s="53">
        <v>91010</v>
      </c>
      <c r="BA51" s="53">
        <v>91125</v>
      </c>
      <c r="BB51" s="53">
        <v>91712</v>
      </c>
      <c r="BC51" s="53">
        <v>91964</v>
      </c>
      <c r="BD51" s="53">
        <v>92314</v>
      </c>
      <c r="BE51" s="53">
        <v>92421</v>
      </c>
      <c r="BF51" s="53">
        <v>92815</v>
      </c>
      <c r="BG51" s="53">
        <v>93027</v>
      </c>
      <c r="BH51" s="53">
        <v>93294</v>
      </c>
      <c r="BI51" s="53">
        <v>93427</v>
      </c>
      <c r="BJ51" s="53">
        <v>93679</v>
      </c>
      <c r="BK51" s="53">
        <v>93997</v>
      </c>
      <c r="BL51" s="53">
        <v>94332</v>
      </c>
      <c r="BM51" s="53">
        <v>94625</v>
      </c>
      <c r="BN51" s="53">
        <v>94890</v>
      </c>
      <c r="BO51" s="53">
        <v>95086</v>
      </c>
      <c r="BP51" s="53">
        <v>95310</v>
      </c>
      <c r="BQ51" s="53">
        <v>95427</v>
      </c>
      <c r="BR51" s="53">
        <v>95546</v>
      </c>
      <c r="BS51" s="53">
        <v>95589</v>
      </c>
      <c r="BT51" s="53">
        <v>95697</v>
      </c>
      <c r="BU51" s="53">
        <v>95773</v>
      </c>
      <c r="BV51" s="53">
        <v>95900</v>
      </c>
      <c r="BW51" s="53">
        <v>96000</v>
      </c>
      <c r="BX51" s="53">
        <v>96136</v>
      </c>
      <c r="BY51" s="53">
        <v>96256</v>
      </c>
      <c r="BZ51" s="53">
        <v>96495</v>
      </c>
      <c r="CA51" s="53">
        <v>96675</v>
      </c>
      <c r="CB51" s="53">
        <v>96813</v>
      </c>
      <c r="CC51" s="53">
        <v>96921</v>
      </c>
      <c r="CD51" s="53">
        <v>97020</v>
      </c>
      <c r="CE51" s="53">
        <v>97123</v>
      </c>
      <c r="CF51" s="53">
        <v>97227</v>
      </c>
      <c r="CG51" s="53">
        <v>97341</v>
      </c>
      <c r="CH51" s="53">
        <v>97428</v>
      </c>
      <c r="CI51" s="53">
        <v>97552</v>
      </c>
      <c r="CJ51" s="53">
        <v>97616</v>
      </c>
      <c r="CK51" s="53">
        <v>97696</v>
      </c>
      <c r="CL51" s="53">
        <v>97811</v>
      </c>
      <c r="CM51" s="53">
        <v>97870</v>
      </c>
      <c r="CN51" s="53">
        <v>97954</v>
      </c>
      <c r="CO51" s="53">
        <v>98006</v>
      </c>
      <c r="CP51" s="53">
        <v>98096</v>
      </c>
      <c r="CQ51" s="53">
        <v>98159</v>
      </c>
      <c r="CR51" s="53">
        <v>98204</v>
      </c>
      <c r="CS51" s="53">
        <v>98273</v>
      </c>
      <c r="CT51" s="53">
        <v>98325</v>
      </c>
      <c r="CU51" s="53">
        <v>98373</v>
      </c>
      <c r="CV51" s="53">
        <v>98394</v>
      </c>
      <c r="CW51" s="53">
        <v>98447</v>
      </c>
      <c r="CX51" s="53">
        <v>98493</v>
      </c>
      <c r="CY51" s="53">
        <v>98529</v>
      </c>
      <c r="CZ51" s="53">
        <v>98532</v>
      </c>
      <c r="DA51" s="53">
        <v>98569</v>
      </c>
      <c r="DB51" s="53">
        <v>98601</v>
      </c>
      <c r="DC51" s="53">
        <v>98657</v>
      </c>
      <c r="DD51" s="53">
        <v>98680</v>
      </c>
      <c r="DE51" s="53">
        <v>98715</v>
      </c>
      <c r="DF51" s="53">
        <v>98776</v>
      </c>
      <c r="DG51" s="53">
        <v>98778</v>
      </c>
      <c r="DH51" s="53">
        <v>98820</v>
      </c>
      <c r="DI51" s="53">
        <v>98818</v>
      </c>
      <c r="DJ51" s="53">
        <v>98860</v>
      </c>
      <c r="DK51" s="53">
        <v>98890</v>
      </c>
      <c r="DL51" s="53">
        <v>98908</v>
      </c>
      <c r="DM51" s="53">
        <v>98940</v>
      </c>
      <c r="DN51" s="53">
        <v>98972</v>
      </c>
      <c r="DO51" s="53">
        <v>99002</v>
      </c>
    </row>
    <row r="52" spans="1:119">
      <c r="A52" s="52">
        <v>50</v>
      </c>
      <c r="W52" s="53">
        <v>77391</v>
      </c>
      <c r="X52" s="53">
        <v>78203</v>
      </c>
      <c r="Y52" s="53">
        <v>78355</v>
      </c>
      <c r="Z52" s="53">
        <v>80407</v>
      </c>
      <c r="AA52" s="53">
        <v>80896</v>
      </c>
      <c r="AB52" s="53">
        <v>81549</v>
      </c>
      <c r="AC52" s="53">
        <v>82450</v>
      </c>
      <c r="AD52" s="53">
        <v>83329</v>
      </c>
      <c r="AE52" s="53">
        <v>83292</v>
      </c>
      <c r="AF52" s="53">
        <v>84497</v>
      </c>
      <c r="AG52" s="53">
        <v>85014</v>
      </c>
      <c r="AH52" s="53">
        <v>85230</v>
      </c>
      <c r="AI52" s="53">
        <v>85700</v>
      </c>
      <c r="AJ52" s="53">
        <v>86944</v>
      </c>
      <c r="AK52" s="53">
        <v>87057</v>
      </c>
      <c r="AL52" s="53">
        <v>87510</v>
      </c>
      <c r="AM52" s="53">
        <v>87855</v>
      </c>
      <c r="AN52" s="53">
        <v>88358</v>
      </c>
      <c r="AO52" s="53">
        <v>88455</v>
      </c>
      <c r="AP52" s="53">
        <v>88609</v>
      </c>
      <c r="AQ52" s="53">
        <v>88692</v>
      </c>
      <c r="AR52" s="53">
        <v>88724</v>
      </c>
      <c r="AS52" s="53">
        <v>88239</v>
      </c>
      <c r="AT52" s="53">
        <v>87583</v>
      </c>
      <c r="AU52" s="53">
        <v>86541</v>
      </c>
      <c r="AV52" s="53">
        <v>86763</v>
      </c>
      <c r="AW52" s="53">
        <v>87150</v>
      </c>
      <c r="AX52" s="53">
        <v>89102</v>
      </c>
      <c r="AY52" s="53">
        <v>90682</v>
      </c>
      <c r="AZ52" s="53">
        <v>90788</v>
      </c>
      <c r="BA52" s="53">
        <v>90908</v>
      </c>
      <c r="BB52" s="53">
        <v>91491</v>
      </c>
      <c r="BC52" s="53">
        <v>91737</v>
      </c>
      <c r="BD52" s="53">
        <v>92095</v>
      </c>
      <c r="BE52" s="53">
        <v>92208</v>
      </c>
      <c r="BF52" s="53">
        <v>92600</v>
      </c>
      <c r="BG52" s="53">
        <v>92833</v>
      </c>
      <c r="BH52" s="53">
        <v>93100</v>
      </c>
      <c r="BI52" s="53">
        <v>93227</v>
      </c>
      <c r="BJ52" s="53">
        <v>93489</v>
      </c>
      <c r="BK52" s="53">
        <v>93800</v>
      </c>
      <c r="BL52" s="53">
        <v>94145</v>
      </c>
      <c r="BM52" s="53">
        <v>94454</v>
      </c>
      <c r="BN52" s="53">
        <v>94720</v>
      </c>
      <c r="BO52" s="53">
        <v>94909</v>
      </c>
      <c r="BP52" s="53">
        <v>95142</v>
      </c>
      <c r="BQ52" s="53">
        <v>95263</v>
      </c>
      <c r="BR52" s="53">
        <v>95385</v>
      </c>
      <c r="BS52" s="53">
        <v>95431</v>
      </c>
      <c r="BT52" s="53">
        <v>95542</v>
      </c>
      <c r="BU52" s="53">
        <v>95620</v>
      </c>
      <c r="BV52" s="53">
        <v>95750</v>
      </c>
      <c r="BW52" s="53">
        <v>95853</v>
      </c>
      <c r="BX52" s="53">
        <v>95992</v>
      </c>
      <c r="BY52" s="53">
        <v>96114</v>
      </c>
      <c r="BZ52" s="53">
        <v>96356</v>
      </c>
      <c r="CA52" s="53">
        <v>96538</v>
      </c>
      <c r="CB52" s="53">
        <v>96679</v>
      </c>
      <c r="CC52" s="53">
        <v>96789</v>
      </c>
      <c r="CD52" s="53">
        <v>96891</v>
      </c>
      <c r="CE52" s="53">
        <v>96996</v>
      </c>
      <c r="CF52" s="53">
        <v>97102</v>
      </c>
      <c r="CG52" s="53">
        <v>97219</v>
      </c>
      <c r="CH52" s="53">
        <v>97308</v>
      </c>
      <c r="CI52" s="53">
        <v>97434</v>
      </c>
      <c r="CJ52" s="53">
        <v>97500</v>
      </c>
      <c r="CK52" s="53">
        <v>97582</v>
      </c>
      <c r="CL52" s="53">
        <v>97700</v>
      </c>
      <c r="CM52" s="53">
        <v>97761</v>
      </c>
      <c r="CN52" s="53">
        <v>97847</v>
      </c>
      <c r="CO52" s="53">
        <v>97901</v>
      </c>
      <c r="CP52" s="53">
        <v>97993</v>
      </c>
      <c r="CQ52" s="53">
        <v>98058</v>
      </c>
      <c r="CR52" s="53">
        <v>98105</v>
      </c>
      <c r="CS52" s="53">
        <v>98175</v>
      </c>
      <c r="CT52" s="53">
        <v>98230</v>
      </c>
      <c r="CU52" s="53">
        <v>98280</v>
      </c>
      <c r="CV52" s="53">
        <v>98302</v>
      </c>
      <c r="CW52" s="53">
        <v>98357</v>
      </c>
      <c r="CX52" s="53">
        <v>98404</v>
      </c>
      <c r="CY52" s="53">
        <v>98442</v>
      </c>
      <c r="CZ52" s="53">
        <v>98448</v>
      </c>
      <c r="DA52" s="53">
        <v>98486</v>
      </c>
      <c r="DB52" s="53">
        <v>98520</v>
      </c>
      <c r="DC52" s="53">
        <v>98577</v>
      </c>
      <c r="DD52" s="53">
        <v>98601</v>
      </c>
      <c r="DE52" s="53">
        <v>98639</v>
      </c>
      <c r="DF52" s="53">
        <v>98700</v>
      </c>
      <c r="DG52" s="53">
        <v>98704</v>
      </c>
      <c r="DH52" s="53">
        <v>98747</v>
      </c>
      <c r="DI52" s="53">
        <v>98747</v>
      </c>
      <c r="DJ52" s="53">
        <v>98791</v>
      </c>
      <c r="DK52" s="53">
        <v>98822</v>
      </c>
      <c r="DL52" s="53">
        <v>98841</v>
      </c>
      <c r="DM52" s="53">
        <v>98875</v>
      </c>
      <c r="DN52" s="53">
        <v>98907</v>
      </c>
      <c r="DO52" s="53">
        <v>98939</v>
      </c>
    </row>
    <row r="53" spans="1:119">
      <c r="A53" s="52">
        <v>51</v>
      </c>
      <c r="W53" s="53">
        <v>77039</v>
      </c>
      <c r="X53" s="53">
        <v>77874</v>
      </c>
      <c r="Y53" s="53">
        <v>78027</v>
      </c>
      <c r="Z53" s="53">
        <v>80080</v>
      </c>
      <c r="AA53" s="53">
        <v>80556</v>
      </c>
      <c r="AB53" s="53">
        <v>81216</v>
      </c>
      <c r="AC53" s="53">
        <v>82127</v>
      </c>
      <c r="AD53" s="53">
        <v>83004</v>
      </c>
      <c r="AE53" s="53">
        <v>82981</v>
      </c>
      <c r="AF53" s="53">
        <v>84196</v>
      </c>
      <c r="AG53" s="53">
        <v>84707</v>
      </c>
      <c r="AH53" s="53">
        <v>84925</v>
      </c>
      <c r="AI53" s="53">
        <v>85392</v>
      </c>
      <c r="AJ53" s="53">
        <v>86657</v>
      </c>
      <c r="AK53" s="53">
        <v>86780</v>
      </c>
      <c r="AL53" s="53">
        <v>87220</v>
      </c>
      <c r="AM53" s="53">
        <v>87587</v>
      </c>
      <c r="AN53" s="53">
        <v>88089</v>
      </c>
      <c r="AO53" s="53">
        <v>88194</v>
      </c>
      <c r="AP53" s="53">
        <v>88346</v>
      </c>
      <c r="AQ53" s="53">
        <v>88439</v>
      </c>
      <c r="AR53" s="53">
        <v>88470</v>
      </c>
      <c r="AS53" s="53">
        <v>87971</v>
      </c>
      <c r="AT53" s="53">
        <v>87321</v>
      </c>
      <c r="AU53" s="53">
        <v>86290</v>
      </c>
      <c r="AV53" s="53">
        <v>86514</v>
      </c>
      <c r="AW53" s="53">
        <v>86913</v>
      </c>
      <c r="AX53" s="53">
        <v>88859</v>
      </c>
      <c r="AY53" s="53">
        <v>90444</v>
      </c>
      <c r="AZ53" s="53">
        <v>90556</v>
      </c>
      <c r="BA53" s="53">
        <v>90672</v>
      </c>
      <c r="BB53" s="53">
        <v>91259</v>
      </c>
      <c r="BC53" s="53">
        <v>91503</v>
      </c>
      <c r="BD53" s="53">
        <v>91874</v>
      </c>
      <c r="BE53" s="53">
        <v>91985</v>
      </c>
      <c r="BF53" s="53">
        <v>92370</v>
      </c>
      <c r="BG53" s="53">
        <v>92618</v>
      </c>
      <c r="BH53" s="53">
        <v>92880</v>
      </c>
      <c r="BI53" s="53">
        <v>93022</v>
      </c>
      <c r="BJ53" s="53">
        <v>93286</v>
      </c>
      <c r="BK53" s="53">
        <v>93590</v>
      </c>
      <c r="BL53" s="53">
        <v>93946</v>
      </c>
      <c r="BM53" s="53">
        <v>94262</v>
      </c>
      <c r="BN53" s="53">
        <v>94534</v>
      </c>
      <c r="BO53" s="53">
        <v>94723</v>
      </c>
      <c r="BP53" s="53">
        <v>94959</v>
      </c>
      <c r="BQ53" s="53">
        <v>95083</v>
      </c>
      <c r="BR53" s="53">
        <v>95208</v>
      </c>
      <c r="BS53" s="53">
        <v>95258</v>
      </c>
      <c r="BT53" s="53">
        <v>95371</v>
      </c>
      <c r="BU53" s="53">
        <v>95453</v>
      </c>
      <c r="BV53" s="53">
        <v>95587</v>
      </c>
      <c r="BW53" s="53">
        <v>95692</v>
      </c>
      <c r="BX53" s="53">
        <v>95834</v>
      </c>
      <c r="BY53" s="53">
        <v>95959</v>
      </c>
      <c r="BZ53" s="53">
        <v>96203</v>
      </c>
      <c r="CA53" s="53">
        <v>96388</v>
      </c>
      <c r="CB53" s="53">
        <v>96532</v>
      </c>
      <c r="CC53" s="53">
        <v>96645</v>
      </c>
      <c r="CD53" s="53">
        <v>96749</v>
      </c>
      <c r="CE53" s="53">
        <v>96856</v>
      </c>
      <c r="CF53" s="53">
        <v>96966</v>
      </c>
      <c r="CG53" s="53">
        <v>97084</v>
      </c>
      <c r="CH53" s="53">
        <v>97177</v>
      </c>
      <c r="CI53" s="53">
        <v>97305</v>
      </c>
      <c r="CJ53" s="53">
        <v>97373</v>
      </c>
      <c r="CK53" s="53">
        <v>97458</v>
      </c>
      <c r="CL53" s="53">
        <v>97577</v>
      </c>
      <c r="CM53" s="53">
        <v>97641</v>
      </c>
      <c r="CN53" s="53">
        <v>97729</v>
      </c>
      <c r="CO53" s="53">
        <v>97785</v>
      </c>
      <c r="CP53" s="53">
        <v>97879</v>
      </c>
      <c r="CQ53" s="53">
        <v>97947</v>
      </c>
      <c r="CR53" s="53">
        <v>97996</v>
      </c>
      <c r="CS53" s="53">
        <v>98068</v>
      </c>
      <c r="CT53" s="53">
        <v>98125</v>
      </c>
      <c r="CU53" s="53">
        <v>98177</v>
      </c>
      <c r="CV53" s="53">
        <v>98201</v>
      </c>
      <c r="CW53" s="53">
        <v>98258</v>
      </c>
      <c r="CX53" s="53">
        <v>98307</v>
      </c>
      <c r="CY53" s="53">
        <v>98347</v>
      </c>
      <c r="CZ53" s="53">
        <v>98354</v>
      </c>
      <c r="DA53" s="53">
        <v>98395</v>
      </c>
      <c r="DB53" s="53">
        <v>98430</v>
      </c>
      <c r="DC53" s="53">
        <v>98489</v>
      </c>
      <c r="DD53" s="53">
        <v>98515</v>
      </c>
      <c r="DE53" s="53">
        <v>98554</v>
      </c>
      <c r="DF53" s="53">
        <v>98617</v>
      </c>
      <c r="DG53" s="53">
        <v>98622</v>
      </c>
      <c r="DH53" s="53">
        <v>98667</v>
      </c>
      <c r="DI53" s="53">
        <v>98669</v>
      </c>
      <c r="DJ53" s="53">
        <v>98714</v>
      </c>
      <c r="DK53" s="53">
        <v>98746</v>
      </c>
      <c r="DL53" s="53">
        <v>98767</v>
      </c>
      <c r="DM53" s="53">
        <v>98802</v>
      </c>
      <c r="DN53" s="53">
        <v>98836</v>
      </c>
      <c r="DO53" s="53">
        <v>98869</v>
      </c>
    </row>
    <row r="54" spans="1:119">
      <c r="A54" s="52">
        <v>52</v>
      </c>
      <c r="W54" s="53">
        <v>76669</v>
      </c>
      <c r="X54" s="53">
        <v>77508</v>
      </c>
      <c r="Y54" s="53">
        <v>77666</v>
      </c>
      <c r="Z54" s="53">
        <v>79725</v>
      </c>
      <c r="AA54" s="53">
        <v>80201</v>
      </c>
      <c r="AB54" s="53">
        <v>80881</v>
      </c>
      <c r="AC54" s="53">
        <v>81796</v>
      </c>
      <c r="AD54" s="53">
        <v>82660</v>
      </c>
      <c r="AE54" s="53">
        <v>82656</v>
      </c>
      <c r="AF54" s="53">
        <v>83843</v>
      </c>
      <c r="AG54" s="53">
        <v>84385</v>
      </c>
      <c r="AH54" s="53">
        <v>84616</v>
      </c>
      <c r="AI54" s="53">
        <v>85082</v>
      </c>
      <c r="AJ54" s="53">
        <v>86343</v>
      </c>
      <c r="AK54" s="53">
        <v>86483</v>
      </c>
      <c r="AL54" s="53">
        <v>86928</v>
      </c>
      <c r="AM54" s="53">
        <v>87304</v>
      </c>
      <c r="AN54" s="53">
        <v>87804</v>
      </c>
      <c r="AO54" s="53">
        <v>87904</v>
      </c>
      <c r="AP54" s="53">
        <v>88062</v>
      </c>
      <c r="AQ54" s="53">
        <v>88161</v>
      </c>
      <c r="AR54" s="53">
        <v>88190</v>
      </c>
      <c r="AS54" s="53">
        <v>87684</v>
      </c>
      <c r="AT54" s="53">
        <v>87036</v>
      </c>
      <c r="AU54" s="53">
        <v>86037</v>
      </c>
      <c r="AV54" s="53">
        <v>86247</v>
      </c>
      <c r="AW54" s="53">
        <v>86665</v>
      </c>
      <c r="AX54" s="53">
        <v>88601</v>
      </c>
      <c r="AY54" s="53">
        <v>90192</v>
      </c>
      <c r="AZ54" s="53">
        <v>90298</v>
      </c>
      <c r="BA54" s="53">
        <v>90414</v>
      </c>
      <c r="BB54" s="53">
        <v>91014</v>
      </c>
      <c r="BC54" s="53">
        <v>91268</v>
      </c>
      <c r="BD54" s="53">
        <v>91637</v>
      </c>
      <c r="BE54" s="53">
        <v>91744</v>
      </c>
      <c r="BF54" s="53">
        <v>92132</v>
      </c>
      <c r="BG54" s="53">
        <v>92395</v>
      </c>
      <c r="BH54" s="53">
        <v>92656</v>
      </c>
      <c r="BI54" s="53">
        <v>92792</v>
      </c>
      <c r="BJ54" s="53">
        <v>93058</v>
      </c>
      <c r="BK54" s="53">
        <v>93369</v>
      </c>
      <c r="BL54" s="53">
        <v>93724</v>
      </c>
      <c r="BM54" s="53">
        <v>94049</v>
      </c>
      <c r="BN54" s="53">
        <v>94326</v>
      </c>
      <c r="BO54" s="53">
        <v>94519</v>
      </c>
      <c r="BP54" s="53">
        <v>94759</v>
      </c>
      <c r="BQ54" s="53">
        <v>94886</v>
      </c>
      <c r="BR54" s="53">
        <v>95015</v>
      </c>
      <c r="BS54" s="53">
        <v>95068</v>
      </c>
      <c r="BT54" s="53">
        <v>95185</v>
      </c>
      <c r="BU54" s="53">
        <v>95271</v>
      </c>
      <c r="BV54" s="53">
        <v>95407</v>
      </c>
      <c r="BW54" s="53">
        <v>95516</v>
      </c>
      <c r="BX54" s="53">
        <v>95661</v>
      </c>
      <c r="BY54" s="53">
        <v>95789</v>
      </c>
      <c r="BZ54" s="53">
        <v>96036</v>
      </c>
      <c r="CA54" s="53">
        <v>96224</v>
      </c>
      <c r="CB54" s="53">
        <v>96371</v>
      </c>
      <c r="CC54" s="53">
        <v>96486</v>
      </c>
      <c r="CD54" s="53">
        <v>96593</v>
      </c>
      <c r="CE54" s="53">
        <v>96704</v>
      </c>
      <c r="CF54" s="53">
        <v>96816</v>
      </c>
      <c r="CG54" s="53">
        <v>96937</v>
      </c>
      <c r="CH54" s="53">
        <v>97032</v>
      </c>
      <c r="CI54" s="53">
        <v>97163</v>
      </c>
      <c r="CJ54" s="53">
        <v>97234</v>
      </c>
      <c r="CK54" s="53">
        <v>97321</v>
      </c>
      <c r="CL54" s="53">
        <v>97443</v>
      </c>
      <c r="CM54" s="53">
        <v>97509</v>
      </c>
      <c r="CN54" s="53">
        <v>97600</v>
      </c>
      <c r="CO54" s="53">
        <v>97659</v>
      </c>
      <c r="CP54" s="53">
        <v>97755</v>
      </c>
      <c r="CQ54" s="53">
        <v>97825</v>
      </c>
      <c r="CR54" s="53">
        <v>97876</v>
      </c>
      <c r="CS54" s="53">
        <v>97951</v>
      </c>
      <c r="CT54" s="53">
        <v>98009</v>
      </c>
      <c r="CU54" s="53">
        <v>98064</v>
      </c>
      <c r="CV54" s="53">
        <v>98090</v>
      </c>
      <c r="CW54" s="53">
        <v>98149</v>
      </c>
      <c r="CX54" s="53">
        <v>98200</v>
      </c>
      <c r="CY54" s="53">
        <v>98242</v>
      </c>
      <c r="CZ54" s="53">
        <v>98251</v>
      </c>
      <c r="DA54" s="53">
        <v>98294</v>
      </c>
      <c r="DB54" s="53">
        <v>98331</v>
      </c>
      <c r="DC54" s="53">
        <v>98391</v>
      </c>
      <c r="DD54" s="53">
        <v>98420</v>
      </c>
      <c r="DE54" s="53">
        <v>98460</v>
      </c>
      <c r="DF54" s="53">
        <v>98526</v>
      </c>
      <c r="DG54" s="53">
        <v>98532</v>
      </c>
      <c r="DH54" s="53">
        <v>98579</v>
      </c>
      <c r="DI54" s="53">
        <v>98582</v>
      </c>
      <c r="DJ54" s="53">
        <v>98629</v>
      </c>
      <c r="DK54" s="53">
        <v>98663</v>
      </c>
      <c r="DL54" s="53">
        <v>98685</v>
      </c>
      <c r="DM54" s="53">
        <v>98722</v>
      </c>
      <c r="DN54" s="53">
        <v>98758</v>
      </c>
      <c r="DO54" s="53">
        <v>98792</v>
      </c>
    </row>
    <row r="55" spans="1:119">
      <c r="A55" s="52">
        <v>53</v>
      </c>
      <c r="W55" s="53">
        <v>76293</v>
      </c>
      <c r="X55" s="53">
        <v>77118</v>
      </c>
      <c r="Y55" s="53">
        <v>77285</v>
      </c>
      <c r="Z55" s="53">
        <v>79340</v>
      </c>
      <c r="AA55" s="53">
        <v>79830</v>
      </c>
      <c r="AB55" s="53">
        <v>80524</v>
      </c>
      <c r="AC55" s="53">
        <v>81433</v>
      </c>
      <c r="AD55" s="53">
        <v>82301</v>
      </c>
      <c r="AE55" s="53">
        <v>82298</v>
      </c>
      <c r="AF55" s="53">
        <v>83501</v>
      </c>
      <c r="AG55" s="53">
        <v>84041</v>
      </c>
      <c r="AH55" s="53">
        <v>84275</v>
      </c>
      <c r="AI55" s="53">
        <v>84745</v>
      </c>
      <c r="AJ55" s="53">
        <v>86026</v>
      </c>
      <c r="AK55" s="53">
        <v>86161</v>
      </c>
      <c r="AL55" s="53">
        <v>86616</v>
      </c>
      <c r="AM55" s="53">
        <v>87001</v>
      </c>
      <c r="AN55" s="53">
        <v>87493</v>
      </c>
      <c r="AO55" s="53">
        <v>87611</v>
      </c>
      <c r="AP55" s="53">
        <v>87766</v>
      </c>
      <c r="AQ55" s="53">
        <v>87849</v>
      </c>
      <c r="AR55" s="53">
        <v>87898</v>
      </c>
      <c r="AS55" s="53">
        <v>87391</v>
      </c>
      <c r="AT55" s="53">
        <v>86747</v>
      </c>
      <c r="AU55" s="53">
        <v>85756</v>
      </c>
      <c r="AV55" s="53">
        <v>85978</v>
      </c>
      <c r="AW55" s="53">
        <v>86393</v>
      </c>
      <c r="AX55" s="53">
        <v>88324</v>
      </c>
      <c r="AY55" s="53">
        <v>89915</v>
      </c>
      <c r="AZ55" s="53">
        <v>90021</v>
      </c>
      <c r="BA55" s="53">
        <v>90141</v>
      </c>
      <c r="BB55" s="53">
        <v>90749</v>
      </c>
      <c r="BC55" s="53">
        <v>91011</v>
      </c>
      <c r="BD55" s="53">
        <v>91388</v>
      </c>
      <c r="BE55" s="53">
        <v>91480</v>
      </c>
      <c r="BF55" s="53">
        <v>91879</v>
      </c>
      <c r="BG55" s="53">
        <v>92137</v>
      </c>
      <c r="BH55" s="53">
        <v>92400</v>
      </c>
      <c r="BI55" s="53">
        <v>92543</v>
      </c>
      <c r="BJ55" s="53">
        <v>92812</v>
      </c>
      <c r="BK55" s="53">
        <v>93131</v>
      </c>
      <c r="BL55" s="53">
        <v>93493</v>
      </c>
      <c r="BM55" s="53">
        <v>93819</v>
      </c>
      <c r="BN55" s="53">
        <v>94101</v>
      </c>
      <c r="BO55" s="53">
        <v>94297</v>
      </c>
      <c r="BP55" s="53">
        <v>94541</v>
      </c>
      <c r="BQ55" s="53">
        <v>94672</v>
      </c>
      <c r="BR55" s="53">
        <v>94804</v>
      </c>
      <c r="BS55" s="53">
        <v>94862</v>
      </c>
      <c r="BT55" s="53">
        <v>94982</v>
      </c>
      <c r="BU55" s="53">
        <v>95072</v>
      </c>
      <c r="BV55" s="53">
        <v>95211</v>
      </c>
      <c r="BW55" s="53">
        <v>95323</v>
      </c>
      <c r="BX55" s="53">
        <v>95472</v>
      </c>
      <c r="BY55" s="53">
        <v>95603</v>
      </c>
      <c r="BZ55" s="53">
        <v>95853</v>
      </c>
      <c r="CA55" s="53">
        <v>96045</v>
      </c>
      <c r="CB55" s="53">
        <v>96194</v>
      </c>
      <c r="CC55" s="53">
        <v>96313</v>
      </c>
      <c r="CD55" s="53">
        <v>96424</v>
      </c>
      <c r="CE55" s="53">
        <v>96537</v>
      </c>
      <c r="CF55" s="53">
        <v>96652</v>
      </c>
      <c r="CG55" s="53">
        <v>96776</v>
      </c>
      <c r="CH55" s="53">
        <v>96874</v>
      </c>
      <c r="CI55" s="53">
        <v>97008</v>
      </c>
      <c r="CJ55" s="53">
        <v>97082</v>
      </c>
      <c r="CK55" s="53">
        <v>97172</v>
      </c>
      <c r="CL55" s="53">
        <v>97297</v>
      </c>
      <c r="CM55" s="53">
        <v>97365</v>
      </c>
      <c r="CN55" s="53">
        <v>97459</v>
      </c>
      <c r="CO55" s="53">
        <v>97520</v>
      </c>
      <c r="CP55" s="53">
        <v>97619</v>
      </c>
      <c r="CQ55" s="53">
        <v>97691</v>
      </c>
      <c r="CR55" s="53">
        <v>97745</v>
      </c>
      <c r="CS55" s="53">
        <v>97822</v>
      </c>
      <c r="CT55" s="53">
        <v>97883</v>
      </c>
      <c r="CU55" s="53">
        <v>97940</v>
      </c>
      <c r="CV55" s="53">
        <v>97968</v>
      </c>
      <c r="CW55" s="53">
        <v>98030</v>
      </c>
      <c r="CX55" s="53">
        <v>98083</v>
      </c>
      <c r="CY55" s="53">
        <v>98127</v>
      </c>
      <c r="CZ55" s="53">
        <v>98139</v>
      </c>
      <c r="DA55" s="53">
        <v>98183</v>
      </c>
      <c r="DB55" s="53">
        <v>98222</v>
      </c>
      <c r="DC55" s="53">
        <v>98285</v>
      </c>
      <c r="DD55" s="53">
        <v>98315</v>
      </c>
      <c r="DE55" s="53">
        <v>98358</v>
      </c>
      <c r="DF55" s="53">
        <v>98425</v>
      </c>
      <c r="DG55" s="53">
        <v>98434</v>
      </c>
      <c r="DH55" s="53">
        <v>98482</v>
      </c>
      <c r="DI55" s="53">
        <v>98487</v>
      </c>
      <c r="DJ55" s="53">
        <v>98536</v>
      </c>
      <c r="DK55" s="53">
        <v>98572</v>
      </c>
      <c r="DL55" s="53">
        <v>98596</v>
      </c>
      <c r="DM55" s="53">
        <v>98634</v>
      </c>
      <c r="DN55" s="53">
        <v>98671</v>
      </c>
      <c r="DO55" s="53">
        <v>98708</v>
      </c>
    </row>
    <row r="56" spans="1:119">
      <c r="A56" s="52">
        <v>54</v>
      </c>
      <c r="W56" s="53">
        <v>75887</v>
      </c>
      <c r="X56" s="53">
        <v>76711</v>
      </c>
      <c r="Y56" s="53">
        <v>76887</v>
      </c>
      <c r="Z56" s="53">
        <v>78954</v>
      </c>
      <c r="AA56" s="53">
        <v>79431</v>
      </c>
      <c r="AB56" s="53">
        <v>80125</v>
      </c>
      <c r="AC56" s="53">
        <v>81056</v>
      </c>
      <c r="AD56" s="53">
        <v>81906</v>
      </c>
      <c r="AE56" s="53">
        <v>81914</v>
      </c>
      <c r="AF56" s="53">
        <v>83125</v>
      </c>
      <c r="AG56" s="53">
        <v>83672</v>
      </c>
      <c r="AH56" s="53">
        <v>83916</v>
      </c>
      <c r="AI56" s="53">
        <v>84414</v>
      </c>
      <c r="AJ56" s="53">
        <v>85672</v>
      </c>
      <c r="AK56" s="53">
        <v>85816</v>
      </c>
      <c r="AL56" s="53">
        <v>86288</v>
      </c>
      <c r="AM56" s="53">
        <v>86665</v>
      </c>
      <c r="AN56" s="53">
        <v>87162</v>
      </c>
      <c r="AO56" s="53">
        <v>87289</v>
      </c>
      <c r="AP56" s="53">
        <v>87469</v>
      </c>
      <c r="AQ56" s="53">
        <v>87537</v>
      </c>
      <c r="AR56" s="53">
        <v>87582</v>
      </c>
      <c r="AS56" s="53">
        <v>87088</v>
      </c>
      <c r="AT56" s="53">
        <v>86442</v>
      </c>
      <c r="AU56" s="53">
        <v>85463</v>
      </c>
      <c r="AV56" s="53">
        <v>85674</v>
      </c>
      <c r="AW56" s="53">
        <v>86105</v>
      </c>
      <c r="AX56" s="53">
        <v>88029</v>
      </c>
      <c r="AY56" s="53">
        <v>89631</v>
      </c>
      <c r="AZ56" s="53">
        <v>89743</v>
      </c>
      <c r="BA56" s="53">
        <v>89860</v>
      </c>
      <c r="BB56" s="53">
        <v>90472</v>
      </c>
      <c r="BC56" s="53">
        <v>90742</v>
      </c>
      <c r="BD56" s="53">
        <v>91105</v>
      </c>
      <c r="BE56" s="53">
        <v>91206</v>
      </c>
      <c r="BF56" s="53">
        <v>91601</v>
      </c>
      <c r="BG56" s="53">
        <v>91859</v>
      </c>
      <c r="BH56" s="53">
        <v>92131</v>
      </c>
      <c r="BI56" s="53">
        <v>92269</v>
      </c>
      <c r="BJ56" s="53">
        <v>92544</v>
      </c>
      <c r="BK56" s="53">
        <v>92866</v>
      </c>
      <c r="BL56" s="53">
        <v>93240</v>
      </c>
      <c r="BM56" s="53">
        <v>93570</v>
      </c>
      <c r="BN56" s="53">
        <v>93855</v>
      </c>
      <c r="BO56" s="53">
        <v>94056</v>
      </c>
      <c r="BP56" s="53">
        <v>94304</v>
      </c>
      <c r="BQ56" s="53">
        <v>94439</v>
      </c>
      <c r="BR56" s="53">
        <v>94576</v>
      </c>
      <c r="BS56" s="53">
        <v>94637</v>
      </c>
      <c r="BT56" s="53">
        <v>94762</v>
      </c>
      <c r="BU56" s="53">
        <v>94855</v>
      </c>
      <c r="BV56" s="53">
        <v>94999</v>
      </c>
      <c r="BW56" s="53">
        <v>95114</v>
      </c>
      <c r="BX56" s="53">
        <v>95267</v>
      </c>
      <c r="BY56" s="53">
        <v>95402</v>
      </c>
      <c r="BZ56" s="53">
        <v>95655</v>
      </c>
      <c r="CA56" s="53">
        <v>95850</v>
      </c>
      <c r="CB56" s="53">
        <v>96003</v>
      </c>
      <c r="CC56" s="53">
        <v>96125</v>
      </c>
      <c r="CD56" s="53">
        <v>96239</v>
      </c>
      <c r="CE56" s="53">
        <v>96356</v>
      </c>
      <c r="CF56" s="53">
        <v>96474</v>
      </c>
      <c r="CG56" s="53">
        <v>96601</v>
      </c>
      <c r="CH56" s="53">
        <v>96703</v>
      </c>
      <c r="CI56" s="53">
        <v>96839</v>
      </c>
      <c r="CJ56" s="53">
        <v>96917</v>
      </c>
      <c r="CK56" s="53">
        <v>97009</v>
      </c>
      <c r="CL56" s="53">
        <v>97137</v>
      </c>
      <c r="CM56" s="53">
        <v>97209</v>
      </c>
      <c r="CN56" s="53">
        <v>97305</v>
      </c>
      <c r="CO56" s="53">
        <v>97369</v>
      </c>
      <c r="CP56" s="53">
        <v>97471</v>
      </c>
      <c r="CQ56" s="53">
        <v>97546</v>
      </c>
      <c r="CR56" s="53">
        <v>97602</v>
      </c>
      <c r="CS56" s="53">
        <v>97682</v>
      </c>
      <c r="CT56" s="53">
        <v>97746</v>
      </c>
      <c r="CU56" s="53">
        <v>97805</v>
      </c>
      <c r="CV56" s="53">
        <v>97836</v>
      </c>
      <c r="CW56" s="53">
        <v>97900</v>
      </c>
      <c r="CX56" s="53">
        <v>97956</v>
      </c>
      <c r="CY56" s="53">
        <v>98002</v>
      </c>
      <c r="CZ56" s="53">
        <v>98016</v>
      </c>
      <c r="DA56" s="53">
        <v>98063</v>
      </c>
      <c r="DB56" s="53">
        <v>98104</v>
      </c>
      <c r="DC56" s="53">
        <v>98169</v>
      </c>
      <c r="DD56" s="53">
        <v>98202</v>
      </c>
      <c r="DE56" s="53">
        <v>98246</v>
      </c>
      <c r="DF56" s="53">
        <v>98316</v>
      </c>
      <c r="DG56" s="53">
        <v>98326</v>
      </c>
      <c r="DH56" s="53">
        <v>98377</v>
      </c>
      <c r="DI56" s="53">
        <v>98384</v>
      </c>
      <c r="DJ56" s="53">
        <v>98434</v>
      </c>
      <c r="DK56" s="53">
        <v>98472</v>
      </c>
      <c r="DL56" s="53">
        <v>98498</v>
      </c>
      <c r="DM56" s="53">
        <v>98538</v>
      </c>
      <c r="DN56" s="53">
        <v>98577</v>
      </c>
      <c r="DO56" s="53">
        <v>98615</v>
      </c>
    </row>
    <row r="57" spans="1:119">
      <c r="A57" s="52">
        <v>55</v>
      </c>
      <c r="W57" s="53">
        <v>75455</v>
      </c>
      <c r="X57" s="53">
        <v>76300</v>
      </c>
      <c r="Y57" s="53">
        <v>76480</v>
      </c>
      <c r="Z57" s="53">
        <v>78539</v>
      </c>
      <c r="AA57" s="53">
        <v>79023</v>
      </c>
      <c r="AB57" s="53">
        <v>79707</v>
      </c>
      <c r="AC57" s="53">
        <v>80638</v>
      </c>
      <c r="AD57" s="53">
        <v>81500</v>
      </c>
      <c r="AE57" s="53">
        <v>81534</v>
      </c>
      <c r="AF57" s="53">
        <v>82743</v>
      </c>
      <c r="AG57" s="53">
        <v>83282</v>
      </c>
      <c r="AH57" s="53">
        <v>83539</v>
      </c>
      <c r="AI57" s="53">
        <v>84029</v>
      </c>
      <c r="AJ57" s="53">
        <v>85285</v>
      </c>
      <c r="AK57" s="53">
        <v>85451</v>
      </c>
      <c r="AL57" s="53">
        <v>85919</v>
      </c>
      <c r="AM57" s="53">
        <v>86298</v>
      </c>
      <c r="AN57" s="53">
        <v>86828</v>
      </c>
      <c r="AO57" s="53">
        <v>86943</v>
      </c>
      <c r="AP57" s="53">
        <v>87131</v>
      </c>
      <c r="AQ57" s="53">
        <v>87205</v>
      </c>
      <c r="AR57" s="53">
        <v>87251</v>
      </c>
      <c r="AS57" s="53">
        <v>86777</v>
      </c>
      <c r="AT57" s="53">
        <v>86121</v>
      </c>
      <c r="AU57" s="53">
        <v>85145</v>
      </c>
      <c r="AV57" s="53">
        <v>85364</v>
      </c>
      <c r="AW57" s="53">
        <v>85794</v>
      </c>
      <c r="AX57" s="53">
        <v>87711</v>
      </c>
      <c r="AY57" s="53">
        <v>89331</v>
      </c>
      <c r="AZ57" s="53">
        <v>89440</v>
      </c>
      <c r="BA57" s="53">
        <v>89561</v>
      </c>
      <c r="BB57" s="53">
        <v>90180</v>
      </c>
      <c r="BC57" s="53">
        <v>90463</v>
      </c>
      <c r="BD57" s="53">
        <v>90814</v>
      </c>
      <c r="BE57" s="53">
        <v>90911</v>
      </c>
      <c r="BF57" s="53">
        <v>91298</v>
      </c>
      <c r="BG57" s="53">
        <v>91573</v>
      </c>
      <c r="BH57" s="53">
        <v>91843</v>
      </c>
      <c r="BI57" s="53">
        <v>91988</v>
      </c>
      <c r="BJ57" s="53">
        <v>92259</v>
      </c>
      <c r="BK57" s="53">
        <v>92588</v>
      </c>
      <c r="BL57" s="53">
        <v>92966</v>
      </c>
      <c r="BM57" s="53">
        <v>93300</v>
      </c>
      <c r="BN57" s="53">
        <v>93590</v>
      </c>
      <c r="BO57" s="53">
        <v>93796</v>
      </c>
      <c r="BP57" s="53">
        <v>94047</v>
      </c>
      <c r="BQ57" s="53">
        <v>94187</v>
      </c>
      <c r="BR57" s="53">
        <v>94328</v>
      </c>
      <c r="BS57" s="53">
        <v>94394</v>
      </c>
      <c r="BT57" s="53">
        <v>94523</v>
      </c>
      <c r="BU57" s="53">
        <v>94620</v>
      </c>
      <c r="BV57" s="53">
        <v>94768</v>
      </c>
      <c r="BW57" s="53">
        <v>94888</v>
      </c>
      <c r="BX57" s="53">
        <v>95044</v>
      </c>
      <c r="BY57" s="53">
        <v>95183</v>
      </c>
      <c r="BZ57" s="53">
        <v>95440</v>
      </c>
      <c r="CA57" s="53">
        <v>95639</v>
      </c>
      <c r="CB57" s="53">
        <v>95795</v>
      </c>
      <c r="CC57" s="53">
        <v>95921</v>
      </c>
      <c r="CD57" s="53">
        <v>96039</v>
      </c>
      <c r="CE57" s="53">
        <v>96159</v>
      </c>
      <c r="CF57" s="53">
        <v>96281</v>
      </c>
      <c r="CG57" s="53">
        <v>96412</v>
      </c>
      <c r="CH57" s="53">
        <v>96517</v>
      </c>
      <c r="CI57" s="53">
        <v>96657</v>
      </c>
      <c r="CJ57" s="53">
        <v>96737</v>
      </c>
      <c r="CK57" s="53">
        <v>96833</v>
      </c>
      <c r="CL57" s="53">
        <v>96964</v>
      </c>
      <c r="CM57" s="53">
        <v>97039</v>
      </c>
      <c r="CN57" s="53">
        <v>97138</v>
      </c>
      <c r="CO57" s="53">
        <v>97206</v>
      </c>
      <c r="CP57" s="53">
        <v>97310</v>
      </c>
      <c r="CQ57" s="53">
        <v>97388</v>
      </c>
      <c r="CR57" s="53">
        <v>97448</v>
      </c>
      <c r="CS57" s="53">
        <v>97530</v>
      </c>
      <c r="CT57" s="53">
        <v>97597</v>
      </c>
      <c r="CU57" s="53">
        <v>97659</v>
      </c>
      <c r="CV57" s="53">
        <v>97693</v>
      </c>
      <c r="CW57" s="53">
        <v>97759</v>
      </c>
      <c r="CX57" s="53">
        <v>97818</v>
      </c>
      <c r="CY57" s="53">
        <v>97867</v>
      </c>
      <c r="CZ57" s="53">
        <v>97883</v>
      </c>
      <c r="DA57" s="53">
        <v>97932</v>
      </c>
      <c r="DB57" s="53">
        <v>97976</v>
      </c>
      <c r="DC57" s="53">
        <v>98044</v>
      </c>
      <c r="DD57" s="53">
        <v>98078</v>
      </c>
      <c r="DE57" s="53">
        <v>98125</v>
      </c>
      <c r="DF57" s="53">
        <v>98197</v>
      </c>
      <c r="DG57" s="53">
        <v>98210</v>
      </c>
      <c r="DH57" s="53">
        <v>98262</v>
      </c>
      <c r="DI57" s="53">
        <v>98272</v>
      </c>
      <c r="DJ57" s="53">
        <v>98324</v>
      </c>
      <c r="DK57" s="53">
        <v>98364</v>
      </c>
      <c r="DL57" s="53">
        <v>98392</v>
      </c>
      <c r="DM57" s="53">
        <v>98434</v>
      </c>
      <c r="DN57" s="53">
        <v>98475</v>
      </c>
      <c r="DO57" s="53">
        <v>98515</v>
      </c>
    </row>
    <row r="58" spans="1:119">
      <c r="A58" s="52">
        <v>56</v>
      </c>
      <c r="W58" s="53">
        <v>75008</v>
      </c>
      <c r="X58" s="53">
        <v>75860</v>
      </c>
      <c r="Y58" s="53">
        <v>76043</v>
      </c>
      <c r="Z58" s="53">
        <v>78090</v>
      </c>
      <c r="AA58" s="53">
        <v>78592</v>
      </c>
      <c r="AB58" s="53">
        <v>79265</v>
      </c>
      <c r="AC58" s="53">
        <v>80215</v>
      </c>
      <c r="AD58" s="53">
        <v>81078</v>
      </c>
      <c r="AE58" s="53">
        <v>81127</v>
      </c>
      <c r="AF58" s="53">
        <v>82321</v>
      </c>
      <c r="AG58" s="53">
        <v>82884</v>
      </c>
      <c r="AH58" s="53">
        <v>83137</v>
      </c>
      <c r="AI58" s="53">
        <v>83629</v>
      </c>
      <c r="AJ58" s="53">
        <v>84889</v>
      </c>
      <c r="AK58" s="53">
        <v>85049</v>
      </c>
      <c r="AL58" s="53">
        <v>85529</v>
      </c>
      <c r="AM58" s="53">
        <v>85911</v>
      </c>
      <c r="AN58" s="53">
        <v>86469</v>
      </c>
      <c r="AO58" s="53">
        <v>86590</v>
      </c>
      <c r="AP58" s="53">
        <v>86776</v>
      </c>
      <c r="AQ58" s="53">
        <v>86859</v>
      </c>
      <c r="AR58" s="53">
        <v>86917</v>
      </c>
      <c r="AS58" s="53">
        <v>86439</v>
      </c>
      <c r="AT58" s="53">
        <v>85785</v>
      </c>
      <c r="AU58" s="53">
        <v>84823</v>
      </c>
      <c r="AV58" s="53">
        <v>85027</v>
      </c>
      <c r="AW58" s="53">
        <v>85470</v>
      </c>
      <c r="AX58" s="53">
        <v>87387</v>
      </c>
      <c r="AY58" s="53">
        <v>88993</v>
      </c>
      <c r="AZ58" s="53">
        <v>89127</v>
      </c>
      <c r="BA58" s="53">
        <v>89239</v>
      </c>
      <c r="BB58" s="53">
        <v>89850</v>
      </c>
      <c r="BC58" s="53">
        <v>90150</v>
      </c>
      <c r="BD58" s="53">
        <v>90489</v>
      </c>
      <c r="BE58" s="53">
        <v>90589</v>
      </c>
      <c r="BF58" s="53">
        <v>90974</v>
      </c>
      <c r="BG58" s="53">
        <v>91253</v>
      </c>
      <c r="BH58" s="53">
        <v>91541</v>
      </c>
      <c r="BI58" s="53">
        <v>91689</v>
      </c>
      <c r="BJ58" s="53">
        <v>91955</v>
      </c>
      <c r="BK58" s="53">
        <v>92289</v>
      </c>
      <c r="BL58" s="53">
        <v>92671</v>
      </c>
      <c r="BM58" s="53">
        <v>93010</v>
      </c>
      <c r="BN58" s="53">
        <v>93304</v>
      </c>
      <c r="BO58" s="53">
        <v>93515</v>
      </c>
      <c r="BP58" s="53">
        <v>93771</v>
      </c>
      <c r="BQ58" s="53">
        <v>93915</v>
      </c>
      <c r="BR58" s="53">
        <v>94061</v>
      </c>
      <c r="BS58" s="53">
        <v>94132</v>
      </c>
      <c r="BT58" s="53">
        <v>94266</v>
      </c>
      <c r="BU58" s="53">
        <v>94368</v>
      </c>
      <c r="BV58" s="53">
        <v>94520</v>
      </c>
      <c r="BW58" s="53">
        <v>94644</v>
      </c>
      <c r="BX58" s="53">
        <v>94805</v>
      </c>
      <c r="BY58" s="53">
        <v>94948</v>
      </c>
      <c r="BZ58" s="53">
        <v>95209</v>
      </c>
      <c r="CA58" s="53">
        <v>95411</v>
      </c>
      <c r="CB58" s="53">
        <v>95572</v>
      </c>
      <c r="CC58" s="53">
        <v>95702</v>
      </c>
      <c r="CD58" s="53">
        <v>95823</v>
      </c>
      <c r="CE58" s="53">
        <v>95947</v>
      </c>
      <c r="CF58" s="53">
        <v>96073</v>
      </c>
      <c r="CG58" s="53">
        <v>96208</v>
      </c>
      <c r="CH58" s="53">
        <v>96316</v>
      </c>
      <c r="CI58" s="53">
        <v>96460</v>
      </c>
      <c r="CJ58" s="53">
        <v>96544</v>
      </c>
      <c r="CK58" s="53">
        <v>96643</v>
      </c>
      <c r="CL58" s="53">
        <v>96778</v>
      </c>
      <c r="CM58" s="53">
        <v>96856</v>
      </c>
      <c r="CN58" s="53">
        <v>96958</v>
      </c>
      <c r="CO58" s="53">
        <v>97029</v>
      </c>
      <c r="CP58" s="53">
        <v>97137</v>
      </c>
      <c r="CQ58" s="53">
        <v>97218</v>
      </c>
      <c r="CR58" s="53">
        <v>97281</v>
      </c>
      <c r="CS58" s="53">
        <v>97366</v>
      </c>
      <c r="CT58" s="53">
        <v>97436</v>
      </c>
      <c r="CU58" s="53">
        <v>97501</v>
      </c>
      <c r="CV58" s="53">
        <v>97538</v>
      </c>
      <c r="CW58" s="53">
        <v>97607</v>
      </c>
      <c r="CX58" s="53">
        <v>97668</v>
      </c>
      <c r="CY58" s="53">
        <v>97720</v>
      </c>
      <c r="CZ58" s="53">
        <v>97739</v>
      </c>
      <c r="DA58" s="53">
        <v>97791</v>
      </c>
      <c r="DB58" s="53">
        <v>97838</v>
      </c>
      <c r="DC58" s="53">
        <v>97908</v>
      </c>
      <c r="DD58" s="53">
        <v>97945</v>
      </c>
      <c r="DE58" s="53">
        <v>97995</v>
      </c>
      <c r="DF58" s="53">
        <v>98069</v>
      </c>
      <c r="DG58" s="53">
        <v>98084</v>
      </c>
      <c r="DH58" s="53">
        <v>98139</v>
      </c>
      <c r="DI58" s="53">
        <v>98151</v>
      </c>
      <c r="DJ58" s="53">
        <v>98205</v>
      </c>
      <c r="DK58" s="53">
        <v>98247</v>
      </c>
      <c r="DL58" s="53">
        <v>98277</v>
      </c>
      <c r="DM58" s="53">
        <v>98322</v>
      </c>
      <c r="DN58" s="53">
        <v>98365</v>
      </c>
      <c r="DO58" s="53">
        <v>98407</v>
      </c>
    </row>
    <row r="59" spans="1:119">
      <c r="A59" s="52">
        <v>57</v>
      </c>
      <c r="W59" s="53">
        <v>74531</v>
      </c>
      <c r="X59" s="53">
        <v>75388</v>
      </c>
      <c r="Y59" s="53">
        <v>75575</v>
      </c>
      <c r="Z59" s="53">
        <v>77607</v>
      </c>
      <c r="AA59" s="53">
        <v>78115</v>
      </c>
      <c r="AB59" s="53">
        <v>78811</v>
      </c>
      <c r="AC59" s="53">
        <v>79742</v>
      </c>
      <c r="AD59" s="53">
        <v>80610</v>
      </c>
      <c r="AE59" s="53">
        <v>80691</v>
      </c>
      <c r="AF59" s="53">
        <v>81862</v>
      </c>
      <c r="AG59" s="53">
        <v>82445</v>
      </c>
      <c r="AH59" s="53">
        <v>82688</v>
      </c>
      <c r="AI59" s="53">
        <v>83194</v>
      </c>
      <c r="AJ59" s="53">
        <v>84461</v>
      </c>
      <c r="AK59" s="53">
        <v>84635</v>
      </c>
      <c r="AL59" s="53">
        <v>85125</v>
      </c>
      <c r="AM59" s="53">
        <v>85519</v>
      </c>
      <c r="AN59" s="53">
        <v>86093</v>
      </c>
      <c r="AO59" s="53">
        <v>86213</v>
      </c>
      <c r="AP59" s="53">
        <v>86409</v>
      </c>
      <c r="AQ59" s="53">
        <v>86487</v>
      </c>
      <c r="AR59" s="53">
        <v>86557</v>
      </c>
      <c r="AS59" s="53">
        <v>86078</v>
      </c>
      <c r="AT59" s="53">
        <v>85432</v>
      </c>
      <c r="AU59" s="53">
        <v>84468</v>
      </c>
      <c r="AV59" s="53">
        <v>84677</v>
      </c>
      <c r="AW59" s="53">
        <v>85128</v>
      </c>
      <c r="AX59" s="53">
        <v>87040</v>
      </c>
      <c r="AY59" s="53">
        <v>88643</v>
      </c>
      <c r="AZ59" s="53">
        <v>88778</v>
      </c>
      <c r="BA59" s="53">
        <v>88908</v>
      </c>
      <c r="BB59" s="53">
        <v>89505</v>
      </c>
      <c r="BC59" s="53">
        <v>89818</v>
      </c>
      <c r="BD59" s="53">
        <v>90141</v>
      </c>
      <c r="BE59" s="53">
        <v>90252</v>
      </c>
      <c r="BF59" s="53">
        <v>90627</v>
      </c>
      <c r="BG59" s="53">
        <v>90917</v>
      </c>
      <c r="BH59" s="53">
        <v>91212</v>
      </c>
      <c r="BI59" s="53">
        <v>91357</v>
      </c>
      <c r="BJ59" s="53">
        <v>91628</v>
      </c>
      <c r="BK59" s="53">
        <v>91967</v>
      </c>
      <c r="BL59" s="53">
        <v>92354</v>
      </c>
      <c r="BM59" s="53">
        <v>92698</v>
      </c>
      <c r="BN59" s="53">
        <v>92997</v>
      </c>
      <c r="BO59" s="53">
        <v>93213</v>
      </c>
      <c r="BP59" s="53">
        <v>93474</v>
      </c>
      <c r="BQ59" s="53">
        <v>93624</v>
      </c>
      <c r="BR59" s="53">
        <v>93774</v>
      </c>
      <c r="BS59" s="53">
        <v>93850</v>
      </c>
      <c r="BT59" s="53">
        <v>93989</v>
      </c>
      <c r="BU59" s="53">
        <v>94096</v>
      </c>
      <c r="BV59" s="53">
        <v>94253</v>
      </c>
      <c r="BW59" s="53">
        <v>94382</v>
      </c>
      <c r="BX59" s="53">
        <v>94547</v>
      </c>
      <c r="BY59" s="53">
        <v>94695</v>
      </c>
      <c r="BZ59" s="53">
        <v>94960</v>
      </c>
      <c r="CA59" s="53">
        <v>95166</v>
      </c>
      <c r="CB59" s="53">
        <v>95331</v>
      </c>
      <c r="CC59" s="53">
        <v>95466</v>
      </c>
      <c r="CD59" s="53">
        <v>95591</v>
      </c>
      <c r="CE59" s="53">
        <v>95720</v>
      </c>
      <c r="CF59" s="53">
        <v>95849</v>
      </c>
      <c r="CG59" s="53">
        <v>95988</v>
      </c>
      <c r="CH59" s="53">
        <v>96100</v>
      </c>
      <c r="CI59" s="53">
        <v>96248</v>
      </c>
      <c r="CJ59" s="53">
        <v>96336</v>
      </c>
      <c r="CK59" s="53">
        <v>96439</v>
      </c>
      <c r="CL59" s="53">
        <v>96577</v>
      </c>
      <c r="CM59" s="53">
        <v>96659</v>
      </c>
      <c r="CN59" s="53">
        <v>96765</v>
      </c>
      <c r="CO59" s="53">
        <v>96840</v>
      </c>
      <c r="CP59" s="53">
        <v>96951</v>
      </c>
      <c r="CQ59" s="53">
        <v>97035</v>
      </c>
      <c r="CR59" s="53">
        <v>97101</v>
      </c>
      <c r="CS59" s="53">
        <v>97190</v>
      </c>
      <c r="CT59" s="53">
        <v>97263</v>
      </c>
      <c r="CU59" s="53">
        <v>97331</v>
      </c>
      <c r="CV59" s="53">
        <v>97371</v>
      </c>
      <c r="CW59" s="53">
        <v>97444</v>
      </c>
      <c r="CX59" s="53">
        <v>97508</v>
      </c>
      <c r="CY59" s="53">
        <v>97563</v>
      </c>
      <c r="CZ59" s="53">
        <v>97585</v>
      </c>
      <c r="DA59" s="53">
        <v>97640</v>
      </c>
      <c r="DB59" s="53">
        <v>97689</v>
      </c>
      <c r="DC59" s="53">
        <v>97762</v>
      </c>
      <c r="DD59" s="53">
        <v>97802</v>
      </c>
      <c r="DE59" s="53">
        <v>97854</v>
      </c>
      <c r="DF59" s="53">
        <v>97931</v>
      </c>
      <c r="DG59" s="53">
        <v>97949</v>
      </c>
      <c r="DH59" s="53">
        <v>98006</v>
      </c>
      <c r="DI59" s="53">
        <v>98021</v>
      </c>
      <c r="DJ59" s="53">
        <v>98078</v>
      </c>
      <c r="DK59" s="53">
        <v>98122</v>
      </c>
      <c r="DL59" s="53">
        <v>98154</v>
      </c>
      <c r="DM59" s="53">
        <v>98201</v>
      </c>
      <c r="DN59" s="53">
        <v>98247</v>
      </c>
      <c r="DO59" s="53">
        <v>98291</v>
      </c>
    </row>
    <row r="60" spans="1:119">
      <c r="A60" s="52">
        <v>58</v>
      </c>
      <c r="W60" s="53">
        <v>74020</v>
      </c>
      <c r="X60" s="53">
        <v>74878</v>
      </c>
      <c r="Y60" s="53">
        <v>75078</v>
      </c>
      <c r="Z60" s="53">
        <v>77100</v>
      </c>
      <c r="AA60" s="53">
        <v>77614</v>
      </c>
      <c r="AB60" s="53">
        <v>78332</v>
      </c>
      <c r="AC60" s="53">
        <v>79257</v>
      </c>
      <c r="AD60" s="53">
        <v>80132</v>
      </c>
      <c r="AE60" s="53">
        <v>80215</v>
      </c>
      <c r="AF60" s="53">
        <v>81408</v>
      </c>
      <c r="AG60" s="53">
        <v>81985</v>
      </c>
      <c r="AH60" s="53">
        <v>82218</v>
      </c>
      <c r="AI60" s="53">
        <v>82720</v>
      </c>
      <c r="AJ60" s="53">
        <v>84012</v>
      </c>
      <c r="AK60" s="53">
        <v>84198</v>
      </c>
      <c r="AL60" s="53">
        <v>84683</v>
      </c>
      <c r="AM60" s="53">
        <v>85108</v>
      </c>
      <c r="AN60" s="53">
        <v>85681</v>
      </c>
      <c r="AO60" s="53">
        <v>85810</v>
      </c>
      <c r="AP60" s="53">
        <v>86015</v>
      </c>
      <c r="AQ60" s="53">
        <v>86089</v>
      </c>
      <c r="AR60" s="53">
        <v>86169</v>
      </c>
      <c r="AS60" s="53">
        <v>85696</v>
      </c>
      <c r="AT60" s="53">
        <v>85039</v>
      </c>
      <c r="AU60" s="53">
        <v>84085</v>
      </c>
      <c r="AV60" s="53">
        <v>84302</v>
      </c>
      <c r="AW60" s="53">
        <v>84759</v>
      </c>
      <c r="AX60" s="53">
        <v>86668</v>
      </c>
      <c r="AY60" s="53">
        <v>88274</v>
      </c>
      <c r="AZ60" s="53">
        <v>88402</v>
      </c>
      <c r="BA60" s="53">
        <v>88540</v>
      </c>
      <c r="BB60" s="53">
        <v>89146</v>
      </c>
      <c r="BC60" s="53">
        <v>89462</v>
      </c>
      <c r="BD60" s="53">
        <v>89780</v>
      </c>
      <c r="BE60" s="53">
        <v>89887</v>
      </c>
      <c r="BF60" s="53">
        <v>90273</v>
      </c>
      <c r="BG60" s="53">
        <v>90548</v>
      </c>
      <c r="BH60" s="53">
        <v>90850</v>
      </c>
      <c r="BI60" s="53">
        <v>91001</v>
      </c>
      <c r="BJ60" s="53">
        <v>91278</v>
      </c>
      <c r="BK60" s="53">
        <v>91622</v>
      </c>
      <c r="BL60" s="53">
        <v>92014</v>
      </c>
      <c r="BM60" s="53">
        <v>92363</v>
      </c>
      <c r="BN60" s="53">
        <v>92668</v>
      </c>
      <c r="BO60" s="53">
        <v>92889</v>
      </c>
      <c r="BP60" s="53">
        <v>93155</v>
      </c>
      <c r="BQ60" s="53">
        <v>93311</v>
      </c>
      <c r="BR60" s="53">
        <v>93467</v>
      </c>
      <c r="BS60" s="53">
        <v>93549</v>
      </c>
      <c r="BT60" s="53">
        <v>93693</v>
      </c>
      <c r="BU60" s="53">
        <v>93805</v>
      </c>
      <c r="BV60" s="53">
        <v>93967</v>
      </c>
      <c r="BW60" s="53">
        <v>94101</v>
      </c>
      <c r="BX60" s="53">
        <v>94271</v>
      </c>
      <c r="BY60" s="53">
        <v>94424</v>
      </c>
      <c r="BZ60" s="53">
        <v>94693</v>
      </c>
      <c r="CA60" s="53">
        <v>94904</v>
      </c>
      <c r="CB60" s="53">
        <v>95074</v>
      </c>
      <c r="CC60" s="53">
        <v>95213</v>
      </c>
      <c r="CD60" s="53">
        <v>95343</v>
      </c>
      <c r="CE60" s="53">
        <v>95476</v>
      </c>
      <c r="CF60" s="53">
        <v>95610</v>
      </c>
      <c r="CG60" s="53">
        <v>95753</v>
      </c>
      <c r="CH60" s="53">
        <v>95869</v>
      </c>
      <c r="CI60" s="53">
        <v>96021</v>
      </c>
      <c r="CJ60" s="53">
        <v>96113</v>
      </c>
      <c r="CK60" s="53">
        <v>96221</v>
      </c>
      <c r="CL60" s="53">
        <v>96362</v>
      </c>
      <c r="CM60" s="53">
        <v>96448</v>
      </c>
      <c r="CN60" s="53">
        <v>96558</v>
      </c>
      <c r="CO60" s="53">
        <v>96636</v>
      </c>
      <c r="CP60" s="53">
        <v>96751</v>
      </c>
      <c r="CQ60" s="53">
        <v>96839</v>
      </c>
      <c r="CR60" s="53">
        <v>96909</v>
      </c>
      <c r="CS60" s="53">
        <v>97002</v>
      </c>
      <c r="CT60" s="53">
        <v>97078</v>
      </c>
      <c r="CU60" s="53">
        <v>97149</v>
      </c>
      <c r="CV60" s="53">
        <v>97193</v>
      </c>
      <c r="CW60" s="53">
        <v>97269</v>
      </c>
      <c r="CX60" s="53">
        <v>97336</v>
      </c>
      <c r="CY60" s="53">
        <v>97394</v>
      </c>
      <c r="CZ60" s="53">
        <v>97420</v>
      </c>
      <c r="DA60" s="53">
        <v>97478</v>
      </c>
      <c r="DB60" s="53">
        <v>97530</v>
      </c>
      <c r="DC60" s="53">
        <v>97606</v>
      </c>
      <c r="DD60" s="53">
        <v>97649</v>
      </c>
      <c r="DE60" s="53">
        <v>97704</v>
      </c>
      <c r="DF60" s="53">
        <v>97783</v>
      </c>
      <c r="DG60" s="53">
        <v>97804</v>
      </c>
      <c r="DH60" s="53">
        <v>97864</v>
      </c>
      <c r="DI60" s="53">
        <v>97881</v>
      </c>
      <c r="DJ60" s="53">
        <v>97941</v>
      </c>
      <c r="DK60" s="53">
        <v>97988</v>
      </c>
      <c r="DL60" s="53">
        <v>98023</v>
      </c>
      <c r="DM60" s="53">
        <v>98072</v>
      </c>
      <c r="DN60" s="53">
        <v>98120</v>
      </c>
      <c r="DO60" s="53">
        <v>98167</v>
      </c>
    </row>
    <row r="61" spans="1:119">
      <c r="A61" s="52">
        <v>59</v>
      </c>
      <c r="W61" s="53">
        <v>73474</v>
      </c>
      <c r="X61" s="53">
        <v>74337</v>
      </c>
      <c r="Y61" s="53">
        <v>74534</v>
      </c>
      <c r="Z61" s="53">
        <v>76576</v>
      </c>
      <c r="AA61" s="53">
        <v>77099</v>
      </c>
      <c r="AB61" s="53">
        <v>77785</v>
      </c>
      <c r="AC61" s="53">
        <v>78744</v>
      </c>
      <c r="AD61" s="53">
        <v>79617</v>
      </c>
      <c r="AE61" s="53">
        <v>79702</v>
      </c>
      <c r="AF61" s="53">
        <v>80888</v>
      </c>
      <c r="AG61" s="53">
        <v>81472</v>
      </c>
      <c r="AH61" s="53">
        <v>81715</v>
      </c>
      <c r="AI61" s="53">
        <v>82221</v>
      </c>
      <c r="AJ61" s="53">
        <v>83519</v>
      </c>
      <c r="AK61" s="53">
        <v>83716</v>
      </c>
      <c r="AL61" s="53">
        <v>84240</v>
      </c>
      <c r="AM61" s="53">
        <v>84652</v>
      </c>
      <c r="AN61" s="53">
        <v>85262</v>
      </c>
      <c r="AO61" s="53">
        <v>85386</v>
      </c>
      <c r="AP61" s="53">
        <v>85615</v>
      </c>
      <c r="AQ61" s="53">
        <v>85677</v>
      </c>
      <c r="AR61" s="53">
        <v>85756</v>
      </c>
      <c r="AS61" s="53">
        <v>85294</v>
      </c>
      <c r="AT61" s="53">
        <v>84619</v>
      </c>
      <c r="AU61" s="53">
        <v>83672</v>
      </c>
      <c r="AV61" s="53">
        <v>83885</v>
      </c>
      <c r="AW61" s="53">
        <v>84381</v>
      </c>
      <c r="AX61" s="53">
        <v>86264</v>
      </c>
      <c r="AY61" s="53">
        <v>87875</v>
      </c>
      <c r="AZ61" s="53">
        <v>88008</v>
      </c>
      <c r="BA61" s="53">
        <v>88146</v>
      </c>
      <c r="BB61" s="53">
        <v>88752</v>
      </c>
      <c r="BC61" s="53">
        <v>89070</v>
      </c>
      <c r="BD61" s="53">
        <v>89387</v>
      </c>
      <c r="BE61" s="53">
        <v>89499</v>
      </c>
      <c r="BF61" s="53">
        <v>89877</v>
      </c>
      <c r="BG61" s="53">
        <v>90154</v>
      </c>
      <c r="BH61" s="53">
        <v>90462</v>
      </c>
      <c r="BI61" s="53">
        <v>90620</v>
      </c>
      <c r="BJ61" s="53">
        <v>90904</v>
      </c>
      <c r="BK61" s="53">
        <v>91254</v>
      </c>
      <c r="BL61" s="53">
        <v>91651</v>
      </c>
      <c r="BM61" s="53">
        <v>92006</v>
      </c>
      <c r="BN61" s="53">
        <v>92316</v>
      </c>
      <c r="BO61" s="53">
        <v>92543</v>
      </c>
      <c r="BP61" s="53">
        <v>92815</v>
      </c>
      <c r="BQ61" s="53">
        <v>92977</v>
      </c>
      <c r="BR61" s="53">
        <v>93139</v>
      </c>
      <c r="BS61" s="53">
        <v>93227</v>
      </c>
      <c r="BT61" s="53">
        <v>93376</v>
      </c>
      <c r="BU61" s="53">
        <v>93494</v>
      </c>
      <c r="BV61" s="53">
        <v>93662</v>
      </c>
      <c r="BW61" s="53">
        <v>93801</v>
      </c>
      <c r="BX61" s="53">
        <v>93977</v>
      </c>
      <c r="BY61" s="53">
        <v>94134</v>
      </c>
      <c r="BZ61" s="53">
        <v>94408</v>
      </c>
      <c r="CA61" s="53">
        <v>94624</v>
      </c>
      <c r="CB61" s="53">
        <v>94799</v>
      </c>
      <c r="CC61" s="53">
        <v>94943</v>
      </c>
      <c r="CD61" s="53">
        <v>95078</v>
      </c>
      <c r="CE61" s="53">
        <v>95215</v>
      </c>
      <c r="CF61" s="53">
        <v>95354</v>
      </c>
      <c r="CG61" s="53">
        <v>95502</v>
      </c>
      <c r="CH61" s="53">
        <v>95623</v>
      </c>
      <c r="CI61" s="53">
        <v>95779</v>
      </c>
      <c r="CJ61" s="53">
        <v>95875</v>
      </c>
      <c r="CK61" s="53">
        <v>95987</v>
      </c>
      <c r="CL61" s="53">
        <v>96133</v>
      </c>
      <c r="CM61" s="53">
        <v>96223</v>
      </c>
      <c r="CN61" s="53">
        <v>96337</v>
      </c>
      <c r="CO61" s="53">
        <v>96420</v>
      </c>
      <c r="CP61" s="53">
        <v>96538</v>
      </c>
      <c r="CQ61" s="53">
        <v>96630</v>
      </c>
      <c r="CR61" s="53">
        <v>96704</v>
      </c>
      <c r="CS61" s="53">
        <v>96800</v>
      </c>
      <c r="CT61" s="53">
        <v>96880</v>
      </c>
      <c r="CU61" s="53">
        <v>96955</v>
      </c>
      <c r="CV61" s="53">
        <v>97003</v>
      </c>
      <c r="CW61" s="53">
        <v>97082</v>
      </c>
      <c r="CX61" s="53">
        <v>97153</v>
      </c>
      <c r="CY61" s="53">
        <v>97214</v>
      </c>
      <c r="CZ61" s="53">
        <v>97243</v>
      </c>
      <c r="DA61" s="53">
        <v>97305</v>
      </c>
      <c r="DB61" s="53">
        <v>97360</v>
      </c>
      <c r="DC61" s="53">
        <v>97439</v>
      </c>
      <c r="DD61" s="53">
        <v>97485</v>
      </c>
      <c r="DE61" s="53">
        <v>97543</v>
      </c>
      <c r="DF61" s="53">
        <v>97625</v>
      </c>
      <c r="DG61" s="53">
        <v>97649</v>
      </c>
      <c r="DH61" s="53">
        <v>97712</v>
      </c>
      <c r="DI61" s="53">
        <v>97732</v>
      </c>
      <c r="DJ61" s="53">
        <v>97795</v>
      </c>
      <c r="DK61" s="53">
        <v>97845</v>
      </c>
      <c r="DL61" s="53">
        <v>97882</v>
      </c>
      <c r="DM61" s="53">
        <v>97934</v>
      </c>
      <c r="DN61" s="53">
        <v>97985</v>
      </c>
      <c r="DO61" s="53">
        <v>98034</v>
      </c>
    </row>
    <row r="62" spans="1:119">
      <c r="A62" s="52">
        <v>60</v>
      </c>
      <c r="W62" s="53">
        <v>72904</v>
      </c>
      <c r="X62" s="53">
        <v>73765</v>
      </c>
      <c r="Y62" s="53">
        <v>73962</v>
      </c>
      <c r="Z62" s="53">
        <v>76012</v>
      </c>
      <c r="AA62" s="53">
        <v>76528</v>
      </c>
      <c r="AB62" s="53">
        <v>77230</v>
      </c>
      <c r="AC62" s="53">
        <v>78211</v>
      </c>
      <c r="AD62" s="53">
        <v>79063</v>
      </c>
      <c r="AE62" s="53">
        <v>79165</v>
      </c>
      <c r="AF62" s="53">
        <v>80337</v>
      </c>
      <c r="AG62" s="53">
        <v>80935</v>
      </c>
      <c r="AH62" s="53">
        <v>81182</v>
      </c>
      <c r="AI62" s="53">
        <v>81683</v>
      </c>
      <c r="AJ62" s="53">
        <v>83012</v>
      </c>
      <c r="AK62" s="53">
        <v>83195</v>
      </c>
      <c r="AL62" s="53">
        <v>83752</v>
      </c>
      <c r="AM62" s="53">
        <v>84175</v>
      </c>
      <c r="AN62" s="53">
        <v>84810</v>
      </c>
      <c r="AO62" s="53">
        <v>84940</v>
      </c>
      <c r="AP62" s="53">
        <v>85179</v>
      </c>
      <c r="AQ62" s="53">
        <v>85246</v>
      </c>
      <c r="AR62" s="53">
        <v>85333</v>
      </c>
      <c r="AS62" s="53">
        <v>84862</v>
      </c>
      <c r="AT62" s="53">
        <v>84196</v>
      </c>
      <c r="AU62" s="53">
        <v>83237</v>
      </c>
      <c r="AV62" s="53">
        <v>83458</v>
      </c>
      <c r="AW62" s="53">
        <v>83980</v>
      </c>
      <c r="AX62" s="53">
        <v>85853</v>
      </c>
      <c r="AY62" s="53">
        <v>87448</v>
      </c>
      <c r="AZ62" s="53">
        <v>87602</v>
      </c>
      <c r="BA62" s="53">
        <v>87730</v>
      </c>
      <c r="BB62" s="53">
        <v>88320</v>
      </c>
      <c r="BC62" s="53">
        <v>88635</v>
      </c>
      <c r="BD62" s="53">
        <v>88959</v>
      </c>
      <c r="BE62" s="53">
        <v>89053</v>
      </c>
      <c r="BF62" s="53">
        <v>89451</v>
      </c>
      <c r="BG62" s="53">
        <v>89734</v>
      </c>
      <c r="BH62" s="53">
        <v>90049</v>
      </c>
      <c r="BI62" s="53">
        <v>90215</v>
      </c>
      <c r="BJ62" s="53">
        <v>90504</v>
      </c>
      <c r="BK62" s="53">
        <v>90861</v>
      </c>
      <c r="BL62" s="53">
        <v>91264</v>
      </c>
      <c r="BM62" s="53">
        <v>91625</v>
      </c>
      <c r="BN62" s="53">
        <v>91941</v>
      </c>
      <c r="BO62" s="53">
        <v>92175</v>
      </c>
      <c r="BP62" s="53">
        <v>92453</v>
      </c>
      <c r="BQ62" s="53">
        <v>92620</v>
      </c>
      <c r="BR62" s="53">
        <v>92789</v>
      </c>
      <c r="BS62" s="53">
        <v>92883</v>
      </c>
      <c r="BT62" s="53">
        <v>93039</v>
      </c>
      <c r="BU62" s="53">
        <v>93163</v>
      </c>
      <c r="BV62" s="53">
        <v>93336</v>
      </c>
      <c r="BW62" s="53">
        <v>93482</v>
      </c>
      <c r="BX62" s="53">
        <v>93663</v>
      </c>
      <c r="BY62" s="53">
        <v>93826</v>
      </c>
      <c r="BZ62" s="53">
        <v>94105</v>
      </c>
      <c r="CA62" s="53">
        <v>94326</v>
      </c>
      <c r="CB62" s="53">
        <v>94506</v>
      </c>
      <c r="CC62" s="53">
        <v>94655</v>
      </c>
      <c r="CD62" s="53">
        <v>94795</v>
      </c>
      <c r="CE62" s="53">
        <v>94938</v>
      </c>
      <c r="CF62" s="53">
        <v>95082</v>
      </c>
      <c r="CG62" s="53">
        <v>95234</v>
      </c>
      <c r="CH62" s="53">
        <v>95360</v>
      </c>
      <c r="CI62" s="53">
        <v>95521</v>
      </c>
      <c r="CJ62" s="53">
        <v>95622</v>
      </c>
      <c r="CK62" s="53">
        <v>95739</v>
      </c>
      <c r="CL62" s="53">
        <v>95889</v>
      </c>
      <c r="CM62" s="53">
        <v>95983</v>
      </c>
      <c r="CN62" s="53">
        <v>96102</v>
      </c>
      <c r="CO62" s="53">
        <v>96189</v>
      </c>
      <c r="CP62" s="53">
        <v>96311</v>
      </c>
      <c r="CQ62" s="53">
        <v>96408</v>
      </c>
      <c r="CR62" s="53">
        <v>96486</v>
      </c>
      <c r="CS62" s="53">
        <v>96586</v>
      </c>
      <c r="CT62" s="53">
        <v>96670</v>
      </c>
      <c r="CU62" s="53">
        <v>96749</v>
      </c>
      <c r="CV62" s="53">
        <v>96800</v>
      </c>
      <c r="CW62" s="53">
        <v>96883</v>
      </c>
      <c r="CX62" s="53">
        <v>96958</v>
      </c>
      <c r="CY62" s="53">
        <v>97023</v>
      </c>
      <c r="CZ62" s="53">
        <v>97056</v>
      </c>
      <c r="DA62" s="53">
        <v>97120</v>
      </c>
      <c r="DB62" s="53">
        <v>97179</v>
      </c>
      <c r="DC62" s="53">
        <v>97261</v>
      </c>
      <c r="DD62" s="53">
        <v>97311</v>
      </c>
      <c r="DE62" s="53">
        <v>97372</v>
      </c>
      <c r="DF62" s="53">
        <v>97458</v>
      </c>
      <c r="DG62" s="53">
        <v>97485</v>
      </c>
      <c r="DH62" s="53">
        <v>97551</v>
      </c>
      <c r="DI62" s="53">
        <v>97574</v>
      </c>
      <c r="DJ62" s="53">
        <v>97640</v>
      </c>
      <c r="DK62" s="53">
        <v>97692</v>
      </c>
      <c r="DL62" s="53">
        <v>97733</v>
      </c>
      <c r="DM62" s="53">
        <v>97788</v>
      </c>
      <c r="DN62" s="53">
        <v>97841</v>
      </c>
      <c r="DO62" s="53">
        <v>97893</v>
      </c>
    </row>
    <row r="63" spans="1:119">
      <c r="A63" s="52">
        <v>61</v>
      </c>
      <c r="W63" s="53">
        <v>72271</v>
      </c>
      <c r="X63" s="53">
        <v>73139</v>
      </c>
      <c r="Y63" s="53">
        <v>73354</v>
      </c>
      <c r="Z63" s="53">
        <v>75387</v>
      </c>
      <c r="AA63" s="53">
        <v>75915</v>
      </c>
      <c r="AB63" s="53">
        <v>76632</v>
      </c>
      <c r="AC63" s="53">
        <v>77622</v>
      </c>
      <c r="AD63" s="53">
        <v>78468</v>
      </c>
      <c r="AE63" s="53">
        <v>78585</v>
      </c>
      <c r="AF63" s="53">
        <v>79739</v>
      </c>
      <c r="AG63" s="53">
        <v>80356</v>
      </c>
      <c r="AH63" s="53">
        <v>80608</v>
      </c>
      <c r="AI63" s="53">
        <v>81129</v>
      </c>
      <c r="AJ63" s="53">
        <v>82457</v>
      </c>
      <c r="AK63" s="53">
        <v>82652</v>
      </c>
      <c r="AL63" s="53">
        <v>83236</v>
      </c>
      <c r="AM63" s="53">
        <v>83668</v>
      </c>
      <c r="AN63" s="53">
        <v>84319</v>
      </c>
      <c r="AO63" s="53">
        <v>84456</v>
      </c>
      <c r="AP63" s="53">
        <v>84712</v>
      </c>
      <c r="AQ63" s="53">
        <v>84792</v>
      </c>
      <c r="AR63" s="53">
        <v>84865</v>
      </c>
      <c r="AS63" s="53">
        <v>84415</v>
      </c>
      <c r="AT63" s="53">
        <v>83713</v>
      </c>
      <c r="AU63" s="53">
        <v>82789</v>
      </c>
      <c r="AV63" s="53">
        <v>82994</v>
      </c>
      <c r="AW63" s="53">
        <v>83537</v>
      </c>
      <c r="AX63" s="53">
        <v>85377</v>
      </c>
      <c r="AY63" s="53">
        <v>86993</v>
      </c>
      <c r="AZ63" s="53">
        <v>87128</v>
      </c>
      <c r="BA63" s="53">
        <v>87251</v>
      </c>
      <c r="BB63" s="53">
        <v>87860</v>
      </c>
      <c r="BC63" s="53">
        <v>88178</v>
      </c>
      <c r="BD63" s="53">
        <v>88467</v>
      </c>
      <c r="BE63" s="53">
        <v>88591</v>
      </c>
      <c r="BF63" s="53">
        <v>88996</v>
      </c>
      <c r="BG63" s="53">
        <v>89287</v>
      </c>
      <c r="BH63" s="53">
        <v>89609</v>
      </c>
      <c r="BI63" s="53">
        <v>89782</v>
      </c>
      <c r="BJ63" s="53">
        <v>90079</v>
      </c>
      <c r="BK63" s="53">
        <v>90442</v>
      </c>
      <c r="BL63" s="53">
        <v>90852</v>
      </c>
      <c r="BM63" s="53">
        <v>91219</v>
      </c>
      <c r="BN63" s="53">
        <v>91542</v>
      </c>
      <c r="BO63" s="53">
        <v>91782</v>
      </c>
      <c r="BP63" s="53">
        <v>92067</v>
      </c>
      <c r="BQ63" s="53">
        <v>92241</v>
      </c>
      <c r="BR63" s="53">
        <v>92416</v>
      </c>
      <c r="BS63" s="53">
        <v>92517</v>
      </c>
      <c r="BT63" s="53">
        <v>92680</v>
      </c>
      <c r="BU63" s="53">
        <v>92810</v>
      </c>
      <c r="BV63" s="53">
        <v>92990</v>
      </c>
      <c r="BW63" s="53">
        <v>93141</v>
      </c>
      <c r="BX63" s="53">
        <v>93328</v>
      </c>
      <c r="BY63" s="53">
        <v>93498</v>
      </c>
      <c r="BZ63" s="53">
        <v>93782</v>
      </c>
      <c r="CA63" s="53">
        <v>94009</v>
      </c>
      <c r="CB63" s="53">
        <v>94194</v>
      </c>
      <c r="CC63" s="53">
        <v>94349</v>
      </c>
      <c r="CD63" s="53">
        <v>94495</v>
      </c>
      <c r="CE63" s="53">
        <v>94643</v>
      </c>
      <c r="CF63" s="53">
        <v>94792</v>
      </c>
      <c r="CG63" s="53">
        <v>94950</v>
      </c>
      <c r="CH63" s="53">
        <v>95081</v>
      </c>
      <c r="CI63" s="53">
        <v>95246</v>
      </c>
      <c r="CJ63" s="53">
        <v>95353</v>
      </c>
      <c r="CK63" s="53">
        <v>95474</v>
      </c>
      <c r="CL63" s="53">
        <v>95629</v>
      </c>
      <c r="CM63" s="53">
        <v>95728</v>
      </c>
      <c r="CN63" s="53">
        <v>95852</v>
      </c>
      <c r="CO63" s="53">
        <v>95943</v>
      </c>
      <c r="CP63" s="53">
        <v>96070</v>
      </c>
      <c r="CQ63" s="53">
        <v>96171</v>
      </c>
      <c r="CR63" s="53">
        <v>96253</v>
      </c>
      <c r="CS63" s="53">
        <v>96358</v>
      </c>
      <c r="CT63" s="53">
        <v>96446</v>
      </c>
      <c r="CU63" s="53">
        <v>96529</v>
      </c>
      <c r="CV63" s="53">
        <v>96585</v>
      </c>
      <c r="CW63" s="53">
        <v>96672</v>
      </c>
      <c r="CX63" s="53">
        <v>96751</v>
      </c>
      <c r="CY63" s="53">
        <v>96819</v>
      </c>
      <c r="CZ63" s="53">
        <v>96856</v>
      </c>
      <c r="DA63" s="53">
        <v>96924</v>
      </c>
      <c r="DB63" s="53">
        <v>96987</v>
      </c>
      <c r="DC63" s="53">
        <v>97073</v>
      </c>
      <c r="DD63" s="53">
        <v>97126</v>
      </c>
      <c r="DE63" s="53">
        <v>97191</v>
      </c>
      <c r="DF63" s="53">
        <v>97280</v>
      </c>
      <c r="DG63" s="53">
        <v>97310</v>
      </c>
      <c r="DH63" s="53">
        <v>97380</v>
      </c>
      <c r="DI63" s="53">
        <v>97406</v>
      </c>
      <c r="DJ63" s="53">
        <v>97475</v>
      </c>
      <c r="DK63" s="53">
        <v>97531</v>
      </c>
      <c r="DL63" s="53">
        <v>97574</v>
      </c>
      <c r="DM63" s="53">
        <v>97632</v>
      </c>
      <c r="DN63" s="53">
        <v>97688</v>
      </c>
      <c r="DO63" s="53">
        <v>97743</v>
      </c>
    </row>
    <row r="64" spans="1:119">
      <c r="A64" s="52">
        <v>62</v>
      </c>
      <c r="W64" s="53">
        <v>71602</v>
      </c>
      <c r="X64" s="53">
        <v>72487</v>
      </c>
      <c r="Y64" s="53">
        <v>72709</v>
      </c>
      <c r="Z64" s="53">
        <v>74726</v>
      </c>
      <c r="AA64" s="53">
        <v>75262</v>
      </c>
      <c r="AB64" s="53">
        <v>75989</v>
      </c>
      <c r="AC64" s="53">
        <v>76994</v>
      </c>
      <c r="AD64" s="53">
        <v>77805</v>
      </c>
      <c r="AE64" s="53">
        <v>77938</v>
      </c>
      <c r="AF64" s="53">
        <v>79103</v>
      </c>
      <c r="AG64" s="53">
        <v>79742</v>
      </c>
      <c r="AH64" s="53">
        <v>79985</v>
      </c>
      <c r="AI64" s="53">
        <v>80515</v>
      </c>
      <c r="AJ64" s="53">
        <v>81850</v>
      </c>
      <c r="AK64" s="53">
        <v>82085</v>
      </c>
      <c r="AL64" s="53">
        <v>82692</v>
      </c>
      <c r="AM64" s="53">
        <v>83147</v>
      </c>
      <c r="AN64" s="53">
        <v>83795</v>
      </c>
      <c r="AO64" s="53">
        <v>83949</v>
      </c>
      <c r="AP64" s="53">
        <v>84216</v>
      </c>
      <c r="AQ64" s="53">
        <v>84304</v>
      </c>
      <c r="AR64" s="53">
        <v>84388</v>
      </c>
      <c r="AS64" s="53">
        <v>83931</v>
      </c>
      <c r="AT64" s="53">
        <v>83211</v>
      </c>
      <c r="AU64" s="53">
        <v>82285</v>
      </c>
      <c r="AV64" s="53">
        <v>82503</v>
      </c>
      <c r="AW64" s="53">
        <v>83053</v>
      </c>
      <c r="AX64" s="53">
        <v>84893</v>
      </c>
      <c r="AY64" s="53">
        <v>86485</v>
      </c>
      <c r="AZ64" s="53">
        <v>86632</v>
      </c>
      <c r="BA64" s="53">
        <v>86758</v>
      </c>
      <c r="BB64" s="53">
        <v>87386</v>
      </c>
      <c r="BC64" s="53">
        <v>87669</v>
      </c>
      <c r="BD64" s="53">
        <v>87967</v>
      </c>
      <c r="BE64" s="53">
        <v>88100</v>
      </c>
      <c r="BF64" s="53">
        <v>88512</v>
      </c>
      <c r="BG64" s="53">
        <v>88811</v>
      </c>
      <c r="BH64" s="53">
        <v>89141</v>
      </c>
      <c r="BI64" s="53">
        <v>89323</v>
      </c>
      <c r="BJ64" s="53">
        <v>89627</v>
      </c>
      <c r="BK64" s="53">
        <v>89997</v>
      </c>
      <c r="BL64" s="53">
        <v>90414</v>
      </c>
      <c r="BM64" s="53">
        <v>90787</v>
      </c>
      <c r="BN64" s="53">
        <v>91117</v>
      </c>
      <c r="BO64" s="53">
        <v>91365</v>
      </c>
      <c r="BP64" s="53">
        <v>91656</v>
      </c>
      <c r="BQ64" s="53">
        <v>91838</v>
      </c>
      <c r="BR64" s="53">
        <v>92020</v>
      </c>
      <c r="BS64" s="53">
        <v>92129</v>
      </c>
      <c r="BT64" s="53">
        <v>92298</v>
      </c>
      <c r="BU64" s="53">
        <v>92436</v>
      </c>
      <c r="BV64" s="53">
        <v>92622</v>
      </c>
      <c r="BW64" s="53">
        <v>92780</v>
      </c>
      <c r="BX64" s="53">
        <v>92973</v>
      </c>
      <c r="BY64" s="53">
        <v>93149</v>
      </c>
      <c r="BZ64" s="53">
        <v>93439</v>
      </c>
      <c r="CA64" s="53">
        <v>93672</v>
      </c>
      <c r="CB64" s="53">
        <v>93863</v>
      </c>
      <c r="CC64" s="53">
        <v>94024</v>
      </c>
      <c r="CD64" s="53">
        <v>94176</v>
      </c>
      <c r="CE64" s="53">
        <v>94330</v>
      </c>
      <c r="CF64" s="53">
        <v>94484</v>
      </c>
      <c r="CG64" s="53">
        <v>94647</v>
      </c>
      <c r="CH64" s="53">
        <v>94784</v>
      </c>
      <c r="CI64" s="53">
        <v>94955</v>
      </c>
      <c r="CJ64" s="53">
        <v>95067</v>
      </c>
      <c r="CK64" s="53">
        <v>95193</v>
      </c>
      <c r="CL64" s="53">
        <v>95353</v>
      </c>
      <c r="CM64" s="53">
        <v>95458</v>
      </c>
      <c r="CN64" s="53">
        <v>95586</v>
      </c>
      <c r="CO64" s="53">
        <v>95682</v>
      </c>
      <c r="CP64" s="53">
        <v>95814</v>
      </c>
      <c r="CQ64" s="53">
        <v>95920</v>
      </c>
      <c r="CR64" s="53">
        <v>96007</v>
      </c>
      <c r="CS64" s="53">
        <v>96116</v>
      </c>
      <c r="CT64" s="53">
        <v>96209</v>
      </c>
      <c r="CU64" s="53">
        <v>96297</v>
      </c>
      <c r="CV64" s="53">
        <v>96356</v>
      </c>
      <c r="CW64" s="53">
        <v>96448</v>
      </c>
      <c r="CX64" s="53">
        <v>96531</v>
      </c>
      <c r="CY64" s="53">
        <v>96604</v>
      </c>
      <c r="CZ64" s="53">
        <v>96644</v>
      </c>
      <c r="DA64" s="53">
        <v>96717</v>
      </c>
      <c r="DB64" s="53">
        <v>96784</v>
      </c>
      <c r="DC64" s="53">
        <v>96873</v>
      </c>
      <c r="DD64" s="53">
        <v>96930</v>
      </c>
      <c r="DE64" s="53">
        <v>96999</v>
      </c>
      <c r="DF64" s="53">
        <v>97091</v>
      </c>
      <c r="DG64" s="53">
        <v>97125</v>
      </c>
      <c r="DH64" s="53">
        <v>97198</v>
      </c>
      <c r="DI64" s="53">
        <v>97228</v>
      </c>
      <c r="DJ64" s="53">
        <v>97300</v>
      </c>
      <c r="DK64" s="53">
        <v>97359</v>
      </c>
      <c r="DL64" s="53">
        <v>97406</v>
      </c>
      <c r="DM64" s="53">
        <v>97467</v>
      </c>
      <c r="DN64" s="53">
        <v>97526</v>
      </c>
      <c r="DO64" s="53">
        <v>97584</v>
      </c>
    </row>
    <row r="65" spans="1:119">
      <c r="A65" s="52">
        <v>63</v>
      </c>
      <c r="W65" s="53">
        <v>70880</v>
      </c>
      <c r="X65" s="53">
        <v>71772</v>
      </c>
      <c r="Y65" s="53">
        <v>72017</v>
      </c>
      <c r="Z65" s="53">
        <v>74026</v>
      </c>
      <c r="AA65" s="53">
        <v>74556</v>
      </c>
      <c r="AB65" s="53">
        <v>75302</v>
      </c>
      <c r="AC65" s="53">
        <v>76294</v>
      </c>
      <c r="AD65" s="53">
        <v>77105</v>
      </c>
      <c r="AE65" s="53">
        <v>77257</v>
      </c>
      <c r="AF65" s="53">
        <v>78417</v>
      </c>
      <c r="AG65" s="53">
        <v>79084</v>
      </c>
      <c r="AH65" s="53">
        <v>79333</v>
      </c>
      <c r="AI65" s="53">
        <v>79866</v>
      </c>
      <c r="AJ65" s="53">
        <v>81232</v>
      </c>
      <c r="AK65" s="53">
        <v>81494</v>
      </c>
      <c r="AL65" s="53">
        <v>82117</v>
      </c>
      <c r="AM65" s="53">
        <v>82591</v>
      </c>
      <c r="AN65" s="53">
        <v>83246</v>
      </c>
      <c r="AO65" s="53">
        <v>83424</v>
      </c>
      <c r="AP65" s="53">
        <v>83670</v>
      </c>
      <c r="AQ65" s="53">
        <v>83785</v>
      </c>
      <c r="AR65" s="53">
        <v>83861</v>
      </c>
      <c r="AS65" s="53">
        <v>83407</v>
      </c>
      <c r="AT65" s="53">
        <v>82703</v>
      </c>
      <c r="AU65" s="53">
        <v>81764</v>
      </c>
      <c r="AV65" s="53">
        <v>81959</v>
      </c>
      <c r="AW65" s="53">
        <v>82538</v>
      </c>
      <c r="AX65" s="53">
        <v>84355</v>
      </c>
      <c r="AY65" s="53">
        <v>85964</v>
      </c>
      <c r="AZ65" s="53">
        <v>86078</v>
      </c>
      <c r="BA65" s="53">
        <v>86249</v>
      </c>
      <c r="BB65" s="53">
        <v>86855</v>
      </c>
      <c r="BC65" s="53">
        <v>87129</v>
      </c>
      <c r="BD65" s="53">
        <v>87436</v>
      </c>
      <c r="BE65" s="53">
        <v>87579</v>
      </c>
      <c r="BF65" s="53">
        <v>87999</v>
      </c>
      <c r="BG65" s="53">
        <v>88306</v>
      </c>
      <c r="BH65" s="53">
        <v>88644</v>
      </c>
      <c r="BI65" s="53">
        <v>88835</v>
      </c>
      <c r="BJ65" s="53">
        <v>89147</v>
      </c>
      <c r="BK65" s="53">
        <v>89524</v>
      </c>
      <c r="BL65" s="53">
        <v>89948</v>
      </c>
      <c r="BM65" s="53">
        <v>90330</v>
      </c>
      <c r="BN65" s="53">
        <v>90667</v>
      </c>
      <c r="BO65" s="53">
        <v>90922</v>
      </c>
      <c r="BP65" s="53">
        <v>91221</v>
      </c>
      <c r="BQ65" s="53">
        <v>91411</v>
      </c>
      <c r="BR65" s="53">
        <v>91601</v>
      </c>
      <c r="BS65" s="53">
        <v>91717</v>
      </c>
      <c r="BT65" s="53">
        <v>91893</v>
      </c>
      <c r="BU65" s="53">
        <v>92038</v>
      </c>
      <c r="BV65" s="53">
        <v>92231</v>
      </c>
      <c r="BW65" s="53">
        <v>92397</v>
      </c>
      <c r="BX65" s="53">
        <v>92597</v>
      </c>
      <c r="BY65" s="53">
        <v>92779</v>
      </c>
      <c r="BZ65" s="53">
        <v>93076</v>
      </c>
      <c r="CA65" s="53">
        <v>93315</v>
      </c>
      <c r="CB65" s="53">
        <v>93513</v>
      </c>
      <c r="CC65" s="53">
        <v>93679</v>
      </c>
      <c r="CD65" s="53">
        <v>93837</v>
      </c>
      <c r="CE65" s="53">
        <v>93997</v>
      </c>
      <c r="CF65" s="53">
        <v>94158</v>
      </c>
      <c r="CG65" s="53">
        <v>94327</v>
      </c>
      <c r="CH65" s="53">
        <v>94469</v>
      </c>
      <c r="CI65" s="53">
        <v>94646</v>
      </c>
      <c r="CJ65" s="53">
        <v>94764</v>
      </c>
      <c r="CK65" s="53">
        <v>94896</v>
      </c>
      <c r="CL65" s="53">
        <v>95061</v>
      </c>
      <c r="CM65" s="53">
        <v>95171</v>
      </c>
      <c r="CN65" s="53">
        <v>95305</v>
      </c>
      <c r="CO65" s="53">
        <v>95406</v>
      </c>
      <c r="CP65" s="53">
        <v>95543</v>
      </c>
      <c r="CQ65" s="53">
        <v>95654</v>
      </c>
      <c r="CR65" s="53">
        <v>95746</v>
      </c>
      <c r="CS65" s="53">
        <v>95860</v>
      </c>
      <c r="CT65" s="53">
        <v>95957</v>
      </c>
      <c r="CU65" s="53">
        <v>96050</v>
      </c>
      <c r="CV65" s="53">
        <v>96114</v>
      </c>
      <c r="CW65" s="53">
        <v>96211</v>
      </c>
      <c r="CX65" s="53">
        <v>96298</v>
      </c>
      <c r="CY65" s="53">
        <v>96375</v>
      </c>
      <c r="CZ65" s="53">
        <v>96420</v>
      </c>
      <c r="DA65" s="53">
        <v>96497</v>
      </c>
      <c r="DB65" s="53">
        <v>96568</v>
      </c>
      <c r="DC65" s="53">
        <v>96662</v>
      </c>
      <c r="DD65" s="53">
        <v>96722</v>
      </c>
      <c r="DE65" s="53">
        <v>96795</v>
      </c>
      <c r="DF65" s="53">
        <v>96891</v>
      </c>
      <c r="DG65" s="53">
        <v>96929</v>
      </c>
      <c r="DH65" s="53">
        <v>97006</v>
      </c>
      <c r="DI65" s="53">
        <v>97040</v>
      </c>
      <c r="DJ65" s="53">
        <v>97115</v>
      </c>
      <c r="DK65" s="53">
        <v>97178</v>
      </c>
      <c r="DL65" s="53">
        <v>97228</v>
      </c>
      <c r="DM65" s="53">
        <v>97293</v>
      </c>
      <c r="DN65" s="53">
        <v>97355</v>
      </c>
      <c r="DO65" s="53">
        <v>97416</v>
      </c>
    </row>
    <row r="66" spans="1:119">
      <c r="A66" s="52">
        <v>64</v>
      </c>
      <c r="W66" s="53">
        <v>70113</v>
      </c>
      <c r="X66" s="53">
        <v>71008</v>
      </c>
      <c r="Y66" s="53">
        <v>71257</v>
      </c>
      <c r="Z66" s="53">
        <v>73276</v>
      </c>
      <c r="AA66" s="53">
        <v>73831</v>
      </c>
      <c r="AB66" s="53">
        <v>74551</v>
      </c>
      <c r="AC66" s="53">
        <v>75556</v>
      </c>
      <c r="AD66" s="53">
        <v>76353</v>
      </c>
      <c r="AE66" s="53">
        <v>76539</v>
      </c>
      <c r="AF66" s="53">
        <v>77688</v>
      </c>
      <c r="AG66" s="53">
        <v>78384</v>
      </c>
      <c r="AH66" s="53">
        <v>78629</v>
      </c>
      <c r="AI66" s="53">
        <v>79198</v>
      </c>
      <c r="AJ66" s="53">
        <v>80564</v>
      </c>
      <c r="AK66" s="53">
        <v>80865</v>
      </c>
      <c r="AL66" s="53">
        <v>81504</v>
      </c>
      <c r="AM66" s="53">
        <v>82016</v>
      </c>
      <c r="AN66" s="53">
        <v>82657</v>
      </c>
      <c r="AO66" s="53">
        <v>82847</v>
      </c>
      <c r="AP66" s="53">
        <v>83113</v>
      </c>
      <c r="AQ66" s="53">
        <v>83225</v>
      </c>
      <c r="AR66" s="53">
        <v>83319</v>
      </c>
      <c r="AS66" s="53">
        <v>82862</v>
      </c>
      <c r="AT66" s="53">
        <v>82144</v>
      </c>
      <c r="AU66" s="53">
        <v>81196</v>
      </c>
      <c r="AV66" s="53">
        <v>81400</v>
      </c>
      <c r="AW66" s="53">
        <v>81974</v>
      </c>
      <c r="AX66" s="53">
        <v>83772</v>
      </c>
      <c r="AY66" s="53">
        <v>85380</v>
      </c>
      <c r="AZ66" s="53">
        <v>85522</v>
      </c>
      <c r="BA66" s="53">
        <v>85675</v>
      </c>
      <c r="BB66" s="53">
        <v>86273</v>
      </c>
      <c r="BC66" s="53">
        <v>86557</v>
      </c>
      <c r="BD66" s="53">
        <v>86873</v>
      </c>
      <c r="BE66" s="53">
        <v>87026</v>
      </c>
      <c r="BF66" s="53">
        <v>87455</v>
      </c>
      <c r="BG66" s="53">
        <v>87771</v>
      </c>
      <c r="BH66" s="53">
        <v>88118</v>
      </c>
      <c r="BI66" s="53">
        <v>88317</v>
      </c>
      <c r="BJ66" s="53">
        <v>88638</v>
      </c>
      <c r="BK66" s="53">
        <v>89024</v>
      </c>
      <c r="BL66" s="53">
        <v>89456</v>
      </c>
      <c r="BM66" s="53">
        <v>89845</v>
      </c>
      <c r="BN66" s="53">
        <v>90190</v>
      </c>
      <c r="BO66" s="53">
        <v>90453</v>
      </c>
      <c r="BP66" s="53">
        <v>90760</v>
      </c>
      <c r="BQ66" s="53">
        <v>90958</v>
      </c>
      <c r="BR66" s="53">
        <v>91156</v>
      </c>
      <c r="BS66" s="53">
        <v>91280</v>
      </c>
      <c r="BT66" s="53">
        <v>91465</v>
      </c>
      <c r="BU66" s="53">
        <v>91618</v>
      </c>
      <c r="BV66" s="53">
        <v>91818</v>
      </c>
      <c r="BW66" s="53">
        <v>91991</v>
      </c>
      <c r="BX66" s="53">
        <v>92198</v>
      </c>
      <c r="BY66" s="53">
        <v>92388</v>
      </c>
      <c r="BZ66" s="53">
        <v>92691</v>
      </c>
      <c r="CA66" s="53">
        <v>92937</v>
      </c>
      <c r="CB66" s="53">
        <v>93141</v>
      </c>
      <c r="CC66" s="53">
        <v>93315</v>
      </c>
      <c r="CD66" s="53">
        <v>93479</v>
      </c>
      <c r="CE66" s="53">
        <v>93646</v>
      </c>
      <c r="CF66" s="53">
        <v>93813</v>
      </c>
      <c r="CG66" s="53">
        <v>93988</v>
      </c>
      <c r="CH66" s="53">
        <v>94137</v>
      </c>
      <c r="CI66" s="53">
        <v>94319</v>
      </c>
      <c r="CJ66" s="53">
        <v>94443</v>
      </c>
      <c r="CK66" s="53">
        <v>94581</v>
      </c>
      <c r="CL66" s="53">
        <v>94752</v>
      </c>
      <c r="CM66" s="53">
        <v>94868</v>
      </c>
      <c r="CN66" s="53">
        <v>95007</v>
      </c>
      <c r="CO66" s="53">
        <v>95114</v>
      </c>
      <c r="CP66" s="53">
        <v>95257</v>
      </c>
      <c r="CQ66" s="53">
        <v>95373</v>
      </c>
      <c r="CR66" s="53">
        <v>95470</v>
      </c>
      <c r="CS66" s="53">
        <v>95589</v>
      </c>
      <c r="CT66" s="53">
        <v>95692</v>
      </c>
      <c r="CU66" s="53">
        <v>95789</v>
      </c>
      <c r="CV66" s="53">
        <v>95859</v>
      </c>
      <c r="CW66" s="53">
        <v>95960</v>
      </c>
      <c r="CX66" s="53">
        <v>96052</v>
      </c>
      <c r="CY66" s="53">
        <v>96134</v>
      </c>
      <c r="CZ66" s="53">
        <v>96184</v>
      </c>
      <c r="DA66" s="53">
        <v>96265</v>
      </c>
      <c r="DB66" s="53">
        <v>96340</v>
      </c>
      <c r="DC66" s="53">
        <v>96438</v>
      </c>
      <c r="DD66" s="53">
        <v>96503</v>
      </c>
      <c r="DE66" s="53">
        <v>96580</v>
      </c>
      <c r="DF66" s="53">
        <v>96680</v>
      </c>
      <c r="DG66" s="53">
        <v>96723</v>
      </c>
      <c r="DH66" s="53">
        <v>96803</v>
      </c>
      <c r="DI66" s="53">
        <v>96841</v>
      </c>
      <c r="DJ66" s="53">
        <v>96920</v>
      </c>
      <c r="DK66" s="53">
        <v>96987</v>
      </c>
      <c r="DL66" s="53">
        <v>97041</v>
      </c>
      <c r="DM66" s="53">
        <v>97109</v>
      </c>
      <c r="DN66" s="53">
        <v>97175</v>
      </c>
      <c r="DO66" s="53">
        <v>97239</v>
      </c>
    </row>
    <row r="67" spans="1:119">
      <c r="A67" s="52">
        <v>65</v>
      </c>
      <c r="W67" s="53">
        <v>69287</v>
      </c>
      <c r="X67" s="53">
        <v>70202</v>
      </c>
      <c r="Y67" s="53">
        <v>70449</v>
      </c>
      <c r="Z67" s="53">
        <v>72500</v>
      </c>
      <c r="AA67" s="53">
        <v>73021</v>
      </c>
      <c r="AB67" s="53">
        <v>73739</v>
      </c>
      <c r="AC67" s="53">
        <v>74760</v>
      </c>
      <c r="AD67" s="53">
        <v>75564</v>
      </c>
      <c r="AE67" s="53">
        <v>75768</v>
      </c>
      <c r="AF67" s="53">
        <v>76927</v>
      </c>
      <c r="AG67" s="53">
        <v>77615</v>
      </c>
      <c r="AH67" s="53">
        <v>77901</v>
      </c>
      <c r="AI67" s="53">
        <v>78480</v>
      </c>
      <c r="AJ67" s="53">
        <v>79879</v>
      </c>
      <c r="AK67" s="53">
        <v>80179</v>
      </c>
      <c r="AL67" s="53">
        <v>80857</v>
      </c>
      <c r="AM67" s="53">
        <v>81390</v>
      </c>
      <c r="AN67" s="53">
        <v>82036</v>
      </c>
      <c r="AO67" s="53">
        <v>82255</v>
      </c>
      <c r="AP67" s="53">
        <v>82531</v>
      </c>
      <c r="AQ67" s="53">
        <v>82652</v>
      </c>
      <c r="AR67" s="53">
        <v>82741</v>
      </c>
      <c r="AS67" s="53">
        <v>82285</v>
      </c>
      <c r="AT67" s="53">
        <v>81540</v>
      </c>
      <c r="AU67" s="53">
        <v>80587</v>
      </c>
      <c r="AV67" s="53">
        <v>80784</v>
      </c>
      <c r="AW67" s="53">
        <v>81381</v>
      </c>
      <c r="AX67" s="53">
        <v>83125</v>
      </c>
      <c r="AY67" s="53">
        <v>84768</v>
      </c>
      <c r="AZ67" s="53">
        <v>84894</v>
      </c>
      <c r="BA67" s="53">
        <v>85050</v>
      </c>
      <c r="BB67" s="53">
        <v>85656</v>
      </c>
      <c r="BC67" s="53">
        <v>85951</v>
      </c>
      <c r="BD67" s="53">
        <v>86277</v>
      </c>
      <c r="BE67" s="53">
        <v>86441</v>
      </c>
      <c r="BF67" s="53">
        <v>86879</v>
      </c>
      <c r="BG67" s="53">
        <v>87205</v>
      </c>
      <c r="BH67" s="53">
        <v>87561</v>
      </c>
      <c r="BI67" s="53">
        <v>87770</v>
      </c>
      <c r="BJ67" s="53">
        <v>88100</v>
      </c>
      <c r="BK67" s="53">
        <v>88495</v>
      </c>
      <c r="BL67" s="53">
        <v>88934</v>
      </c>
      <c r="BM67" s="53">
        <v>89331</v>
      </c>
      <c r="BN67" s="53">
        <v>89685</v>
      </c>
      <c r="BO67" s="53">
        <v>89957</v>
      </c>
      <c r="BP67" s="53">
        <v>90272</v>
      </c>
      <c r="BQ67" s="53">
        <v>90479</v>
      </c>
      <c r="BR67" s="53">
        <v>90686</v>
      </c>
      <c r="BS67" s="53">
        <v>90819</v>
      </c>
      <c r="BT67" s="53">
        <v>91012</v>
      </c>
      <c r="BU67" s="53">
        <v>91173</v>
      </c>
      <c r="BV67" s="53">
        <v>91381</v>
      </c>
      <c r="BW67" s="53">
        <v>91562</v>
      </c>
      <c r="BX67" s="53">
        <v>91777</v>
      </c>
      <c r="BY67" s="53">
        <v>91974</v>
      </c>
      <c r="BZ67" s="53">
        <v>92284</v>
      </c>
      <c r="CA67" s="53">
        <v>92537</v>
      </c>
      <c r="CB67" s="53">
        <v>92748</v>
      </c>
      <c r="CC67" s="53">
        <v>92929</v>
      </c>
      <c r="CD67" s="53">
        <v>93101</v>
      </c>
      <c r="CE67" s="53">
        <v>93274</v>
      </c>
      <c r="CF67" s="53">
        <v>93448</v>
      </c>
      <c r="CG67" s="53">
        <v>93630</v>
      </c>
      <c r="CH67" s="53">
        <v>93785</v>
      </c>
      <c r="CI67" s="53">
        <v>93974</v>
      </c>
      <c r="CJ67" s="53">
        <v>94104</v>
      </c>
      <c r="CK67" s="53">
        <v>94249</v>
      </c>
      <c r="CL67" s="53">
        <v>94426</v>
      </c>
      <c r="CM67" s="53">
        <v>94548</v>
      </c>
      <c r="CN67" s="53">
        <v>94692</v>
      </c>
      <c r="CO67" s="53">
        <v>94806</v>
      </c>
      <c r="CP67" s="53">
        <v>94954</v>
      </c>
      <c r="CQ67" s="53">
        <v>95076</v>
      </c>
      <c r="CR67" s="53">
        <v>95179</v>
      </c>
      <c r="CS67" s="53">
        <v>95303</v>
      </c>
      <c r="CT67" s="53">
        <v>95411</v>
      </c>
      <c r="CU67" s="53">
        <v>95514</v>
      </c>
      <c r="CV67" s="53">
        <v>95589</v>
      </c>
      <c r="CW67" s="53">
        <v>95695</v>
      </c>
      <c r="CX67" s="53">
        <v>95792</v>
      </c>
      <c r="CY67" s="53">
        <v>95879</v>
      </c>
      <c r="CZ67" s="53">
        <v>95934</v>
      </c>
      <c r="DA67" s="53">
        <v>96020</v>
      </c>
      <c r="DB67" s="53">
        <v>96100</v>
      </c>
      <c r="DC67" s="53">
        <v>96202</v>
      </c>
      <c r="DD67" s="53">
        <v>96272</v>
      </c>
      <c r="DE67" s="53">
        <v>96353</v>
      </c>
      <c r="DF67" s="53">
        <v>96458</v>
      </c>
      <c r="DG67" s="53">
        <v>96504</v>
      </c>
      <c r="DH67" s="53">
        <v>96589</v>
      </c>
      <c r="DI67" s="53">
        <v>96631</v>
      </c>
      <c r="DJ67" s="53">
        <v>96714</v>
      </c>
      <c r="DK67" s="53">
        <v>96785</v>
      </c>
      <c r="DL67" s="53">
        <v>96843</v>
      </c>
      <c r="DM67" s="53">
        <v>96914</v>
      </c>
      <c r="DN67" s="53">
        <v>96984</v>
      </c>
      <c r="DO67" s="53">
        <v>97053</v>
      </c>
    </row>
    <row r="68" spans="1:119">
      <c r="A68" s="52">
        <v>66</v>
      </c>
      <c r="W68" s="53">
        <v>68389</v>
      </c>
      <c r="X68" s="53">
        <v>69330</v>
      </c>
      <c r="Y68" s="53">
        <v>69602</v>
      </c>
      <c r="Z68" s="53">
        <v>71616</v>
      </c>
      <c r="AA68" s="53">
        <v>72141</v>
      </c>
      <c r="AB68" s="53">
        <v>72892</v>
      </c>
      <c r="AC68" s="53">
        <v>73925</v>
      </c>
      <c r="AD68" s="53">
        <v>74723</v>
      </c>
      <c r="AE68" s="53">
        <v>74950</v>
      </c>
      <c r="AF68" s="53">
        <v>76088</v>
      </c>
      <c r="AG68" s="53">
        <v>76806</v>
      </c>
      <c r="AH68" s="53">
        <v>77141</v>
      </c>
      <c r="AI68" s="53">
        <v>77713</v>
      </c>
      <c r="AJ68" s="53">
        <v>79139</v>
      </c>
      <c r="AK68" s="53">
        <v>79477</v>
      </c>
      <c r="AL68" s="53">
        <v>80160</v>
      </c>
      <c r="AM68" s="53">
        <v>80699</v>
      </c>
      <c r="AN68" s="53">
        <v>81381</v>
      </c>
      <c r="AO68" s="53">
        <v>81625</v>
      </c>
      <c r="AP68" s="53">
        <v>81922</v>
      </c>
      <c r="AQ68" s="53">
        <v>82021</v>
      </c>
      <c r="AR68" s="53">
        <v>82124</v>
      </c>
      <c r="AS68" s="53">
        <v>81626</v>
      </c>
      <c r="AT68" s="53">
        <v>80911</v>
      </c>
      <c r="AU68" s="53">
        <v>79954</v>
      </c>
      <c r="AV68" s="53">
        <v>80128</v>
      </c>
      <c r="AW68" s="53">
        <v>80728</v>
      </c>
      <c r="AX68" s="53">
        <v>82463</v>
      </c>
      <c r="AY68" s="53">
        <v>84082</v>
      </c>
      <c r="AZ68" s="53">
        <v>84221</v>
      </c>
      <c r="BA68" s="53">
        <v>84390</v>
      </c>
      <c r="BB68" s="53">
        <v>85005</v>
      </c>
      <c r="BC68" s="53">
        <v>85311</v>
      </c>
      <c r="BD68" s="53">
        <v>85647</v>
      </c>
      <c r="BE68" s="53">
        <v>85824</v>
      </c>
      <c r="BF68" s="53">
        <v>86270</v>
      </c>
      <c r="BG68" s="53">
        <v>86607</v>
      </c>
      <c r="BH68" s="53">
        <v>86972</v>
      </c>
      <c r="BI68" s="53">
        <v>87192</v>
      </c>
      <c r="BJ68" s="53">
        <v>87532</v>
      </c>
      <c r="BK68" s="53">
        <v>87935</v>
      </c>
      <c r="BL68" s="53">
        <v>88384</v>
      </c>
      <c r="BM68" s="53">
        <v>88790</v>
      </c>
      <c r="BN68" s="53">
        <v>89152</v>
      </c>
      <c r="BO68" s="53">
        <v>89434</v>
      </c>
      <c r="BP68" s="53">
        <v>89758</v>
      </c>
      <c r="BQ68" s="53">
        <v>89973</v>
      </c>
      <c r="BR68" s="53">
        <v>90189</v>
      </c>
      <c r="BS68" s="53">
        <v>90331</v>
      </c>
      <c r="BT68" s="53">
        <v>90533</v>
      </c>
      <c r="BU68" s="53">
        <v>90703</v>
      </c>
      <c r="BV68" s="53">
        <v>90920</v>
      </c>
      <c r="BW68" s="53">
        <v>91109</v>
      </c>
      <c r="BX68" s="53">
        <v>91332</v>
      </c>
      <c r="BY68" s="53">
        <v>91537</v>
      </c>
      <c r="BZ68" s="53">
        <v>91854</v>
      </c>
      <c r="CA68" s="53">
        <v>92114</v>
      </c>
      <c r="CB68" s="53">
        <v>92334</v>
      </c>
      <c r="CC68" s="53">
        <v>92522</v>
      </c>
      <c r="CD68" s="53">
        <v>92701</v>
      </c>
      <c r="CE68" s="53">
        <v>92882</v>
      </c>
      <c r="CF68" s="53">
        <v>93063</v>
      </c>
      <c r="CG68" s="53">
        <v>93251</v>
      </c>
      <c r="CH68" s="53">
        <v>93414</v>
      </c>
      <c r="CI68" s="53">
        <v>93609</v>
      </c>
      <c r="CJ68" s="53">
        <v>93746</v>
      </c>
      <c r="CK68" s="53">
        <v>93897</v>
      </c>
      <c r="CL68" s="53">
        <v>94081</v>
      </c>
      <c r="CM68" s="53">
        <v>94209</v>
      </c>
      <c r="CN68" s="53">
        <v>94361</v>
      </c>
      <c r="CO68" s="53">
        <v>94480</v>
      </c>
      <c r="CP68" s="53">
        <v>94634</v>
      </c>
      <c r="CQ68" s="53">
        <v>94762</v>
      </c>
      <c r="CR68" s="53">
        <v>94871</v>
      </c>
      <c r="CS68" s="53">
        <v>95001</v>
      </c>
      <c r="CT68" s="53">
        <v>95115</v>
      </c>
      <c r="CU68" s="53">
        <v>95224</v>
      </c>
      <c r="CV68" s="53">
        <v>95304</v>
      </c>
      <c r="CW68" s="53">
        <v>95415</v>
      </c>
      <c r="CX68" s="53">
        <v>95518</v>
      </c>
      <c r="CY68" s="53">
        <v>95610</v>
      </c>
      <c r="CZ68" s="53">
        <v>95670</v>
      </c>
      <c r="DA68" s="53">
        <v>95761</v>
      </c>
      <c r="DB68" s="53">
        <v>95846</v>
      </c>
      <c r="DC68" s="53">
        <v>95953</v>
      </c>
      <c r="DD68" s="53">
        <v>96028</v>
      </c>
      <c r="DE68" s="53">
        <v>96114</v>
      </c>
      <c r="DF68" s="53">
        <v>96223</v>
      </c>
      <c r="DG68" s="53">
        <v>96274</v>
      </c>
      <c r="DH68" s="53">
        <v>96363</v>
      </c>
      <c r="DI68" s="53">
        <v>96410</v>
      </c>
      <c r="DJ68" s="53">
        <v>96497</v>
      </c>
      <c r="DK68" s="53">
        <v>96572</v>
      </c>
      <c r="DL68" s="53">
        <v>96634</v>
      </c>
      <c r="DM68" s="53">
        <v>96710</v>
      </c>
      <c r="DN68" s="53">
        <v>96784</v>
      </c>
      <c r="DO68" s="53">
        <v>96856</v>
      </c>
    </row>
    <row r="69" spans="1:119">
      <c r="A69" s="52">
        <v>67</v>
      </c>
      <c r="W69" s="53">
        <v>67452</v>
      </c>
      <c r="X69" s="53">
        <v>68402</v>
      </c>
      <c r="Y69" s="53">
        <v>68676</v>
      </c>
      <c r="Z69" s="53">
        <v>70673</v>
      </c>
      <c r="AA69" s="53">
        <v>71210</v>
      </c>
      <c r="AB69" s="53">
        <v>71988</v>
      </c>
      <c r="AC69" s="53">
        <v>73041</v>
      </c>
      <c r="AD69" s="53">
        <v>73827</v>
      </c>
      <c r="AE69" s="53">
        <v>74053</v>
      </c>
      <c r="AF69" s="53">
        <v>75246</v>
      </c>
      <c r="AG69" s="53">
        <v>75954</v>
      </c>
      <c r="AH69" s="53">
        <v>76298</v>
      </c>
      <c r="AI69" s="53">
        <v>76914</v>
      </c>
      <c r="AJ69" s="53">
        <v>78372</v>
      </c>
      <c r="AK69" s="53">
        <v>78688</v>
      </c>
      <c r="AL69" s="53">
        <v>79413</v>
      </c>
      <c r="AM69" s="53">
        <v>79989</v>
      </c>
      <c r="AN69" s="53">
        <v>80686</v>
      </c>
      <c r="AO69" s="53">
        <v>80953</v>
      </c>
      <c r="AP69" s="53">
        <v>81260</v>
      </c>
      <c r="AQ69" s="53">
        <v>81343</v>
      </c>
      <c r="AR69" s="53">
        <v>81437</v>
      </c>
      <c r="AS69" s="53">
        <v>80945</v>
      </c>
      <c r="AT69" s="53">
        <v>80207</v>
      </c>
      <c r="AU69" s="53">
        <v>79272</v>
      </c>
      <c r="AV69" s="53">
        <v>79393</v>
      </c>
      <c r="AW69" s="53">
        <v>80021</v>
      </c>
      <c r="AX69" s="53">
        <v>81735</v>
      </c>
      <c r="AY69" s="53">
        <v>83359</v>
      </c>
      <c r="AZ69" s="53">
        <v>83512</v>
      </c>
      <c r="BA69" s="53">
        <v>83694</v>
      </c>
      <c r="BB69" s="53">
        <v>84318</v>
      </c>
      <c r="BC69" s="53">
        <v>84635</v>
      </c>
      <c r="BD69" s="53">
        <v>84983</v>
      </c>
      <c r="BE69" s="53">
        <v>85172</v>
      </c>
      <c r="BF69" s="53">
        <v>85629</v>
      </c>
      <c r="BG69" s="53">
        <v>85976</v>
      </c>
      <c r="BH69" s="53">
        <v>86352</v>
      </c>
      <c r="BI69" s="53">
        <v>86583</v>
      </c>
      <c r="BJ69" s="53">
        <v>86933</v>
      </c>
      <c r="BK69" s="53">
        <v>87346</v>
      </c>
      <c r="BL69" s="53">
        <v>87803</v>
      </c>
      <c r="BM69" s="53">
        <v>88218</v>
      </c>
      <c r="BN69" s="53">
        <v>88591</v>
      </c>
      <c r="BO69" s="53">
        <v>88881</v>
      </c>
      <c r="BP69" s="53">
        <v>89214</v>
      </c>
      <c r="BQ69" s="53">
        <v>89440</v>
      </c>
      <c r="BR69" s="53">
        <v>89665</v>
      </c>
      <c r="BS69" s="53">
        <v>89817</v>
      </c>
      <c r="BT69" s="53">
        <v>90028</v>
      </c>
      <c r="BU69" s="53">
        <v>90207</v>
      </c>
      <c r="BV69" s="53">
        <v>90433</v>
      </c>
      <c r="BW69" s="53">
        <v>90631</v>
      </c>
      <c r="BX69" s="53">
        <v>90862</v>
      </c>
      <c r="BY69" s="53">
        <v>91076</v>
      </c>
      <c r="BZ69" s="53">
        <v>91401</v>
      </c>
      <c r="CA69" s="53">
        <v>91669</v>
      </c>
      <c r="CB69" s="53">
        <v>91896</v>
      </c>
      <c r="CC69" s="53">
        <v>92092</v>
      </c>
      <c r="CD69" s="53">
        <v>92279</v>
      </c>
      <c r="CE69" s="53">
        <v>92468</v>
      </c>
      <c r="CF69" s="53">
        <v>92656</v>
      </c>
      <c r="CG69" s="53">
        <v>92852</v>
      </c>
      <c r="CH69" s="53">
        <v>93022</v>
      </c>
      <c r="CI69" s="53">
        <v>93225</v>
      </c>
      <c r="CJ69" s="53">
        <v>93369</v>
      </c>
      <c r="CK69" s="53">
        <v>93527</v>
      </c>
      <c r="CL69" s="53">
        <v>93718</v>
      </c>
      <c r="CM69" s="53">
        <v>93853</v>
      </c>
      <c r="CN69" s="53">
        <v>94010</v>
      </c>
      <c r="CO69" s="53">
        <v>94137</v>
      </c>
      <c r="CP69" s="53">
        <v>94297</v>
      </c>
      <c r="CQ69" s="53">
        <v>94431</v>
      </c>
      <c r="CR69" s="53">
        <v>94547</v>
      </c>
      <c r="CS69" s="53">
        <v>94683</v>
      </c>
      <c r="CT69" s="53">
        <v>94803</v>
      </c>
      <c r="CU69" s="53">
        <v>94917</v>
      </c>
      <c r="CV69" s="53">
        <v>95004</v>
      </c>
      <c r="CW69" s="53">
        <v>95121</v>
      </c>
      <c r="CX69" s="53">
        <v>95229</v>
      </c>
      <c r="CY69" s="53">
        <v>95327</v>
      </c>
      <c r="CZ69" s="53">
        <v>95392</v>
      </c>
      <c r="DA69" s="53">
        <v>95489</v>
      </c>
      <c r="DB69" s="53">
        <v>95579</v>
      </c>
      <c r="DC69" s="53">
        <v>95691</v>
      </c>
      <c r="DD69" s="53">
        <v>95771</v>
      </c>
      <c r="DE69" s="53">
        <v>95862</v>
      </c>
      <c r="DF69" s="53">
        <v>95976</v>
      </c>
      <c r="DG69" s="53">
        <v>96032</v>
      </c>
      <c r="DH69" s="53">
        <v>96126</v>
      </c>
      <c r="DI69" s="53">
        <v>96176</v>
      </c>
      <c r="DJ69" s="53">
        <v>96269</v>
      </c>
      <c r="DK69" s="53">
        <v>96348</v>
      </c>
      <c r="DL69" s="53">
        <v>96414</v>
      </c>
      <c r="DM69" s="53">
        <v>96494</v>
      </c>
      <c r="DN69" s="53">
        <v>96572</v>
      </c>
      <c r="DO69" s="53">
        <v>96649</v>
      </c>
    </row>
    <row r="70" spans="1:119">
      <c r="A70" s="52">
        <v>68</v>
      </c>
      <c r="W70" s="53">
        <v>66449</v>
      </c>
      <c r="X70" s="53">
        <v>67379</v>
      </c>
      <c r="Y70" s="53">
        <v>67667</v>
      </c>
      <c r="Z70" s="53">
        <v>69670</v>
      </c>
      <c r="AA70" s="53">
        <v>70237</v>
      </c>
      <c r="AB70" s="53">
        <v>71019</v>
      </c>
      <c r="AC70" s="53">
        <v>72072</v>
      </c>
      <c r="AD70" s="53">
        <v>72856</v>
      </c>
      <c r="AE70" s="53">
        <v>73142</v>
      </c>
      <c r="AF70" s="53">
        <v>74328</v>
      </c>
      <c r="AG70" s="53">
        <v>75053</v>
      </c>
      <c r="AH70" s="53">
        <v>75432</v>
      </c>
      <c r="AI70" s="53">
        <v>76066</v>
      </c>
      <c r="AJ70" s="53">
        <v>77527</v>
      </c>
      <c r="AK70" s="53">
        <v>77871</v>
      </c>
      <c r="AL70" s="53">
        <v>78631</v>
      </c>
      <c r="AM70" s="53">
        <v>79212</v>
      </c>
      <c r="AN70" s="53">
        <v>79954</v>
      </c>
      <c r="AO70" s="53">
        <v>80241</v>
      </c>
      <c r="AP70" s="53">
        <v>80528</v>
      </c>
      <c r="AQ70" s="53">
        <v>80603</v>
      </c>
      <c r="AR70" s="53">
        <v>80703</v>
      </c>
      <c r="AS70" s="53">
        <v>80211</v>
      </c>
      <c r="AT70" s="53">
        <v>79466</v>
      </c>
      <c r="AU70" s="53">
        <v>78514</v>
      </c>
      <c r="AV70" s="53">
        <v>78649</v>
      </c>
      <c r="AW70" s="53">
        <v>79251</v>
      </c>
      <c r="AX70" s="53">
        <v>80972</v>
      </c>
      <c r="AY70" s="53">
        <v>82597</v>
      </c>
      <c r="AZ70" s="53">
        <v>82764</v>
      </c>
      <c r="BA70" s="53">
        <v>82960</v>
      </c>
      <c r="BB70" s="53">
        <v>83594</v>
      </c>
      <c r="BC70" s="53">
        <v>83924</v>
      </c>
      <c r="BD70" s="53">
        <v>84284</v>
      </c>
      <c r="BE70" s="53">
        <v>84485</v>
      </c>
      <c r="BF70" s="53">
        <v>84952</v>
      </c>
      <c r="BG70" s="53">
        <v>85311</v>
      </c>
      <c r="BH70" s="53">
        <v>85697</v>
      </c>
      <c r="BI70" s="53">
        <v>85941</v>
      </c>
      <c r="BJ70" s="53">
        <v>86301</v>
      </c>
      <c r="BK70" s="53">
        <v>86724</v>
      </c>
      <c r="BL70" s="53">
        <v>87191</v>
      </c>
      <c r="BM70" s="53">
        <v>87616</v>
      </c>
      <c r="BN70" s="53">
        <v>87998</v>
      </c>
      <c r="BO70" s="53">
        <v>88299</v>
      </c>
      <c r="BP70" s="53">
        <v>88642</v>
      </c>
      <c r="BQ70" s="53">
        <v>88877</v>
      </c>
      <c r="BR70" s="53">
        <v>89112</v>
      </c>
      <c r="BS70" s="53">
        <v>89275</v>
      </c>
      <c r="BT70" s="53">
        <v>89495</v>
      </c>
      <c r="BU70" s="53">
        <v>89684</v>
      </c>
      <c r="BV70" s="53">
        <v>89919</v>
      </c>
      <c r="BW70" s="53">
        <v>90127</v>
      </c>
      <c r="BX70" s="53">
        <v>90367</v>
      </c>
      <c r="BY70" s="53">
        <v>90589</v>
      </c>
      <c r="BZ70" s="53">
        <v>90923</v>
      </c>
      <c r="CA70" s="53">
        <v>91199</v>
      </c>
      <c r="CB70" s="53">
        <v>91435</v>
      </c>
      <c r="CC70" s="53">
        <v>91639</v>
      </c>
      <c r="CD70" s="53">
        <v>91834</v>
      </c>
      <c r="CE70" s="53">
        <v>92031</v>
      </c>
      <c r="CF70" s="53">
        <v>92227</v>
      </c>
      <c r="CG70" s="53">
        <v>92432</v>
      </c>
      <c r="CH70" s="53">
        <v>92609</v>
      </c>
      <c r="CI70" s="53">
        <v>92819</v>
      </c>
      <c r="CJ70" s="53">
        <v>92971</v>
      </c>
      <c r="CK70" s="53">
        <v>93136</v>
      </c>
      <c r="CL70" s="53">
        <v>93334</v>
      </c>
      <c r="CM70" s="53">
        <v>93476</v>
      </c>
      <c r="CN70" s="53">
        <v>93641</v>
      </c>
      <c r="CO70" s="53">
        <v>93774</v>
      </c>
      <c r="CP70" s="53">
        <v>93942</v>
      </c>
      <c r="CQ70" s="53">
        <v>94082</v>
      </c>
      <c r="CR70" s="53">
        <v>94204</v>
      </c>
      <c r="CS70" s="53">
        <v>94347</v>
      </c>
      <c r="CT70" s="53">
        <v>94473</v>
      </c>
      <c r="CU70" s="53">
        <v>94594</v>
      </c>
      <c r="CV70" s="53">
        <v>94687</v>
      </c>
      <c r="CW70" s="53">
        <v>94810</v>
      </c>
      <c r="CX70" s="53">
        <v>94924</v>
      </c>
      <c r="CY70" s="53">
        <v>95028</v>
      </c>
      <c r="CZ70" s="53">
        <v>95099</v>
      </c>
      <c r="DA70" s="53">
        <v>95201</v>
      </c>
      <c r="DB70" s="53">
        <v>95297</v>
      </c>
      <c r="DC70" s="53">
        <v>95415</v>
      </c>
      <c r="DD70" s="53">
        <v>95500</v>
      </c>
      <c r="DE70" s="53">
        <v>95596</v>
      </c>
      <c r="DF70" s="53">
        <v>95715</v>
      </c>
      <c r="DG70" s="53">
        <v>95776</v>
      </c>
      <c r="DH70" s="53">
        <v>95875</v>
      </c>
      <c r="DI70" s="53">
        <v>95931</v>
      </c>
      <c r="DJ70" s="53">
        <v>96027</v>
      </c>
      <c r="DK70" s="53">
        <v>96111</v>
      </c>
      <c r="DL70" s="53">
        <v>96182</v>
      </c>
      <c r="DM70" s="53">
        <v>96267</v>
      </c>
      <c r="DN70" s="53">
        <v>96350</v>
      </c>
      <c r="DO70" s="53">
        <v>96430</v>
      </c>
    </row>
    <row r="71" spans="1:119">
      <c r="A71" s="52">
        <v>69</v>
      </c>
      <c r="W71" s="53">
        <v>65331</v>
      </c>
      <c r="X71" s="53">
        <v>66277</v>
      </c>
      <c r="Y71" s="53">
        <v>66591</v>
      </c>
      <c r="Z71" s="53">
        <v>68619</v>
      </c>
      <c r="AA71" s="53">
        <v>69184</v>
      </c>
      <c r="AB71" s="53">
        <v>69991</v>
      </c>
      <c r="AC71" s="53">
        <v>71025</v>
      </c>
      <c r="AD71" s="53">
        <v>71845</v>
      </c>
      <c r="AE71" s="53">
        <v>72149</v>
      </c>
      <c r="AF71" s="53">
        <v>73355</v>
      </c>
      <c r="AG71" s="53">
        <v>74083</v>
      </c>
      <c r="AH71" s="53">
        <v>74523</v>
      </c>
      <c r="AI71" s="53">
        <v>75141</v>
      </c>
      <c r="AJ71" s="53">
        <v>76597</v>
      </c>
      <c r="AK71" s="53">
        <v>77015</v>
      </c>
      <c r="AL71" s="53">
        <v>77806</v>
      </c>
      <c r="AM71" s="53">
        <v>78405</v>
      </c>
      <c r="AN71" s="53">
        <v>79175</v>
      </c>
      <c r="AO71" s="53">
        <v>79438</v>
      </c>
      <c r="AP71" s="53">
        <v>79738</v>
      </c>
      <c r="AQ71" s="53">
        <v>79834</v>
      </c>
      <c r="AR71" s="53">
        <v>79888</v>
      </c>
      <c r="AS71" s="53">
        <v>79437</v>
      </c>
      <c r="AT71" s="53">
        <v>78637</v>
      </c>
      <c r="AU71" s="53">
        <v>77720</v>
      </c>
      <c r="AV71" s="53">
        <v>77806</v>
      </c>
      <c r="AW71" s="53">
        <v>78448</v>
      </c>
      <c r="AX71" s="53">
        <v>80169</v>
      </c>
      <c r="AY71" s="53">
        <v>81795</v>
      </c>
      <c r="AZ71" s="53">
        <v>81977</v>
      </c>
      <c r="BA71" s="53">
        <v>82188</v>
      </c>
      <c r="BB71" s="53">
        <v>82832</v>
      </c>
      <c r="BC71" s="53">
        <v>83174</v>
      </c>
      <c r="BD71" s="53">
        <v>83546</v>
      </c>
      <c r="BE71" s="53">
        <v>83761</v>
      </c>
      <c r="BF71" s="53">
        <v>84240</v>
      </c>
      <c r="BG71" s="53">
        <v>84610</v>
      </c>
      <c r="BH71" s="53">
        <v>85008</v>
      </c>
      <c r="BI71" s="53">
        <v>85264</v>
      </c>
      <c r="BJ71" s="53">
        <v>85636</v>
      </c>
      <c r="BK71" s="53">
        <v>86069</v>
      </c>
      <c r="BL71" s="53">
        <v>86546</v>
      </c>
      <c r="BM71" s="53">
        <v>86982</v>
      </c>
      <c r="BN71" s="53">
        <v>87374</v>
      </c>
      <c r="BO71" s="53">
        <v>87685</v>
      </c>
      <c r="BP71" s="53">
        <v>88038</v>
      </c>
      <c r="BQ71" s="53">
        <v>88284</v>
      </c>
      <c r="BR71" s="53">
        <v>88530</v>
      </c>
      <c r="BS71" s="53">
        <v>88703</v>
      </c>
      <c r="BT71" s="53">
        <v>88934</v>
      </c>
      <c r="BU71" s="53">
        <v>89133</v>
      </c>
      <c r="BV71" s="53">
        <v>89378</v>
      </c>
      <c r="BW71" s="53">
        <v>89595</v>
      </c>
      <c r="BX71" s="53">
        <v>89845</v>
      </c>
      <c r="BY71" s="53">
        <v>90076</v>
      </c>
      <c r="BZ71" s="53">
        <v>90418</v>
      </c>
      <c r="CA71" s="53">
        <v>90703</v>
      </c>
      <c r="CB71" s="53">
        <v>90948</v>
      </c>
      <c r="CC71" s="53">
        <v>91161</v>
      </c>
      <c r="CD71" s="53">
        <v>91365</v>
      </c>
      <c r="CE71" s="53">
        <v>91570</v>
      </c>
      <c r="CF71" s="53">
        <v>91775</v>
      </c>
      <c r="CG71" s="53">
        <v>91987</v>
      </c>
      <c r="CH71" s="53">
        <v>92173</v>
      </c>
      <c r="CI71" s="53">
        <v>92391</v>
      </c>
      <c r="CJ71" s="53">
        <v>92551</v>
      </c>
      <c r="CK71" s="53">
        <v>92724</v>
      </c>
      <c r="CL71" s="53">
        <v>92929</v>
      </c>
      <c r="CM71" s="53">
        <v>93079</v>
      </c>
      <c r="CN71" s="53">
        <v>93251</v>
      </c>
      <c r="CO71" s="53">
        <v>93392</v>
      </c>
      <c r="CP71" s="53">
        <v>93566</v>
      </c>
      <c r="CQ71" s="53">
        <v>93714</v>
      </c>
      <c r="CR71" s="53">
        <v>93843</v>
      </c>
      <c r="CS71" s="53">
        <v>93993</v>
      </c>
      <c r="CT71" s="53">
        <v>94125</v>
      </c>
      <c r="CU71" s="53">
        <v>94253</v>
      </c>
      <c r="CV71" s="53">
        <v>94352</v>
      </c>
      <c r="CW71" s="53">
        <v>94482</v>
      </c>
      <c r="CX71" s="53">
        <v>94602</v>
      </c>
      <c r="CY71" s="53">
        <v>94712</v>
      </c>
      <c r="CZ71" s="53">
        <v>94790</v>
      </c>
      <c r="DA71" s="53">
        <v>94898</v>
      </c>
      <c r="DB71" s="53">
        <v>94999</v>
      </c>
      <c r="DC71" s="53">
        <v>95123</v>
      </c>
      <c r="DD71" s="53">
        <v>95213</v>
      </c>
      <c r="DE71" s="53">
        <v>95315</v>
      </c>
      <c r="DF71" s="53">
        <v>95439</v>
      </c>
      <c r="DG71" s="53">
        <v>95506</v>
      </c>
      <c r="DH71" s="53">
        <v>95610</v>
      </c>
      <c r="DI71" s="53">
        <v>95671</v>
      </c>
      <c r="DJ71" s="53">
        <v>95773</v>
      </c>
      <c r="DK71" s="53">
        <v>95862</v>
      </c>
      <c r="DL71" s="53">
        <v>95938</v>
      </c>
      <c r="DM71" s="53">
        <v>96027</v>
      </c>
      <c r="DN71" s="53">
        <v>96114</v>
      </c>
      <c r="DO71" s="53">
        <v>96199</v>
      </c>
    </row>
    <row r="72" spans="1:119">
      <c r="A72" s="52">
        <v>70</v>
      </c>
      <c r="W72" s="53">
        <v>64143</v>
      </c>
      <c r="X72" s="53">
        <v>65103</v>
      </c>
      <c r="Y72" s="53">
        <v>65462</v>
      </c>
      <c r="Z72" s="53">
        <v>67464</v>
      </c>
      <c r="AA72" s="53">
        <v>68059</v>
      </c>
      <c r="AB72" s="53">
        <v>68841</v>
      </c>
      <c r="AC72" s="53">
        <v>69911</v>
      </c>
      <c r="AD72" s="53">
        <v>70767</v>
      </c>
      <c r="AE72" s="53">
        <v>71109</v>
      </c>
      <c r="AF72" s="53">
        <v>72323</v>
      </c>
      <c r="AG72" s="53">
        <v>73076</v>
      </c>
      <c r="AH72" s="53">
        <v>73528</v>
      </c>
      <c r="AI72" s="53">
        <v>74160</v>
      </c>
      <c r="AJ72" s="53">
        <v>75633</v>
      </c>
      <c r="AK72" s="53">
        <v>76068</v>
      </c>
      <c r="AL72" s="53">
        <v>76914</v>
      </c>
      <c r="AM72" s="53">
        <v>77545</v>
      </c>
      <c r="AN72" s="53">
        <v>78293</v>
      </c>
      <c r="AO72" s="53">
        <v>78575</v>
      </c>
      <c r="AP72" s="53">
        <v>78899</v>
      </c>
      <c r="AQ72" s="53">
        <v>78997</v>
      </c>
      <c r="AR72" s="53">
        <v>79033</v>
      </c>
      <c r="AS72" s="53">
        <v>78573</v>
      </c>
      <c r="AT72" s="53">
        <v>77771</v>
      </c>
      <c r="AU72" s="53">
        <v>76852</v>
      </c>
      <c r="AV72" s="53">
        <v>76951</v>
      </c>
      <c r="AW72" s="53">
        <v>77603</v>
      </c>
      <c r="AX72" s="53">
        <v>79324</v>
      </c>
      <c r="AY72" s="53">
        <v>80950</v>
      </c>
      <c r="AZ72" s="53">
        <v>81148</v>
      </c>
      <c r="BA72" s="53">
        <v>81374</v>
      </c>
      <c r="BB72" s="53">
        <v>82029</v>
      </c>
      <c r="BC72" s="53">
        <v>82385</v>
      </c>
      <c r="BD72" s="53">
        <v>82770</v>
      </c>
      <c r="BE72" s="53">
        <v>82999</v>
      </c>
      <c r="BF72" s="53">
        <v>83489</v>
      </c>
      <c r="BG72" s="53">
        <v>83872</v>
      </c>
      <c r="BH72" s="53">
        <v>84282</v>
      </c>
      <c r="BI72" s="53">
        <v>84551</v>
      </c>
      <c r="BJ72" s="53">
        <v>84934</v>
      </c>
      <c r="BK72" s="53">
        <v>85379</v>
      </c>
      <c r="BL72" s="53">
        <v>85866</v>
      </c>
      <c r="BM72" s="53">
        <v>86312</v>
      </c>
      <c r="BN72" s="53">
        <v>86715</v>
      </c>
      <c r="BO72" s="53">
        <v>87037</v>
      </c>
      <c r="BP72" s="53">
        <v>87401</v>
      </c>
      <c r="BQ72" s="53">
        <v>87658</v>
      </c>
      <c r="BR72" s="53">
        <v>87915</v>
      </c>
      <c r="BS72" s="53">
        <v>88100</v>
      </c>
      <c r="BT72" s="53">
        <v>88341</v>
      </c>
      <c r="BU72" s="53">
        <v>88551</v>
      </c>
      <c r="BV72" s="53">
        <v>88806</v>
      </c>
      <c r="BW72" s="53">
        <v>89033</v>
      </c>
      <c r="BX72" s="53">
        <v>89293</v>
      </c>
      <c r="BY72" s="53">
        <v>89535</v>
      </c>
      <c r="BZ72" s="53">
        <v>89885</v>
      </c>
      <c r="CA72" s="53">
        <v>90180</v>
      </c>
      <c r="CB72" s="53">
        <v>90433</v>
      </c>
      <c r="CC72" s="53">
        <v>90656</v>
      </c>
      <c r="CD72" s="53">
        <v>90869</v>
      </c>
      <c r="CE72" s="53">
        <v>91083</v>
      </c>
      <c r="CF72" s="53">
        <v>91297</v>
      </c>
      <c r="CG72" s="53">
        <v>91518</v>
      </c>
      <c r="CH72" s="53">
        <v>91712</v>
      </c>
      <c r="CI72" s="53">
        <v>91938</v>
      </c>
      <c r="CJ72" s="53">
        <v>92107</v>
      </c>
      <c r="CK72" s="53">
        <v>92288</v>
      </c>
      <c r="CL72" s="53">
        <v>92501</v>
      </c>
      <c r="CM72" s="53">
        <v>92659</v>
      </c>
      <c r="CN72" s="53">
        <v>92839</v>
      </c>
      <c r="CO72" s="53">
        <v>92987</v>
      </c>
      <c r="CP72" s="53">
        <v>93169</v>
      </c>
      <c r="CQ72" s="53">
        <v>93325</v>
      </c>
      <c r="CR72" s="53">
        <v>93461</v>
      </c>
      <c r="CS72" s="53">
        <v>93618</v>
      </c>
      <c r="CT72" s="53">
        <v>93758</v>
      </c>
      <c r="CU72" s="53">
        <v>93892</v>
      </c>
      <c r="CV72" s="53">
        <v>93998</v>
      </c>
      <c r="CW72" s="53">
        <v>94135</v>
      </c>
      <c r="CX72" s="53">
        <v>94261</v>
      </c>
      <c r="CY72" s="53">
        <v>94378</v>
      </c>
      <c r="CZ72" s="53">
        <v>94462</v>
      </c>
      <c r="DA72" s="53">
        <v>94576</v>
      </c>
      <c r="DB72" s="53">
        <v>94684</v>
      </c>
      <c r="DC72" s="53">
        <v>94814</v>
      </c>
      <c r="DD72" s="53">
        <v>94910</v>
      </c>
      <c r="DE72" s="53">
        <v>95018</v>
      </c>
      <c r="DF72" s="53">
        <v>95148</v>
      </c>
      <c r="DG72" s="53">
        <v>95220</v>
      </c>
      <c r="DH72" s="53">
        <v>95330</v>
      </c>
      <c r="DI72" s="53">
        <v>95396</v>
      </c>
      <c r="DJ72" s="53">
        <v>95504</v>
      </c>
      <c r="DK72" s="53">
        <v>95597</v>
      </c>
      <c r="DL72" s="53">
        <v>95679</v>
      </c>
      <c r="DM72" s="53">
        <v>95773</v>
      </c>
      <c r="DN72" s="53">
        <v>95865</v>
      </c>
      <c r="DO72" s="53">
        <v>95955</v>
      </c>
    </row>
    <row r="73" spans="1:119">
      <c r="A73" s="52">
        <v>71</v>
      </c>
      <c r="W73" s="53">
        <v>62877</v>
      </c>
      <c r="X73" s="53">
        <v>63886</v>
      </c>
      <c r="Y73" s="53">
        <v>64236</v>
      </c>
      <c r="Z73" s="53">
        <v>66225</v>
      </c>
      <c r="AA73" s="53">
        <v>66837</v>
      </c>
      <c r="AB73" s="53">
        <v>67652</v>
      </c>
      <c r="AC73" s="53">
        <v>68748</v>
      </c>
      <c r="AD73" s="53">
        <v>69617</v>
      </c>
      <c r="AE73" s="53">
        <v>70000</v>
      </c>
      <c r="AF73" s="53">
        <v>71208</v>
      </c>
      <c r="AG73" s="53">
        <v>71985</v>
      </c>
      <c r="AH73" s="53">
        <v>72428</v>
      </c>
      <c r="AI73" s="53">
        <v>73119</v>
      </c>
      <c r="AJ73" s="53">
        <v>74607</v>
      </c>
      <c r="AK73" s="53">
        <v>75098</v>
      </c>
      <c r="AL73" s="53">
        <v>75959</v>
      </c>
      <c r="AM73" s="53">
        <v>76607</v>
      </c>
      <c r="AN73" s="53">
        <v>77359</v>
      </c>
      <c r="AO73" s="53">
        <v>77670</v>
      </c>
      <c r="AP73" s="53">
        <v>77975</v>
      </c>
      <c r="AQ73" s="53">
        <v>78063</v>
      </c>
      <c r="AR73" s="53">
        <v>78071</v>
      </c>
      <c r="AS73" s="53">
        <v>77661</v>
      </c>
      <c r="AT73" s="53">
        <v>76819</v>
      </c>
      <c r="AU73" s="53">
        <v>75933</v>
      </c>
      <c r="AV73" s="53">
        <v>76050</v>
      </c>
      <c r="AW73" s="53">
        <v>76714</v>
      </c>
      <c r="AX73" s="53">
        <v>78434</v>
      </c>
      <c r="AY73" s="53">
        <v>80061</v>
      </c>
      <c r="AZ73" s="53">
        <v>80275</v>
      </c>
      <c r="BA73" s="53">
        <v>80517</v>
      </c>
      <c r="BB73" s="53">
        <v>81183</v>
      </c>
      <c r="BC73" s="53">
        <v>81553</v>
      </c>
      <c r="BD73" s="53">
        <v>81952</v>
      </c>
      <c r="BE73" s="53">
        <v>82196</v>
      </c>
      <c r="BF73" s="53">
        <v>82698</v>
      </c>
      <c r="BG73" s="53">
        <v>83094</v>
      </c>
      <c r="BH73" s="53">
        <v>83516</v>
      </c>
      <c r="BI73" s="53">
        <v>83799</v>
      </c>
      <c r="BJ73" s="53">
        <v>84195</v>
      </c>
      <c r="BK73" s="53">
        <v>84650</v>
      </c>
      <c r="BL73" s="53">
        <v>85149</v>
      </c>
      <c r="BM73" s="53">
        <v>85605</v>
      </c>
      <c r="BN73" s="53">
        <v>86019</v>
      </c>
      <c r="BO73" s="53">
        <v>86353</v>
      </c>
      <c r="BP73" s="53">
        <v>86728</v>
      </c>
      <c r="BQ73" s="53">
        <v>86997</v>
      </c>
      <c r="BR73" s="53">
        <v>87265</v>
      </c>
      <c r="BS73" s="53">
        <v>87462</v>
      </c>
      <c r="BT73" s="53">
        <v>87714</v>
      </c>
      <c r="BU73" s="53">
        <v>87936</v>
      </c>
      <c r="BV73" s="53">
        <v>88202</v>
      </c>
      <c r="BW73" s="53">
        <v>88440</v>
      </c>
      <c r="BX73" s="53">
        <v>88710</v>
      </c>
      <c r="BY73" s="53">
        <v>88962</v>
      </c>
      <c r="BZ73" s="53">
        <v>89322</v>
      </c>
      <c r="CA73" s="53">
        <v>89626</v>
      </c>
      <c r="CB73" s="53">
        <v>89889</v>
      </c>
      <c r="CC73" s="53">
        <v>90122</v>
      </c>
      <c r="CD73" s="53">
        <v>90344</v>
      </c>
      <c r="CE73" s="53">
        <v>90568</v>
      </c>
      <c r="CF73" s="53">
        <v>90791</v>
      </c>
      <c r="CG73" s="53">
        <v>91021</v>
      </c>
      <c r="CH73" s="53">
        <v>91224</v>
      </c>
      <c r="CI73" s="53">
        <v>91459</v>
      </c>
      <c r="CJ73" s="53">
        <v>91636</v>
      </c>
      <c r="CK73" s="53">
        <v>91826</v>
      </c>
      <c r="CL73" s="53">
        <v>92048</v>
      </c>
      <c r="CM73" s="53">
        <v>92214</v>
      </c>
      <c r="CN73" s="53">
        <v>92402</v>
      </c>
      <c r="CO73" s="53">
        <v>92559</v>
      </c>
      <c r="CP73" s="53">
        <v>92749</v>
      </c>
      <c r="CQ73" s="53">
        <v>92912</v>
      </c>
      <c r="CR73" s="53">
        <v>93056</v>
      </c>
      <c r="CS73" s="53">
        <v>93220</v>
      </c>
      <c r="CT73" s="53">
        <v>93368</v>
      </c>
      <c r="CU73" s="53">
        <v>93510</v>
      </c>
      <c r="CV73" s="53">
        <v>93623</v>
      </c>
      <c r="CW73" s="53">
        <v>93766</v>
      </c>
      <c r="CX73" s="53">
        <v>93900</v>
      </c>
      <c r="CY73" s="53">
        <v>94024</v>
      </c>
      <c r="CZ73" s="53">
        <v>94115</v>
      </c>
      <c r="DA73" s="53">
        <v>94236</v>
      </c>
      <c r="DB73" s="53">
        <v>94350</v>
      </c>
      <c r="DC73" s="53">
        <v>94486</v>
      </c>
      <c r="DD73" s="53">
        <v>94589</v>
      </c>
      <c r="DE73" s="53">
        <v>94703</v>
      </c>
      <c r="DF73" s="53">
        <v>94839</v>
      </c>
      <c r="DG73" s="53">
        <v>94917</v>
      </c>
      <c r="DH73" s="53">
        <v>95032</v>
      </c>
      <c r="DI73" s="53">
        <v>95105</v>
      </c>
      <c r="DJ73" s="53">
        <v>95218</v>
      </c>
      <c r="DK73" s="53">
        <v>95317</v>
      </c>
      <c r="DL73" s="53">
        <v>95404</v>
      </c>
      <c r="DM73" s="53">
        <v>95503</v>
      </c>
      <c r="DN73" s="53">
        <v>95601</v>
      </c>
      <c r="DO73" s="53">
        <v>95696</v>
      </c>
    </row>
    <row r="74" spans="1:119">
      <c r="A74" s="52">
        <v>72</v>
      </c>
      <c r="W74" s="53">
        <v>61543</v>
      </c>
      <c r="X74" s="53">
        <v>62558</v>
      </c>
      <c r="Y74" s="53">
        <v>62947</v>
      </c>
      <c r="Z74" s="53">
        <v>64908</v>
      </c>
      <c r="AA74" s="53">
        <v>65552</v>
      </c>
      <c r="AB74" s="53">
        <v>66383</v>
      </c>
      <c r="AC74" s="53">
        <v>67486</v>
      </c>
      <c r="AD74" s="53">
        <v>68410</v>
      </c>
      <c r="AE74" s="53">
        <v>68831</v>
      </c>
      <c r="AF74" s="53">
        <v>70010</v>
      </c>
      <c r="AG74" s="53">
        <v>70792</v>
      </c>
      <c r="AH74" s="53">
        <v>71276</v>
      </c>
      <c r="AI74" s="53">
        <v>71994</v>
      </c>
      <c r="AJ74" s="53">
        <v>73511</v>
      </c>
      <c r="AK74" s="53">
        <v>74043</v>
      </c>
      <c r="AL74" s="53">
        <v>74927</v>
      </c>
      <c r="AM74" s="53">
        <v>75596</v>
      </c>
      <c r="AN74" s="53">
        <v>76364</v>
      </c>
      <c r="AO74" s="53">
        <v>76695</v>
      </c>
      <c r="AP74" s="53">
        <v>76971</v>
      </c>
      <c r="AQ74" s="53">
        <v>77058</v>
      </c>
      <c r="AR74" s="53">
        <v>77088</v>
      </c>
      <c r="AS74" s="53">
        <v>76617</v>
      </c>
      <c r="AT74" s="53">
        <v>75819</v>
      </c>
      <c r="AU74" s="53">
        <v>74965</v>
      </c>
      <c r="AV74" s="53">
        <v>75101</v>
      </c>
      <c r="AW74" s="53">
        <v>75776</v>
      </c>
      <c r="AX74" s="53">
        <v>77495</v>
      </c>
      <c r="AY74" s="53">
        <v>79122</v>
      </c>
      <c r="AZ74" s="53">
        <v>79354</v>
      </c>
      <c r="BA74" s="53">
        <v>79612</v>
      </c>
      <c r="BB74" s="53">
        <v>80289</v>
      </c>
      <c r="BC74" s="53">
        <v>80674</v>
      </c>
      <c r="BD74" s="53">
        <v>81087</v>
      </c>
      <c r="BE74" s="53">
        <v>81346</v>
      </c>
      <c r="BF74" s="53">
        <v>81861</v>
      </c>
      <c r="BG74" s="53">
        <v>82270</v>
      </c>
      <c r="BH74" s="53">
        <v>82705</v>
      </c>
      <c r="BI74" s="53">
        <v>83002</v>
      </c>
      <c r="BJ74" s="53">
        <v>83410</v>
      </c>
      <c r="BK74" s="53">
        <v>83878</v>
      </c>
      <c r="BL74" s="53">
        <v>84387</v>
      </c>
      <c r="BM74" s="53">
        <v>84855</v>
      </c>
      <c r="BN74" s="53">
        <v>85280</v>
      </c>
      <c r="BO74" s="53">
        <v>85626</v>
      </c>
      <c r="BP74" s="53">
        <v>86012</v>
      </c>
      <c r="BQ74" s="53">
        <v>86294</v>
      </c>
      <c r="BR74" s="53">
        <v>86574</v>
      </c>
      <c r="BS74" s="53">
        <v>86783</v>
      </c>
      <c r="BT74" s="53">
        <v>87047</v>
      </c>
      <c r="BU74" s="53">
        <v>87280</v>
      </c>
      <c r="BV74" s="53">
        <v>87557</v>
      </c>
      <c r="BW74" s="53">
        <v>87807</v>
      </c>
      <c r="BX74" s="53">
        <v>88088</v>
      </c>
      <c r="BY74" s="53">
        <v>88350</v>
      </c>
      <c r="BZ74" s="53">
        <v>88720</v>
      </c>
      <c r="CA74" s="53">
        <v>89034</v>
      </c>
      <c r="CB74" s="53">
        <v>89308</v>
      </c>
      <c r="CC74" s="53">
        <v>89551</v>
      </c>
      <c r="CD74" s="53">
        <v>89783</v>
      </c>
      <c r="CE74" s="53">
        <v>90017</v>
      </c>
      <c r="CF74" s="53">
        <v>90250</v>
      </c>
      <c r="CG74" s="53">
        <v>90489</v>
      </c>
      <c r="CH74" s="53">
        <v>90702</v>
      </c>
      <c r="CI74" s="53">
        <v>90946</v>
      </c>
      <c r="CJ74" s="53">
        <v>91133</v>
      </c>
      <c r="CK74" s="53">
        <v>91332</v>
      </c>
      <c r="CL74" s="53">
        <v>91562</v>
      </c>
      <c r="CM74" s="53">
        <v>91737</v>
      </c>
      <c r="CN74" s="53">
        <v>91934</v>
      </c>
      <c r="CO74" s="53">
        <v>92099</v>
      </c>
      <c r="CP74" s="53">
        <v>92297</v>
      </c>
      <c r="CQ74" s="53">
        <v>92469</v>
      </c>
      <c r="CR74" s="53">
        <v>92621</v>
      </c>
      <c r="CS74" s="53">
        <v>92794</v>
      </c>
      <c r="CT74" s="53">
        <v>92949</v>
      </c>
      <c r="CU74" s="53">
        <v>93099</v>
      </c>
      <c r="CV74" s="53">
        <v>93220</v>
      </c>
      <c r="CW74" s="53">
        <v>93371</v>
      </c>
      <c r="CX74" s="53">
        <v>93512</v>
      </c>
      <c r="CY74" s="53">
        <v>93643</v>
      </c>
      <c r="CZ74" s="53">
        <v>93741</v>
      </c>
      <c r="DA74" s="53">
        <v>93869</v>
      </c>
      <c r="DB74" s="53">
        <v>93990</v>
      </c>
      <c r="DC74" s="53">
        <v>94133</v>
      </c>
      <c r="DD74" s="53">
        <v>94243</v>
      </c>
      <c r="DE74" s="53">
        <v>94363</v>
      </c>
      <c r="DF74" s="53">
        <v>94505</v>
      </c>
      <c r="DG74" s="53">
        <v>94590</v>
      </c>
      <c r="DH74" s="53">
        <v>94711</v>
      </c>
      <c r="DI74" s="53">
        <v>94790</v>
      </c>
      <c r="DJ74" s="53">
        <v>94909</v>
      </c>
      <c r="DK74" s="53">
        <v>95014</v>
      </c>
      <c r="DL74" s="53">
        <v>95107</v>
      </c>
      <c r="DM74" s="53">
        <v>95212</v>
      </c>
      <c r="DN74" s="53">
        <v>95315</v>
      </c>
      <c r="DO74" s="53">
        <v>95416</v>
      </c>
    </row>
    <row r="75" spans="1:119">
      <c r="A75" s="52">
        <v>73</v>
      </c>
      <c r="W75" s="53">
        <v>60077</v>
      </c>
      <c r="X75" s="53">
        <v>61147</v>
      </c>
      <c r="Y75" s="53">
        <v>61512</v>
      </c>
      <c r="Z75" s="53">
        <v>63514</v>
      </c>
      <c r="AA75" s="53">
        <v>64155</v>
      </c>
      <c r="AB75" s="53">
        <v>65008</v>
      </c>
      <c r="AC75" s="53">
        <v>66157</v>
      </c>
      <c r="AD75" s="53">
        <v>67103</v>
      </c>
      <c r="AE75" s="53">
        <v>67555</v>
      </c>
      <c r="AF75" s="53">
        <v>68713</v>
      </c>
      <c r="AG75" s="53">
        <v>69538</v>
      </c>
      <c r="AH75" s="53">
        <v>70066</v>
      </c>
      <c r="AI75" s="53">
        <v>70786</v>
      </c>
      <c r="AJ75" s="53">
        <v>72352</v>
      </c>
      <c r="AK75" s="53">
        <v>72869</v>
      </c>
      <c r="AL75" s="53">
        <v>73786</v>
      </c>
      <c r="AM75" s="53">
        <v>74495</v>
      </c>
      <c r="AN75" s="53">
        <v>75279</v>
      </c>
      <c r="AO75" s="53">
        <v>75604</v>
      </c>
      <c r="AP75" s="53">
        <v>75880</v>
      </c>
      <c r="AQ75" s="53">
        <v>75998</v>
      </c>
      <c r="AR75" s="53">
        <v>75964</v>
      </c>
      <c r="AS75" s="53">
        <v>75527</v>
      </c>
      <c r="AT75" s="53">
        <v>74763</v>
      </c>
      <c r="AU75" s="53">
        <v>73943</v>
      </c>
      <c r="AV75" s="53">
        <v>74097</v>
      </c>
      <c r="AW75" s="53">
        <v>74784</v>
      </c>
      <c r="AX75" s="53">
        <v>76501</v>
      </c>
      <c r="AY75" s="53">
        <v>78129</v>
      </c>
      <c r="AZ75" s="53">
        <v>78378</v>
      </c>
      <c r="BA75" s="53">
        <v>78652</v>
      </c>
      <c r="BB75" s="53">
        <v>79342</v>
      </c>
      <c r="BC75" s="53">
        <v>79741</v>
      </c>
      <c r="BD75" s="53">
        <v>80168</v>
      </c>
      <c r="BE75" s="53">
        <v>80444</v>
      </c>
      <c r="BF75" s="53">
        <v>80971</v>
      </c>
      <c r="BG75" s="53">
        <v>81394</v>
      </c>
      <c r="BH75" s="53">
        <v>81843</v>
      </c>
      <c r="BI75" s="53">
        <v>82154</v>
      </c>
      <c r="BJ75" s="53">
        <v>82575</v>
      </c>
      <c r="BK75" s="53">
        <v>83054</v>
      </c>
      <c r="BL75" s="53">
        <v>83575</v>
      </c>
      <c r="BM75" s="53">
        <v>84054</v>
      </c>
      <c r="BN75" s="53">
        <v>84492</v>
      </c>
      <c r="BO75" s="53">
        <v>84850</v>
      </c>
      <c r="BP75" s="53">
        <v>85248</v>
      </c>
      <c r="BQ75" s="53">
        <v>85542</v>
      </c>
      <c r="BR75" s="53">
        <v>85835</v>
      </c>
      <c r="BS75" s="53">
        <v>86057</v>
      </c>
      <c r="BT75" s="53">
        <v>86333</v>
      </c>
      <c r="BU75" s="53">
        <v>86579</v>
      </c>
      <c r="BV75" s="53">
        <v>86867</v>
      </c>
      <c r="BW75" s="53">
        <v>87128</v>
      </c>
      <c r="BX75" s="53">
        <v>87421</v>
      </c>
      <c r="BY75" s="53">
        <v>87695</v>
      </c>
      <c r="BZ75" s="53">
        <v>88075</v>
      </c>
      <c r="CA75" s="53">
        <v>88400</v>
      </c>
      <c r="CB75" s="53">
        <v>88684</v>
      </c>
      <c r="CC75" s="53">
        <v>88937</v>
      </c>
      <c r="CD75" s="53">
        <v>89180</v>
      </c>
      <c r="CE75" s="53">
        <v>89424</v>
      </c>
      <c r="CF75" s="53">
        <v>89667</v>
      </c>
      <c r="CG75" s="53">
        <v>89917</v>
      </c>
      <c r="CH75" s="53">
        <v>90140</v>
      </c>
      <c r="CI75" s="53">
        <v>90394</v>
      </c>
      <c r="CJ75" s="53">
        <v>90590</v>
      </c>
      <c r="CK75" s="53">
        <v>90799</v>
      </c>
      <c r="CL75" s="53">
        <v>91038</v>
      </c>
      <c r="CM75" s="53">
        <v>91223</v>
      </c>
      <c r="CN75" s="53">
        <v>91429</v>
      </c>
      <c r="CO75" s="53">
        <v>91603</v>
      </c>
      <c r="CP75" s="53">
        <v>91810</v>
      </c>
      <c r="CQ75" s="53">
        <v>91990</v>
      </c>
      <c r="CR75" s="53">
        <v>92151</v>
      </c>
      <c r="CS75" s="53">
        <v>92332</v>
      </c>
      <c r="CT75" s="53">
        <v>92495</v>
      </c>
      <c r="CU75" s="53">
        <v>92653</v>
      </c>
      <c r="CV75" s="53">
        <v>92783</v>
      </c>
      <c r="CW75" s="53">
        <v>92942</v>
      </c>
      <c r="CX75" s="53">
        <v>93091</v>
      </c>
      <c r="CY75" s="53">
        <v>93229</v>
      </c>
      <c r="CZ75" s="53">
        <v>93335</v>
      </c>
      <c r="DA75" s="53">
        <v>93471</v>
      </c>
      <c r="DB75" s="53">
        <v>93600</v>
      </c>
      <c r="DC75" s="53">
        <v>93749</v>
      </c>
      <c r="DD75" s="53">
        <v>93866</v>
      </c>
      <c r="DE75" s="53">
        <v>93993</v>
      </c>
      <c r="DF75" s="53">
        <v>94143</v>
      </c>
      <c r="DG75" s="53">
        <v>94234</v>
      </c>
      <c r="DH75" s="53">
        <v>94362</v>
      </c>
      <c r="DI75" s="53">
        <v>94448</v>
      </c>
      <c r="DJ75" s="53">
        <v>94573</v>
      </c>
      <c r="DK75" s="53">
        <v>94684</v>
      </c>
      <c r="DL75" s="53">
        <v>94783</v>
      </c>
      <c r="DM75" s="53">
        <v>94894</v>
      </c>
      <c r="DN75" s="53">
        <v>95003</v>
      </c>
      <c r="DO75" s="53">
        <v>95110</v>
      </c>
    </row>
    <row r="76" spans="1:119">
      <c r="A76" s="52">
        <v>74</v>
      </c>
      <c r="W76" s="53">
        <v>58549</v>
      </c>
      <c r="X76" s="53">
        <v>59573</v>
      </c>
      <c r="Y76" s="53">
        <v>60043</v>
      </c>
      <c r="Z76" s="53">
        <v>62061</v>
      </c>
      <c r="AA76" s="53">
        <v>62671</v>
      </c>
      <c r="AB76" s="53">
        <v>63592</v>
      </c>
      <c r="AC76" s="53">
        <v>64752</v>
      </c>
      <c r="AD76" s="53">
        <v>65703</v>
      </c>
      <c r="AE76" s="53">
        <v>66147</v>
      </c>
      <c r="AF76" s="53">
        <v>67360</v>
      </c>
      <c r="AG76" s="53">
        <v>68184</v>
      </c>
      <c r="AH76" s="53">
        <v>68773</v>
      </c>
      <c r="AI76" s="53">
        <v>69520</v>
      </c>
      <c r="AJ76" s="53">
        <v>71077</v>
      </c>
      <c r="AK76" s="53">
        <v>71589</v>
      </c>
      <c r="AL76" s="53">
        <v>72574</v>
      </c>
      <c r="AM76" s="53">
        <v>73304</v>
      </c>
      <c r="AN76" s="53">
        <v>74091</v>
      </c>
      <c r="AO76" s="53">
        <v>74421</v>
      </c>
      <c r="AP76" s="53">
        <v>74727</v>
      </c>
      <c r="AQ76" s="53">
        <v>74811</v>
      </c>
      <c r="AR76" s="53">
        <v>74778</v>
      </c>
      <c r="AS76" s="53">
        <v>74372</v>
      </c>
      <c r="AT76" s="53">
        <v>73643</v>
      </c>
      <c r="AU76" s="53">
        <v>72857</v>
      </c>
      <c r="AV76" s="53">
        <v>73031</v>
      </c>
      <c r="AW76" s="53">
        <v>73730</v>
      </c>
      <c r="AX76" s="53">
        <v>75444</v>
      </c>
      <c r="AY76" s="53">
        <v>77071</v>
      </c>
      <c r="AZ76" s="53">
        <v>77338</v>
      </c>
      <c r="BA76" s="53">
        <v>77630</v>
      </c>
      <c r="BB76" s="53">
        <v>78332</v>
      </c>
      <c r="BC76" s="53">
        <v>78746</v>
      </c>
      <c r="BD76" s="53">
        <v>79188</v>
      </c>
      <c r="BE76" s="53">
        <v>79480</v>
      </c>
      <c r="BF76" s="53">
        <v>80021</v>
      </c>
      <c r="BG76" s="53">
        <v>80458</v>
      </c>
      <c r="BH76" s="53">
        <v>80920</v>
      </c>
      <c r="BI76" s="53">
        <v>81245</v>
      </c>
      <c r="BJ76" s="53">
        <v>81679</v>
      </c>
      <c r="BK76" s="53">
        <v>82171</v>
      </c>
      <c r="BL76" s="53">
        <v>82704</v>
      </c>
      <c r="BM76" s="53">
        <v>83195</v>
      </c>
      <c r="BN76" s="53">
        <v>83645</v>
      </c>
      <c r="BO76" s="53">
        <v>84016</v>
      </c>
      <c r="BP76" s="53">
        <v>84427</v>
      </c>
      <c r="BQ76" s="53">
        <v>84734</v>
      </c>
      <c r="BR76" s="53">
        <v>85040</v>
      </c>
      <c r="BS76" s="53">
        <v>85275</v>
      </c>
      <c r="BT76" s="53">
        <v>85564</v>
      </c>
      <c r="BU76" s="53">
        <v>85822</v>
      </c>
      <c r="BV76" s="53">
        <v>86123</v>
      </c>
      <c r="BW76" s="53">
        <v>86397</v>
      </c>
      <c r="BX76" s="53">
        <v>86701</v>
      </c>
      <c r="BY76" s="53">
        <v>86986</v>
      </c>
      <c r="BZ76" s="53">
        <v>87378</v>
      </c>
      <c r="CA76" s="53">
        <v>87713</v>
      </c>
      <c r="CB76" s="53">
        <v>88008</v>
      </c>
      <c r="CC76" s="53">
        <v>88273</v>
      </c>
      <c r="CD76" s="53">
        <v>88527</v>
      </c>
      <c r="CE76" s="53">
        <v>88782</v>
      </c>
      <c r="CF76" s="53">
        <v>89036</v>
      </c>
      <c r="CG76" s="53">
        <v>89296</v>
      </c>
      <c r="CH76" s="53">
        <v>89529</v>
      </c>
      <c r="CI76" s="53">
        <v>89794</v>
      </c>
      <c r="CJ76" s="53">
        <v>90000</v>
      </c>
      <c r="CK76" s="53">
        <v>90219</v>
      </c>
      <c r="CL76" s="53">
        <v>90468</v>
      </c>
      <c r="CM76" s="53">
        <v>90663</v>
      </c>
      <c r="CN76" s="53">
        <v>90879</v>
      </c>
      <c r="CO76" s="53">
        <v>91062</v>
      </c>
      <c r="CP76" s="53">
        <v>91279</v>
      </c>
      <c r="CQ76" s="53">
        <v>91468</v>
      </c>
      <c r="CR76" s="53">
        <v>91638</v>
      </c>
      <c r="CS76" s="53">
        <v>91828</v>
      </c>
      <c r="CT76" s="53">
        <v>92001</v>
      </c>
      <c r="CU76" s="53">
        <v>92168</v>
      </c>
      <c r="CV76" s="53">
        <v>92306</v>
      </c>
      <c r="CW76" s="53">
        <v>92473</v>
      </c>
      <c r="CX76" s="53">
        <v>92631</v>
      </c>
      <c r="CY76" s="53">
        <v>92777</v>
      </c>
      <c r="CZ76" s="53">
        <v>92892</v>
      </c>
      <c r="DA76" s="53">
        <v>93035</v>
      </c>
      <c r="DB76" s="53">
        <v>93172</v>
      </c>
      <c r="DC76" s="53">
        <v>93329</v>
      </c>
      <c r="DD76" s="53">
        <v>93454</v>
      </c>
      <c r="DE76" s="53">
        <v>93588</v>
      </c>
      <c r="DF76" s="53">
        <v>93745</v>
      </c>
      <c r="DG76" s="53">
        <v>93844</v>
      </c>
      <c r="DH76" s="53">
        <v>93979</v>
      </c>
      <c r="DI76" s="53">
        <v>94071</v>
      </c>
      <c r="DJ76" s="53">
        <v>94203</v>
      </c>
      <c r="DK76" s="53">
        <v>94322</v>
      </c>
      <c r="DL76" s="53">
        <v>94427</v>
      </c>
      <c r="DM76" s="53">
        <v>94545</v>
      </c>
      <c r="DN76" s="53">
        <v>94660</v>
      </c>
      <c r="DO76" s="53">
        <v>94773</v>
      </c>
    </row>
    <row r="77" spans="1:119">
      <c r="A77" s="52">
        <v>75</v>
      </c>
      <c r="W77" s="53">
        <v>56841</v>
      </c>
      <c r="X77" s="53">
        <v>57930</v>
      </c>
      <c r="Y77" s="53">
        <v>58470</v>
      </c>
      <c r="Z77" s="53">
        <v>60457</v>
      </c>
      <c r="AA77" s="53">
        <v>61152</v>
      </c>
      <c r="AB77" s="53">
        <v>62082</v>
      </c>
      <c r="AC77" s="53">
        <v>63256</v>
      </c>
      <c r="AD77" s="53">
        <v>64157</v>
      </c>
      <c r="AE77" s="53">
        <v>64678</v>
      </c>
      <c r="AF77" s="53">
        <v>65910</v>
      </c>
      <c r="AG77" s="53">
        <v>66767</v>
      </c>
      <c r="AH77" s="53">
        <v>67387</v>
      </c>
      <c r="AI77" s="53">
        <v>68154</v>
      </c>
      <c r="AJ77" s="53">
        <v>69704</v>
      </c>
      <c r="AK77" s="53">
        <v>70260</v>
      </c>
      <c r="AL77" s="53">
        <v>71229</v>
      </c>
      <c r="AM77" s="53">
        <v>71989</v>
      </c>
      <c r="AN77" s="53">
        <v>72793</v>
      </c>
      <c r="AO77" s="53">
        <v>73175</v>
      </c>
      <c r="AP77" s="53">
        <v>73433</v>
      </c>
      <c r="AQ77" s="53">
        <v>73520</v>
      </c>
      <c r="AR77" s="53">
        <v>73514</v>
      </c>
      <c r="AS77" s="53">
        <v>73139</v>
      </c>
      <c r="AT77" s="53">
        <v>72446</v>
      </c>
      <c r="AU77" s="53">
        <v>71697</v>
      </c>
      <c r="AV77" s="53">
        <v>71891</v>
      </c>
      <c r="AW77" s="53">
        <v>72602</v>
      </c>
      <c r="AX77" s="53">
        <v>74313</v>
      </c>
      <c r="AY77" s="53">
        <v>75938</v>
      </c>
      <c r="AZ77" s="53">
        <v>76224</v>
      </c>
      <c r="BA77" s="53">
        <v>76534</v>
      </c>
      <c r="BB77" s="53">
        <v>77247</v>
      </c>
      <c r="BC77" s="53">
        <v>77678</v>
      </c>
      <c r="BD77" s="53">
        <v>78135</v>
      </c>
      <c r="BE77" s="53">
        <v>78444</v>
      </c>
      <c r="BF77" s="53">
        <v>78998</v>
      </c>
      <c r="BG77" s="53">
        <v>79449</v>
      </c>
      <c r="BH77" s="53">
        <v>79925</v>
      </c>
      <c r="BI77" s="53">
        <v>80265</v>
      </c>
      <c r="BJ77" s="53">
        <v>80713</v>
      </c>
      <c r="BK77" s="53">
        <v>81217</v>
      </c>
      <c r="BL77" s="53">
        <v>81762</v>
      </c>
      <c r="BM77" s="53">
        <v>82266</v>
      </c>
      <c r="BN77" s="53">
        <v>82728</v>
      </c>
      <c r="BO77" s="53">
        <v>83113</v>
      </c>
      <c r="BP77" s="53">
        <v>83537</v>
      </c>
      <c r="BQ77" s="53">
        <v>83858</v>
      </c>
      <c r="BR77" s="53">
        <v>84177</v>
      </c>
      <c r="BS77" s="53">
        <v>84426</v>
      </c>
      <c r="BT77" s="53">
        <v>84729</v>
      </c>
      <c r="BU77" s="53">
        <v>85001</v>
      </c>
      <c r="BV77" s="53">
        <v>85315</v>
      </c>
      <c r="BW77" s="53">
        <v>85601</v>
      </c>
      <c r="BX77" s="53">
        <v>85917</v>
      </c>
      <c r="BY77" s="53">
        <v>86215</v>
      </c>
      <c r="BZ77" s="53">
        <v>86618</v>
      </c>
      <c r="CA77" s="53">
        <v>86965</v>
      </c>
      <c r="CB77" s="53">
        <v>87272</v>
      </c>
      <c r="CC77" s="53">
        <v>87548</v>
      </c>
      <c r="CD77" s="53">
        <v>87815</v>
      </c>
      <c r="CE77" s="53">
        <v>88081</v>
      </c>
      <c r="CF77" s="53">
        <v>88346</v>
      </c>
      <c r="CG77" s="53">
        <v>88618</v>
      </c>
      <c r="CH77" s="53">
        <v>88862</v>
      </c>
      <c r="CI77" s="53">
        <v>89137</v>
      </c>
      <c r="CJ77" s="53">
        <v>89355</v>
      </c>
      <c r="CK77" s="53">
        <v>89584</v>
      </c>
      <c r="CL77" s="53">
        <v>89844</v>
      </c>
      <c r="CM77" s="53">
        <v>90049</v>
      </c>
      <c r="CN77" s="53">
        <v>90275</v>
      </c>
      <c r="CO77" s="53">
        <v>90469</v>
      </c>
      <c r="CP77" s="53">
        <v>90695</v>
      </c>
      <c r="CQ77" s="53">
        <v>90895</v>
      </c>
      <c r="CR77" s="53">
        <v>91075</v>
      </c>
      <c r="CS77" s="53">
        <v>91274</v>
      </c>
      <c r="CT77" s="53">
        <v>91457</v>
      </c>
      <c r="CU77" s="53">
        <v>91633</v>
      </c>
      <c r="CV77" s="53">
        <v>91780</v>
      </c>
      <c r="CW77" s="53">
        <v>91957</v>
      </c>
      <c r="CX77" s="53">
        <v>92123</v>
      </c>
      <c r="CY77" s="53">
        <v>92279</v>
      </c>
      <c r="CZ77" s="53">
        <v>92402</v>
      </c>
      <c r="DA77" s="53">
        <v>92554</v>
      </c>
      <c r="DB77" s="53">
        <v>92699</v>
      </c>
      <c r="DC77" s="53">
        <v>92865</v>
      </c>
      <c r="DD77" s="53">
        <v>92998</v>
      </c>
      <c r="DE77" s="53">
        <v>93140</v>
      </c>
      <c r="DF77" s="53">
        <v>93305</v>
      </c>
      <c r="DG77" s="53">
        <v>93411</v>
      </c>
      <c r="DH77" s="53">
        <v>93554</v>
      </c>
      <c r="DI77" s="53">
        <v>93654</v>
      </c>
      <c r="DJ77" s="53">
        <v>93794</v>
      </c>
      <c r="DK77" s="53">
        <v>93919</v>
      </c>
      <c r="DL77" s="53">
        <v>94032</v>
      </c>
      <c r="DM77" s="53">
        <v>94157</v>
      </c>
      <c r="DN77" s="53">
        <v>94279</v>
      </c>
      <c r="DO77" s="53">
        <v>94399</v>
      </c>
    </row>
    <row r="78" spans="1:119">
      <c r="A78" s="52">
        <v>76</v>
      </c>
      <c r="W78" s="53">
        <v>55099</v>
      </c>
      <c r="X78" s="53">
        <v>56228</v>
      </c>
      <c r="Y78" s="53">
        <v>56764</v>
      </c>
      <c r="Z78" s="53">
        <v>58791</v>
      </c>
      <c r="AA78" s="53">
        <v>59513</v>
      </c>
      <c r="AB78" s="53">
        <v>60467</v>
      </c>
      <c r="AC78" s="53">
        <v>61540</v>
      </c>
      <c r="AD78" s="53">
        <v>62504</v>
      </c>
      <c r="AE78" s="53">
        <v>63133</v>
      </c>
      <c r="AF78" s="53">
        <v>64356</v>
      </c>
      <c r="AG78" s="53">
        <v>65232</v>
      </c>
      <c r="AH78" s="53">
        <v>65840</v>
      </c>
      <c r="AI78" s="53">
        <v>66611</v>
      </c>
      <c r="AJ78" s="53">
        <v>68196</v>
      </c>
      <c r="AK78" s="53">
        <v>68772</v>
      </c>
      <c r="AL78" s="53">
        <v>69746</v>
      </c>
      <c r="AM78" s="53">
        <v>70535</v>
      </c>
      <c r="AN78" s="53">
        <v>71410</v>
      </c>
      <c r="AO78" s="53">
        <v>71753</v>
      </c>
      <c r="AP78" s="53">
        <v>72019</v>
      </c>
      <c r="AQ78" s="53">
        <v>72133</v>
      </c>
      <c r="AR78" s="53">
        <v>72153</v>
      </c>
      <c r="AS78" s="53">
        <v>71812</v>
      </c>
      <c r="AT78" s="53">
        <v>71157</v>
      </c>
      <c r="AU78" s="53">
        <v>70446</v>
      </c>
      <c r="AV78" s="53">
        <v>70661</v>
      </c>
      <c r="AW78" s="53">
        <v>71384</v>
      </c>
      <c r="AX78" s="53">
        <v>73090</v>
      </c>
      <c r="AY78" s="53">
        <v>74713</v>
      </c>
      <c r="AZ78" s="53">
        <v>75018</v>
      </c>
      <c r="BA78" s="53">
        <v>75347</v>
      </c>
      <c r="BB78" s="53">
        <v>76073</v>
      </c>
      <c r="BC78" s="53">
        <v>76520</v>
      </c>
      <c r="BD78" s="53">
        <v>76993</v>
      </c>
      <c r="BE78" s="53">
        <v>77320</v>
      </c>
      <c r="BF78" s="53">
        <v>77887</v>
      </c>
      <c r="BG78" s="53">
        <v>78353</v>
      </c>
      <c r="BH78" s="53">
        <v>78843</v>
      </c>
      <c r="BI78" s="53">
        <v>79198</v>
      </c>
      <c r="BJ78" s="53">
        <v>79660</v>
      </c>
      <c r="BK78" s="53">
        <v>80178</v>
      </c>
      <c r="BL78" s="53">
        <v>80735</v>
      </c>
      <c r="BM78" s="53">
        <v>81252</v>
      </c>
      <c r="BN78" s="53">
        <v>81728</v>
      </c>
      <c r="BO78" s="53">
        <v>82127</v>
      </c>
      <c r="BP78" s="53">
        <v>82564</v>
      </c>
      <c r="BQ78" s="53">
        <v>82899</v>
      </c>
      <c r="BR78" s="53">
        <v>83233</v>
      </c>
      <c r="BS78" s="53">
        <v>83497</v>
      </c>
      <c r="BT78" s="53">
        <v>83814</v>
      </c>
      <c r="BU78" s="53">
        <v>84100</v>
      </c>
      <c r="BV78" s="53">
        <v>84427</v>
      </c>
      <c r="BW78" s="53">
        <v>84727</v>
      </c>
      <c r="BX78" s="53">
        <v>85057</v>
      </c>
      <c r="BY78" s="53">
        <v>85368</v>
      </c>
      <c r="BZ78" s="53">
        <v>85782</v>
      </c>
      <c r="CA78" s="53">
        <v>86142</v>
      </c>
      <c r="CB78" s="53">
        <v>86461</v>
      </c>
      <c r="CC78" s="53">
        <v>86751</v>
      </c>
      <c r="CD78" s="53">
        <v>87029</v>
      </c>
      <c r="CE78" s="53">
        <v>87308</v>
      </c>
      <c r="CF78" s="53">
        <v>87585</v>
      </c>
      <c r="CG78" s="53">
        <v>87869</v>
      </c>
      <c r="CH78" s="53">
        <v>88125</v>
      </c>
      <c r="CI78" s="53">
        <v>88412</v>
      </c>
      <c r="CJ78" s="53">
        <v>88641</v>
      </c>
      <c r="CK78" s="53">
        <v>88882</v>
      </c>
      <c r="CL78" s="53">
        <v>89153</v>
      </c>
      <c r="CM78" s="53">
        <v>89370</v>
      </c>
      <c r="CN78" s="53">
        <v>89606</v>
      </c>
      <c r="CO78" s="53">
        <v>89812</v>
      </c>
      <c r="CP78" s="53">
        <v>90048</v>
      </c>
      <c r="CQ78" s="53">
        <v>90259</v>
      </c>
      <c r="CR78" s="53">
        <v>90449</v>
      </c>
      <c r="CS78" s="53">
        <v>90659</v>
      </c>
      <c r="CT78" s="53">
        <v>90852</v>
      </c>
      <c r="CU78" s="53">
        <v>91038</v>
      </c>
      <c r="CV78" s="53">
        <v>91196</v>
      </c>
      <c r="CW78" s="53">
        <v>91382</v>
      </c>
      <c r="CX78" s="53">
        <v>91558</v>
      </c>
      <c r="CY78" s="53">
        <v>91723</v>
      </c>
      <c r="CZ78" s="53">
        <v>91856</v>
      </c>
      <c r="DA78" s="53">
        <v>92018</v>
      </c>
      <c r="DB78" s="53">
        <v>92172</v>
      </c>
      <c r="DC78" s="53">
        <v>92347</v>
      </c>
      <c r="DD78" s="53">
        <v>92488</v>
      </c>
      <c r="DE78" s="53">
        <v>92640</v>
      </c>
      <c r="DF78" s="53">
        <v>92812</v>
      </c>
      <c r="DG78" s="53">
        <v>92928</v>
      </c>
      <c r="DH78" s="53">
        <v>93079</v>
      </c>
      <c r="DI78" s="53">
        <v>93188</v>
      </c>
      <c r="DJ78" s="53">
        <v>93335</v>
      </c>
      <c r="DK78" s="53">
        <v>93469</v>
      </c>
      <c r="DL78" s="53">
        <v>93589</v>
      </c>
      <c r="DM78" s="53">
        <v>93722</v>
      </c>
      <c r="DN78" s="53">
        <v>93852</v>
      </c>
      <c r="DO78" s="53">
        <v>93979</v>
      </c>
    </row>
    <row r="79" spans="1:119">
      <c r="A79" s="52">
        <v>77</v>
      </c>
      <c r="W79" s="53">
        <v>53279</v>
      </c>
      <c r="X79" s="53">
        <v>54371</v>
      </c>
      <c r="Y79" s="53">
        <v>54975</v>
      </c>
      <c r="Z79" s="53">
        <v>57003</v>
      </c>
      <c r="AA79" s="53">
        <v>57742</v>
      </c>
      <c r="AB79" s="53">
        <v>58668</v>
      </c>
      <c r="AC79" s="53">
        <v>59782</v>
      </c>
      <c r="AD79" s="53">
        <v>60761</v>
      </c>
      <c r="AE79" s="53">
        <v>61426</v>
      </c>
      <c r="AF79" s="53">
        <v>62712</v>
      </c>
      <c r="AG79" s="53">
        <v>63532</v>
      </c>
      <c r="AH79" s="53">
        <v>64185</v>
      </c>
      <c r="AI79" s="53">
        <v>64942</v>
      </c>
      <c r="AJ79" s="53">
        <v>66541</v>
      </c>
      <c r="AK79" s="53">
        <v>67149</v>
      </c>
      <c r="AL79" s="53">
        <v>68119</v>
      </c>
      <c r="AM79" s="53">
        <v>69004</v>
      </c>
      <c r="AN79" s="53">
        <v>69814</v>
      </c>
      <c r="AO79" s="53">
        <v>70195</v>
      </c>
      <c r="AP79" s="53">
        <v>70486</v>
      </c>
      <c r="AQ79" s="53">
        <v>70626</v>
      </c>
      <c r="AR79" s="53">
        <v>70675</v>
      </c>
      <c r="AS79" s="53">
        <v>70369</v>
      </c>
      <c r="AT79" s="53">
        <v>69754</v>
      </c>
      <c r="AU79" s="53">
        <v>69083</v>
      </c>
      <c r="AV79" s="53">
        <v>69321</v>
      </c>
      <c r="AW79" s="53">
        <v>70056</v>
      </c>
      <c r="AX79" s="53">
        <v>71757</v>
      </c>
      <c r="AY79" s="53">
        <v>73376</v>
      </c>
      <c r="AZ79" s="53">
        <v>73701</v>
      </c>
      <c r="BA79" s="53">
        <v>74049</v>
      </c>
      <c r="BB79" s="53">
        <v>74787</v>
      </c>
      <c r="BC79" s="53">
        <v>75252</v>
      </c>
      <c r="BD79" s="53">
        <v>75741</v>
      </c>
      <c r="BE79" s="53">
        <v>76086</v>
      </c>
      <c r="BF79" s="53">
        <v>76667</v>
      </c>
      <c r="BG79" s="53">
        <v>77148</v>
      </c>
      <c r="BH79" s="53">
        <v>77652</v>
      </c>
      <c r="BI79" s="53">
        <v>78025</v>
      </c>
      <c r="BJ79" s="53">
        <v>78501</v>
      </c>
      <c r="BK79" s="53">
        <v>79033</v>
      </c>
      <c r="BL79" s="53">
        <v>79603</v>
      </c>
      <c r="BM79" s="53">
        <v>80134</v>
      </c>
      <c r="BN79" s="53">
        <v>80623</v>
      </c>
      <c r="BO79" s="53">
        <v>81037</v>
      </c>
      <c r="BP79" s="53">
        <v>81488</v>
      </c>
      <c r="BQ79" s="53">
        <v>81839</v>
      </c>
      <c r="BR79" s="53">
        <v>82188</v>
      </c>
      <c r="BS79" s="53">
        <v>82468</v>
      </c>
      <c r="BT79" s="53">
        <v>82800</v>
      </c>
      <c r="BU79" s="53">
        <v>83101</v>
      </c>
      <c r="BV79" s="53">
        <v>83443</v>
      </c>
      <c r="BW79" s="53">
        <v>83757</v>
      </c>
      <c r="BX79" s="53">
        <v>84101</v>
      </c>
      <c r="BY79" s="53">
        <v>84426</v>
      </c>
      <c r="BZ79" s="53">
        <v>84853</v>
      </c>
      <c r="CA79" s="53">
        <v>85226</v>
      </c>
      <c r="CB79" s="53">
        <v>85559</v>
      </c>
      <c r="CC79" s="53">
        <v>85862</v>
      </c>
      <c r="CD79" s="53">
        <v>86154</v>
      </c>
      <c r="CE79" s="53">
        <v>86446</v>
      </c>
      <c r="CF79" s="53">
        <v>86736</v>
      </c>
      <c r="CG79" s="53">
        <v>87032</v>
      </c>
      <c r="CH79" s="53">
        <v>87302</v>
      </c>
      <c r="CI79" s="53">
        <v>87601</v>
      </c>
      <c r="CJ79" s="53">
        <v>87843</v>
      </c>
      <c r="CK79" s="53">
        <v>88097</v>
      </c>
      <c r="CL79" s="53">
        <v>88379</v>
      </c>
      <c r="CM79" s="53">
        <v>88608</v>
      </c>
      <c r="CN79" s="53">
        <v>88857</v>
      </c>
      <c r="CO79" s="53">
        <v>89074</v>
      </c>
      <c r="CP79" s="53">
        <v>89323</v>
      </c>
      <c r="CQ79" s="53">
        <v>89545</v>
      </c>
      <c r="CR79" s="53">
        <v>89747</v>
      </c>
      <c r="CS79" s="53">
        <v>89968</v>
      </c>
      <c r="CT79" s="53">
        <v>90172</v>
      </c>
      <c r="CU79" s="53">
        <v>90369</v>
      </c>
      <c r="CV79" s="53">
        <v>90538</v>
      </c>
      <c r="CW79" s="53">
        <v>90735</v>
      </c>
      <c r="CX79" s="53">
        <v>90922</v>
      </c>
      <c r="CY79" s="53">
        <v>91098</v>
      </c>
      <c r="CZ79" s="53">
        <v>91241</v>
      </c>
      <c r="DA79" s="53">
        <v>91413</v>
      </c>
      <c r="DB79" s="53">
        <v>91577</v>
      </c>
      <c r="DC79" s="53">
        <v>91761</v>
      </c>
      <c r="DD79" s="53">
        <v>91913</v>
      </c>
      <c r="DE79" s="53">
        <v>92074</v>
      </c>
      <c r="DF79" s="53">
        <v>92256</v>
      </c>
      <c r="DG79" s="53">
        <v>92381</v>
      </c>
      <c r="DH79" s="53">
        <v>92541</v>
      </c>
      <c r="DI79" s="53">
        <v>92659</v>
      </c>
      <c r="DJ79" s="53">
        <v>92815</v>
      </c>
      <c r="DK79" s="53">
        <v>92958</v>
      </c>
      <c r="DL79" s="53">
        <v>93087</v>
      </c>
      <c r="DM79" s="53">
        <v>93228</v>
      </c>
      <c r="DN79" s="53">
        <v>93366</v>
      </c>
      <c r="DO79" s="53">
        <v>93501</v>
      </c>
    </row>
    <row r="80" spans="1:119">
      <c r="A80" s="52">
        <v>78</v>
      </c>
      <c r="W80" s="53">
        <v>51316</v>
      </c>
      <c r="X80" s="53">
        <v>52455</v>
      </c>
      <c r="Y80" s="53">
        <v>53099</v>
      </c>
      <c r="Z80" s="53">
        <v>55098</v>
      </c>
      <c r="AA80" s="53">
        <v>55811</v>
      </c>
      <c r="AB80" s="53">
        <v>56784</v>
      </c>
      <c r="AC80" s="53">
        <v>57954</v>
      </c>
      <c r="AD80" s="53">
        <v>58918</v>
      </c>
      <c r="AE80" s="53">
        <v>59615</v>
      </c>
      <c r="AF80" s="53">
        <v>60888</v>
      </c>
      <c r="AG80" s="53">
        <v>61689</v>
      </c>
      <c r="AH80" s="53">
        <v>62357</v>
      </c>
      <c r="AI80" s="53">
        <v>63163</v>
      </c>
      <c r="AJ80" s="53">
        <v>64751</v>
      </c>
      <c r="AK80" s="53">
        <v>65334</v>
      </c>
      <c r="AL80" s="53">
        <v>66408</v>
      </c>
      <c r="AM80" s="53">
        <v>67262</v>
      </c>
      <c r="AN80" s="53">
        <v>68084</v>
      </c>
      <c r="AO80" s="53">
        <v>68488</v>
      </c>
      <c r="AP80" s="53">
        <v>68804</v>
      </c>
      <c r="AQ80" s="53">
        <v>68973</v>
      </c>
      <c r="AR80" s="53">
        <v>69051</v>
      </c>
      <c r="AS80" s="53">
        <v>68783</v>
      </c>
      <c r="AT80" s="53">
        <v>68212</v>
      </c>
      <c r="AU80" s="53">
        <v>67584</v>
      </c>
      <c r="AV80" s="53">
        <v>67844</v>
      </c>
      <c r="AW80" s="53">
        <v>68592</v>
      </c>
      <c r="AX80" s="53">
        <v>70285</v>
      </c>
      <c r="AY80" s="53">
        <v>71900</v>
      </c>
      <c r="AZ80" s="53">
        <v>72246</v>
      </c>
      <c r="BA80" s="53">
        <v>72615</v>
      </c>
      <c r="BB80" s="53">
        <v>73366</v>
      </c>
      <c r="BC80" s="53">
        <v>73848</v>
      </c>
      <c r="BD80" s="53">
        <v>74354</v>
      </c>
      <c r="BE80" s="53">
        <v>74717</v>
      </c>
      <c r="BF80" s="53">
        <v>75312</v>
      </c>
      <c r="BG80" s="53">
        <v>75809</v>
      </c>
      <c r="BH80" s="53">
        <v>76329</v>
      </c>
      <c r="BI80" s="53">
        <v>76719</v>
      </c>
      <c r="BJ80" s="53">
        <v>77211</v>
      </c>
      <c r="BK80" s="53">
        <v>77757</v>
      </c>
      <c r="BL80" s="53">
        <v>78341</v>
      </c>
      <c r="BM80" s="53">
        <v>78886</v>
      </c>
      <c r="BN80" s="53">
        <v>79390</v>
      </c>
      <c r="BO80" s="53">
        <v>79820</v>
      </c>
      <c r="BP80" s="53">
        <v>80286</v>
      </c>
      <c r="BQ80" s="53">
        <v>80654</v>
      </c>
      <c r="BR80" s="53">
        <v>81019</v>
      </c>
      <c r="BS80" s="53">
        <v>81316</v>
      </c>
      <c r="BT80" s="53">
        <v>81664</v>
      </c>
      <c r="BU80" s="53">
        <v>81981</v>
      </c>
      <c r="BV80" s="53">
        <v>82339</v>
      </c>
      <c r="BW80" s="53">
        <v>82669</v>
      </c>
      <c r="BX80" s="53">
        <v>83027</v>
      </c>
      <c r="BY80" s="53">
        <v>83368</v>
      </c>
      <c r="BZ80" s="53">
        <v>83809</v>
      </c>
      <c r="CA80" s="53">
        <v>84196</v>
      </c>
      <c r="CB80" s="53">
        <v>84543</v>
      </c>
      <c r="CC80" s="53">
        <v>84860</v>
      </c>
      <c r="CD80" s="53">
        <v>85167</v>
      </c>
      <c r="CE80" s="53">
        <v>85474</v>
      </c>
      <c r="CF80" s="53">
        <v>85778</v>
      </c>
      <c r="CG80" s="53">
        <v>86088</v>
      </c>
      <c r="CH80" s="53">
        <v>86372</v>
      </c>
      <c r="CI80" s="53">
        <v>86684</v>
      </c>
      <c r="CJ80" s="53">
        <v>86940</v>
      </c>
      <c r="CK80" s="53">
        <v>87208</v>
      </c>
      <c r="CL80" s="53">
        <v>87503</v>
      </c>
      <c r="CM80" s="53">
        <v>87746</v>
      </c>
      <c r="CN80" s="53">
        <v>88008</v>
      </c>
      <c r="CO80" s="53">
        <v>88238</v>
      </c>
      <c r="CP80" s="53">
        <v>88499</v>
      </c>
      <c r="CQ80" s="53">
        <v>88734</v>
      </c>
      <c r="CR80" s="53">
        <v>88949</v>
      </c>
      <c r="CS80" s="53">
        <v>89182</v>
      </c>
      <c r="CT80" s="53">
        <v>89398</v>
      </c>
      <c r="CU80" s="53">
        <v>89608</v>
      </c>
      <c r="CV80" s="53">
        <v>89789</v>
      </c>
      <c r="CW80" s="53">
        <v>89998</v>
      </c>
      <c r="CX80" s="53">
        <v>90196</v>
      </c>
      <c r="CY80" s="53">
        <v>90383</v>
      </c>
      <c r="CZ80" s="53">
        <v>90539</v>
      </c>
      <c r="DA80" s="53">
        <v>90722</v>
      </c>
      <c r="DB80" s="53">
        <v>90897</v>
      </c>
      <c r="DC80" s="53">
        <v>91092</v>
      </c>
      <c r="DD80" s="53">
        <v>91255</v>
      </c>
      <c r="DE80" s="53">
        <v>91426</v>
      </c>
      <c r="DF80" s="53">
        <v>91619</v>
      </c>
      <c r="DG80" s="53">
        <v>91754</v>
      </c>
      <c r="DH80" s="53">
        <v>91925</v>
      </c>
      <c r="DI80" s="53">
        <v>92053</v>
      </c>
      <c r="DJ80" s="53">
        <v>92219</v>
      </c>
      <c r="DK80" s="53">
        <v>92371</v>
      </c>
      <c r="DL80" s="53">
        <v>92510</v>
      </c>
      <c r="DM80" s="53">
        <v>92660</v>
      </c>
      <c r="DN80" s="53">
        <v>92808</v>
      </c>
      <c r="DO80" s="53">
        <v>92952</v>
      </c>
    </row>
    <row r="81" spans="1:119">
      <c r="A81" s="52">
        <v>79</v>
      </c>
      <c r="W81" s="53">
        <v>49256</v>
      </c>
      <c r="X81" s="53">
        <v>50462</v>
      </c>
      <c r="Y81" s="53">
        <v>51068</v>
      </c>
      <c r="Z81" s="53">
        <v>52976</v>
      </c>
      <c r="AA81" s="53">
        <v>53779</v>
      </c>
      <c r="AB81" s="53">
        <v>54770</v>
      </c>
      <c r="AC81" s="53">
        <v>55982</v>
      </c>
      <c r="AD81" s="53">
        <v>56959</v>
      </c>
      <c r="AE81" s="53">
        <v>57604</v>
      </c>
      <c r="AF81" s="53">
        <v>58862</v>
      </c>
      <c r="AG81" s="53">
        <v>59704</v>
      </c>
      <c r="AH81" s="53">
        <v>60382</v>
      </c>
      <c r="AI81" s="53">
        <v>61172</v>
      </c>
      <c r="AJ81" s="53">
        <v>62732</v>
      </c>
      <c r="AK81" s="53">
        <v>63463</v>
      </c>
      <c r="AL81" s="53">
        <v>64459</v>
      </c>
      <c r="AM81" s="53">
        <v>65343</v>
      </c>
      <c r="AN81" s="53">
        <v>66177</v>
      </c>
      <c r="AO81" s="53">
        <v>66605</v>
      </c>
      <c r="AP81" s="53">
        <v>66947</v>
      </c>
      <c r="AQ81" s="53">
        <v>67145</v>
      </c>
      <c r="AR81" s="53">
        <v>67255</v>
      </c>
      <c r="AS81" s="53">
        <v>67026</v>
      </c>
      <c r="AT81" s="53">
        <v>66502</v>
      </c>
      <c r="AU81" s="53">
        <v>65921</v>
      </c>
      <c r="AV81" s="53">
        <v>66206</v>
      </c>
      <c r="AW81" s="53">
        <v>66966</v>
      </c>
      <c r="AX81" s="53">
        <v>68649</v>
      </c>
      <c r="AY81" s="53">
        <v>70257</v>
      </c>
      <c r="AZ81" s="53">
        <v>70626</v>
      </c>
      <c r="BA81" s="53">
        <v>71016</v>
      </c>
      <c r="BB81" s="53">
        <v>71780</v>
      </c>
      <c r="BC81" s="53">
        <v>72280</v>
      </c>
      <c r="BD81" s="53">
        <v>72803</v>
      </c>
      <c r="BE81" s="53">
        <v>73185</v>
      </c>
      <c r="BF81" s="53">
        <v>73796</v>
      </c>
      <c r="BG81" s="53">
        <v>74309</v>
      </c>
      <c r="BH81" s="53">
        <v>74845</v>
      </c>
      <c r="BI81" s="53">
        <v>75253</v>
      </c>
      <c r="BJ81" s="53">
        <v>75762</v>
      </c>
      <c r="BK81" s="53">
        <v>76323</v>
      </c>
      <c r="BL81" s="53">
        <v>76922</v>
      </c>
      <c r="BM81" s="53">
        <v>77482</v>
      </c>
      <c r="BN81" s="53">
        <v>78002</v>
      </c>
      <c r="BO81" s="53">
        <v>78449</v>
      </c>
      <c r="BP81" s="53">
        <v>78931</v>
      </c>
      <c r="BQ81" s="53">
        <v>79317</v>
      </c>
      <c r="BR81" s="53">
        <v>79699</v>
      </c>
      <c r="BS81" s="53">
        <v>80014</v>
      </c>
      <c r="BT81" s="53">
        <v>80380</v>
      </c>
      <c r="BU81" s="53">
        <v>80714</v>
      </c>
      <c r="BV81" s="53">
        <v>81089</v>
      </c>
      <c r="BW81" s="53">
        <v>81436</v>
      </c>
      <c r="BX81" s="53">
        <v>81811</v>
      </c>
      <c r="BY81" s="53">
        <v>82167</v>
      </c>
      <c r="BZ81" s="53">
        <v>82623</v>
      </c>
      <c r="CA81" s="53">
        <v>83025</v>
      </c>
      <c r="CB81" s="53">
        <v>83389</v>
      </c>
      <c r="CC81" s="53">
        <v>83722</v>
      </c>
      <c r="CD81" s="53">
        <v>84045</v>
      </c>
      <c r="CE81" s="53">
        <v>84367</v>
      </c>
      <c r="CF81" s="53">
        <v>84687</v>
      </c>
      <c r="CG81" s="53">
        <v>85012</v>
      </c>
      <c r="CH81" s="53">
        <v>85311</v>
      </c>
      <c r="CI81" s="53">
        <v>85638</v>
      </c>
      <c r="CJ81" s="53">
        <v>85910</v>
      </c>
      <c r="CK81" s="53">
        <v>86192</v>
      </c>
      <c r="CL81" s="53">
        <v>86502</v>
      </c>
      <c r="CM81" s="53">
        <v>86759</v>
      </c>
      <c r="CN81" s="53">
        <v>87035</v>
      </c>
      <c r="CO81" s="53">
        <v>87280</v>
      </c>
      <c r="CP81" s="53">
        <v>87555</v>
      </c>
      <c r="CQ81" s="53">
        <v>87804</v>
      </c>
      <c r="CR81" s="53">
        <v>88033</v>
      </c>
      <c r="CS81" s="53">
        <v>88280</v>
      </c>
      <c r="CT81" s="53">
        <v>88510</v>
      </c>
      <c r="CU81" s="53">
        <v>88733</v>
      </c>
      <c r="CV81" s="53">
        <v>88928</v>
      </c>
      <c r="CW81" s="53">
        <v>89149</v>
      </c>
      <c r="CX81" s="53">
        <v>89361</v>
      </c>
      <c r="CY81" s="53">
        <v>89561</v>
      </c>
      <c r="CZ81" s="53">
        <v>89729</v>
      </c>
      <c r="DA81" s="53">
        <v>89925</v>
      </c>
      <c r="DB81" s="53">
        <v>90113</v>
      </c>
      <c r="DC81" s="53">
        <v>90320</v>
      </c>
      <c r="DD81" s="53">
        <v>90494</v>
      </c>
      <c r="DE81" s="53">
        <v>90678</v>
      </c>
      <c r="DF81" s="53">
        <v>90882</v>
      </c>
      <c r="DG81" s="53">
        <v>91029</v>
      </c>
      <c r="DH81" s="53">
        <v>91211</v>
      </c>
      <c r="DI81" s="53">
        <v>91351</v>
      </c>
      <c r="DJ81" s="53">
        <v>91528</v>
      </c>
      <c r="DK81" s="53">
        <v>91691</v>
      </c>
      <c r="DL81" s="53">
        <v>91841</v>
      </c>
      <c r="DM81" s="53">
        <v>92002</v>
      </c>
      <c r="DN81" s="53">
        <v>92160</v>
      </c>
      <c r="DO81" s="53">
        <v>92315</v>
      </c>
    </row>
    <row r="82" spans="1:119">
      <c r="A82" s="52">
        <v>80</v>
      </c>
      <c r="W82" s="53">
        <v>47085</v>
      </c>
      <c r="X82" s="53">
        <v>48254</v>
      </c>
      <c r="Y82" s="53">
        <v>48862</v>
      </c>
      <c r="Z82" s="53">
        <v>50786</v>
      </c>
      <c r="AA82" s="53">
        <v>51588</v>
      </c>
      <c r="AB82" s="53">
        <v>52609</v>
      </c>
      <c r="AC82" s="53">
        <v>53867</v>
      </c>
      <c r="AD82" s="53">
        <v>54802</v>
      </c>
      <c r="AE82" s="53">
        <v>55435</v>
      </c>
      <c r="AF82" s="53">
        <v>56716</v>
      </c>
      <c r="AG82" s="53">
        <v>57555</v>
      </c>
      <c r="AH82" s="53">
        <v>58248</v>
      </c>
      <c r="AI82" s="53">
        <v>58955</v>
      </c>
      <c r="AJ82" s="53">
        <v>60636</v>
      </c>
      <c r="AK82" s="53">
        <v>61318</v>
      </c>
      <c r="AL82" s="53">
        <v>62327</v>
      </c>
      <c r="AM82" s="53">
        <v>63220</v>
      </c>
      <c r="AN82" s="53">
        <v>64066</v>
      </c>
      <c r="AO82" s="53">
        <v>64518</v>
      </c>
      <c r="AP82" s="53">
        <v>64887</v>
      </c>
      <c r="AQ82" s="53">
        <v>65117</v>
      </c>
      <c r="AR82" s="53">
        <v>65260</v>
      </c>
      <c r="AS82" s="53">
        <v>65074</v>
      </c>
      <c r="AT82" s="53">
        <v>64599</v>
      </c>
      <c r="AU82" s="53">
        <v>64069</v>
      </c>
      <c r="AV82" s="53">
        <v>64379</v>
      </c>
      <c r="AW82" s="53">
        <v>65151</v>
      </c>
      <c r="AX82" s="53">
        <v>66823</v>
      </c>
      <c r="AY82" s="53">
        <v>68421</v>
      </c>
      <c r="AZ82" s="53">
        <v>68814</v>
      </c>
      <c r="BA82" s="53">
        <v>69227</v>
      </c>
      <c r="BB82" s="53">
        <v>70003</v>
      </c>
      <c r="BC82" s="53">
        <v>70521</v>
      </c>
      <c r="BD82" s="53">
        <v>71061</v>
      </c>
      <c r="BE82" s="53">
        <v>71465</v>
      </c>
      <c r="BF82" s="53">
        <v>72090</v>
      </c>
      <c r="BG82" s="53">
        <v>72621</v>
      </c>
      <c r="BH82" s="53">
        <v>73174</v>
      </c>
      <c r="BI82" s="53">
        <v>73602</v>
      </c>
      <c r="BJ82" s="53">
        <v>74128</v>
      </c>
      <c r="BK82" s="53">
        <v>74705</v>
      </c>
      <c r="BL82" s="53">
        <v>75319</v>
      </c>
      <c r="BM82" s="53">
        <v>75895</v>
      </c>
      <c r="BN82" s="53">
        <v>76432</v>
      </c>
      <c r="BO82" s="53">
        <v>76897</v>
      </c>
      <c r="BP82" s="53">
        <v>77396</v>
      </c>
      <c r="BQ82" s="53">
        <v>77800</v>
      </c>
      <c r="BR82" s="53">
        <v>78201</v>
      </c>
      <c r="BS82" s="53">
        <v>78537</v>
      </c>
      <c r="BT82" s="53">
        <v>78920</v>
      </c>
      <c r="BU82" s="53">
        <v>79274</v>
      </c>
      <c r="BV82" s="53">
        <v>79666</v>
      </c>
      <c r="BW82" s="53">
        <v>80032</v>
      </c>
      <c r="BX82" s="53">
        <v>80424</v>
      </c>
      <c r="BY82" s="53">
        <v>80799</v>
      </c>
      <c r="BZ82" s="53">
        <v>81271</v>
      </c>
      <c r="CA82" s="53">
        <v>81690</v>
      </c>
      <c r="CB82" s="53">
        <v>82070</v>
      </c>
      <c r="CC82" s="53">
        <v>82420</v>
      </c>
      <c r="CD82" s="53">
        <v>82760</v>
      </c>
      <c r="CE82" s="53">
        <v>83100</v>
      </c>
      <c r="CF82" s="53">
        <v>83437</v>
      </c>
      <c r="CG82" s="53">
        <v>83779</v>
      </c>
      <c r="CH82" s="53">
        <v>84094</v>
      </c>
      <c r="CI82" s="53">
        <v>84438</v>
      </c>
      <c r="CJ82" s="53">
        <v>84726</v>
      </c>
      <c r="CK82" s="53">
        <v>85025</v>
      </c>
      <c r="CL82" s="53">
        <v>85351</v>
      </c>
      <c r="CM82" s="53">
        <v>85624</v>
      </c>
      <c r="CN82" s="53">
        <v>85916</v>
      </c>
      <c r="CO82" s="53">
        <v>86177</v>
      </c>
      <c r="CP82" s="53">
        <v>86468</v>
      </c>
      <c r="CQ82" s="53">
        <v>86732</v>
      </c>
      <c r="CR82" s="53">
        <v>86976</v>
      </c>
      <c r="CS82" s="53">
        <v>87239</v>
      </c>
      <c r="CT82" s="53">
        <v>87483</v>
      </c>
      <c r="CU82" s="53">
        <v>87721</v>
      </c>
      <c r="CV82" s="53">
        <v>87931</v>
      </c>
      <c r="CW82" s="53">
        <v>88168</v>
      </c>
      <c r="CX82" s="53">
        <v>88394</v>
      </c>
      <c r="CY82" s="53">
        <v>88608</v>
      </c>
      <c r="CZ82" s="53">
        <v>88791</v>
      </c>
      <c r="DA82" s="53">
        <v>89001</v>
      </c>
      <c r="DB82" s="53">
        <v>89203</v>
      </c>
      <c r="DC82" s="53">
        <v>89423</v>
      </c>
      <c r="DD82" s="53">
        <v>89611</v>
      </c>
      <c r="DE82" s="53">
        <v>89808</v>
      </c>
      <c r="DF82" s="53">
        <v>90025</v>
      </c>
      <c r="DG82" s="53">
        <v>90186</v>
      </c>
      <c r="DH82" s="53">
        <v>90380</v>
      </c>
      <c r="DI82" s="53">
        <v>90533</v>
      </c>
      <c r="DJ82" s="53">
        <v>90722</v>
      </c>
      <c r="DK82" s="53">
        <v>90898</v>
      </c>
      <c r="DL82" s="53">
        <v>91060</v>
      </c>
      <c r="DM82" s="53">
        <v>91233</v>
      </c>
      <c r="DN82" s="53">
        <v>91403</v>
      </c>
      <c r="DO82" s="53">
        <v>91570</v>
      </c>
    </row>
    <row r="83" spans="1:119">
      <c r="A83" s="52">
        <v>81</v>
      </c>
      <c r="W83" s="53">
        <v>44734</v>
      </c>
      <c r="X83" s="53">
        <v>45814</v>
      </c>
      <c r="Y83" s="53">
        <v>46542</v>
      </c>
      <c r="Z83" s="53">
        <v>48444</v>
      </c>
      <c r="AA83" s="53">
        <v>49253</v>
      </c>
      <c r="AB83" s="53">
        <v>50254</v>
      </c>
      <c r="AC83" s="53">
        <v>51507</v>
      </c>
      <c r="AD83" s="53">
        <v>52421</v>
      </c>
      <c r="AE83" s="53">
        <v>53112</v>
      </c>
      <c r="AF83" s="53">
        <v>54393</v>
      </c>
      <c r="AG83" s="53">
        <v>55214</v>
      </c>
      <c r="AH83" s="53">
        <v>55856</v>
      </c>
      <c r="AI83" s="53">
        <v>56680</v>
      </c>
      <c r="AJ83" s="53">
        <v>58240</v>
      </c>
      <c r="AK83" s="53">
        <v>58960</v>
      </c>
      <c r="AL83" s="53">
        <v>59971</v>
      </c>
      <c r="AM83" s="53">
        <v>60873</v>
      </c>
      <c r="AN83" s="53">
        <v>61730</v>
      </c>
      <c r="AO83" s="53">
        <v>62207</v>
      </c>
      <c r="AP83" s="53">
        <v>62604</v>
      </c>
      <c r="AQ83" s="53">
        <v>62865</v>
      </c>
      <c r="AR83" s="53">
        <v>63044</v>
      </c>
      <c r="AS83" s="53">
        <v>62903</v>
      </c>
      <c r="AT83" s="53">
        <v>62482</v>
      </c>
      <c r="AU83" s="53">
        <v>62006</v>
      </c>
      <c r="AV83" s="53">
        <v>62343</v>
      </c>
      <c r="AW83" s="53">
        <v>63127</v>
      </c>
      <c r="AX83" s="53">
        <v>64783</v>
      </c>
      <c r="AY83" s="53">
        <v>66369</v>
      </c>
      <c r="AZ83" s="53">
        <v>66787</v>
      </c>
      <c r="BA83" s="53">
        <v>67222</v>
      </c>
      <c r="BB83" s="53">
        <v>68009</v>
      </c>
      <c r="BC83" s="53">
        <v>68545</v>
      </c>
      <c r="BD83" s="53">
        <v>69104</v>
      </c>
      <c r="BE83" s="53">
        <v>69529</v>
      </c>
      <c r="BF83" s="53">
        <v>70170</v>
      </c>
      <c r="BG83" s="53">
        <v>70719</v>
      </c>
      <c r="BH83" s="53">
        <v>71290</v>
      </c>
      <c r="BI83" s="53">
        <v>71738</v>
      </c>
      <c r="BJ83" s="53">
        <v>72282</v>
      </c>
      <c r="BK83" s="53">
        <v>72876</v>
      </c>
      <c r="BL83" s="53">
        <v>73505</v>
      </c>
      <c r="BM83" s="53">
        <v>74098</v>
      </c>
      <c r="BN83" s="53">
        <v>74653</v>
      </c>
      <c r="BO83" s="53">
        <v>75136</v>
      </c>
      <c r="BP83" s="53">
        <v>75654</v>
      </c>
      <c r="BQ83" s="53">
        <v>76078</v>
      </c>
      <c r="BR83" s="53">
        <v>76499</v>
      </c>
      <c r="BS83" s="53">
        <v>76856</v>
      </c>
      <c r="BT83" s="53">
        <v>77260</v>
      </c>
      <c r="BU83" s="53">
        <v>77634</v>
      </c>
      <c r="BV83" s="53">
        <v>78045</v>
      </c>
      <c r="BW83" s="53">
        <v>78430</v>
      </c>
      <c r="BX83" s="53">
        <v>78842</v>
      </c>
      <c r="BY83" s="53">
        <v>79236</v>
      </c>
      <c r="BZ83" s="53">
        <v>79725</v>
      </c>
      <c r="CA83" s="53">
        <v>80161</v>
      </c>
      <c r="CB83" s="53">
        <v>80560</v>
      </c>
      <c r="CC83" s="53">
        <v>80930</v>
      </c>
      <c r="CD83" s="53">
        <v>81289</v>
      </c>
      <c r="CE83" s="53">
        <v>81646</v>
      </c>
      <c r="CF83" s="53">
        <v>82002</v>
      </c>
      <c r="CG83" s="53">
        <v>82362</v>
      </c>
      <c r="CH83" s="53">
        <v>82696</v>
      </c>
      <c r="CI83" s="53">
        <v>83057</v>
      </c>
      <c r="CJ83" s="53">
        <v>83364</v>
      </c>
      <c r="CK83" s="53">
        <v>83680</v>
      </c>
      <c r="CL83" s="53">
        <v>84024</v>
      </c>
      <c r="CM83" s="53">
        <v>84315</v>
      </c>
      <c r="CN83" s="53">
        <v>84625</v>
      </c>
      <c r="CO83" s="53">
        <v>84903</v>
      </c>
      <c r="CP83" s="53">
        <v>85211</v>
      </c>
      <c r="CQ83" s="53">
        <v>85492</v>
      </c>
      <c r="CR83" s="53">
        <v>85754</v>
      </c>
      <c r="CS83" s="53">
        <v>86033</v>
      </c>
      <c r="CT83" s="53">
        <v>86295</v>
      </c>
      <c r="CU83" s="53">
        <v>86549</v>
      </c>
      <c r="CV83" s="53">
        <v>86776</v>
      </c>
      <c r="CW83" s="53">
        <v>87029</v>
      </c>
      <c r="CX83" s="53">
        <v>87271</v>
      </c>
      <c r="CY83" s="53">
        <v>87502</v>
      </c>
      <c r="CZ83" s="53">
        <v>87701</v>
      </c>
      <c r="DA83" s="53">
        <v>87926</v>
      </c>
      <c r="DB83" s="53">
        <v>88143</v>
      </c>
      <c r="DC83" s="53">
        <v>88379</v>
      </c>
      <c r="DD83" s="53">
        <v>88582</v>
      </c>
      <c r="DE83" s="53">
        <v>88794</v>
      </c>
      <c r="DF83" s="53">
        <v>89026</v>
      </c>
      <c r="DG83" s="53">
        <v>89201</v>
      </c>
      <c r="DH83" s="53">
        <v>89410</v>
      </c>
      <c r="DI83" s="53">
        <v>89577</v>
      </c>
      <c r="DJ83" s="53">
        <v>89781</v>
      </c>
      <c r="DK83" s="53">
        <v>89970</v>
      </c>
      <c r="DL83" s="53">
        <v>90146</v>
      </c>
      <c r="DM83" s="53">
        <v>90333</v>
      </c>
      <c r="DN83" s="53">
        <v>90516</v>
      </c>
      <c r="DO83" s="53">
        <v>90696</v>
      </c>
    </row>
    <row r="84" spans="1:119">
      <c r="A84" s="52">
        <v>82</v>
      </c>
      <c r="W84" s="53">
        <v>42148</v>
      </c>
      <c r="X84" s="53">
        <v>43322</v>
      </c>
      <c r="Y84" s="53">
        <v>44087</v>
      </c>
      <c r="Z84" s="53">
        <v>45953</v>
      </c>
      <c r="AA84" s="53">
        <v>46766</v>
      </c>
      <c r="AB84" s="53">
        <v>47741</v>
      </c>
      <c r="AC84" s="53">
        <v>48969</v>
      </c>
      <c r="AD84" s="53">
        <v>49903</v>
      </c>
      <c r="AE84" s="53">
        <v>50608</v>
      </c>
      <c r="AF84" s="53">
        <v>51858</v>
      </c>
      <c r="AG84" s="53">
        <v>52611</v>
      </c>
      <c r="AH84" s="53">
        <v>53403</v>
      </c>
      <c r="AI84" s="53">
        <v>54080</v>
      </c>
      <c r="AJ84" s="53">
        <v>55636</v>
      </c>
      <c r="AK84" s="53">
        <v>56369</v>
      </c>
      <c r="AL84" s="53">
        <v>57381</v>
      </c>
      <c r="AM84" s="53">
        <v>58289</v>
      </c>
      <c r="AN84" s="53">
        <v>59155</v>
      </c>
      <c r="AO84" s="53">
        <v>59657</v>
      </c>
      <c r="AP84" s="53">
        <v>60082</v>
      </c>
      <c r="AQ84" s="53">
        <v>60376</v>
      </c>
      <c r="AR84" s="53">
        <v>60590</v>
      </c>
      <c r="AS84" s="53">
        <v>60497</v>
      </c>
      <c r="AT84" s="53">
        <v>60134</v>
      </c>
      <c r="AU84" s="53">
        <v>59716</v>
      </c>
      <c r="AV84" s="53">
        <v>60080</v>
      </c>
      <c r="AW84" s="53">
        <v>60875</v>
      </c>
      <c r="AX84" s="53">
        <v>62512</v>
      </c>
      <c r="AY84" s="53">
        <v>64083</v>
      </c>
      <c r="AZ84" s="53">
        <v>64523</v>
      </c>
      <c r="BA84" s="53">
        <v>64980</v>
      </c>
      <c r="BB84" s="53">
        <v>65778</v>
      </c>
      <c r="BC84" s="53">
        <v>66334</v>
      </c>
      <c r="BD84" s="53">
        <v>66910</v>
      </c>
      <c r="BE84" s="53">
        <v>67358</v>
      </c>
      <c r="BF84" s="53">
        <v>68015</v>
      </c>
      <c r="BG84" s="53">
        <v>68582</v>
      </c>
      <c r="BH84" s="53">
        <v>69171</v>
      </c>
      <c r="BI84" s="53">
        <v>69640</v>
      </c>
      <c r="BJ84" s="53">
        <v>70202</v>
      </c>
      <c r="BK84" s="53">
        <v>70813</v>
      </c>
      <c r="BL84" s="53">
        <v>71459</v>
      </c>
      <c r="BM84" s="53">
        <v>72069</v>
      </c>
      <c r="BN84" s="53">
        <v>72641</v>
      </c>
      <c r="BO84" s="53">
        <v>73145</v>
      </c>
      <c r="BP84" s="53">
        <v>73682</v>
      </c>
      <c r="BQ84" s="53">
        <v>74127</v>
      </c>
      <c r="BR84" s="53">
        <v>74569</v>
      </c>
      <c r="BS84" s="53">
        <v>74948</v>
      </c>
      <c r="BT84" s="53">
        <v>75373</v>
      </c>
      <c r="BU84" s="53">
        <v>75769</v>
      </c>
      <c r="BV84" s="53">
        <v>76201</v>
      </c>
      <c r="BW84" s="53">
        <v>76607</v>
      </c>
      <c r="BX84" s="53">
        <v>77039</v>
      </c>
      <c r="BY84" s="53">
        <v>77453</v>
      </c>
      <c r="BZ84" s="53">
        <v>77960</v>
      </c>
      <c r="CA84" s="53">
        <v>78416</v>
      </c>
      <c r="CB84" s="53">
        <v>78835</v>
      </c>
      <c r="CC84" s="53">
        <v>79225</v>
      </c>
      <c r="CD84" s="53">
        <v>79604</v>
      </c>
      <c r="CE84" s="53">
        <v>79982</v>
      </c>
      <c r="CF84" s="53">
        <v>80357</v>
      </c>
      <c r="CG84" s="53">
        <v>80737</v>
      </c>
      <c r="CH84" s="53">
        <v>81091</v>
      </c>
      <c r="CI84" s="53">
        <v>81471</v>
      </c>
      <c r="CJ84" s="53">
        <v>81798</v>
      </c>
      <c r="CK84" s="53">
        <v>82134</v>
      </c>
      <c r="CL84" s="53">
        <v>82497</v>
      </c>
      <c r="CM84" s="53">
        <v>82808</v>
      </c>
      <c r="CN84" s="53">
        <v>83136</v>
      </c>
      <c r="CO84" s="53">
        <v>83434</v>
      </c>
      <c r="CP84" s="53">
        <v>83761</v>
      </c>
      <c r="CQ84" s="53">
        <v>84061</v>
      </c>
      <c r="CR84" s="53">
        <v>84342</v>
      </c>
      <c r="CS84" s="53">
        <v>84639</v>
      </c>
      <c r="CT84" s="53">
        <v>84919</v>
      </c>
      <c r="CU84" s="53">
        <v>85192</v>
      </c>
      <c r="CV84" s="53">
        <v>85437</v>
      </c>
      <c r="CW84" s="53">
        <v>85708</v>
      </c>
      <c r="CX84" s="53">
        <v>85968</v>
      </c>
      <c r="CY84" s="53">
        <v>86217</v>
      </c>
      <c r="CZ84" s="53">
        <v>86434</v>
      </c>
      <c r="DA84" s="53">
        <v>86676</v>
      </c>
      <c r="DB84" s="53">
        <v>86911</v>
      </c>
      <c r="DC84" s="53">
        <v>87163</v>
      </c>
      <c r="DD84" s="53">
        <v>87384</v>
      </c>
      <c r="DE84" s="53">
        <v>87612</v>
      </c>
      <c r="DF84" s="53">
        <v>87860</v>
      </c>
      <c r="DG84" s="53">
        <v>88052</v>
      </c>
      <c r="DH84" s="53">
        <v>88277</v>
      </c>
      <c r="DI84" s="53">
        <v>88461</v>
      </c>
      <c r="DJ84" s="53">
        <v>88680</v>
      </c>
      <c r="DK84" s="53">
        <v>88885</v>
      </c>
      <c r="DL84" s="53">
        <v>89076</v>
      </c>
      <c r="DM84" s="53">
        <v>89278</v>
      </c>
      <c r="DN84" s="53">
        <v>89477</v>
      </c>
      <c r="DO84" s="53">
        <v>89671</v>
      </c>
    </row>
    <row r="85" spans="1:119">
      <c r="A85" s="52">
        <v>83</v>
      </c>
      <c r="W85" s="53">
        <v>39560</v>
      </c>
      <c r="X85" s="53">
        <v>40721</v>
      </c>
      <c r="Y85" s="53">
        <v>41476</v>
      </c>
      <c r="Z85" s="53">
        <v>43340</v>
      </c>
      <c r="AA85" s="53">
        <v>44096</v>
      </c>
      <c r="AB85" s="53">
        <v>44990</v>
      </c>
      <c r="AC85" s="53">
        <v>46289</v>
      </c>
      <c r="AD85" s="53">
        <v>47162</v>
      </c>
      <c r="AE85" s="53">
        <v>47871</v>
      </c>
      <c r="AF85" s="53">
        <v>49031</v>
      </c>
      <c r="AG85" s="53">
        <v>49922</v>
      </c>
      <c r="AH85" s="53">
        <v>50591</v>
      </c>
      <c r="AI85" s="53">
        <v>51277</v>
      </c>
      <c r="AJ85" s="53">
        <v>52801</v>
      </c>
      <c r="AK85" s="53">
        <v>53545</v>
      </c>
      <c r="AL85" s="53">
        <v>54555</v>
      </c>
      <c r="AM85" s="53">
        <v>55467</v>
      </c>
      <c r="AN85" s="53">
        <v>56338</v>
      </c>
      <c r="AO85" s="53">
        <v>56865</v>
      </c>
      <c r="AP85" s="53">
        <v>57317</v>
      </c>
      <c r="AQ85" s="53">
        <v>57645</v>
      </c>
      <c r="AR85" s="53">
        <v>57895</v>
      </c>
      <c r="AS85" s="53">
        <v>57851</v>
      </c>
      <c r="AT85" s="53">
        <v>57548</v>
      </c>
      <c r="AU85" s="53">
        <v>57192</v>
      </c>
      <c r="AV85" s="53">
        <v>57583</v>
      </c>
      <c r="AW85" s="53">
        <v>58387</v>
      </c>
      <c r="AX85" s="53">
        <v>60001</v>
      </c>
      <c r="AY85" s="53">
        <v>61549</v>
      </c>
      <c r="AZ85" s="53">
        <v>62012</v>
      </c>
      <c r="BA85" s="53">
        <v>62492</v>
      </c>
      <c r="BB85" s="53">
        <v>63299</v>
      </c>
      <c r="BC85" s="53">
        <v>63873</v>
      </c>
      <c r="BD85" s="53">
        <v>64468</v>
      </c>
      <c r="BE85" s="53">
        <v>64938</v>
      </c>
      <c r="BF85" s="53">
        <v>65610</v>
      </c>
      <c r="BG85" s="53">
        <v>66196</v>
      </c>
      <c r="BH85" s="53">
        <v>66802</v>
      </c>
      <c r="BI85" s="53">
        <v>67293</v>
      </c>
      <c r="BJ85" s="53">
        <v>67874</v>
      </c>
      <c r="BK85" s="53">
        <v>68502</v>
      </c>
      <c r="BL85" s="53">
        <v>69163</v>
      </c>
      <c r="BM85" s="53">
        <v>69790</v>
      </c>
      <c r="BN85" s="53">
        <v>70381</v>
      </c>
      <c r="BO85" s="53">
        <v>70905</v>
      </c>
      <c r="BP85" s="53">
        <v>71461</v>
      </c>
      <c r="BQ85" s="53">
        <v>71928</v>
      </c>
      <c r="BR85" s="53">
        <v>72393</v>
      </c>
      <c r="BS85" s="53">
        <v>72795</v>
      </c>
      <c r="BT85" s="53">
        <v>73242</v>
      </c>
      <c r="BU85" s="53">
        <v>73661</v>
      </c>
      <c r="BV85" s="53">
        <v>74115</v>
      </c>
      <c r="BW85" s="53">
        <v>74543</v>
      </c>
      <c r="BX85" s="53">
        <v>74996</v>
      </c>
      <c r="BY85" s="53">
        <v>75432</v>
      </c>
      <c r="BZ85" s="53">
        <v>75958</v>
      </c>
      <c r="CA85" s="53">
        <v>76434</v>
      </c>
      <c r="CB85" s="53">
        <v>76874</v>
      </c>
      <c r="CC85" s="53">
        <v>77285</v>
      </c>
      <c r="CD85" s="53">
        <v>77686</v>
      </c>
      <c r="CE85" s="53">
        <v>78085</v>
      </c>
      <c r="CF85" s="53">
        <v>78482</v>
      </c>
      <c r="CG85" s="53">
        <v>78882</v>
      </c>
      <c r="CH85" s="53">
        <v>79258</v>
      </c>
      <c r="CI85" s="53">
        <v>79659</v>
      </c>
      <c r="CJ85" s="53">
        <v>80007</v>
      </c>
      <c r="CK85" s="53">
        <v>80364</v>
      </c>
      <c r="CL85" s="53">
        <v>80747</v>
      </c>
      <c r="CM85" s="53">
        <v>81079</v>
      </c>
      <c r="CN85" s="53">
        <v>81428</v>
      </c>
      <c r="CO85" s="53">
        <v>81747</v>
      </c>
      <c r="CP85" s="53">
        <v>82094</v>
      </c>
      <c r="CQ85" s="53">
        <v>82415</v>
      </c>
      <c r="CR85" s="53">
        <v>82716</v>
      </c>
      <c r="CS85" s="53">
        <v>83034</v>
      </c>
      <c r="CT85" s="53">
        <v>83334</v>
      </c>
      <c r="CU85" s="53">
        <v>83627</v>
      </c>
      <c r="CV85" s="53">
        <v>83893</v>
      </c>
      <c r="CW85" s="53">
        <v>84183</v>
      </c>
      <c r="CX85" s="53">
        <v>84463</v>
      </c>
      <c r="CY85" s="53">
        <v>84731</v>
      </c>
      <c r="CZ85" s="53">
        <v>84968</v>
      </c>
      <c r="DA85" s="53">
        <v>85229</v>
      </c>
      <c r="DB85" s="53">
        <v>85483</v>
      </c>
      <c r="DC85" s="53">
        <v>85754</v>
      </c>
      <c r="DD85" s="53">
        <v>85993</v>
      </c>
      <c r="DE85" s="53">
        <v>86241</v>
      </c>
      <c r="DF85" s="53">
        <v>86506</v>
      </c>
      <c r="DG85" s="53">
        <v>86717</v>
      </c>
      <c r="DH85" s="53">
        <v>86960</v>
      </c>
      <c r="DI85" s="53">
        <v>87161</v>
      </c>
      <c r="DJ85" s="53">
        <v>87398</v>
      </c>
      <c r="DK85" s="53">
        <v>87620</v>
      </c>
      <c r="DL85" s="53">
        <v>87829</v>
      </c>
      <c r="DM85" s="53">
        <v>88048</v>
      </c>
      <c r="DN85" s="53">
        <v>88263</v>
      </c>
      <c r="DO85" s="53">
        <v>88474</v>
      </c>
    </row>
    <row r="86" spans="1:119">
      <c r="A86" s="52">
        <v>84</v>
      </c>
      <c r="W86" s="53">
        <v>36826</v>
      </c>
      <c r="X86" s="53">
        <v>37965</v>
      </c>
      <c r="Y86" s="53">
        <v>38744</v>
      </c>
      <c r="Z86" s="53">
        <v>40514</v>
      </c>
      <c r="AA86" s="53">
        <v>41194</v>
      </c>
      <c r="AB86" s="53">
        <v>42151</v>
      </c>
      <c r="AC86" s="53">
        <v>43384</v>
      </c>
      <c r="AD86" s="53">
        <v>44255</v>
      </c>
      <c r="AE86" s="53">
        <v>44877</v>
      </c>
      <c r="AF86" s="53">
        <v>46178</v>
      </c>
      <c r="AG86" s="53">
        <v>46925</v>
      </c>
      <c r="AH86" s="53">
        <v>47566</v>
      </c>
      <c r="AI86" s="53">
        <v>48263</v>
      </c>
      <c r="AJ86" s="53">
        <v>49748</v>
      </c>
      <c r="AK86" s="53">
        <v>50499</v>
      </c>
      <c r="AL86" s="53">
        <v>51503</v>
      </c>
      <c r="AM86" s="53">
        <v>52415</v>
      </c>
      <c r="AN86" s="53">
        <v>53289</v>
      </c>
      <c r="AO86" s="53">
        <v>53838</v>
      </c>
      <c r="AP86" s="53">
        <v>54316</v>
      </c>
      <c r="AQ86" s="53">
        <v>54676</v>
      </c>
      <c r="AR86" s="53">
        <v>54963</v>
      </c>
      <c r="AS86" s="53">
        <v>54969</v>
      </c>
      <c r="AT86" s="53">
        <v>54728</v>
      </c>
      <c r="AU86" s="53">
        <v>54435</v>
      </c>
      <c r="AV86" s="53">
        <v>54853</v>
      </c>
      <c r="AW86" s="53">
        <v>55665</v>
      </c>
      <c r="AX86" s="53">
        <v>57246</v>
      </c>
      <c r="AY86" s="53">
        <v>58767</v>
      </c>
      <c r="AZ86" s="53">
        <v>59253</v>
      </c>
      <c r="BA86" s="53">
        <v>59754</v>
      </c>
      <c r="BB86" s="53">
        <v>60568</v>
      </c>
      <c r="BC86" s="53">
        <v>61160</v>
      </c>
      <c r="BD86" s="53">
        <v>61772</v>
      </c>
      <c r="BE86" s="53">
        <v>62264</v>
      </c>
      <c r="BF86" s="53">
        <v>62950</v>
      </c>
      <c r="BG86" s="53">
        <v>63553</v>
      </c>
      <c r="BH86" s="53">
        <v>64176</v>
      </c>
      <c r="BI86" s="53">
        <v>64689</v>
      </c>
      <c r="BJ86" s="53">
        <v>65288</v>
      </c>
      <c r="BK86" s="53">
        <v>65932</v>
      </c>
      <c r="BL86" s="53">
        <v>66609</v>
      </c>
      <c r="BM86" s="53">
        <v>67252</v>
      </c>
      <c r="BN86" s="53">
        <v>67861</v>
      </c>
      <c r="BO86" s="53">
        <v>68405</v>
      </c>
      <c r="BP86" s="53">
        <v>68980</v>
      </c>
      <c r="BQ86" s="53">
        <v>69470</v>
      </c>
      <c r="BR86" s="53">
        <v>69957</v>
      </c>
      <c r="BS86" s="53">
        <v>70383</v>
      </c>
      <c r="BT86" s="53">
        <v>70853</v>
      </c>
      <c r="BU86" s="53">
        <v>71295</v>
      </c>
      <c r="BV86" s="53">
        <v>71771</v>
      </c>
      <c r="BW86" s="53">
        <v>72222</v>
      </c>
      <c r="BX86" s="53">
        <v>72697</v>
      </c>
      <c r="BY86" s="53">
        <v>73155</v>
      </c>
      <c r="BZ86" s="53">
        <v>73700</v>
      </c>
      <c r="CA86" s="53">
        <v>74197</v>
      </c>
      <c r="CB86" s="53">
        <v>74659</v>
      </c>
      <c r="CC86" s="53">
        <v>75093</v>
      </c>
      <c r="CD86" s="53">
        <v>75516</v>
      </c>
      <c r="CE86" s="53">
        <v>75938</v>
      </c>
      <c r="CF86" s="53">
        <v>76357</v>
      </c>
      <c r="CG86" s="53">
        <v>76779</v>
      </c>
      <c r="CH86" s="53">
        <v>77177</v>
      </c>
      <c r="CI86" s="53">
        <v>77600</v>
      </c>
      <c r="CJ86" s="53">
        <v>77971</v>
      </c>
      <c r="CK86" s="53">
        <v>78351</v>
      </c>
      <c r="CL86" s="53">
        <v>78755</v>
      </c>
      <c r="CM86" s="53">
        <v>79110</v>
      </c>
      <c r="CN86" s="53">
        <v>79481</v>
      </c>
      <c r="CO86" s="53">
        <v>79823</v>
      </c>
      <c r="CP86" s="53">
        <v>80191</v>
      </c>
      <c r="CQ86" s="53">
        <v>80534</v>
      </c>
      <c r="CR86" s="53">
        <v>80858</v>
      </c>
      <c r="CS86" s="53">
        <v>81197</v>
      </c>
      <c r="CT86" s="53">
        <v>81519</v>
      </c>
      <c r="CU86" s="53">
        <v>81834</v>
      </c>
      <c r="CV86" s="53">
        <v>82121</v>
      </c>
      <c r="CW86" s="53">
        <v>82433</v>
      </c>
      <c r="CX86" s="53">
        <v>82734</v>
      </c>
      <c r="CY86" s="53">
        <v>83023</v>
      </c>
      <c r="CZ86" s="53">
        <v>83281</v>
      </c>
      <c r="DA86" s="53">
        <v>83564</v>
      </c>
      <c r="DB86" s="53">
        <v>83838</v>
      </c>
      <c r="DC86" s="53">
        <v>84130</v>
      </c>
      <c r="DD86" s="53">
        <v>84390</v>
      </c>
      <c r="DE86" s="53">
        <v>84657</v>
      </c>
      <c r="DF86" s="53">
        <v>84942</v>
      </c>
      <c r="DG86" s="53">
        <v>85173</v>
      </c>
      <c r="DH86" s="53">
        <v>85435</v>
      </c>
      <c r="DI86" s="53">
        <v>85657</v>
      </c>
      <c r="DJ86" s="53">
        <v>85913</v>
      </c>
      <c r="DK86" s="53">
        <v>86154</v>
      </c>
      <c r="DL86" s="53">
        <v>86382</v>
      </c>
      <c r="DM86" s="53">
        <v>86620</v>
      </c>
      <c r="DN86" s="53">
        <v>86854</v>
      </c>
      <c r="DO86" s="53">
        <v>87083</v>
      </c>
    </row>
    <row r="87" spans="1:119">
      <c r="A87" s="52">
        <v>85</v>
      </c>
      <c r="W87" s="53">
        <v>34044</v>
      </c>
      <c r="X87" s="53">
        <v>35150</v>
      </c>
      <c r="Y87" s="53">
        <v>35879</v>
      </c>
      <c r="Z87" s="53">
        <v>37470</v>
      </c>
      <c r="AA87" s="53">
        <v>38201</v>
      </c>
      <c r="AB87" s="53">
        <v>39133</v>
      </c>
      <c r="AC87" s="53">
        <v>40332</v>
      </c>
      <c r="AD87" s="53">
        <v>41049</v>
      </c>
      <c r="AE87" s="53">
        <v>41855</v>
      </c>
      <c r="AF87" s="53">
        <v>42983</v>
      </c>
      <c r="AG87" s="53">
        <v>43702</v>
      </c>
      <c r="AH87" s="53">
        <v>44352</v>
      </c>
      <c r="AI87" s="53">
        <v>45053</v>
      </c>
      <c r="AJ87" s="53">
        <v>46493</v>
      </c>
      <c r="AK87" s="53">
        <v>47248</v>
      </c>
      <c r="AL87" s="53">
        <v>48240</v>
      </c>
      <c r="AM87" s="53">
        <v>49147</v>
      </c>
      <c r="AN87" s="53">
        <v>50021</v>
      </c>
      <c r="AO87" s="53">
        <v>50588</v>
      </c>
      <c r="AP87" s="53">
        <v>51090</v>
      </c>
      <c r="AQ87" s="53">
        <v>51481</v>
      </c>
      <c r="AR87" s="53">
        <v>51802</v>
      </c>
      <c r="AS87" s="53">
        <v>51859</v>
      </c>
      <c r="AT87" s="53">
        <v>51681</v>
      </c>
      <c r="AU87" s="53">
        <v>51453</v>
      </c>
      <c r="AV87" s="53">
        <v>51896</v>
      </c>
      <c r="AW87" s="53">
        <v>52709</v>
      </c>
      <c r="AX87" s="53">
        <v>54252</v>
      </c>
      <c r="AY87" s="53">
        <v>55739</v>
      </c>
      <c r="AZ87" s="53">
        <v>56245</v>
      </c>
      <c r="BA87" s="53">
        <v>56767</v>
      </c>
      <c r="BB87" s="53">
        <v>57586</v>
      </c>
      <c r="BC87" s="53">
        <v>58194</v>
      </c>
      <c r="BD87" s="53">
        <v>58820</v>
      </c>
      <c r="BE87" s="53">
        <v>59334</v>
      </c>
      <c r="BF87" s="53">
        <v>60032</v>
      </c>
      <c r="BG87" s="53">
        <v>60651</v>
      </c>
      <c r="BH87" s="53">
        <v>61290</v>
      </c>
      <c r="BI87" s="53">
        <v>61823</v>
      </c>
      <c r="BJ87" s="53">
        <v>62438</v>
      </c>
      <c r="BK87" s="53">
        <v>63098</v>
      </c>
      <c r="BL87" s="53">
        <v>63788</v>
      </c>
      <c r="BM87" s="53">
        <v>64447</v>
      </c>
      <c r="BN87" s="53">
        <v>65073</v>
      </c>
      <c r="BO87" s="53">
        <v>65637</v>
      </c>
      <c r="BP87" s="53">
        <v>66230</v>
      </c>
      <c r="BQ87" s="53">
        <v>66742</v>
      </c>
      <c r="BR87" s="53">
        <v>67250</v>
      </c>
      <c r="BS87" s="53">
        <v>67701</v>
      </c>
      <c r="BT87" s="53">
        <v>68194</v>
      </c>
      <c r="BU87" s="53">
        <v>68659</v>
      </c>
      <c r="BV87" s="53">
        <v>69157</v>
      </c>
      <c r="BW87" s="53">
        <v>69631</v>
      </c>
      <c r="BX87" s="53">
        <v>70128</v>
      </c>
      <c r="BY87" s="53">
        <v>70608</v>
      </c>
      <c r="BZ87" s="53">
        <v>71173</v>
      </c>
      <c r="CA87" s="53">
        <v>71691</v>
      </c>
      <c r="CB87" s="53">
        <v>72175</v>
      </c>
      <c r="CC87" s="53">
        <v>72632</v>
      </c>
      <c r="CD87" s="53">
        <v>73078</v>
      </c>
      <c r="CE87" s="53">
        <v>73523</v>
      </c>
      <c r="CF87" s="53">
        <v>73965</v>
      </c>
      <c r="CG87" s="53">
        <v>74411</v>
      </c>
      <c r="CH87" s="53">
        <v>74832</v>
      </c>
      <c r="CI87" s="53">
        <v>75277</v>
      </c>
      <c r="CJ87" s="53">
        <v>75672</v>
      </c>
      <c r="CK87" s="53">
        <v>76075</v>
      </c>
      <c r="CL87" s="53">
        <v>76502</v>
      </c>
      <c r="CM87" s="53">
        <v>76881</v>
      </c>
      <c r="CN87" s="53">
        <v>77275</v>
      </c>
      <c r="CO87" s="53">
        <v>77640</v>
      </c>
      <c r="CP87" s="53">
        <v>78031</v>
      </c>
      <c r="CQ87" s="53">
        <v>78397</v>
      </c>
      <c r="CR87" s="53">
        <v>78744</v>
      </c>
      <c r="CS87" s="53">
        <v>79106</v>
      </c>
      <c r="CT87" s="53">
        <v>79451</v>
      </c>
      <c r="CU87" s="53">
        <v>79789</v>
      </c>
      <c r="CV87" s="53">
        <v>80101</v>
      </c>
      <c r="CW87" s="53">
        <v>80435</v>
      </c>
      <c r="CX87" s="53">
        <v>80758</v>
      </c>
      <c r="CY87" s="53">
        <v>81070</v>
      </c>
      <c r="CZ87" s="53">
        <v>81352</v>
      </c>
      <c r="DA87" s="53">
        <v>81657</v>
      </c>
      <c r="DB87" s="53">
        <v>81954</v>
      </c>
      <c r="DC87" s="53">
        <v>82267</v>
      </c>
      <c r="DD87" s="53">
        <v>82549</v>
      </c>
      <c r="DE87" s="53">
        <v>82838</v>
      </c>
      <c r="DF87" s="53">
        <v>83145</v>
      </c>
      <c r="DG87" s="53">
        <v>83398</v>
      </c>
      <c r="DH87" s="53">
        <v>83681</v>
      </c>
      <c r="DI87" s="53">
        <v>83925</v>
      </c>
      <c r="DJ87" s="53">
        <v>84201</v>
      </c>
      <c r="DK87" s="53">
        <v>84464</v>
      </c>
      <c r="DL87" s="53">
        <v>84713</v>
      </c>
      <c r="DM87" s="53">
        <v>84971</v>
      </c>
      <c r="DN87" s="53">
        <v>85225</v>
      </c>
      <c r="DO87" s="53">
        <v>85475</v>
      </c>
    </row>
    <row r="88" spans="1:119">
      <c r="A88" s="52">
        <v>86</v>
      </c>
      <c r="W88" s="53">
        <v>31157</v>
      </c>
      <c r="X88" s="53">
        <v>32127</v>
      </c>
      <c r="Y88" s="53">
        <v>32773</v>
      </c>
      <c r="Z88" s="53">
        <v>34374</v>
      </c>
      <c r="AA88" s="53">
        <v>35081</v>
      </c>
      <c r="AB88" s="53">
        <v>35945</v>
      </c>
      <c r="AC88" s="53">
        <v>37017</v>
      </c>
      <c r="AD88" s="53">
        <v>37886</v>
      </c>
      <c r="AE88" s="53">
        <v>38534</v>
      </c>
      <c r="AF88" s="53">
        <v>39601</v>
      </c>
      <c r="AG88" s="53">
        <v>40317</v>
      </c>
      <c r="AH88" s="53">
        <v>40970</v>
      </c>
      <c r="AI88" s="53">
        <v>41672</v>
      </c>
      <c r="AJ88" s="53">
        <v>43058</v>
      </c>
      <c r="AK88" s="53">
        <v>43812</v>
      </c>
      <c r="AL88" s="53">
        <v>44787</v>
      </c>
      <c r="AM88" s="53">
        <v>45684</v>
      </c>
      <c r="AN88" s="53">
        <v>46550</v>
      </c>
      <c r="AO88" s="53">
        <v>47133</v>
      </c>
      <c r="AP88" s="53">
        <v>47655</v>
      </c>
      <c r="AQ88" s="53">
        <v>48074</v>
      </c>
      <c r="AR88" s="53">
        <v>48427</v>
      </c>
      <c r="AS88" s="53">
        <v>48533</v>
      </c>
      <c r="AT88" s="53">
        <v>48418</v>
      </c>
      <c r="AU88" s="53">
        <v>48255</v>
      </c>
      <c r="AV88" s="53">
        <v>48718</v>
      </c>
      <c r="AW88" s="53">
        <v>49528</v>
      </c>
      <c r="AX88" s="53">
        <v>51025</v>
      </c>
      <c r="AY88" s="53">
        <v>52472</v>
      </c>
      <c r="AZ88" s="53">
        <v>52996</v>
      </c>
      <c r="BA88" s="53">
        <v>53535</v>
      </c>
      <c r="BB88" s="53">
        <v>54355</v>
      </c>
      <c r="BC88" s="53">
        <v>54976</v>
      </c>
      <c r="BD88" s="53">
        <v>55615</v>
      </c>
      <c r="BE88" s="53">
        <v>56148</v>
      </c>
      <c r="BF88" s="53">
        <v>56855</v>
      </c>
      <c r="BG88" s="53">
        <v>57489</v>
      </c>
      <c r="BH88" s="53">
        <v>58140</v>
      </c>
      <c r="BI88" s="53">
        <v>58692</v>
      </c>
      <c r="BJ88" s="53">
        <v>59322</v>
      </c>
      <c r="BK88" s="53">
        <v>59994</v>
      </c>
      <c r="BL88" s="53">
        <v>60696</v>
      </c>
      <c r="BM88" s="53">
        <v>61369</v>
      </c>
      <c r="BN88" s="53">
        <v>62010</v>
      </c>
      <c r="BO88" s="53">
        <v>62592</v>
      </c>
      <c r="BP88" s="53">
        <v>63203</v>
      </c>
      <c r="BQ88" s="53">
        <v>63735</v>
      </c>
      <c r="BR88" s="53">
        <v>64265</v>
      </c>
      <c r="BS88" s="53">
        <v>64739</v>
      </c>
      <c r="BT88" s="53">
        <v>65253</v>
      </c>
      <c r="BU88" s="53">
        <v>65742</v>
      </c>
      <c r="BV88" s="53">
        <v>66261</v>
      </c>
      <c r="BW88" s="53">
        <v>66758</v>
      </c>
      <c r="BX88" s="53">
        <v>67276</v>
      </c>
      <c r="BY88" s="53">
        <v>67779</v>
      </c>
      <c r="BZ88" s="53">
        <v>68363</v>
      </c>
      <c r="CA88" s="53">
        <v>68901</v>
      </c>
      <c r="CB88" s="53">
        <v>69407</v>
      </c>
      <c r="CC88" s="53">
        <v>69887</v>
      </c>
      <c r="CD88" s="53">
        <v>70356</v>
      </c>
      <c r="CE88" s="53">
        <v>70824</v>
      </c>
      <c r="CF88" s="53">
        <v>71290</v>
      </c>
      <c r="CG88" s="53">
        <v>71758</v>
      </c>
      <c r="CH88" s="53">
        <v>72203</v>
      </c>
      <c r="CI88" s="53">
        <v>72671</v>
      </c>
      <c r="CJ88" s="53">
        <v>73090</v>
      </c>
      <c r="CK88" s="53">
        <v>73517</v>
      </c>
      <c r="CL88" s="53">
        <v>73967</v>
      </c>
      <c r="CM88" s="53">
        <v>74370</v>
      </c>
      <c r="CN88" s="53">
        <v>74788</v>
      </c>
      <c r="CO88" s="53">
        <v>75178</v>
      </c>
      <c r="CP88" s="53">
        <v>75592</v>
      </c>
      <c r="CQ88" s="53">
        <v>75983</v>
      </c>
      <c r="CR88" s="53">
        <v>76354</v>
      </c>
      <c r="CS88" s="53">
        <v>76740</v>
      </c>
      <c r="CT88" s="53">
        <v>77110</v>
      </c>
      <c r="CU88" s="53">
        <v>77472</v>
      </c>
      <c r="CV88" s="53">
        <v>77808</v>
      </c>
      <c r="CW88" s="53">
        <v>78166</v>
      </c>
      <c r="CX88" s="53">
        <v>78513</v>
      </c>
      <c r="CY88" s="53">
        <v>78849</v>
      </c>
      <c r="CZ88" s="53">
        <v>79156</v>
      </c>
      <c r="DA88" s="53">
        <v>79485</v>
      </c>
      <c r="DB88" s="53">
        <v>79805</v>
      </c>
      <c r="DC88" s="53">
        <v>80141</v>
      </c>
      <c r="DD88" s="53">
        <v>80447</v>
      </c>
      <c r="DE88" s="53">
        <v>80760</v>
      </c>
      <c r="DF88" s="53">
        <v>81088</v>
      </c>
      <c r="DG88" s="53">
        <v>81365</v>
      </c>
      <c r="DH88" s="53">
        <v>81671</v>
      </c>
      <c r="DI88" s="53">
        <v>81938</v>
      </c>
      <c r="DJ88" s="53">
        <v>82237</v>
      </c>
      <c r="DK88" s="53">
        <v>82522</v>
      </c>
      <c r="DL88" s="53">
        <v>82794</v>
      </c>
      <c r="DM88" s="53">
        <v>83074</v>
      </c>
      <c r="DN88" s="53">
        <v>83350</v>
      </c>
      <c r="DO88" s="53">
        <v>83622</v>
      </c>
    </row>
    <row r="89" spans="1:119">
      <c r="A89" s="52">
        <v>87</v>
      </c>
      <c r="W89" s="53">
        <v>28147</v>
      </c>
      <c r="X89" s="53">
        <v>28968</v>
      </c>
      <c r="Y89" s="53">
        <v>29668</v>
      </c>
      <c r="Z89" s="53">
        <v>31163</v>
      </c>
      <c r="AA89" s="53">
        <v>31819</v>
      </c>
      <c r="AB89" s="53">
        <v>32572</v>
      </c>
      <c r="AC89" s="53">
        <v>33720</v>
      </c>
      <c r="AD89" s="53">
        <v>34398</v>
      </c>
      <c r="AE89" s="53">
        <v>35068</v>
      </c>
      <c r="AF89" s="53">
        <v>36093</v>
      </c>
      <c r="AG89" s="53">
        <v>36800</v>
      </c>
      <c r="AH89" s="53">
        <v>37450</v>
      </c>
      <c r="AI89" s="53">
        <v>38146</v>
      </c>
      <c r="AJ89" s="53">
        <v>39470</v>
      </c>
      <c r="AK89" s="53">
        <v>40216</v>
      </c>
      <c r="AL89" s="53">
        <v>41167</v>
      </c>
      <c r="AM89" s="53">
        <v>42048</v>
      </c>
      <c r="AN89" s="53">
        <v>42901</v>
      </c>
      <c r="AO89" s="53">
        <v>43495</v>
      </c>
      <c r="AP89" s="53">
        <v>44032</v>
      </c>
      <c r="AQ89" s="53">
        <v>44474</v>
      </c>
      <c r="AR89" s="53">
        <v>44856</v>
      </c>
      <c r="AS89" s="53">
        <v>45009</v>
      </c>
      <c r="AT89" s="53">
        <v>44956</v>
      </c>
      <c r="AU89" s="53">
        <v>44853</v>
      </c>
      <c r="AV89" s="53">
        <v>45331</v>
      </c>
      <c r="AW89" s="53">
        <v>46133</v>
      </c>
      <c r="AX89" s="53">
        <v>47577</v>
      </c>
      <c r="AY89" s="53">
        <v>48976</v>
      </c>
      <c r="AZ89" s="53">
        <v>49515</v>
      </c>
      <c r="BA89" s="53">
        <v>50068</v>
      </c>
      <c r="BB89" s="53">
        <v>50884</v>
      </c>
      <c r="BC89" s="53">
        <v>51515</v>
      </c>
      <c r="BD89" s="53">
        <v>52163</v>
      </c>
      <c r="BE89" s="53">
        <v>52712</v>
      </c>
      <c r="BF89" s="53">
        <v>53425</v>
      </c>
      <c r="BG89" s="53">
        <v>54069</v>
      </c>
      <c r="BH89" s="53">
        <v>54730</v>
      </c>
      <c r="BI89" s="53">
        <v>55298</v>
      </c>
      <c r="BJ89" s="53">
        <v>55940</v>
      </c>
      <c r="BK89" s="53">
        <v>56622</v>
      </c>
      <c r="BL89" s="53">
        <v>57333</v>
      </c>
      <c r="BM89" s="53">
        <v>58015</v>
      </c>
      <c r="BN89" s="53">
        <v>58669</v>
      </c>
      <c r="BO89" s="53">
        <v>59268</v>
      </c>
      <c r="BP89" s="53">
        <v>59893</v>
      </c>
      <c r="BQ89" s="53">
        <v>60444</v>
      </c>
      <c r="BR89" s="53">
        <v>60993</v>
      </c>
      <c r="BS89" s="53">
        <v>61490</v>
      </c>
      <c r="BT89" s="53">
        <v>62024</v>
      </c>
      <c r="BU89" s="53">
        <v>62534</v>
      </c>
      <c r="BV89" s="53">
        <v>63074</v>
      </c>
      <c r="BW89" s="53">
        <v>63592</v>
      </c>
      <c r="BX89" s="53">
        <v>64130</v>
      </c>
      <c r="BY89" s="53">
        <v>64654</v>
      </c>
      <c r="BZ89" s="53">
        <v>65255</v>
      </c>
      <c r="CA89" s="53">
        <v>65814</v>
      </c>
      <c r="CB89" s="53">
        <v>66340</v>
      </c>
      <c r="CC89" s="53">
        <v>66842</v>
      </c>
      <c r="CD89" s="53">
        <v>67334</v>
      </c>
      <c r="CE89" s="53">
        <v>67825</v>
      </c>
      <c r="CF89" s="53">
        <v>68313</v>
      </c>
      <c r="CG89" s="53">
        <v>68804</v>
      </c>
      <c r="CH89" s="53">
        <v>69273</v>
      </c>
      <c r="CI89" s="53">
        <v>69763</v>
      </c>
      <c r="CJ89" s="53">
        <v>70207</v>
      </c>
      <c r="CK89" s="53">
        <v>70658</v>
      </c>
      <c r="CL89" s="53">
        <v>71130</v>
      </c>
      <c r="CM89" s="53">
        <v>71558</v>
      </c>
      <c r="CN89" s="53">
        <v>72000</v>
      </c>
      <c r="CO89" s="53">
        <v>72415</v>
      </c>
      <c r="CP89" s="53">
        <v>72853</v>
      </c>
      <c r="CQ89" s="53">
        <v>73268</v>
      </c>
      <c r="CR89" s="53">
        <v>73665</v>
      </c>
      <c r="CS89" s="53">
        <v>74075</v>
      </c>
      <c r="CT89" s="53">
        <v>74469</v>
      </c>
      <c r="CU89" s="53">
        <v>74856</v>
      </c>
      <c r="CV89" s="53">
        <v>75218</v>
      </c>
      <c r="CW89" s="53">
        <v>75601</v>
      </c>
      <c r="CX89" s="53">
        <v>75973</v>
      </c>
      <c r="CY89" s="53">
        <v>76334</v>
      </c>
      <c r="CZ89" s="53">
        <v>76666</v>
      </c>
      <c r="DA89" s="53">
        <v>77020</v>
      </c>
      <c r="DB89" s="53">
        <v>77365</v>
      </c>
      <c r="DC89" s="53">
        <v>77726</v>
      </c>
      <c r="DD89" s="53">
        <v>78056</v>
      </c>
      <c r="DE89" s="53">
        <v>78393</v>
      </c>
      <c r="DF89" s="53">
        <v>78746</v>
      </c>
      <c r="DG89" s="53">
        <v>79048</v>
      </c>
      <c r="DH89" s="53">
        <v>79378</v>
      </c>
      <c r="DI89" s="53">
        <v>79670</v>
      </c>
      <c r="DJ89" s="53">
        <v>79992</v>
      </c>
      <c r="DK89" s="53">
        <v>80301</v>
      </c>
      <c r="DL89" s="53">
        <v>80597</v>
      </c>
      <c r="DM89" s="53">
        <v>80901</v>
      </c>
      <c r="DN89" s="53">
        <v>81200</v>
      </c>
      <c r="DO89" s="53">
        <v>81495</v>
      </c>
    </row>
    <row r="90" spans="1:119">
      <c r="A90" s="52">
        <v>88</v>
      </c>
      <c r="W90" s="53">
        <v>24960</v>
      </c>
      <c r="X90" s="53">
        <v>25839</v>
      </c>
      <c r="Y90" s="53">
        <v>26502</v>
      </c>
      <c r="Z90" s="53">
        <v>27852</v>
      </c>
      <c r="AA90" s="53">
        <v>28393</v>
      </c>
      <c r="AB90" s="53">
        <v>29296</v>
      </c>
      <c r="AC90" s="53">
        <v>30191</v>
      </c>
      <c r="AD90" s="53">
        <v>30865</v>
      </c>
      <c r="AE90" s="53">
        <v>31519</v>
      </c>
      <c r="AF90" s="53">
        <v>32494</v>
      </c>
      <c r="AG90" s="53">
        <v>33185</v>
      </c>
      <c r="AH90" s="53">
        <v>33826</v>
      </c>
      <c r="AI90" s="53">
        <v>34508</v>
      </c>
      <c r="AJ90" s="53">
        <v>35761</v>
      </c>
      <c r="AK90" s="53">
        <v>36493</v>
      </c>
      <c r="AL90" s="53">
        <v>37412</v>
      </c>
      <c r="AM90" s="53">
        <v>38269</v>
      </c>
      <c r="AN90" s="53">
        <v>39103</v>
      </c>
      <c r="AO90" s="53">
        <v>39700</v>
      </c>
      <c r="AP90" s="53">
        <v>40247</v>
      </c>
      <c r="AQ90" s="53">
        <v>40708</v>
      </c>
      <c r="AR90" s="53">
        <v>41114</v>
      </c>
      <c r="AS90" s="53">
        <v>41308</v>
      </c>
      <c r="AT90" s="53">
        <v>41310</v>
      </c>
      <c r="AU90" s="53">
        <v>41265</v>
      </c>
      <c r="AV90" s="53">
        <v>41754</v>
      </c>
      <c r="AW90" s="53">
        <v>42543</v>
      </c>
      <c r="AX90" s="53">
        <v>43924</v>
      </c>
      <c r="AY90" s="53">
        <v>45267</v>
      </c>
      <c r="AZ90" s="53">
        <v>45816</v>
      </c>
      <c r="BA90" s="53">
        <v>46379</v>
      </c>
      <c r="BB90" s="53">
        <v>47186</v>
      </c>
      <c r="BC90" s="53">
        <v>47822</v>
      </c>
      <c r="BD90" s="53">
        <v>48474</v>
      </c>
      <c r="BE90" s="53">
        <v>49035</v>
      </c>
      <c r="BF90" s="53">
        <v>49749</v>
      </c>
      <c r="BG90" s="53">
        <v>50399</v>
      </c>
      <c r="BH90" s="53">
        <v>51066</v>
      </c>
      <c r="BI90" s="53">
        <v>51646</v>
      </c>
      <c r="BJ90" s="53">
        <v>52296</v>
      </c>
      <c r="BK90" s="53">
        <v>52984</v>
      </c>
      <c r="BL90" s="53">
        <v>53699</v>
      </c>
      <c r="BM90" s="53">
        <v>54388</v>
      </c>
      <c r="BN90" s="53">
        <v>55051</v>
      </c>
      <c r="BO90" s="53">
        <v>55662</v>
      </c>
      <c r="BP90" s="53">
        <v>56299</v>
      </c>
      <c r="BQ90" s="53">
        <v>56867</v>
      </c>
      <c r="BR90" s="53">
        <v>57432</v>
      </c>
      <c r="BS90" s="53">
        <v>57949</v>
      </c>
      <c r="BT90" s="53">
        <v>58501</v>
      </c>
      <c r="BU90" s="53">
        <v>59030</v>
      </c>
      <c r="BV90" s="53">
        <v>59588</v>
      </c>
      <c r="BW90" s="53">
        <v>60124</v>
      </c>
      <c r="BX90" s="53">
        <v>60681</v>
      </c>
      <c r="BY90" s="53">
        <v>61224</v>
      </c>
      <c r="BZ90" s="53">
        <v>61841</v>
      </c>
      <c r="CA90" s="53">
        <v>62416</v>
      </c>
      <c r="CB90" s="53">
        <v>62963</v>
      </c>
      <c r="CC90" s="53">
        <v>63485</v>
      </c>
      <c r="CD90" s="53">
        <v>63999</v>
      </c>
      <c r="CE90" s="53">
        <v>64511</v>
      </c>
      <c r="CF90" s="53">
        <v>65020</v>
      </c>
      <c r="CG90" s="53">
        <v>65533</v>
      </c>
      <c r="CH90" s="53">
        <v>66024</v>
      </c>
      <c r="CI90" s="53">
        <v>66536</v>
      </c>
      <c r="CJ90" s="53">
        <v>67003</v>
      </c>
      <c r="CK90" s="53">
        <v>67477</v>
      </c>
      <c r="CL90" s="53">
        <v>67972</v>
      </c>
      <c r="CM90" s="53">
        <v>68424</v>
      </c>
      <c r="CN90" s="53">
        <v>68890</v>
      </c>
      <c r="CO90" s="53">
        <v>69329</v>
      </c>
      <c r="CP90" s="53">
        <v>69791</v>
      </c>
      <c r="CQ90" s="53">
        <v>70230</v>
      </c>
      <c r="CR90" s="53">
        <v>70652</v>
      </c>
      <c r="CS90" s="53">
        <v>71087</v>
      </c>
      <c r="CT90" s="53">
        <v>71506</v>
      </c>
      <c r="CU90" s="53">
        <v>71918</v>
      </c>
      <c r="CV90" s="53">
        <v>72305</v>
      </c>
      <c r="CW90" s="53">
        <v>72713</v>
      </c>
      <c r="CX90" s="53">
        <v>73111</v>
      </c>
      <c r="CY90" s="53">
        <v>73497</v>
      </c>
      <c r="CZ90" s="53">
        <v>73856</v>
      </c>
      <c r="DA90" s="53">
        <v>74235</v>
      </c>
      <c r="DB90" s="53">
        <v>74606</v>
      </c>
      <c r="DC90" s="53">
        <v>74991</v>
      </c>
      <c r="DD90" s="53">
        <v>75348</v>
      </c>
      <c r="DE90" s="53">
        <v>75710</v>
      </c>
      <c r="DF90" s="53">
        <v>76087</v>
      </c>
      <c r="DG90" s="53">
        <v>76415</v>
      </c>
      <c r="DH90" s="53">
        <v>76770</v>
      </c>
      <c r="DI90" s="53">
        <v>77088</v>
      </c>
      <c r="DJ90" s="53">
        <v>77435</v>
      </c>
      <c r="DK90" s="53">
        <v>77769</v>
      </c>
      <c r="DL90" s="53">
        <v>78090</v>
      </c>
      <c r="DM90" s="53">
        <v>78418</v>
      </c>
      <c r="DN90" s="53">
        <v>78743</v>
      </c>
      <c r="DO90" s="53">
        <v>79062</v>
      </c>
    </row>
    <row r="91" spans="1:119">
      <c r="A91" s="52">
        <v>89</v>
      </c>
      <c r="W91" s="53">
        <v>21908</v>
      </c>
      <c r="X91" s="53">
        <v>22705</v>
      </c>
      <c r="Y91" s="53">
        <v>23326</v>
      </c>
      <c r="Z91" s="53">
        <v>24401</v>
      </c>
      <c r="AA91" s="53">
        <v>25133</v>
      </c>
      <c r="AB91" s="53">
        <v>25820</v>
      </c>
      <c r="AC91" s="53">
        <v>26652</v>
      </c>
      <c r="AD91" s="53">
        <v>27298</v>
      </c>
      <c r="AE91" s="53">
        <v>27929</v>
      </c>
      <c r="AF91" s="53">
        <v>28846</v>
      </c>
      <c r="AG91" s="53">
        <v>29512</v>
      </c>
      <c r="AH91" s="53">
        <v>30135</v>
      </c>
      <c r="AI91" s="53">
        <v>30797</v>
      </c>
      <c r="AJ91" s="53">
        <v>31970</v>
      </c>
      <c r="AK91" s="53">
        <v>32680</v>
      </c>
      <c r="AL91" s="53">
        <v>33559</v>
      </c>
      <c r="AM91" s="53">
        <v>34383</v>
      </c>
      <c r="AN91" s="53">
        <v>35189</v>
      </c>
      <c r="AO91" s="53">
        <v>35784</v>
      </c>
      <c r="AP91" s="53">
        <v>36334</v>
      </c>
      <c r="AQ91" s="53">
        <v>36806</v>
      </c>
      <c r="AR91" s="53">
        <v>37229</v>
      </c>
      <c r="AS91" s="53">
        <v>37457</v>
      </c>
      <c r="AT91" s="53">
        <v>37509</v>
      </c>
      <c r="AU91" s="53">
        <v>37518</v>
      </c>
      <c r="AV91" s="53">
        <v>38012</v>
      </c>
      <c r="AW91" s="53">
        <v>38780</v>
      </c>
      <c r="AX91" s="53">
        <v>40090</v>
      </c>
      <c r="AY91" s="53">
        <v>41368</v>
      </c>
      <c r="AZ91" s="53">
        <v>41921</v>
      </c>
      <c r="BA91" s="53">
        <v>42488</v>
      </c>
      <c r="BB91" s="53">
        <v>43279</v>
      </c>
      <c r="BC91" s="53">
        <v>43914</v>
      </c>
      <c r="BD91" s="53">
        <v>44566</v>
      </c>
      <c r="BE91" s="53">
        <v>45133</v>
      </c>
      <c r="BF91" s="53">
        <v>45842</v>
      </c>
      <c r="BG91" s="53">
        <v>46493</v>
      </c>
      <c r="BH91" s="53">
        <v>47160</v>
      </c>
      <c r="BI91" s="53">
        <v>47748</v>
      </c>
      <c r="BJ91" s="53">
        <v>48400</v>
      </c>
      <c r="BK91" s="53">
        <v>49089</v>
      </c>
      <c r="BL91" s="53">
        <v>49803</v>
      </c>
      <c r="BM91" s="53">
        <v>50494</v>
      </c>
      <c r="BN91" s="53">
        <v>51161</v>
      </c>
      <c r="BO91" s="53">
        <v>51781</v>
      </c>
      <c r="BP91" s="53">
        <v>52425</v>
      </c>
      <c r="BQ91" s="53">
        <v>53005</v>
      </c>
      <c r="BR91" s="53">
        <v>53583</v>
      </c>
      <c r="BS91" s="53">
        <v>54116</v>
      </c>
      <c r="BT91" s="53">
        <v>54682</v>
      </c>
      <c r="BU91" s="53">
        <v>55227</v>
      </c>
      <c r="BV91" s="53">
        <v>55799</v>
      </c>
      <c r="BW91" s="53">
        <v>56352</v>
      </c>
      <c r="BX91" s="53">
        <v>56924</v>
      </c>
      <c r="BY91" s="53">
        <v>57483</v>
      </c>
      <c r="BZ91" s="53">
        <v>58111</v>
      </c>
      <c r="CA91" s="53">
        <v>58702</v>
      </c>
      <c r="CB91" s="53">
        <v>59265</v>
      </c>
      <c r="CC91" s="53">
        <v>59805</v>
      </c>
      <c r="CD91" s="53">
        <v>60338</v>
      </c>
      <c r="CE91" s="53">
        <v>60869</v>
      </c>
      <c r="CF91" s="53">
        <v>61398</v>
      </c>
      <c r="CG91" s="53">
        <v>61930</v>
      </c>
      <c r="CH91" s="53">
        <v>62442</v>
      </c>
      <c r="CI91" s="53">
        <v>62973</v>
      </c>
      <c r="CJ91" s="53">
        <v>63462</v>
      </c>
      <c r="CK91" s="53">
        <v>63958</v>
      </c>
      <c r="CL91" s="53">
        <v>64474</v>
      </c>
      <c r="CM91" s="53">
        <v>64949</v>
      </c>
      <c r="CN91" s="53">
        <v>65437</v>
      </c>
      <c r="CO91" s="53">
        <v>65900</v>
      </c>
      <c r="CP91" s="53">
        <v>66384</v>
      </c>
      <c r="CQ91" s="53">
        <v>66847</v>
      </c>
      <c r="CR91" s="53">
        <v>67293</v>
      </c>
      <c r="CS91" s="53">
        <v>67751</v>
      </c>
      <c r="CT91" s="53">
        <v>68195</v>
      </c>
      <c r="CU91" s="53">
        <v>68632</v>
      </c>
      <c r="CV91" s="53">
        <v>69045</v>
      </c>
      <c r="CW91" s="53">
        <v>69477</v>
      </c>
      <c r="CX91" s="53">
        <v>69900</v>
      </c>
      <c r="CY91" s="53">
        <v>70312</v>
      </c>
      <c r="CZ91" s="53">
        <v>70697</v>
      </c>
      <c r="DA91" s="53">
        <v>71101</v>
      </c>
      <c r="DB91" s="53">
        <v>71498</v>
      </c>
      <c r="DC91" s="53">
        <v>71908</v>
      </c>
      <c r="DD91" s="53">
        <v>72290</v>
      </c>
      <c r="DE91" s="53">
        <v>72678</v>
      </c>
      <c r="DF91" s="53">
        <v>73080</v>
      </c>
      <c r="DG91" s="53">
        <v>73435</v>
      </c>
      <c r="DH91" s="53">
        <v>73815</v>
      </c>
      <c r="DI91" s="53">
        <v>74160</v>
      </c>
      <c r="DJ91" s="53">
        <v>74533</v>
      </c>
      <c r="DK91" s="53">
        <v>74892</v>
      </c>
      <c r="DL91" s="53">
        <v>75239</v>
      </c>
      <c r="DM91" s="53">
        <v>75593</v>
      </c>
      <c r="DN91" s="53">
        <v>75943</v>
      </c>
      <c r="DO91" s="53">
        <v>76288</v>
      </c>
    </row>
    <row r="92" spans="1:119">
      <c r="A92" s="52">
        <v>90</v>
      </c>
      <c r="W92" s="53">
        <v>18898</v>
      </c>
      <c r="X92" s="53">
        <v>19580</v>
      </c>
      <c r="Y92" s="53">
        <v>20056</v>
      </c>
      <c r="Z92" s="53">
        <v>21244</v>
      </c>
      <c r="AA92" s="53">
        <v>21723</v>
      </c>
      <c r="AB92" s="53">
        <v>22369</v>
      </c>
      <c r="AC92" s="53">
        <v>23139</v>
      </c>
      <c r="AD92" s="53">
        <v>23750</v>
      </c>
      <c r="AE92" s="53">
        <v>24349</v>
      </c>
      <c r="AF92" s="53">
        <v>25199</v>
      </c>
      <c r="AG92" s="53">
        <v>25833</v>
      </c>
      <c r="AH92" s="53">
        <v>26430</v>
      </c>
      <c r="AI92" s="53">
        <v>27063</v>
      </c>
      <c r="AJ92" s="53">
        <v>28148</v>
      </c>
      <c r="AK92" s="53">
        <v>28827</v>
      </c>
      <c r="AL92" s="53">
        <v>29656</v>
      </c>
      <c r="AM92" s="53">
        <v>30440</v>
      </c>
      <c r="AN92" s="53">
        <v>31210</v>
      </c>
      <c r="AO92" s="53">
        <v>31793</v>
      </c>
      <c r="AP92" s="53">
        <v>32337</v>
      </c>
      <c r="AQ92" s="53">
        <v>32813</v>
      </c>
      <c r="AR92" s="53">
        <v>33242</v>
      </c>
      <c r="AS92" s="53">
        <v>33496</v>
      </c>
      <c r="AT92" s="53">
        <v>33592</v>
      </c>
      <c r="AU92" s="53">
        <v>33650</v>
      </c>
      <c r="AV92" s="53">
        <v>34143</v>
      </c>
      <c r="AW92" s="53">
        <v>34882</v>
      </c>
      <c r="AX92" s="53">
        <v>36112</v>
      </c>
      <c r="AY92" s="53">
        <v>37314</v>
      </c>
      <c r="AZ92" s="53">
        <v>37866</v>
      </c>
      <c r="BA92" s="53">
        <v>38429</v>
      </c>
      <c r="BB92" s="53">
        <v>39197</v>
      </c>
      <c r="BC92" s="53">
        <v>39825</v>
      </c>
      <c r="BD92" s="53">
        <v>40468</v>
      </c>
      <c r="BE92" s="53">
        <v>41035</v>
      </c>
      <c r="BF92" s="53">
        <v>41733</v>
      </c>
      <c r="BG92" s="53">
        <v>42378</v>
      </c>
      <c r="BH92" s="53">
        <v>43039</v>
      </c>
      <c r="BI92" s="53">
        <v>43628</v>
      </c>
      <c r="BJ92" s="53">
        <v>44277</v>
      </c>
      <c r="BK92" s="53">
        <v>44959</v>
      </c>
      <c r="BL92" s="53">
        <v>45666</v>
      </c>
      <c r="BM92" s="53">
        <v>46353</v>
      </c>
      <c r="BN92" s="53">
        <v>47018</v>
      </c>
      <c r="BO92" s="53">
        <v>47641</v>
      </c>
      <c r="BP92" s="53">
        <v>48286</v>
      </c>
      <c r="BQ92" s="53">
        <v>48873</v>
      </c>
      <c r="BR92" s="53">
        <v>49459</v>
      </c>
      <c r="BS92" s="53">
        <v>50004</v>
      </c>
      <c r="BT92" s="53">
        <v>50580</v>
      </c>
      <c r="BU92" s="53">
        <v>51136</v>
      </c>
      <c r="BV92" s="53">
        <v>51718</v>
      </c>
      <c r="BW92" s="53">
        <v>52283</v>
      </c>
      <c r="BX92" s="53">
        <v>52865</v>
      </c>
      <c r="BY92" s="53">
        <v>53436</v>
      </c>
      <c r="BZ92" s="53">
        <v>54072</v>
      </c>
      <c r="CA92" s="53">
        <v>54673</v>
      </c>
      <c r="CB92" s="53">
        <v>55248</v>
      </c>
      <c r="CC92" s="53">
        <v>55804</v>
      </c>
      <c r="CD92" s="53">
        <v>56352</v>
      </c>
      <c r="CE92" s="53">
        <v>56899</v>
      </c>
      <c r="CF92" s="53">
        <v>57444</v>
      </c>
      <c r="CG92" s="53">
        <v>57992</v>
      </c>
      <c r="CH92" s="53">
        <v>58521</v>
      </c>
      <c r="CI92" s="53">
        <v>59069</v>
      </c>
      <c r="CJ92" s="53">
        <v>59578</v>
      </c>
      <c r="CK92" s="53">
        <v>60093</v>
      </c>
      <c r="CL92" s="53">
        <v>60626</v>
      </c>
      <c r="CM92" s="53">
        <v>61122</v>
      </c>
      <c r="CN92" s="53">
        <v>61630</v>
      </c>
      <c r="CO92" s="53">
        <v>62114</v>
      </c>
      <c r="CP92" s="53">
        <v>62619</v>
      </c>
      <c r="CQ92" s="53">
        <v>63103</v>
      </c>
      <c r="CR92" s="53">
        <v>63572</v>
      </c>
      <c r="CS92" s="53">
        <v>64052</v>
      </c>
      <c r="CT92" s="53">
        <v>64519</v>
      </c>
      <c r="CU92" s="53">
        <v>64979</v>
      </c>
      <c r="CV92" s="53">
        <v>65416</v>
      </c>
      <c r="CW92" s="53">
        <v>65872</v>
      </c>
      <c r="CX92" s="53">
        <v>66318</v>
      </c>
      <c r="CY92" s="53">
        <v>66755</v>
      </c>
      <c r="CZ92" s="53">
        <v>67165</v>
      </c>
      <c r="DA92" s="53">
        <v>67595</v>
      </c>
      <c r="DB92" s="53">
        <v>68016</v>
      </c>
      <c r="DC92" s="53">
        <v>68451</v>
      </c>
      <c r="DD92" s="53">
        <v>68859</v>
      </c>
      <c r="DE92" s="53">
        <v>69272</v>
      </c>
      <c r="DF92" s="53">
        <v>69698</v>
      </c>
      <c r="DG92" s="53">
        <v>70079</v>
      </c>
      <c r="DH92" s="53">
        <v>70485</v>
      </c>
      <c r="DI92" s="53">
        <v>70856</v>
      </c>
      <c r="DJ92" s="53">
        <v>71254</v>
      </c>
      <c r="DK92" s="53">
        <v>71640</v>
      </c>
      <c r="DL92" s="53">
        <v>72013</v>
      </c>
      <c r="DM92" s="53">
        <v>72393</v>
      </c>
      <c r="DN92" s="53">
        <v>72768</v>
      </c>
      <c r="DO92" s="53">
        <v>73139</v>
      </c>
    </row>
    <row r="93" spans="1:119">
      <c r="A93" s="52">
        <v>91</v>
      </c>
      <c r="W93" s="53">
        <v>15959</v>
      </c>
      <c r="X93" s="53">
        <v>16491</v>
      </c>
      <c r="Y93" s="53">
        <v>17136</v>
      </c>
      <c r="Z93" s="53">
        <v>17958</v>
      </c>
      <c r="AA93" s="53">
        <v>18423</v>
      </c>
      <c r="AB93" s="53">
        <v>19017</v>
      </c>
      <c r="AC93" s="53">
        <v>19718</v>
      </c>
      <c r="AD93" s="53">
        <v>20285</v>
      </c>
      <c r="AE93" s="53">
        <v>20844</v>
      </c>
      <c r="AF93" s="53">
        <v>21621</v>
      </c>
      <c r="AG93" s="53">
        <v>22213</v>
      </c>
      <c r="AH93" s="53">
        <v>22776</v>
      </c>
      <c r="AI93" s="53">
        <v>23372</v>
      </c>
      <c r="AJ93" s="53">
        <v>24359</v>
      </c>
      <c r="AK93" s="53">
        <v>24999</v>
      </c>
      <c r="AL93" s="53">
        <v>25771</v>
      </c>
      <c r="AM93" s="53">
        <v>26505</v>
      </c>
      <c r="AN93" s="53">
        <v>27229</v>
      </c>
      <c r="AO93" s="53">
        <v>27792</v>
      </c>
      <c r="AP93" s="53">
        <v>28322</v>
      </c>
      <c r="AQ93" s="53">
        <v>28789</v>
      </c>
      <c r="AR93" s="53">
        <v>29214</v>
      </c>
      <c r="AS93" s="53">
        <v>29486</v>
      </c>
      <c r="AT93" s="53">
        <v>29620</v>
      </c>
      <c r="AU93" s="53">
        <v>29719</v>
      </c>
      <c r="AV93" s="53">
        <v>30203</v>
      </c>
      <c r="AW93" s="53">
        <v>30906</v>
      </c>
      <c r="AX93" s="53">
        <v>32045</v>
      </c>
      <c r="AY93" s="53">
        <v>33163</v>
      </c>
      <c r="AZ93" s="53">
        <v>33705</v>
      </c>
      <c r="BA93" s="53">
        <v>34257</v>
      </c>
      <c r="BB93" s="53">
        <v>34994</v>
      </c>
      <c r="BC93" s="53">
        <v>35606</v>
      </c>
      <c r="BD93" s="53">
        <v>36233</v>
      </c>
      <c r="BE93" s="53">
        <v>36793</v>
      </c>
      <c r="BF93" s="53">
        <v>37470</v>
      </c>
      <c r="BG93" s="53">
        <v>38102</v>
      </c>
      <c r="BH93" s="53">
        <v>38749</v>
      </c>
      <c r="BI93" s="53">
        <v>39332</v>
      </c>
      <c r="BJ93" s="53">
        <v>39971</v>
      </c>
      <c r="BK93" s="53">
        <v>40640</v>
      </c>
      <c r="BL93" s="53">
        <v>41332</v>
      </c>
      <c r="BM93" s="53">
        <v>42007</v>
      </c>
      <c r="BN93" s="53">
        <v>42663</v>
      </c>
      <c r="BO93" s="53">
        <v>43282</v>
      </c>
      <c r="BP93" s="53">
        <v>43922</v>
      </c>
      <c r="BQ93" s="53">
        <v>44509</v>
      </c>
      <c r="BR93" s="53">
        <v>45097</v>
      </c>
      <c r="BS93" s="53">
        <v>45647</v>
      </c>
      <c r="BT93" s="53">
        <v>46226</v>
      </c>
      <c r="BU93" s="53">
        <v>46788</v>
      </c>
      <c r="BV93" s="53">
        <v>47374</v>
      </c>
      <c r="BW93" s="53">
        <v>47944</v>
      </c>
      <c r="BX93" s="53">
        <v>48532</v>
      </c>
      <c r="BY93" s="53">
        <v>49109</v>
      </c>
      <c r="BZ93" s="53">
        <v>49746</v>
      </c>
      <c r="CA93" s="53">
        <v>50352</v>
      </c>
      <c r="CB93" s="53">
        <v>50935</v>
      </c>
      <c r="CC93" s="53">
        <v>51500</v>
      </c>
      <c r="CD93" s="53">
        <v>52058</v>
      </c>
      <c r="CE93" s="53">
        <v>52616</v>
      </c>
      <c r="CF93" s="53">
        <v>53173</v>
      </c>
      <c r="CG93" s="53">
        <v>53732</v>
      </c>
      <c r="CH93" s="53">
        <v>54275</v>
      </c>
      <c r="CI93" s="53">
        <v>54835</v>
      </c>
      <c r="CJ93" s="53">
        <v>55359</v>
      </c>
      <c r="CK93" s="53">
        <v>55890</v>
      </c>
      <c r="CL93" s="53">
        <v>56437</v>
      </c>
      <c r="CM93" s="53">
        <v>56950</v>
      </c>
      <c r="CN93" s="53">
        <v>57474</v>
      </c>
      <c r="CO93" s="53">
        <v>57977</v>
      </c>
      <c r="CP93" s="53">
        <v>58498</v>
      </c>
      <c r="CQ93" s="53">
        <v>59001</v>
      </c>
      <c r="CR93" s="53">
        <v>59490</v>
      </c>
      <c r="CS93" s="53">
        <v>59989</v>
      </c>
      <c r="CT93" s="53">
        <v>60476</v>
      </c>
      <c r="CU93" s="53">
        <v>60956</v>
      </c>
      <c r="CV93" s="53">
        <v>61416</v>
      </c>
      <c r="CW93" s="53">
        <v>61892</v>
      </c>
      <c r="CX93" s="53">
        <v>62361</v>
      </c>
      <c r="CY93" s="53">
        <v>62819</v>
      </c>
      <c r="CZ93" s="53">
        <v>63254</v>
      </c>
      <c r="DA93" s="53">
        <v>63706</v>
      </c>
      <c r="DB93" s="53">
        <v>64151</v>
      </c>
      <c r="DC93" s="53">
        <v>64608</v>
      </c>
      <c r="DD93" s="53">
        <v>65040</v>
      </c>
      <c r="DE93" s="53">
        <v>65476</v>
      </c>
      <c r="DF93" s="53">
        <v>65926</v>
      </c>
      <c r="DG93" s="53">
        <v>66332</v>
      </c>
      <c r="DH93" s="53">
        <v>66762</v>
      </c>
      <c r="DI93" s="53">
        <v>67159</v>
      </c>
      <c r="DJ93" s="53">
        <v>67582</v>
      </c>
      <c r="DK93" s="53">
        <v>67992</v>
      </c>
      <c r="DL93" s="53">
        <v>68390</v>
      </c>
      <c r="DM93" s="53">
        <v>68796</v>
      </c>
      <c r="DN93" s="53">
        <v>69196</v>
      </c>
      <c r="DO93" s="53">
        <v>69592</v>
      </c>
    </row>
    <row r="94" spans="1:119">
      <c r="A94" s="52">
        <v>92</v>
      </c>
      <c r="W94" s="53">
        <v>13142</v>
      </c>
      <c r="X94" s="53">
        <v>13758</v>
      </c>
      <c r="Y94" s="53">
        <v>14147</v>
      </c>
      <c r="Z94" s="53">
        <v>14874</v>
      </c>
      <c r="AA94" s="53">
        <v>15300</v>
      </c>
      <c r="AB94" s="53">
        <v>15834</v>
      </c>
      <c r="AC94" s="53">
        <v>16460</v>
      </c>
      <c r="AD94" s="53">
        <v>16977</v>
      </c>
      <c r="AE94" s="53">
        <v>17489</v>
      </c>
      <c r="AF94" s="53">
        <v>18185</v>
      </c>
      <c r="AG94" s="53">
        <v>18729</v>
      </c>
      <c r="AH94" s="53">
        <v>19249</v>
      </c>
      <c r="AI94" s="53">
        <v>19799</v>
      </c>
      <c r="AJ94" s="53">
        <v>20684</v>
      </c>
      <c r="AK94" s="53">
        <v>21275</v>
      </c>
      <c r="AL94" s="53">
        <v>21981</v>
      </c>
      <c r="AM94" s="53">
        <v>22658</v>
      </c>
      <c r="AN94" s="53">
        <v>23328</v>
      </c>
      <c r="AO94" s="53">
        <v>23861</v>
      </c>
      <c r="AP94" s="53">
        <v>24363</v>
      </c>
      <c r="AQ94" s="53">
        <v>24811</v>
      </c>
      <c r="AR94" s="53">
        <v>25224</v>
      </c>
      <c r="AS94" s="53">
        <v>25506</v>
      </c>
      <c r="AT94" s="53">
        <v>25669</v>
      </c>
      <c r="AU94" s="53">
        <v>25801</v>
      </c>
      <c r="AV94" s="53">
        <v>26267</v>
      </c>
      <c r="AW94" s="53">
        <v>26925</v>
      </c>
      <c r="AX94" s="53">
        <v>27966</v>
      </c>
      <c r="AY94" s="53">
        <v>28991</v>
      </c>
      <c r="AZ94" s="53">
        <v>29513</v>
      </c>
      <c r="BA94" s="53">
        <v>30046</v>
      </c>
      <c r="BB94" s="53">
        <v>30742</v>
      </c>
      <c r="BC94" s="53">
        <v>31330</v>
      </c>
      <c r="BD94" s="53">
        <v>31933</v>
      </c>
      <c r="BE94" s="53">
        <v>32477</v>
      </c>
      <c r="BF94" s="53">
        <v>33126</v>
      </c>
      <c r="BG94" s="53">
        <v>33736</v>
      </c>
      <c r="BH94" s="53">
        <v>34361</v>
      </c>
      <c r="BI94" s="53">
        <v>34930</v>
      </c>
      <c r="BJ94" s="53">
        <v>35548</v>
      </c>
      <c r="BK94" s="53">
        <v>36196</v>
      </c>
      <c r="BL94" s="53">
        <v>36865</v>
      </c>
      <c r="BM94" s="53">
        <v>37520</v>
      </c>
      <c r="BN94" s="53">
        <v>38159</v>
      </c>
      <c r="BO94" s="53">
        <v>38765</v>
      </c>
      <c r="BP94" s="53">
        <v>39392</v>
      </c>
      <c r="BQ94" s="53">
        <v>39972</v>
      </c>
      <c r="BR94" s="53">
        <v>40553</v>
      </c>
      <c r="BS94" s="53">
        <v>41101</v>
      </c>
      <c r="BT94" s="53">
        <v>41676</v>
      </c>
      <c r="BU94" s="53">
        <v>42236</v>
      </c>
      <c r="BV94" s="53">
        <v>42819</v>
      </c>
      <c r="BW94" s="53">
        <v>43388</v>
      </c>
      <c r="BX94" s="53">
        <v>43973</v>
      </c>
      <c r="BY94" s="53">
        <v>44550</v>
      </c>
      <c r="BZ94" s="53">
        <v>45182</v>
      </c>
      <c r="CA94" s="53">
        <v>45786</v>
      </c>
      <c r="CB94" s="53">
        <v>46370</v>
      </c>
      <c r="CC94" s="53">
        <v>46938</v>
      </c>
      <c r="CD94" s="53">
        <v>47500</v>
      </c>
      <c r="CE94" s="53">
        <v>48063</v>
      </c>
      <c r="CF94" s="53">
        <v>48625</v>
      </c>
      <c r="CG94" s="53">
        <v>49190</v>
      </c>
      <c r="CH94" s="53">
        <v>49740</v>
      </c>
      <c r="CI94" s="53">
        <v>50307</v>
      </c>
      <c r="CJ94" s="53">
        <v>50841</v>
      </c>
      <c r="CK94" s="53">
        <v>51381</v>
      </c>
      <c r="CL94" s="53">
        <v>51937</v>
      </c>
      <c r="CM94" s="53">
        <v>52462</v>
      </c>
      <c r="CN94" s="53">
        <v>52997</v>
      </c>
      <c r="CO94" s="53">
        <v>53513</v>
      </c>
      <c r="CP94" s="53">
        <v>54047</v>
      </c>
      <c r="CQ94" s="53">
        <v>54564</v>
      </c>
      <c r="CR94" s="53">
        <v>55068</v>
      </c>
      <c r="CS94" s="53">
        <v>55582</v>
      </c>
      <c r="CT94" s="53">
        <v>56084</v>
      </c>
      <c r="CU94" s="53">
        <v>56581</v>
      </c>
      <c r="CV94" s="53">
        <v>57059</v>
      </c>
      <c r="CW94" s="53">
        <v>57553</v>
      </c>
      <c r="CX94" s="53">
        <v>58039</v>
      </c>
      <c r="CY94" s="53">
        <v>58517</v>
      </c>
      <c r="CZ94" s="53">
        <v>58972</v>
      </c>
      <c r="DA94" s="53">
        <v>59443</v>
      </c>
      <c r="DB94" s="53">
        <v>59909</v>
      </c>
      <c r="DC94" s="53">
        <v>60385</v>
      </c>
      <c r="DD94" s="53">
        <v>60838</v>
      </c>
      <c r="DE94" s="53">
        <v>61296</v>
      </c>
      <c r="DF94" s="53">
        <v>61765</v>
      </c>
      <c r="DG94" s="53">
        <v>62195</v>
      </c>
      <c r="DH94" s="53">
        <v>62646</v>
      </c>
      <c r="DI94" s="53">
        <v>63067</v>
      </c>
      <c r="DJ94" s="53">
        <v>63512</v>
      </c>
      <c r="DK94" s="53">
        <v>63945</v>
      </c>
      <c r="DL94" s="53">
        <v>64367</v>
      </c>
      <c r="DM94" s="53">
        <v>64795</v>
      </c>
      <c r="DN94" s="53">
        <v>65220</v>
      </c>
      <c r="DO94" s="53">
        <v>65640</v>
      </c>
    </row>
    <row r="95" spans="1:119">
      <c r="A95" s="52">
        <v>93</v>
      </c>
      <c r="W95" s="53">
        <v>10727</v>
      </c>
      <c r="X95" s="53">
        <v>11082</v>
      </c>
      <c r="Y95" s="53">
        <v>11418</v>
      </c>
      <c r="Z95" s="53">
        <v>12040</v>
      </c>
      <c r="AA95" s="53">
        <v>12421</v>
      </c>
      <c r="AB95" s="53">
        <v>12892</v>
      </c>
      <c r="AC95" s="53">
        <v>13440</v>
      </c>
      <c r="AD95" s="53">
        <v>13900</v>
      </c>
      <c r="AE95" s="53">
        <v>14358</v>
      </c>
      <c r="AF95" s="53">
        <v>14970</v>
      </c>
      <c r="AG95" s="53">
        <v>15458</v>
      </c>
      <c r="AH95" s="53">
        <v>15930</v>
      </c>
      <c r="AI95" s="53">
        <v>16427</v>
      </c>
      <c r="AJ95" s="53">
        <v>17204</v>
      </c>
      <c r="AK95" s="53">
        <v>17740</v>
      </c>
      <c r="AL95" s="53">
        <v>18375</v>
      </c>
      <c r="AM95" s="53">
        <v>18986</v>
      </c>
      <c r="AN95" s="53">
        <v>19594</v>
      </c>
      <c r="AO95" s="53">
        <v>20084</v>
      </c>
      <c r="AP95" s="53">
        <v>20550</v>
      </c>
      <c r="AQ95" s="53">
        <v>20971</v>
      </c>
      <c r="AR95" s="53">
        <v>21363</v>
      </c>
      <c r="AS95" s="53">
        <v>21646</v>
      </c>
      <c r="AT95" s="53">
        <v>21827</v>
      </c>
      <c r="AU95" s="53">
        <v>21982</v>
      </c>
      <c r="AV95" s="53">
        <v>22422</v>
      </c>
      <c r="AW95" s="53">
        <v>23028</v>
      </c>
      <c r="AX95" s="53">
        <v>23963</v>
      </c>
      <c r="AY95" s="53">
        <v>24887</v>
      </c>
      <c r="AZ95" s="53">
        <v>25382</v>
      </c>
      <c r="BA95" s="53">
        <v>25887</v>
      </c>
      <c r="BB95" s="53">
        <v>26534</v>
      </c>
      <c r="BC95" s="53">
        <v>27089</v>
      </c>
      <c r="BD95" s="53">
        <v>27658</v>
      </c>
      <c r="BE95" s="53">
        <v>28178</v>
      </c>
      <c r="BF95" s="53">
        <v>28790</v>
      </c>
      <c r="BG95" s="53">
        <v>29369</v>
      </c>
      <c r="BH95" s="53">
        <v>29962</v>
      </c>
      <c r="BI95" s="53">
        <v>30508</v>
      </c>
      <c r="BJ95" s="53">
        <v>31098</v>
      </c>
      <c r="BK95" s="53">
        <v>31715</v>
      </c>
      <c r="BL95" s="53">
        <v>32352</v>
      </c>
      <c r="BM95" s="53">
        <v>32978</v>
      </c>
      <c r="BN95" s="53">
        <v>33591</v>
      </c>
      <c r="BO95" s="53">
        <v>34176</v>
      </c>
      <c r="BP95" s="53">
        <v>34780</v>
      </c>
      <c r="BQ95" s="53">
        <v>35345</v>
      </c>
      <c r="BR95" s="53">
        <v>35911</v>
      </c>
      <c r="BS95" s="53">
        <v>36448</v>
      </c>
      <c r="BT95" s="53">
        <v>37010</v>
      </c>
      <c r="BU95" s="53">
        <v>37561</v>
      </c>
      <c r="BV95" s="53">
        <v>38131</v>
      </c>
      <c r="BW95" s="53">
        <v>38691</v>
      </c>
      <c r="BX95" s="53">
        <v>39266</v>
      </c>
      <c r="BY95" s="53">
        <v>39834</v>
      </c>
      <c r="BZ95" s="53">
        <v>40452</v>
      </c>
      <c r="CA95" s="53">
        <v>41046</v>
      </c>
      <c r="CB95" s="53">
        <v>41622</v>
      </c>
      <c r="CC95" s="53">
        <v>42186</v>
      </c>
      <c r="CD95" s="53">
        <v>42745</v>
      </c>
      <c r="CE95" s="53">
        <v>43304</v>
      </c>
      <c r="CF95" s="53">
        <v>43864</v>
      </c>
      <c r="CG95" s="53">
        <v>44427</v>
      </c>
      <c r="CH95" s="53">
        <v>44978</v>
      </c>
      <c r="CI95" s="53">
        <v>45544</v>
      </c>
      <c r="CJ95" s="53">
        <v>46081</v>
      </c>
      <c r="CK95" s="53">
        <v>46623</v>
      </c>
      <c r="CL95" s="53">
        <v>47182</v>
      </c>
      <c r="CM95" s="53">
        <v>47712</v>
      </c>
      <c r="CN95" s="53">
        <v>48252</v>
      </c>
      <c r="CO95" s="53">
        <v>48775</v>
      </c>
      <c r="CP95" s="53">
        <v>49315</v>
      </c>
      <c r="CQ95" s="53">
        <v>49839</v>
      </c>
      <c r="CR95" s="53">
        <v>50353</v>
      </c>
      <c r="CS95" s="53">
        <v>50876</v>
      </c>
      <c r="CT95" s="53">
        <v>51388</v>
      </c>
      <c r="CU95" s="53">
        <v>51896</v>
      </c>
      <c r="CV95" s="53">
        <v>52387</v>
      </c>
      <c r="CW95" s="53">
        <v>52893</v>
      </c>
      <c r="CX95" s="53">
        <v>53392</v>
      </c>
      <c r="CY95" s="53">
        <v>53883</v>
      </c>
      <c r="CZ95" s="53">
        <v>54354</v>
      </c>
      <c r="DA95" s="53">
        <v>54841</v>
      </c>
      <c r="DB95" s="53">
        <v>55321</v>
      </c>
      <c r="DC95" s="53">
        <v>55812</v>
      </c>
      <c r="DD95" s="53">
        <v>56282</v>
      </c>
      <c r="DE95" s="53">
        <v>56757</v>
      </c>
      <c r="DF95" s="53">
        <v>57243</v>
      </c>
      <c r="DG95" s="53">
        <v>57691</v>
      </c>
      <c r="DH95" s="53">
        <v>58160</v>
      </c>
      <c r="DI95" s="53">
        <v>58601</v>
      </c>
      <c r="DJ95" s="53">
        <v>59064</v>
      </c>
      <c r="DK95" s="53">
        <v>59517</v>
      </c>
      <c r="DL95" s="53">
        <v>59959</v>
      </c>
      <c r="DM95" s="53">
        <v>60408</v>
      </c>
      <c r="DN95" s="53">
        <v>60852</v>
      </c>
      <c r="DO95" s="53">
        <v>61293</v>
      </c>
    </row>
    <row r="96" spans="1:119">
      <c r="A96" s="52">
        <v>94</v>
      </c>
      <c r="W96" s="53">
        <v>8402</v>
      </c>
      <c r="X96" s="53">
        <v>8701</v>
      </c>
      <c r="Y96" s="53">
        <v>8994</v>
      </c>
      <c r="Z96" s="53">
        <v>9514</v>
      </c>
      <c r="AA96" s="53">
        <v>9846</v>
      </c>
      <c r="AB96" s="53">
        <v>10251</v>
      </c>
      <c r="AC96" s="53">
        <v>10719</v>
      </c>
      <c r="AD96" s="53">
        <v>11120</v>
      </c>
      <c r="AE96" s="53">
        <v>11520</v>
      </c>
      <c r="AF96" s="53">
        <v>12046</v>
      </c>
      <c r="AG96" s="53">
        <v>12475</v>
      </c>
      <c r="AH96" s="53">
        <v>12892</v>
      </c>
      <c r="AI96" s="53">
        <v>13331</v>
      </c>
      <c r="AJ96" s="53">
        <v>14001</v>
      </c>
      <c r="AK96" s="53">
        <v>14476</v>
      </c>
      <c r="AL96" s="53">
        <v>15034</v>
      </c>
      <c r="AM96" s="53">
        <v>15575</v>
      </c>
      <c r="AN96" s="53">
        <v>16111</v>
      </c>
      <c r="AO96" s="53">
        <v>16552</v>
      </c>
      <c r="AP96" s="53">
        <v>16973</v>
      </c>
      <c r="AQ96" s="53">
        <v>17360</v>
      </c>
      <c r="AR96" s="53">
        <v>17724</v>
      </c>
      <c r="AS96" s="53">
        <v>17997</v>
      </c>
      <c r="AT96" s="53">
        <v>18186</v>
      </c>
      <c r="AU96" s="53">
        <v>18354</v>
      </c>
      <c r="AV96" s="53">
        <v>18761</v>
      </c>
      <c r="AW96" s="53">
        <v>19308</v>
      </c>
      <c r="AX96" s="53">
        <v>20133</v>
      </c>
      <c r="AY96" s="53">
        <v>20951</v>
      </c>
      <c r="AZ96" s="53">
        <v>21410</v>
      </c>
      <c r="BA96" s="53">
        <v>21880</v>
      </c>
      <c r="BB96" s="53">
        <v>22470</v>
      </c>
      <c r="BC96" s="53">
        <v>22984</v>
      </c>
      <c r="BD96" s="53">
        <v>23511</v>
      </c>
      <c r="BE96" s="53">
        <v>23997</v>
      </c>
      <c r="BF96" s="53">
        <v>24564</v>
      </c>
      <c r="BG96" s="53">
        <v>25104</v>
      </c>
      <c r="BH96" s="53">
        <v>25656</v>
      </c>
      <c r="BI96" s="53">
        <v>26170</v>
      </c>
      <c r="BJ96" s="53">
        <v>26723</v>
      </c>
      <c r="BK96" s="53">
        <v>27300</v>
      </c>
      <c r="BL96" s="53">
        <v>27896</v>
      </c>
      <c r="BM96" s="53">
        <v>28484</v>
      </c>
      <c r="BN96" s="53">
        <v>29062</v>
      </c>
      <c r="BO96" s="53">
        <v>29617</v>
      </c>
      <c r="BP96" s="53">
        <v>30190</v>
      </c>
      <c r="BQ96" s="53">
        <v>30729</v>
      </c>
      <c r="BR96" s="53">
        <v>31271</v>
      </c>
      <c r="BS96" s="53">
        <v>31789</v>
      </c>
      <c r="BT96" s="53">
        <v>32329</v>
      </c>
      <c r="BU96" s="53">
        <v>32860</v>
      </c>
      <c r="BV96" s="53">
        <v>33409</v>
      </c>
      <c r="BW96" s="53">
        <v>33950</v>
      </c>
      <c r="BX96" s="53">
        <v>34506</v>
      </c>
      <c r="BY96" s="53">
        <v>35056</v>
      </c>
      <c r="BZ96" s="53">
        <v>35651</v>
      </c>
      <c r="CA96" s="53">
        <v>36226</v>
      </c>
      <c r="CB96" s="53">
        <v>36787</v>
      </c>
      <c r="CC96" s="53">
        <v>37337</v>
      </c>
      <c r="CD96" s="53">
        <v>37883</v>
      </c>
      <c r="CE96" s="53">
        <v>38432</v>
      </c>
      <c r="CF96" s="53">
        <v>38980</v>
      </c>
      <c r="CG96" s="53">
        <v>39533</v>
      </c>
      <c r="CH96" s="53">
        <v>40075</v>
      </c>
      <c r="CI96" s="53">
        <v>40632</v>
      </c>
      <c r="CJ96" s="53">
        <v>41164</v>
      </c>
      <c r="CK96" s="53">
        <v>41701</v>
      </c>
      <c r="CL96" s="53">
        <v>42254</v>
      </c>
      <c r="CM96" s="53">
        <v>42781</v>
      </c>
      <c r="CN96" s="53">
        <v>43318</v>
      </c>
      <c r="CO96" s="53">
        <v>43840</v>
      </c>
      <c r="CP96" s="53">
        <v>44378</v>
      </c>
      <c r="CQ96" s="53">
        <v>44903</v>
      </c>
      <c r="CR96" s="53">
        <v>45418</v>
      </c>
      <c r="CS96" s="53">
        <v>45943</v>
      </c>
      <c r="CT96" s="53">
        <v>46458</v>
      </c>
      <c r="CU96" s="53">
        <v>46970</v>
      </c>
      <c r="CV96" s="53">
        <v>47467</v>
      </c>
      <c r="CW96" s="53">
        <v>47978</v>
      </c>
      <c r="CX96" s="53">
        <v>48483</v>
      </c>
      <c r="CY96" s="53">
        <v>48982</v>
      </c>
      <c r="CZ96" s="53">
        <v>49462</v>
      </c>
      <c r="DA96" s="53">
        <v>49957</v>
      </c>
      <c r="DB96" s="53">
        <v>50447</v>
      </c>
      <c r="DC96" s="53">
        <v>50947</v>
      </c>
      <c r="DD96" s="53">
        <v>51428</v>
      </c>
      <c r="DE96" s="53">
        <v>51913</v>
      </c>
      <c r="DF96" s="53">
        <v>52409</v>
      </c>
      <c r="DG96" s="53">
        <v>52872</v>
      </c>
      <c r="DH96" s="53">
        <v>53353</v>
      </c>
      <c r="DI96" s="53">
        <v>53808</v>
      </c>
      <c r="DJ96" s="53">
        <v>54285</v>
      </c>
      <c r="DK96" s="53">
        <v>54752</v>
      </c>
      <c r="DL96" s="53">
        <v>55209</v>
      </c>
      <c r="DM96" s="53">
        <v>55673</v>
      </c>
      <c r="DN96" s="53">
        <v>56133</v>
      </c>
      <c r="DO96" s="53">
        <v>56590</v>
      </c>
    </row>
    <row r="97" spans="1:119">
      <c r="A97" s="52">
        <v>95</v>
      </c>
      <c r="W97" s="53">
        <v>6411</v>
      </c>
      <c r="X97" s="53">
        <v>6662</v>
      </c>
      <c r="Y97" s="53">
        <v>6910</v>
      </c>
      <c r="Z97" s="53">
        <v>7335</v>
      </c>
      <c r="AA97" s="53">
        <v>7616</v>
      </c>
      <c r="AB97" s="53">
        <v>7956</v>
      </c>
      <c r="AC97" s="53">
        <v>8346</v>
      </c>
      <c r="AD97" s="53">
        <v>8686</v>
      </c>
      <c r="AE97" s="53">
        <v>9027</v>
      </c>
      <c r="AF97" s="53">
        <v>9469</v>
      </c>
      <c r="AG97" s="53">
        <v>9836</v>
      </c>
      <c r="AH97" s="53">
        <v>10196</v>
      </c>
      <c r="AI97" s="53">
        <v>10575</v>
      </c>
      <c r="AJ97" s="53">
        <v>11139</v>
      </c>
      <c r="AK97" s="53">
        <v>11550</v>
      </c>
      <c r="AL97" s="53">
        <v>12030</v>
      </c>
      <c r="AM97" s="53">
        <v>12494</v>
      </c>
      <c r="AN97" s="53">
        <v>12956</v>
      </c>
      <c r="AO97" s="53">
        <v>13343</v>
      </c>
      <c r="AP97" s="53">
        <v>13716</v>
      </c>
      <c r="AQ97" s="53">
        <v>14062</v>
      </c>
      <c r="AR97" s="53">
        <v>14390</v>
      </c>
      <c r="AS97" s="53">
        <v>14646</v>
      </c>
      <c r="AT97" s="53">
        <v>14834</v>
      </c>
      <c r="AU97" s="53">
        <v>15005</v>
      </c>
      <c r="AV97" s="53">
        <v>15372</v>
      </c>
      <c r="AW97" s="53">
        <v>15855</v>
      </c>
      <c r="AX97" s="53">
        <v>16569</v>
      </c>
      <c r="AY97" s="53">
        <v>17280</v>
      </c>
      <c r="AZ97" s="53">
        <v>17696</v>
      </c>
      <c r="BA97" s="53">
        <v>18122</v>
      </c>
      <c r="BB97" s="53">
        <v>18649</v>
      </c>
      <c r="BC97" s="53">
        <v>19115</v>
      </c>
      <c r="BD97" s="53">
        <v>19593</v>
      </c>
      <c r="BE97" s="53">
        <v>20039</v>
      </c>
      <c r="BF97" s="53">
        <v>20552</v>
      </c>
      <c r="BG97" s="53">
        <v>21045</v>
      </c>
      <c r="BH97" s="53">
        <v>21550</v>
      </c>
      <c r="BI97" s="53">
        <v>22024</v>
      </c>
      <c r="BJ97" s="53">
        <v>22532</v>
      </c>
      <c r="BK97" s="53">
        <v>23061</v>
      </c>
      <c r="BL97" s="53">
        <v>23608</v>
      </c>
      <c r="BM97" s="53">
        <v>24150</v>
      </c>
      <c r="BN97" s="53">
        <v>24684</v>
      </c>
      <c r="BO97" s="53">
        <v>25200</v>
      </c>
      <c r="BP97" s="53">
        <v>25733</v>
      </c>
      <c r="BQ97" s="53">
        <v>26238</v>
      </c>
      <c r="BR97" s="53">
        <v>26746</v>
      </c>
      <c r="BS97" s="53">
        <v>27235</v>
      </c>
      <c r="BT97" s="53">
        <v>27745</v>
      </c>
      <c r="BU97" s="53">
        <v>28247</v>
      </c>
      <c r="BV97" s="53">
        <v>28767</v>
      </c>
      <c r="BW97" s="53">
        <v>29280</v>
      </c>
      <c r="BX97" s="53">
        <v>29807</v>
      </c>
      <c r="BY97" s="53">
        <v>30330</v>
      </c>
      <c r="BZ97" s="53">
        <v>30893</v>
      </c>
      <c r="CA97" s="53">
        <v>31440</v>
      </c>
      <c r="CB97" s="53">
        <v>31975</v>
      </c>
      <c r="CC97" s="53">
        <v>32502</v>
      </c>
      <c r="CD97" s="53">
        <v>33027</v>
      </c>
      <c r="CE97" s="53">
        <v>33555</v>
      </c>
      <c r="CF97" s="53">
        <v>34083</v>
      </c>
      <c r="CG97" s="53">
        <v>34617</v>
      </c>
      <c r="CH97" s="53">
        <v>35141</v>
      </c>
      <c r="CI97" s="53">
        <v>35680</v>
      </c>
      <c r="CJ97" s="53">
        <v>36197</v>
      </c>
      <c r="CK97" s="53">
        <v>36720</v>
      </c>
      <c r="CL97" s="53">
        <v>37257</v>
      </c>
      <c r="CM97" s="53">
        <v>37773</v>
      </c>
      <c r="CN97" s="53">
        <v>38298</v>
      </c>
      <c r="CO97" s="53">
        <v>38811</v>
      </c>
      <c r="CP97" s="53">
        <v>39338</v>
      </c>
      <c r="CQ97" s="53">
        <v>39855</v>
      </c>
      <c r="CR97" s="53">
        <v>40363</v>
      </c>
      <c r="CS97" s="53">
        <v>40881</v>
      </c>
      <c r="CT97" s="53">
        <v>41391</v>
      </c>
      <c r="CU97" s="53">
        <v>41898</v>
      </c>
      <c r="CV97" s="53">
        <v>42393</v>
      </c>
      <c r="CW97" s="53">
        <v>42901</v>
      </c>
      <c r="CX97" s="53">
        <v>43404</v>
      </c>
      <c r="CY97" s="53">
        <v>43902</v>
      </c>
      <c r="CZ97" s="53">
        <v>44384</v>
      </c>
      <c r="DA97" s="53">
        <v>44879</v>
      </c>
      <c r="DB97" s="53">
        <v>45371</v>
      </c>
      <c r="DC97" s="53">
        <v>45872</v>
      </c>
      <c r="DD97" s="53">
        <v>46356</v>
      </c>
      <c r="DE97" s="53">
        <v>46845</v>
      </c>
      <c r="DF97" s="53">
        <v>47344</v>
      </c>
      <c r="DG97" s="53">
        <v>47813</v>
      </c>
      <c r="DH97" s="53">
        <v>48300</v>
      </c>
      <c r="DI97" s="53">
        <v>48763</v>
      </c>
      <c r="DJ97" s="53">
        <v>49246</v>
      </c>
      <c r="DK97" s="53">
        <v>49721</v>
      </c>
      <c r="DL97" s="53">
        <v>50187</v>
      </c>
      <c r="DM97" s="53">
        <v>50659</v>
      </c>
      <c r="DN97" s="53">
        <v>51129</v>
      </c>
      <c r="DO97" s="53">
        <v>51595</v>
      </c>
    </row>
    <row r="98" spans="1:119">
      <c r="A98" s="52">
        <v>96</v>
      </c>
      <c r="W98" s="53">
        <v>4754</v>
      </c>
      <c r="X98" s="53">
        <v>4958</v>
      </c>
      <c r="Y98" s="53">
        <v>5161</v>
      </c>
      <c r="Z98" s="53">
        <v>5498</v>
      </c>
      <c r="AA98" s="53">
        <v>5728</v>
      </c>
      <c r="AB98" s="53">
        <v>6004</v>
      </c>
      <c r="AC98" s="53">
        <v>6320</v>
      </c>
      <c r="AD98" s="53">
        <v>6599</v>
      </c>
      <c r="AE98" s="53">
        <v>6881</v>
      </c>
      <c r="AF98" s="53">
        <v>7241</v>
      </c>
      <c r="AG98" s="53">
        <v>7545</v>
      </c>
      <c r="AH98" s="53">
        <v>7846</v>
      </c>
      <c r="AI98" s="53">
        <v>8162</v>
      </c>
      <c r="AJ98" s="53">
        <v>8624</v>
      </c>
      <c r="AK98" s="53">
        <v>8969</v>
      </c>
      <c r="AL98" s="53">
        <v>9369</v>
      </c>
      <c r="AM98" s="53">
        <v>9756</v>
      </c>
      <c r="AN98" s="53">
        <v>10142</v>
      </c>
      <c r="AO98" s="53">
        <v>10471</v>
      </c>
      <c r="AP98" s="53">
        <v>10791</v>
      </c>
      <c r="AQ98" s="53">
        <v>11090</v>
      </c>
      <c r="AR98" s="53">
        <v>11376</v>
      </c>
      <c r="AS98" s="53">
        <v>11606</v>
      </c>
      <c r="AT98" s="53">
        <v>11783</v>
      </c>
      <c r="AU98" s="53">
        <v>11946</v>
      </c>
      <c r="AV98" s="53">
        <v>12267</v>
      </c>
      <c r="AW98" s="53">
        <v>12681</v>
      </c>
      <c r="AX98" s="53">
        <v>13281</v>
      </c>
      <c r="AY98" s="53">
        <v>13882</v>
      </c>
      <c r="AZ98" s="53">
        <v>14247</v>
      </c>
      <c r="BA98" s="53">
        <v>14622</v>
      </c>
      <c r="BB98" s="53">
        <v>15080</v>
      </c>
      <c r="BC98" s="53">
        <v>15489</v>
      </c>
      <c r="BD98" s="53">
        <v>15909</v>
      </c>
      <c r="BE98" s="53">
        <v>16305</v>
      </c>
      <c r="BF98" s="53">
        <v>16757</v>
      </c>
      <c r="BG98" s="53">
        <v>17193</v>
      </c>
      <c r="BH98" s="53">
        <v>17641</v>
      </c>
      <c r="BI98" s="53">
        <v>18064</v>
      </c>
      <c r="BJ98" s="53">
        <v>18516</v>
      </c>
      <c r="BK98" s="53">
        <v>18988</v>
      </c>
      <c r="BL98" s="53">
        <v>19475</v>
      </c>
      <c r="BM98" s="53">
        <v>19959</v>
      </c>
      <c r="BN98" s="53">
        <v>20438</v>
      </c>
      <c r="BO98" s="53">
        <v>20903</v>
      </c>
      <c r="BP98" s="53">
        <v>21384</v>
      </c>
      <c r="BQ98" s="53">
        <v>21842</v>
      </c>
      <c r="BR98" s="53">
        <v>22305</v>
      </c>
      <c r="BS98" s="53">
        <v>22752</v>
      </c>
      <c r="BT98" s="53">
        <v>23218</v>
      </c>
      <c r="BU98" s="53">
        <v>23678</v>
      </c>
      <c r="BV98" s="53">
        <v>24154</v>
      </c>
      <c r="BW98" s="53">
        <v>24626</v>
      </c>
      <c r="BX98" s="53">
        <v>25110</v>
      </c>
      <c r="BY98" s="53">
        <v>25592</v>
      </c>
      <c r="BZ98" s="53">
        <v>26109</v>
      </c>
      <c r="CA98" s="53">
        <v>26614</v>
      </c>
      <c r="CB98" s="53">
        <v>27109</v>
      </c>
      <c r="CC98" s="53">
        <v>27599</v>
      </c>
      <c r="CD98" s="53">
        <v>28087</v>
      </c>
      <c r="CE98" s="53">
        <v>28579</v>
      </c>
      <c r="CF98" s="53">
        <v>29073</v>
      </c>
      <c r="CG98" s="53">
        <v>29572</v>
      </c>
      <c r="CH98" s="53">
        <v>30064</v>
      </c>
      <c r="CI98" s="53">
        <v>30568</v>
      </c>
      <c r="CJ98" s="53">
        <v>31056</v>
      </c>
      <c r="CK98" s="53">
        <v>31549</v>
      </c>
      <c r="CL98" s="53">
        <v>32055</v>
      </c>
      <c r="CM98" s="53">
        <v>32544</v>
      </c>
      <c r="CN98" s="53">
        <v>33041</v>
      </c>
      <c r="CO98" s="53">
        <v>33529</v>
      </c>
      <c r="CP98" s="53">
        <v>34029</v>
      </c>
      <c r="CQ98" s="53">
        <v>34522</v>
      </c>
      <c r="CR98" s="53">
        <v>35008</v>
      </c>
      <c r="CS98" s="53">
        <v>35502</v>
      </c>
      <c r="CT98" s="53">
        <v>35991</v>
      </c>
      <c r="CU98" s="53">
        <v>36478</v>
      </c>
      <c r="CV98" s="53">
        <v>36955</v>
      </c>
      <c r="CW98" s="53">
        <v>37443</v>
      </c>
      <c r="CX98" s="53">
        <v>37929</v>
      </c>
      <c r="CY98" s="53">
        <v>38410</v>
      </c>
      <c r="CZ98" s="53">
        <v>38878</v>
      </c>
      <c r="DA98" s="53">
        <v>39358</v>
      </c>
      <c r="DB98" s="53">
        <v>39835</v>
      </c>
      <c r="DC98" s="53">
        <v>40322</v>
      </c>
      <c r="DD98" s="53">
        <v>40794</v>
      </c>
      <c r="DE98" s="53">
        <v>41270</v>
      </c>
      <c r="DF98" s="53">
        <v>41756</v>
      </c>
      <c r="DG98" s="53">
        <v>42216</v>
      </c>
      <c r="DH98" s="53">
        <v>42692</v>
      </c>
      <c r="DI98" s="53">
        <v>43148</v>
      </c>
      <c r="DJ98" s="53">
        <v>43622</v>
      </c>
      <c r="DK98" s="53">
        <v>44089</v>
      </c>
      <c r="DL98" s="53">
        <v>44549</v>
      </c>
      <c r="DM98" s="53">
        <v>45014</v>
      </c>
      <c r="DN98" s="53">
        <v>45477</v>
      </c>
      <c r="DO98" s="53">
        <v>45939</v>
      </c>
    </row>
    <row r="99" spans="1:119">
      <c r="A99" s="52">
        <v>97</v>
      </c>
      <c r="W99" s="53">
        <v>3422</v>
      </c>
      <c r="X99" s="53">
        <v>3582</v>
      </c>
      <c r="Y99" s="53">
        <v>3743</v>
      </c>
      <c r="Z99" s="53">
        <v>4001</v>
      </c>
      <c r="AA99" s="53">
        <v>4184</v>
      </c>
      <c r="AB99" s="53">
        <v>4401</v>
      </c>
      <c r="AC99" s="53">
        <v>4648</v>
      </c>
      <c r="AD99" s="53">
        <v>4870</v>
      </c>
      <c r="AE99" s="53">
        <v>5095</v>
      </c>
      <c r="AF99" s="53">
        <v>5379</v>
      </c>
      <c r="AG99" s="53">
        <v>5624</v>
      </c>
      <c r="AH99" s="53">
        <v>5866</v>
      </c>
      <c r="AI99" s="53">
        <v>6122</v>
      </c>
      <c r="AJ99" s="53">
        <v>6489</v>
      </c>
      <c r="AK99" s="53">
        <v>6769</v>
      </c>
      <c r="AL99" s="53">
        <v>7093</v>
      </c>
      <c r="AM99" s="53">
        <v>7405</v>
      </c>
      <c r="AN99" s="53">
        <v>7718</v>
      </c>
      <c r="AO99" s="53">
        <v>7989</v>
      </c>
      <c r="AP99" s="53">
        <v>8254</v>
      </c>
      <c r="AQ99" s="53">
        <v>8504</v>
      </c>
      <c r="AR99" s="53">
        <v>8746</v>
      </c>
      <c r="AS99" s="53">
        <v>8944</v>
      </c>
      <c r="AT99" s="53">
        <v>9103</v>
      </c>
      <c r="AU99" s="53">
        <v>9251</v>
      </c>
      <c r="AV99" s="53">
        <v>9522</v>
      </c>
      <c r="AW99" s="53">
        <v>9866</v>
      </c>
      <c r="AX99" s="53">
        <v>10357</v>
      </c>
      <c r="AY99" s="53">
        <v>10850</v>
      </c>
      <c r="AZ99" s="53">
        <v>11161</v>
      </c>
      <c r="BA99" s="53">
        <v>11479</v>
      </c>
      <c r="BB99" s="53">
        <v>11865</v>
      </c>
      <c r="BC99" s="53">
        <v>12213</v>
      </c>
      <c r="BD99" s="53">
        <v>12572</v>
      </c>
      <c r="BE99" s="53">
        <v>12911</v>
      </c>
      <c r="BF99" s="53">
        <v>13297</v>
      </c>
      <c r="BG99" s="53">
        <v>13671</v>
      </c>
      <c r="BH99" s="53">
        <v>14056</v>
      </c>
      <c r="BI99" s="53">
        <v>14422</v>
      </c>
      <c r="BJ99" s="53">
        <v>14813</v>
      </c>
      <c r="BK99" s="53">
        <v>15220</v>
      </c>
      <c r="BL99" s="53">
        <v>15641</v>
      </c>
      <c r="BM99" s="53">
        <v>16060</v>
      </c>
      <c r="BN99" s="53">
        <v>16477</v>
      </c>
      <c r="BO99" s="53">
        <v>16884</v>
      </c>
      <c r="BP99" s="53">
        <v>17304</v>
      </c>
      <c r="BQ99" s="53">
        <v>17707</v>
      </c>
      <c r="BR99" s="53">
        <v>18115</v>
      </c>
      <c r="BS99" s="53">
        <v>18511</v>
      </c>
      <c r="BT99" s="53">
        <v>18923</v>
      </c>
      <c r="BU99" s="53">
        <v>19333</v>
      </c>
      <c r="BV99" s="53">
        <v>19755</v>
      </c>
      <c r="BW99" s="53">
        <v>20175</v>
      </c>
      <c r="BX99" s="53">
        <v>20607</v>
      </c>
      <c r="BY99" s="53">
        <v>21037</v>
      </c>
      <c r="BZ99" s="53">
        <v>21498</v>
      </c>
      <c r="CA99" s="53">
        <v>21949</v>
      </c>
      <c r="CB99" s="53">
        <v>22393</v>
      </c>
      <c r="CC99" s="53">
        <v>22834</v>
      </c>
      <c r="CD99" s="53">
        <v>23275</v>
      </c>
      <c r="CE99" s="53">
        <v>23719</v>
      </c>
      <c r="CF99" s="53">
        <v>24166</v>
      </c>
      <c r="CG99" s="53">
        <v>24618</v>
      </c>
      <c r="CH99" s="53">
        <v>25065</v>
      </c>
      <c r="CI99" s="53">
        <v>25523</v>
      </c>
      <c r="CJ99" s="53">
        <v>25968</v>
      </c>
      <c r="CK99" s="53">
        <v>26419</v>
      </c>
      <c r="CL99" s="53">
        <v>26881</v>
      </c>
      <c r="CM99" s="53">
        <v>27329</v>
      </c>
      <c r="CN99" s="53">
        <v>27786</v>
      </c>
      <c r="CO99" s="53">
        <v>28235</v>
      </c>
      <c r="CP99" s="53">
        <v>28696</v>
      </c>
      <c r="CQ99" s="53">
        <v>29150</v>
      </c>
      <c r="CR99" s="53">
        <v>29600</v>
      </c>
      <c r="CS99" s="53">
        <v>30058</v>
      </c>
      <c r="CT99" s="53">
        <v>30512</v>
      </c>
      <c r="CU99" s="53">
        <v>30965</v>
      </c>
      <c r="CV99" s="53">
        <v>31409</v>
      </c>
      <c r="CW99" s="53">
        <v>31865</v>
      </c>
      <c r="CX99" s="53">
        <v>32318</v>
      </c>
      <c r="CY99" s="53">
        <v>32768</v>
      </c>
      <c r="CZ99" s="53">
        <v>33208</v>
      </c>
      <c r="DA99" s="53">
        <v>33659</v>
      </c>
      <c r="DB99" s="53">
        <v>34108</v>
      </c>
      <c r="DC99" s="53">
        <v>34565</v>
      </c>
      <c r="DD99" s="53">
        <v>35010</v>
      </c>
      <c r="DE99" s="53">
        <v>35460</v>
      </c>
      <c r="DF99" s="53">
        <v>35919</v>
      </c>
      <c r="DG99" s="53">
        <v>36355</v>
      </c>
      <c r="DH99" s="53">
        <v>36806</v>
      </c>
      <c r="DI99" s="53">
        <v>37240</v>
      </c>
      <c r="DJ99" s="53">
        <v>37690</v>
      </c>
      <c r="DK99" s="53">
        <v>38135</v>
      </c>
      <c r="DL99" s="53">
        <v>38574</v>
      </c>
      <c r="DM99" s="53">
        <v>39018</v>
      </c>
      <c r="DN99" s="53">
        <v>39460</v>
      </c>
      <c r="DO99" s="53">
        <v>39902</v>
      </c>
    </row>
    <row r="100" spans="1:119">
      <c r="A100" s="52">
        <v>98</v>
      </c>
      <c r="W100" s="53">
        <v>2388</v>
      </c>
      <c r="X100" s="53">
        <v>2509</v>
      </c>
      <c r="Y100" s="53">
        <v>2632</v>
      </c>
      <c r="Z100" s="53">
        <v>2824</v>
      </c>
      <c r="AA100" s="53">
        <v>2964</v>
      </c>
      <c r="AB100" s="53">
        <v>3128</v>
      </c>
      <c r="AC100" s="53">
        <v>3316</v>
      </c>
      <c r="AD100" s="53">
        <v>3487</v>
      </c>
      <c r="AE100" s="53">
        <v>3660</v>
      </c>
      <c r="AF100" s="53">
        <v>3878</v>
      </c>
      <c r="AG100" s="53">
        <v>4068</v>
      </c>
      <c r="AH100" s="53">
        <v>4257</v>
      </c>
      <c r="AI100" s="53">
        <v>4458</v>
      </c>
      <c r="AJ100" s="53">
        <v>4740</v>
      </c>
      <c r="AK100" s="53">
        <v>4960</v>
      </c>
      <c r="AL100" s="53">
        <v>5213</v>
      </c>
      <c r="AM100" s="53">
        <v>5458</v>
      </c>
      <c r="AN100" s="53">
        <v>5704</v>
      </c>
      <c r="AO100" s="53">
        <v>5920</v>
      </c>
      <c r="AP100" s="53">
        <v>6132</v>
      </c>
      <c r="AQ100" s="53">
        <v>6334</v>
      </c>
      <c r="AR100" s="53">
        <v>6531</v>
      </c>
      <c r="AS100" s="53">
        <v>6696</v>
      </c>
      <c r="AT100" s="53">
        <v>6832</v>
      </c>
      <c r="AU100" s="53">
        <v>6960</v>
      </c>
      <c r="AV100" s="53">
        <v>7181</v>
      </c>
      <c r="AW100" s="53">
        <v>7459</v>
      </c>
      <c r="AX100" s="53">
        <v>7849</v>
      </c>
      <c r="AY100" s="53">
        <v>8242</v>
      </c>
      <c r="AZ100" s="53">
        <v>8497</v>
      </c>
      <c r="BA100" s="53">
        <v>8760</v>
      </c>
      <c r="BB100" s="53">
        <v>9075</v>
      </c>
      <c r="BC100" s="53">
        <v>9362</v>
      </c>
      <c r="BD100" s="53">
        <v>9658</v>
      </c>
      <c r="BE100" s="53">
        <v>9940</v>
      </c>
      <c r="BF100" s="53">
        <v>10259</v>
      </c>
      <c r="BG100" s="53">
        <v>10571</v>
      </c>
      <c r="BH100" s="53">
        <v>10891</v>
      </c>
      <c r="BI100" s="53">
        <v>11198</v>
      </c>
      <c r="BJ100" s="53">
        <v>11524</v>
      </c>
      <c r="BK100" s="53">
        <v>11865</v>
      </c>
      <c r="BL100" s="53">
        <v>12218</v>
      </c>
      <c r="BM100" s="53">
        <v>12570</v>
      </c>
      <c r="BN100" s="53">
        <v>12921</v>
      </c>
      <c r="BO100" s="53">
        <v>13266</v>
      </c>
      <c r="BP100" s="53">
        <v>13622</v>
      </c>
      <c r="BQ100" s="53">
        <v>13966</v>
      </c>
      <c r="BR100" s="53">
        <v>14314</v>
      </c>
      <c r="BS100" s="53">
        <v>14654</v>
      </c>
      <c r="BT100" s="53">
        <v>15007</v>
      </c>
      <c r="BU100" s="53">
        <v>15359</v>
      </c>
      <c r="BV100" s="53">
        <v>15723</v>
      </c>
      <c r="BW100" s="53">
        <v>16086</v>
      </c>
      <c r="BX100" s="53">
        <v>16458</v>
      </c>
      <c r="BY100" s="53">
        <v>16831</v>
      </c>
      <c r="BZ100" s="53">
        <v>17228</v>
      </c>
      <c r="CA100" s="53">
        <v>17619</v>
      </c>
      <c r="CB100" s="53">
        <v>18005</v>
      </c>
      <c r="CC100" s="53">
        <v>18389</v>
      </c>
      <c r="CD100" s="53">
        <v>18775</v>
      </c>
      <c r="CE100" s="53">
        <v>19164</v>
      </c>
      <c r="CF100" s="53">
        <v>19556</v>
      </c>
      <c r="CG100" s="53">
        <v>19952</v>
      </c>
      <c r="CH100" s="53">
        <v>20346</v>
      </c>
      <c r="CI100" s="53">
        <v>20750</v>
      </c>
      <c r="CJ100" s="53">
        <v>21143</v>
      </c>
      <c r="CK100" s="53">
        <v>21542</v>
      </c>
      <c r="CL100" s="53">
        <v>21951</v>
      </c>
      <c r="CM100" s="53">
        <v>22350</v>
      </c>
      <c r="CN100" s="53">
        <v>22756</v>
      </c>
      <c r="CO100" s="53">
        <v>23156</v>
      </c>
      <c r="CP100" s="53">
        <v>23567</v>
      </c>
      <c r="CQ100" s="53">
        <v>23974</v>
      </c>
      <c r="CR100" s="53">
        <v>24377</v>
      </c>
      <c r="CS100" s="53">
        <v>24788</v>
      </c>
      <c r="CT100" s="53">
        <v>25195</v>
      </c>
      <c r="CU100" s="53">
        <v>25603</v>
      </c>
      <c r="CV100" s="53">
        <v>26005</v>
      </c>
      <c r="CW100" s="53">
        <v>26417</v>
      </c>
      <c r="CX100" s="53">
        <v>26827</v>
      </c>
      <c r="CY100" s="53">
        <v>27235</v>
      </c>
      <c r="CZ100" s="53">
        <v>27635</v>
      </c>
      <c r="DA100" s="53">
        <v>28045</v>
      </c>
      <c r="DB100" s="53">
        <v>28454</v>
      </c>
      <c r="DC100" s="53">
        <v>28870</v>
      </c>
      <c r="DD100" s="53">
        <v>29277</v>
      </c>
      <c r="DE100" s="53">
        <v>29688</v>
      </c>
      <c r="DF100" s="53">
        <v>30107</v>
      </c>
      <c r="DG100" s="53">
        <v>30509</v>
      </c>
      <c r="DH100" s="53">
        <v>30922</v>
      </c>
      <c r="DI100" s="53">
        <v>31322</v>
      </c>
      <c r="DJ100" s="53">
        <v>31736</v>
      </c>
      <c r="DK100" s="53">
        <v>32146</v>
      </c>
      <c r="DL100" s="53">
        <v>32552</v>
      </c>
      <c r="DM100" s="53">
        <v>32962</v>
      </c>
      <c r="DN100" s="53">
        <v>33371</v>
      </c>
      <c r="DO100" s="53">
        <v>33780</v>
      </c>
    </row>
    <row r="101" spans="1:119">
      <c r="A101" s="52">
        <v>99</v>
      </c>
      <c r="W101" s="53">
        <v>1614</v>
      </c>
      <c r="X101" s="53">
        <v>1703</v>
      </c>
      <c r="Y101" s="53">
        <v>1792</v>
      </c>
      <c r="Z101" s="53">
        <v>1931</v>
      </c>
      <c r="AA101" s="53">
        <v>2034</v>
      </c>
      <c r="AB101" s="53">
        <v>2155</v>
      </c>
      <c r="AC101" s="53">
        <v>2293</v>
      </c>
      <c r="AD101" s="53">
        <v>2420</v>
      </c>
      <c r="AE101" s="53">
        <v>2549</v>
      </c>
      <c r="AF101" s="53">
        <v>2710</v>
      </c>
      <c r="AG101" s="53">
        <v>2853</v>
      </c>
      <c r="AH101" s="53">
        <v>2996</v>
      </c>
      <c r="AI101" s="53">
        <v>3148</v>
      </c>
      <c r="AJ101" s="53">
        <v>3358</v>
      </c>
      <c r="AK101" s="53">
        <v>3526</v>
      </c>
      <c r="AL101" s="53">
        <v>3717</v>
      </c>
      <c r="AM101" s="53">
        <v>3903</v>
      </c>
      <c r="AN101" s="53">
        <v>4090</v>
      </c>
      <c r="AO101" s="53">
        <v>4257</v>
      </c>
      <c r="AP101" s="53">
        <v>4421</v>
      </c>
      <c r="AQ101" s="53">
        <v>4579</v>
      </c>
      <c r="AR101" s="53">
        <v>4734</v>
      </c>
      <c r="AS101" s="53">
        <v>4866</v>
      </c>
      <c r="AT101" s="53">
        <v>4977</v>
      </c>
      <c r="AU101" s="53">
        <v>5084</v>
      </c>
      <c r="AV101" s="53">
        <v>5258</v>
      </c>
      <c r="AW101" s="53">
        <v>5475</v>
      </c>
      <c r="AX101" s="53">
        <v>5775</v>
      </c>
      <c r="AY101" s="53">
        <v>6079</v>
      </c>
      <c r="AZ101" s="53">
        <v>6283</v>
      </c>
      <c r="BA101" s="53">
        <v>6492</v>
      </c>
      <c r="BB101" s="53">
        <v>6741</v>
      </c>
      <c r="BC101" s="53">
        <v>6970</v>
      </c>
      <c r="BD101" s="53">
        <v>7207</v>
      </c>
      <c r="BE101" s="53">
        <v>7434</v>
      </c>
      <c r="BF101" s="53">
        <v>7690</v>
      </c>
      <c r="BG101" s="53">
        <v>7941</v>
      </c>
      <c r="BH101" s="53">
        <v>8199</v>
      </c>
      <c r="BI101" s="53">
        <v>8448</v>
      </c>
      <c r="BJ101" s="53">
        <v>8713</v>
      </c>
      <c r="BK101" s="53">
        <v>8989</v>
      </c>
      <c r="BL101" s="53">
        <v>9275</v>
      </c>
      <c r="BM101" s="53">
        <v>9562</v>
      </c>
      <c r="BN101" s="53">
        <v>9849</v>
      </c>
      <c r="BO101" s="53">
        <v>10132</v>
      </c>
      <c r="BP101" s="53">
        <v>10424</v>
      </c>
      <c r="BQ101" s="53">
        <v>10708</v>
      </c>
      <c r="BR101" s="53">
        <v>10995</v>
      </c>
      <c r="BS101" s="53">
        <v>11278</v>
      </c>
      <c r="BT101" s="53">
        <v>11572</v>
      </c>
      <c r="BU101" s="53">
        <v>11865</v>
      </c>
      <c r="BV101" s="53">
        <v>12168</v>
      </c>
      <c r="BW101" s="53">
        <v>12471</v>
      </c>
      <c r="BX101" s="53">
        <v>12782</v>
      </c>
      <c r="BY101" s="53">
        <v>13095</v>
      </c>
      <c r="BZ101" s="53">
        <v>13427</v>
      </c>
      <c r="CA101" s="53">
        <v>13755</v>
      </c>
      <c r="CB101" s="53">
        <v>14081</v>
      </c>
      <c r="CC101" s="53">
        <v>14406</v>
      </c>
      <c r="CD101" s="53">
        <v>14732</v>
      </c>
      <c r="CE101" s="53">
        <v>15062</v>
      </c>
      <c r="CF101" s="53">
        <v>15395</v>
      </c>
      <c r="CG101" s="53">
        <v>15732</v>
      </c>
      <c r="CH101" s="53">
        <v>16068</v>
      </c>
      <c r="CI101" s="53">
        <v>16412</v>
      </c>
      <c r="CJ101" s="53">
        <v>16749</v>
      </c>
      <c r="CK101" s="53">
        <v>17092</v>
      </c>
      <c r="CL101" s="53">
        <v>17442</v>
      </c>
      <c r="CM101" s="53">
        <v>17786</v>
      </c>
      <c r="CN101" s="53">
        <v>18136</v>
      </c>
      <c r="CO101" s="53">
        <v>18482</v>
      </c>
      <c r="CP101" s="53">
        <v>18837</v>
      </c>
      <c r="CQ101" s="53">
        <v>19189</v>
      </c>
      <c r="CR101" s="53">
        <v>19539</v>
      </c>
      <c r="CS101" s="53">
        <v>19896</v>
      </c>
      <c r="CT101" s="53">
        <v>20251</v>
      </c>
      <c r="CU101" s="53">
        <v>20607</v>
      </c>
      <c r="CV101" s="53">
        <v>20959</v>
      </c>
      <c r="CW101" s="53">
        <v>21319</v>
      </c>
      <c r="CX101" s="53">
        <v>21678</v>
      </c>
      <c r="CY101" s="53">
        <v>22037</v>
      </c>
      <c r="CZ101" s="53">
        <v>22389</v>
      </c>
      <c r="DA101" s="53">
        <v>22750</v>
      </c>
      <c r="DB101" s="53">
        <v>23111</v>
      </c>
      <c r="DC101" s="53">
        <v>23478</v>
      </c>
      <c r="DD101" s="53">
        <v>23839</v>
      </c>
      <c r="DE101" s="53">
        <v>24203</v>
      </c>
      <c r="DF101" s="53">
        <v>24574</v>
      </c>
      <c r="DG101" s="53">
        <v>24931</v>
      </c>
      <c r="DH101" s="53">
        <v>25299</v>
      </c>
      <c r="DI101" s="53">
        <v>25656</v>
      </c>
      <c r="DJ101" s="53">
        <v>26025</v>
      </c>
      <c r="DK101" s="53">
        <v>26391</v>
      </c>
      <c r="DL101" s="53">
        <v>26754</v>
      </c>
      <c r="DM101" s="53">
        <v>27121</v>
      </c>
      <c r="DN101" s="53">
        <v>27488</v>
      </c>
      <c r="DO101" s="53">
        <v>27855</v>
      </c>
    </row>
    <row r="102" spans="1:119">
      <c r="A102" s="52">
        <v>100</v>
      </c>
      <c r="W102" s="53">
        <v>1055</v>
      </c>
      <c r="X102" s="53">
        <v>1118</v>
      </c>
      <c r="Y102" s="53">
        <v>1182</v>
      </c>
      <c r="Z102" s="53">
        <v>1278</v>
      </c>
      <c r="AA102" s="53">
        <v>1352</v>
      </c>
      <c r="AB102" s="53">
        <v>1438</v>
      </c>
      <c r="AC102" s="53">
        <v>1536</v>
      </c>
      <c r="AD102" s="53">
        <v>1626</v>
      </c>
      <c r="AE102" s="53">
        <v>1720</v>
      </c>
      <c r="AF102" s="53">
        <v>1835</v>
      </c>
      <c r="AG102" s="53">
        <v>1939</v>
      </c>
      <c r="AH102" s="53">
        <v>2043</v>
      </c>
      <c r="AI102" s="53">
        <v>2154</v>
      </c>
      <c r="AJ102" s="53">
        <v>2306</v>
      </c>
      <c r="AK102" s="53">
        <v>2429</v>
      </c>
      <c r="AL102" s="53">
        <v>2570</v>
      </c>
      <c r="AM102" s="53">
        <v>2705</v>
      </c>
      <c r="AN102" s="53">
        <v>2843</v>
      </c>
      <c r="AO102" s="53">
        <v>2968</v>
      </c>
      <c r="AP102" s="53">
        <v>3091</v>
      </c>
      <c r="AQ102" s="53">
        <v>3210</v>
      </c>
      <c r="AR102" s="53">
        <v>3328</v>
      </c>
      <c r="AS102" s="53">
        <v>3430</v>
      </c>
      <c r="AT102" s="53">
        <v>3518</v>
      </c>
      <c r="AU102" s="53">
        <v>3602</v>
      </c>
      <c r="AV102" s="53">
        <v>3736</v>
      </c>
      <c r="AW102" s="53">
        <v>3900</v>
      </c>
      <c r="AX102" s="53">
        <v>4124</v>
      </c>
      <c r="AY102" s="53">
        <v>4351</v>
      </c>
      <c r="AZ102" s="53">
        <v>4508</v>
      </c>
      <c r="BA102" s="53">
        <v>4670</v>
      </c>
      <c r="BB102" s="53">
        <v>4860</v>
      </c>
      <c r="BC102" s="53">
        <v>5038</v>
      </c>
      <c r="BD102" s="53">
        <v>5221</v>
      </c>
      <c r="BE102" s="53">
        <v>5398</v>
      </c>
      <c r="BF102" s="53">
        <v>5596</v>
      </c>
      <c r="BG102" s="53">
        <v>5792</v>
      </c>
      <c r="BH102" s="53">
        <v>5993</v>
      </c>
      <c r="BI102" s="53">
        <v>6189</v>
      </c>
      <c r="BJ102" s="53">
        <v>6397</v>
      </c>
      <c r="BK102" s="53">
        <v>6614</v>
      </c>
      <c r="BL102" s="53">
        <v>6839</v>
      </c>
      <c r="BM102" s="53">
        <v>7065</v>
      </c>
      <c r="BN102" s="53">
        <v>7292</v>
      </c>
      <c r="BO102" s="53">
        <v>7517</v>
      </c>
      <c r="BP102" s="53">
        <v>7749</v>
      </c>
      <c r="BQ102" s="53">
        <v>7976</v>
      </c>
      <c r="BR102" s="53">
        <v>8207</v>
      </c>
      <c r="BS102" s="53">
        <v>8434</v>
      </c>
      <c r="BT102" s="53">
        <v>8670</v>
      </c>
      <c r="BU102" s="53">
        <v>8907</v>
      </c>
      <c r="BV102" s="53">
        <v>9151</v>
      </c>
      <c r="BW102" s="53">
        <v>9397</v>
      </c>
      <c r="BX102" s="53">
        <v>9649</v>
      </c>
      <c r="BY102" s="53">
        <v>9903</v>
      </c>
      <c r="BZ102" s="53">
        <v>10172</v>
      </c>
      <c r="CA102" s="53">
        <v>10439</v>
      </c>
      <c r="CB102" s="53">
        <v>10705</v>
      </c>
      <c r="CC102" s="53">
        <v>10971</v>
      </c>
      <c r="CD102" s="53">
        <v>11239</v>
      </c>
      <c r="CE102" s="53">
        <v>11510</v>
      </c>
      <c r="CF102" s="53">
        <v>11784</v>
      </c>
      <c r="CG102" s="53">
        <v>12062</v>
      </c>
      <c r="CH102" s="53">
        <v>12339</v>
      </c>
      <c r="CI102" s="53">
        <v>12624</v>
      </c>
      <c r="CJ102" s="53">
        <v>12904</v>
      </c>
      <c r="CK102" s="53">
        <v>13188</v>
      </c>
      <c r="CL102" s="53">
        <v>13480</v>
      </c>
      <c r="CM102" s="53">
        <v>13766</v>
      </c>
      <c r="CN102" s="53">
        <v>14058</v>
      </c>
      <c r="CO102" s="53">
        <v>14348</v>
      </c>
      <c r="CP102" s="53">
        <v>14645</v>
      </c>
      <c r="CQ102" s="53">
        <v>14941</v>
      </c>
      <c r="CR102" s="53">
        <v>15236</v>
      </c>
      <c r="CS102" s="53">
        <v>15536</v>
      </c>
      <c r="CT102" s="53">
        <v>15836</v>
      </c>
      <c r="CU102" s="53">
        <v>16137</v>
      </c>
      <c r="CV102" s="53">
        <v>16435</v>
      </c>
      <c r="CW102" s="53">
        <v>16740</v>
      </c>
      <c r="CX102" s="53">
        <v>17045</v>
      </c>
      <c r="CY102" s="53">
        <v>17351</v>
      </c>
      <c r="CZ102" s="53">
        <v>17651</v>
      </c>
      <c r="DA102" s="53">
        <v>17959</v>
      </c>
      <c r="DB102" s="53">
        <v>18268</v>
      </c>
      <c r="DC102" s="53">
        <v>18582</v>
      </c>
      <c r="DD102" s="53">
        <v>18891</v>
      </c>
      <c r="DE102" s="53">
        <v>19203</v>
      </c>
      <c r="DF102" s="53">
        <v>19522</v>
      </c>
      <c r="DG102" s="53">
        <v>19830</v>
      </c>
      <c r="DH102" s="53">
        <v>20147</v>
      </c>
      <c r="DI102" s="53">
        <v>20455</v>
      </c>
      <c r="DJ102" s="53">
        <v>20774</v>
      </c>
      <c r="DK102" s="53">
        <v>21091</v>
      </c>
      <c r="DL102" s="53">
        <v>21405</v>
      </c>
      <c r="DM102" s="53">
        <v>21724</v>
      </c>
      <c r="DN102" s="53">
        <v>22043</v>
      </c>
      <c r="DO102" s="53">
        <v>22362</v>
      </c>
    </row>
  </sheetData>
  <conditionalFormatting sqref="AC1:DO150">
    <cfRule type="expression" dxfId="30" priority="1" stopIfTrue="1">
      <formula>YEAR(E_Datum1)=AC$1</formula>
    </cfRule>
  </conditionalFormatting>
  <pageMargins left="0.7" right="0.7" top="0.78740157499999996" bottom="0.78740157499999996"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2202-6281-4049-940C-61C5385E8249}">
  <sheetPr codeName="Tabelle48"/>
  <dimension ref="A1:F105"/>
  <sheetViews>
    <sheetView topLeftCell="A73" workbookViewId="0">
      <selection activeCell="F73" sqref="F73"/>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39" t="s">
        <v>2726</v>
      </c>
      <c r="C1" s="136" t="s">
        <v>2739</v>
      </c>
      <c r="D1" s="136" t="s">
        <v>2728</v>
      </c>
      <c r="E1" s="128" t="s">
        <v>3506</v>
      </c>
      <c r="F1" s="16" t="s">
        <v>27</v>
      </c>
    </row>
    <row r="2" spans="1:6" ht="39.75" customHeight="1">
      <c r="A2" s="138"/>
      <c r="B2" s="139"/>
      <c r="C2" s="136"/>
      <c r="D2" s="136"/>
      <c r="E2" s="134"/>
      <c r="F2" s="173" t="str" cm="1">
        <f t="array" ref="F2">_xlfn.TEXTJOIN("; ", TRUE, IF(Entscheidungen!A2:A100=F1, Entscheidungen!B2:B100, ""))</f>
        <v>OLG Düsseldorf, 26.01.2011 – II-5 UF 129/10</v>
      </c>
    </row>
    <row r="3" spans="1:6" ht="177">
      <c r="A3" s="17">
        <f>ROW()</f>
        <v>3</v>
      </c>
      <c r="B3" s="18" t="s">
        <v>2740</v>
      </c>
      <c r="C3" s="18"/>
      <c r="D3" s="18" t="str">
        <f>+E3</f>
        <v>Geltende Rechtsgrundlage</v>
      </c>
      <c r="E3" s="31" t="s">
        <v>2724</v>
      </c>
      <c r="F3" s="6" t="s">
        <v>3508</v>
      </c>
    </row>
    <row r="4" spans="1:6" ht="110.25">
      <c r="A4" s="17">
        <f>ROW()</f>
        <v>4</v>
      </c>
      <c r="B4" s="18" t="s">
        <v>2740</v>
      </c>
      <c r="C4" s="1"/>
      <c r="D4" s="18" t="str">
        <f t="shared" ref="D4:D34" si="0">+E4</f>
        <v>Grundprinzipien</v>
      </c>
      <c r="E4" s="32" t="s">
        <v>2709</v>
      </c>
      <c r="F4" s="6" t="s">
        <v>3509</v>
      </c>
    </row>
    <row r="5" spans="1:6" ht="188.25">
      <c r="A5" s="17">
        <f>ROW()</f>
        <v>5</v>
      </c>
      <c r="B5" s="18" t="s">
        <v>2740</v>
      </c>
      <c r="C5" s="1"/>
      <c r="D5" s="18" t="str">
        <f t="shared" si="0"/>
        <v>Gedecktes Risiko: Definition</v>
      </c>
      <c r="E5" s="32" t="s">
        <v>2891</v>
      </c>
      <c r="F5" s="6" t="s">
        <v>3510</v>
      </c>
    </row>
    <row r="6" spans="1:6" ht="144">
      <c r="A6" s="17">
        <f>ROW()</f>
        <v>6</v>
      </c>
      <c r="B6" s="18" t="s">
        <v>2740</v>
      </c>
      <c r="C6" s="18" t="s">
        <v>2653</v>
      </c>
      <c r="D6" s="18" t="str">
        <f t="shared" si="0"/>
        <v>Versicherte Personen</v>
      </c>
      <c r="E6" s="33" t="s">
        <v>2653</v>
      </c>
      <c r="F6" s="6" t="s">
        <v>3511</v>
      </c>
    </row>
    <row r="7" spans="1:6" ht="273">
      <c r="A7" s="17">
        <f>ROW()</f>
        <v>7</v>
      </c>
      <c r="B7" s="18" t="s">
        <v>2740</v>
      </c>
      <c r="C7" s="18" t="str">
        <f>+E6</f>
        <v>Versicherte Personen</v>
      </c>
      <c r="D7" s="18" t="str">
        <f t="shared" si="0"/>
        <v>Ausnahmen von der Versicherungspflicht</v>
      </c>
      <c r="E7" s="33" t="s">
        <v>2685</v>
      </c>
      <c r="F7" s="6" t="s">
        <v>1088</v>
      </c>
    </row>
    <row r="8" spans="1:6" ht="195">
      <c r="A8" s="17">
        <f>ROW()</f>
        <v>8</v>
      </c>
      <c r="B8" s="18" t="s">
        <v>2740</v>
      </c>
      <c r="C8" s="19" t="s">
        <v>149</v>
      </c>
      <c r="D8" s="18" t="str">
        <f t="shared" si="0"/>
        <v>1. Anwartschaftszeit</v>
      </c>
      <c r="E8" s="33" t="s">
        <v>2744</v>
      </c>
      <c r="F8" s="6" t="s">
        <v>4915</v>
      </c>
    </row>
    <row r="9" spans="1:6" ht="409.5">
      <c r="A9" s="17">
        <f>ROW()</f>
        <v>9</v>
      </c>
      <c r="B9" s="18" t="s">
        <v>2740</v>
      </c>
      <c r="C9" s="19" t="s">
        <v>149</v>
      </c>
      <c r="D9" s="18" t="str">
        <f t="shared" si="0"/>
        <v xml:space="preserve">2. Begutachtungskriterien und Kategorien der Arbeitsunfähigkeit/Arbeitsfähigkeit  </v>
      </c>
      <c r="E9" s="33" t="s">
        <v>2745</v>
      </c>
      <c r="F9" s="6" t="s">
        <v>4916</v>
      </c>
    </row>
    <row r="10" spans="1:6" ht="222">
      <c r="A10" s="17">
        <f>ROW()</f>
        <v>10</v>
      </c>
      <c r="B10" s="18" t="s">
        <v>2740</v>
      </c>
      <c r="C10" s="19" t="s">
        <v>149</v>
      </c>
      <c r="D10" s="18" t="str">
        <f t="shared" si="0"/>
        <v>3. Zeitraum der Leistungszahlung</v>
      </c>
      <c r="E10" s="33" t="s">
        <v>2747</v>
      </c>
      <c r="F10" s="6" t="s">
        <v>4917</v>
      </c>
    </row>
    <row r="11" spans="1:6" ht="210">
      <c r="A11" s="17">
        <f>ROW()</f>
        <v>11</v>
      </c>
      <c r="B11" s="18" t="s">
        <v>2740</v>
      </c>
      <c r="C11" s="19" t="s">
        <v>2749</v>
      </c>
      <c r="D11" s="18" t="str">
        <f t="shared" si="0"/>
        <v>1. Gutachter</v>
      </c>
      <c r="E11" s="33" t="s">
        <v>2750</v>
      </c>
      <c r="F11" s="6" t="s">
        <v>3512</v>
      </c>
    </row>
    <row r="12" spans="1:6" ht="111.75">
      <c r="A12" s="17">
        <f>ROW()</f>
        <v>12</v>
      </c>
      <c r="B12" s="18" t="s">
        <v>2740</v>
      </c>
      <c r="C12" s="19" t="s">
        <v>2749</v>
      </c>
      <c r="D12" s="18" t="str">
        <f t="shared" si="0"/>
        <v xml:space="preserve">2. Überprüfung  </v>
      </c>
      <c r="E12" s="33" t="s">
        <v>2751</v>
      </c>
      <c r="F12" s="6" t="s">
        <v>4918</v>
      </c>
    </row>
    <row r="13" spans="1:6" ht="291.75">
      <c r="A13" s="17">
        <f>ROW()</f>
        <v>13</v>
      </c>
      <c r="B13" s="18" t="s">
        <v>2740</v>
      </c>
      <c r="C13" s="18" t="s">
        <v>2695</v>
      </c>
      <c r="D13" s="18" t="str">
        <f t="shared" si="0"/>
        <v>1. Berechnungsmethode bzw. Rentenformel</v>
      </c>
      <c r="E13" s="33" t="s">
        <v>2753</v>
      </c>
      <c r="F13" s="6" t="s">
        <v>3513</v>
      </c>
    </row>
    <row r="14" spans="1:6" ht="343.5">
      <c r="A14" s="17">
        <f>ROW()</f>
        <v>14</v>
      </c>
      <c r="B14" s="18" t="s">
        <v>2740</v>
      </c>
      <c r="C14" s="18" t="s">
        <v>2695</v>
      </c>
      <c r="D14" s="18" t="str">
        <f t="shared" si="0"/>
        <v>2. Referenzeinkommen bzw. Berechnungsgrundlage</v>
      </c>
      <c r="E14" s="33" t="s">
        <v>2754</v>
      </c>
      <c r="F14" s="6" t="s">
        <v>3514</v>
      </c>
    </row>
    <row r="15" spans="1:6" ht="285">
      <c r="A15" s="17">
        <f>ROW()</f>
        <v>15</v>
      </c>
      <c r="B15" s="18" t="s">
        <v>2740</v>
      </c>
      <c r="C15" s="18" t="s">
        <v>2695</v>
      </c>
      <c r="D15" s="18" t="str">
        <f t="shared" si="0"/>
        <v>3. Mindest- und Höchstleistungen</v>
      </c>
      <c r="E15" s="33" t="s">
        <v>2756</v>
      </c>
      <c r="F15" s="6" t="s">
        <v>4919</v>
      </c>
    </row>
    <row r="16" spans="1:6" ht="405">
      <c r="A16" s="17">
        <f>ROW()</f>
        <v>16</v>
      </c>
      <c r="B16" s="18" t="s">
        <v>2740</v>
      </c>
      <c r="C16" s="18" t="s">
        <v>2695</v>
      </c>
      <c r="D16" s="18" t="str">
        <f t="shared" si="0"/>
        <v>4. Anrechenbare oder als Beitragszeiten gewertete Zeiträume</v>
      </c>
      <c r="E16" s="33" t="s">
        <v>2757</v>
      </c>
      <c r="F16" s="6" t="s">
        <v>3515</v>
      </c>
    </row>
    <row r="17" spans="1:6" ht="250.5">
      <c r="A17" s="17">
        <f>ROW()</f>
        <v>17</v>
      </c>
      <c r="B17" s="18" t="s">
        <v>2740</v>
      </c>
      <c r="C17" s="18" t="s">
        <v>2695</v>
      </c>
      <c r="D17" s="18" t="str">
        <f t="shared" si="0"/>
        <v xml:space="preserve">5. Zulagen für Unterhaltsberechtigte  </v>
      </c>
      <c r="E17" s="33" t="s">
        <v>2759</v>
      </c>
      <c r="F17" s="6" t="s">
        <v>3516</v>
      </c>
    </row>
    <row r="18" spans="1:6" ht="135">
      <c r="A18" s="17">
        <f>ROW()</f>
        <v>18</v>
      </c>
      <c r="B18" s="18" t="s">
        <v>2740</v>
      </c>
      <c r="C18" s="18" t="str">
        <f>+E18</f>
        <v>Sonstige Leistungen</v>
      </c>
      <c r="D18" s="18" t="str">
        <f>+E18</f>
        <v>Sonstige Leistungen</v>
      </c>
      <c r="E18" s="32" t="s">
        <v>2678</v>
      </c>
      <c r="F18" s="6" t="s">
        <v>3517</v>
      </c>
    </row>
    <row r="19" spans="1:6" ht="300.75">
      <c r="A19" s="17">
        <f>ROW()</f>
        <v>19</v>
      </c>
      <c r="B19" s="18" t="s">
        <v>2740</v>
      </c>
      <c r="C19" s="18" t="s">
        <v>2761</v>
      </c>
      <c r="D19" s="18" t="str">
        <f t="shared" si="0"/>
        <v>Umschulung, berufsbezogene Rehabilitation</v>
      </c>
      <c r="E19" s="33" t="s">
        <v>2762</v>
      </c>
      <c r="F19" s="6" t="s">
        <v>3518</v>
      </c>
    </row>
    <row r="20" spans="1:6" ht="409.5">
      <c r="A20" s="17">
        <f>ROW()</f>
        <v>20</v>
      </c>
      <c r="B20" s="18" t="s">
        <v>2740</v>
      </c>
      <c r="C20" s="18" t="s">
        <v>2761</v>
      </c>
      <c r="D20" s="18" t="str">
        <f t="shared" si="0"/>
        <v xml:space="preserve">Bevorzugte und reservierte Beschäftigung von Menschen mit Behinderungen  </v>
      </c>
      <c r="E20" s="33" t="s">
        <v>2763</v>
      </c>
      <c r="F20" s="6" t="s">
        <v>4920</v>
      </c>
    </row>
    <row r="21" spans="1:6" ht="171.75">
      <c r="A21" s="17">
        <f>ROW()</f>
        <v>21</v>
      </c>
      <c r="B21" s="18" t="s">
        <v>2740</v>
      </c>
      <c r="C21" s="18" t="s">
        <v>2765</v>
      </c>
      <c r="D21" s="18" t="str">
        <f t="shared" si="0"/>
        <v>Indexbindung/Anpassung</v>
      </c>
      <c r="E21" s="32" t="s">
        <v>2766</v>
      </c>
      <c r="F21" s="6" t="s">
        <v>3519</v>
      </c>
    </row>
    <row r="22" spans="1:6" ht="242.25">
      <c r="A22" s="17">
        <f>ROW()</f>
        <v>22</v>
      </c>
      <c r="B22" s="18" t="s">
        <v>2740</v>
      </c>
      <c r="C22" s="18" t="s">
        <v>2765</v>
      </c>
      <c r="D22" s="18" t="str">
        <f>+E22</f>
        <v>Kumulation mit Erwerbseinkommen</v>
      </c>
      <c r="E22" s="32" t="s">
        <v>2723</v>
      </c>
      <c r="F22" s="6" t="s">
        <v>4921</v>
      </c>
    </row>
    <row r="23" spans="1:6" ht="275.25">
      <c r="A23" s="17">
        <f>ROW()</f>
        <v>23</v>
      </c>
      <c r="B23" s="18" t="s">
        <v>2740</v>
      </c>
      <c r="C23" s="18" t="s">
        <v>2765</v>
      </c>
      <c r="D23" s="18" t="str">
        <f t="shared" si="0"/>
        <v>Kumulation mit anderen Sozialleistungen</v>
      </c>
      <c r="E23" s="32" t="s">
        <v>2696</v>
      </c>
      <c r="F23" s="6" t="s">
        <v>3520</v>
      </c>
    </row>
    <row r="24" spans="1:6" ht="232.5">
      <c r="A24" s="17">
        <f>ROW()</f>
        <v>24</v>
      </c>
      <c r="B24" s="18" t="s">
        <v>2740</v>
      </c>
      <c r="C24" s="18" t="s">
        <v>2701</v>
      </c>
      <c r="D24" s="18" t="str">
        <f t="shared" si="0"/>
        <v>1. Besteuerung von Geldleistungen</v>
      </c>
      <c r="E24" s="33" t="s">
        <v>2770</v>
      </c>
      <c r="F24" s="6" t="s">
        <v>3521</v>
      </c>
    </row>
    <row r="25" spans="1:6" ht="387">
      <c r="A25" s="17">
        <f>ROW()</f>
        <v>25</v>
      </c>
      <c r="B25" s="18" t="s">
        <v>2740</v>
      </c>
      <c r="C25" s="18" t="s">
        <v>2701</v>
      </c>
      <c r="D25" s="18" t="str">
        <f t="shared" si="0"/>
        <v>2. Einkommensgrenze für Besteuerung von Geldleistungen</v>
      </c>
      <c r="E25" s="33" t="s">
        <v>2772</v>
      </c>
      <c r="F25" s="6" t="s">
        <v>3522</v>
      </c>
    </row>
    <row r="26" spans="1:6" ht="288.75">
      <c r="A26" s="17">
        <f>ROW()</f>
        <v>26</v>
      </c>
      <c r="B26" s="18" t="s">
        <v>2740</v>
      </c>
      <c r="C26" s="18" t="s">
        <v>2701</v>
      </c>
      <c r="D26" s="18" t="str">
        <f t="shared" si="0"/>
        <v>3. Auf Leistungen anfallende Sozialabgaben</v>
      </c>
      <c r="E26" s="33" t="s">
        <v>2773</v>
      </c>
      <c r="F26" s="6" t="s">
        <v>1632</v>
      </c>
    </row>
    <row r="27" spans="1:6" ht="138">
      <c r="A27" s="17">
        <f>ROW()</f>
        <v>27</v>
      </c>
      <c r="B27" s="18" t="s">
        <v>2740</v>
      </c>
      <c r="C27" s="18" t="s">
        <v>2775</v>
      </c>
      <c r="D27" s="18" t="str">
        <f t="shared" si="0"/>
        <v>Anwendungsbereich</v>
      </c>
      <c r="E27" s="33" t="s">
        <v>2708</v>
      </c>
      <c r="F27" s="6" t="s">
        <v>861</v>
      </c>
    </row>
    <row r="28" spans="1:6" ht="110.25">
      <c r="A28" s="17">
        <f>ROW()</f>
        <v>28</v>
      </c>
      <c r="B28" s="18" t="s">
        <v>2740</v>
      </c>
      <c r="C28" s="18" t="s">
        <v>2775</v>
      </c>
      <c r="D28" s="18" t="str">
        <f t="shared" si="0"/>
        <v>Grundprinzipien</v>
      </c>
      <c r="E28" s="33" t="s">
        <v>2709</v>
      </c>
      <c r="F28" s="6" t="s">
        <v>889</v>
      </c>
    </row>
    <row r="29" spans="1:6" ht="224.25">
      <c r="A29" s="17">
        <f>ROW()</f>
        <v>29</v>
      </c>
      <c r="B29" s="18" t="s">
        <v>2740</v>
      </c>
      <c r="C29" s="18" t="s">
        <v>2775</v>
      </c>
      <c r="D29" s="18" t="str">
        <f t="shared" si="0"/>
        <v>Voraussetzungen für die Deckung</v>
      </c>
      <c r="E29" s="33" t="s">
        <v>2710</v>
      </c>
      <c r="F29" s="6" t="s">
        <v>916</v>
      </c>
    </row>
    <row r="30" spans="1:6" ht="409.5">
      <c r="A30" s="17">
        <f>ROW()</f>
        <v>30</v>
      </c>
      <c r="B30" s="18" t="s">
        <v>2740</v>
      </c>
      <c r="C30" s="18" t="s">
        <v>2775</v>
      </c>
      <c r="D30" s="19" t="str">
        <f t="shared" si="0"/>
        <v>Kombination von selbstständiger und unselbstständiger Tätigkeit</v>
      </c>
      <c r="E30" s="33" t="s">
        <v>2698</v>
      </c>
      <c r="F30" s="6" t="s">
        <v>937</v>
      </c>
    </row>
    <row r="31" spans="1:6" ht="376.5">
      <c r="A31" s="17">
        <f>ROW()</f>
        <v>31</v>
      </c>
      <c r="B31" s="18" t="s">
        <v>2740</v>
      </c>
      <c r="C31" s="18" t="s">
        <v>2695</v>
      </c>
      <c r="D31" s="19" t="str">
        <f t="shared" si="0"/>
        <v xml:space="preserve">Voraussetzungen für den Zugang zu Diensten/Leistungen </v>
      </c>
      <c r="E31" s="33" t="s">
        <v>2699</v>
      </c>
      <c r="F31" s="6" t="s">
        <v>951</v>
      </c>
    </row>
    <row r="32" spans="1:6" ht="253.5">
      <c r="A32" s="17">
        <f>ROW()</f>
        <v>32</v>
      </c>
      <c r="B32" s="18" t="s">
        <v>2740</v>
      </c>
      <c r="C32" s="18" t="s">
        <v>2695</v>
      </c>
      <c r="D32" s="18" t="str">
        <f t="shared" si="0"/>
        <v>Beträge, Dauer und Kostenbeteiligung</v>
      </c>
      <c r="E32" s="33" t="s">
        <v>2700</v>
      </c>
      <c r="F32" s="6" t="s">
        <v>3523</v>
      </c>
    </row>
    <row r="33" spans="1:6" ht="216">
      <c r="A33" s="17">
        <f>ROW()</f>
        <v>33</v>
      </c>
      <c r="B33" s="18" t="s">
        <v>2740</v>
      </c>
      <c r="C33" s="18" t="s">
        <v>2695</v>
      </c>
      <c r="D33" s="18" t="str">
        <f t="shared" si="0"/>
        <v>Besteuerung von Geldleistungen</v>
      </c>
      <c r="E33" s="33" t="s">
        <v>2681</v>
      </c>
      <c r="F33" s="6" t="s">
        <v>940</v>
      </c>
    </row>
    <row r="34" spans="1:6" ht="276.75">
      <c r="A34" s="17">
        <f>ROW()</f>
        <v>34</v>
      </c>
      <c r="B34" s="18" t="s">
        <v>2740</v>
      </c>
      <c r="C34" s="18" t="s">
        <v>2695</v>
      </c>
      <c r="D34" s="18" t="str">
        <f t="shared" si="0"/>
        <v xml:space="preserve"> Auf Leistungen anfallende Sozialabgaben</v>
      </c>
      <c r="E34" s="33" t="s">
        <v>2779</v>
      </c>
      <c r="F34" s="6" t="s">
        <v>940</v>
      </c>
    </row>
    <row r="35" spans="1:6" ht="177">
      <c r="A35" s="17">
        <f>ROW()</f>
        <v>35</v>
      </c>
      <c r="B35" s="18" t="s">
        <v>2780</v>
      </c>
      <c r="C35" s="18" t="str">
        <f>+D35</f>
        <v>Geltende Rechtsgrundlage</v>
      </c>
      <c r="D35" s="18" t="str">
        <f>+E35</f>
        <v>Geltende Rechtsgrundlage</v>
      </c>
      <c r="E35" s="32" t="s">
        <v>2724</v>
      </c>
      <c r="F35" s="6" t="s">
        <v>58</v>
      </c>
    </row>
    <row r="36" spans="1:6" ht="120">
      <c r="A36" s="17">
        <f>ROW()</f>
        <v>36</v>
      </c>
      <c r="B36" s="18" t="s">
        <v>2780</v>
      </c>
      <c r="C36" s="18" t="str">
        <f>+D36</f>
        <v>Grundprinzipien</v>
      </c>
      <c r="D36" s="18" t="str">
        <f>+E36</f>
        <v>Grundprinzipien</v>
      </c>
      <c r="E36" s="32" t="s">
        <v>2709</v>
      </c>
      <c r="F36" s="6" t="s">
        <v>89</v>
      </c>
    </row>
    <row r="37" spans="1:6" ht="159.75">
      <c r="A37" s="17">
        <f>ROW()</f>
        <v>37</v>
      </c>
      <c r="B37" s="18" t="s">
        <v>2780</v>
      </c>
      <c r="C37" s="18" t="s">
        <v>2708</v>
      </c>
      <c r="D37" s="18" t="str">
        <f>+E37</f>
        <v>1. Versicherte Personen</v>
      </c>
      <c r="E37" s="33" t="s">
        <v>2781</v>
      </c>
      <c r="F37" s="6" t="s">
        <v>121</v>
      </c>
    </row>
    <row r="38" spans="1:6" ht="371.25">
      <c r="A38" s="17">
        <f>ROW()</f>
        <v>38</v>
      </c>
      <c r="B38" s="18" t="s">
        <v>2780</v>
      </c>
      <c r="C38" s="18" t="s">
        <v>2708</v>
      </c>
      <c r="D38" s="18" t="str">
        <f t="shared" ref="D38:D58" si="1">+E38</f>
        <v>2. Ausnahmen von der Deckung  der Pflichtversicherung</v>
      </c>
      <c r="E38" s="33" t="s">
        <v>2782</v>
      </c>
      <c r="F38" s="6" t="s">
        <v>145</v>
      </c>
    </row>
    <row r="39" spans="1:6" ht="194.25">
      <c r="A39" s="17">
        <f>ROW()</f>
        <v>39</v>
      </c>
      <c r="B39" s="18" t="s">
        <v>2780</v>
      </c>
      <c r="C39" s="18" t="s">
        <v>149</v>
      </c>
      <c r="D39" s="18" t="str">
        <f t="shared" si="1"/>
        <v>1. Rentenalter</v>
      </c>
      <c r="E39" s="33" t="s">
        <v>2784</v>
      </c>
      <c r="F39" s="6" t="s">
        <v>177</v>
      </c>
    </row>
    <row r="40" spans="1:6" ht="409.5">
      <c r="A40" s="17">
        <f>ROW()</f>
        <v>40</v>
      </c>
      <c r="B40" s="18" t="s">
        <v>2780</v>
      </c>
      <c r="C40" s="18" t="s">
        <v>149</v>
      </c>
      <c r="D40" s="18" t="str">
        <f t="shared" si="1"/>
        <v>2. Anwartschaftszeit und sonstige Anspruchsvoraussetzungen für den Bezug einer Altersrente</v>
      </c>
      <c r="E40" s="33" t="s">
        <v>2785</v>
      </c>
      <c r="F40" s="6" t="s">
        <v>208</v>
      </c>
    </row>
    <row r="41" spans="1:6" ht="255">
      <c r="A41" s="17">
        <f>ROW()</f>
        <v>41</v>
      </c>
      <c r="B41" s="18" t="s">
        <v>2780</v>
      </c>
      <c r="C41" s="18" t="s">
        <v>149</v>
      </c>
      <c r="D41" s="18" t="str">
        <f t="shared" si="1"/>
        <v>3. Vorruhestand</v>
      </c>
      <c r="E41" s="33" t="s">
        <v>2786</v>
      </c>
      <c r="F41" s="6" t="s">
        <v>4922</v>
      </c>
    </row>
    <row r="42" spans="1:6" ht="264">
      <c r="A42" s="17">
        <f>ROW()</f>
        <v>42</v>
      </c>
      <c r="B42" s="18" t="s">
        <v>2780</v>
      </c>
      <c r="C42" s="18" t="s">
        <v>149</v>
      </c>
      <c r="D42" s="18" t="str">
        <f t="shared" si="1"/>
        <v>4. Beschwerliche und gefährliche Arbeit</v>
      </c>
      <c r="E42" s="33" t="s">
        <v>2787</v>
      </c>
      <c r="F42" s="6" t="s">
        <v>4923</v>
      </c>
    </row>
    <row r="43" spans="1:6" ht="194.25">
      <c r="A43" s="17">
        <f>ROW()</f>
        <v>43</v>
      </c>
      <c r="B43" s="18" t="s">
        <v>2780</v>
      </c>
      <c r="C43" s="18" t="s">
        <v>149</v>
      </c>
      <c r="D43" s="18" t="str">
        <f t="shared" si="1"/>
        <v>5. Rentenaufschub</v>
      </c>
      <c r="E43" s="33" t="s">
        <v>2788</v>
      </c>
      <c r="F43" s="6" t="s">
        <v>292</v>
      </c>
    </row>
    <row r="44" spans="1:6" ht="174">
      <c r="A44" s="17">
        <f>ROW()</f>
        <v>44</v>
      </c>
      <c r="B44" s="18" t="s">
        <v>2780</v>
      </c>
      <c r="C44" s="18" t="s">
        <v>2695</v>
      </c>
      <c r="D44" s="18" t="str">
        <f t="shared" si="1"/>
        <v>1. Bestimmende Faktoren</v>
      </c>
      <c r="E44" s="33" t="s">
        <v>2789</v>
      </c>
      <c r="F44" s="6" t="s">
        <v>324</v>
      </c>
    </row>
    <row r="45" spans="1:6" ht="349.5">
      <c r="A45" s="17">
        <f>ROW()</f>
        <v>45</v>
      </c>
      <c r="B45" s="18" t="s">
        <v>2780</v>
      </c>
      <c r="C45" s="18" t="s">
        <v>2695</v>
      </c>
      <c r="D45" s="18" t="str">
        <f t="shared" si="1"/>
        <v>2. Berechnungsmethode, Rentenformel bzw. Beträge</v>
      </c>
      <c r="E45" s="33" t="s">
        <v>2790</v>
      </c>
      <c r="F45" s="6" t="s">
        <v>355</v>
      </c>
    </row>
    <row r="46" spans="1:6" ht="343.5">
      <c r="A46" s="17">
        <f>ROW()</f>
        <v>46</v>
      </c>
      <c r="B46" s="18" t="s">
        <v>2780</v>
      </c>
      <c r="C46" s="18" t="s">
        <v>2695</v>
      </c>
      <c r="D46" s="18" t="str">
        <f t="shared" si="1"/>
        <v>3. Referenzeinkommen bzw. Berechnungsgrundlage</v>
      </c>
      <c r="E46" s="33" t="s">
        <v>2791</v>
      </c>
      <c r="F46" s="6" t="s">
        <v>386</v>
      </c>
    </row>
    <row r="47" spans="1:6" ht="405">
      <c r="A47" s="17">
        <f>ROW()</f>
        <v>47</v>
      </c>
      <c r="B47" s="18" t="s">
        <v>2780</v>
      </c>
      <c r="C47" s="18" t="s">
        <v>2695</v>
      </c>
      <c r="D47" s="18" t="str">
        <f t="shared" si="1"/>
        <v>4. Anrechenbare oder als Beitragszeiten gewertete Zeiträume</v>
      </c>
      <c r="E47" s="33" t="s">
        <v>2757</v>
      </c>
      <c r="F47" s="6" t="s">
        <v>416</v>
      </c>
    </row>
    <row r="48" spans="1:6" ht="243.75">
      <c r="A48" s="17">
        <f>ROW()</f>
        <v>48</v>
      </c>
      <c r="B48" s="18" t="s">
        <v>2780</v>
      </c>
      <c r="C48" s="18" t="s">
        <v>2695</v>
      </c>
      <c r="D48" s="18" t="str">
        <f t="shared" si="1"/>
        <v>5. Rückkauf von Versicherungszeiten</v>
      </c>
      <c r="E48" s="33" t="s">
        <v>2792</v>
      </c>
      <c r="F48" s="6" t="s">
        <v>425</v>
      </c>
    </row>
    <row r="49" spans="1:6" ht="246">
      <c r="A49" s="17">
        <f>ROW()</f>
        <v>49</v>
      </c>
      <c r="B49" s="18" t="s">
        <v>2780</v>
      </c>
      <c r="C49" s="18" t="s">
        <v>2695</v>
      </c>
      <c r="D49" s="18" t="str">
        <f t="shared" si="1"/>
        <v>6.  Zulagen für Unterhaltsberechtigte</v>
      </c>
      <c r="E49" s="33" t="s">
        <v>2892</v>
      </c>
      <c r="F49" s="6" t="s">
        <v>467</v>
      </c>
    </row>
    <row r="50" spans="1:6" ht="145.5">
      <c r="A50" s="17">
        <f>ROW()</f>
        <v>50</v>
      </c>
      <c r="B50" s="18" t="s">
        <v>2780</v>
      </c>
      <c r="C50" s="18" t="s">
        <v>2695</v>
      </c>
      <c r="D50" s="18" t="str">
        <f t="shared" si="1"/>
        <v>7. Besondere Zulagen</v>
      </c>
      <c r="E50" s="33" t="s">
        <v>2793</v>
      </c>
      <c r="F50" s="6" t="s">
        <v>495</v>
      </c>
    </row>
    <row r="51" spans="1:6" ht="360.75">
      <c r="A51" s="17">
        <f>ROW()</f>
        <v>51</v>
      </c>
      <c r="B51" s="18" t="s">
        <v>2780</v>
      </c>
      <c r="C51" s="18" t="s">
        <v>2695</v>
      </c>
      <c r="D51" s="18" t="str">
        <f t="shared" si="1"/>
        <v>8. Mindestrente und bedürftigkeitsabhängige Leistung</v>
      </c>
      <c r="E51" s="33" t="s">
        <v>2794</v>
      </c>
      <c r="F51" s="6" t="s">
        <v>4924</v>
      </c>
    </row>
    <row r="52" spans="1:6" ht="101.25">
      <c r="A52" s="17">
        <f>ROW()</f>
        <v>52</v>
      </c>
      <c r="B52" s="18" t="s">
        <v>2780</v>
      </c>
      <c r="C52" s="18" t="s">
        <v>2695</v>
      </c>
      <c r="D52" s="18" t="str">
        <f t="shared" si="1"/>
        <v>9. Höchstrente</v>
      </c>
      <c r="E52" s="33" t="s">
        <v>2795</v>
      </c>
      <c r="F52" s="6" t="s">
        <v>552</v>
      </c>
    </row>
    <row r="53" spans="1:6" ht="119.25">
      <c r="A53" s="17">
        <f>ROW()</f>
        <v>53</v>
      </c>
      <c r="B53" s="18" t="s">
        <v>2780</v>
      </c>
      <c r="C53" s="18" t="s">
        <v>2695</v>
      </c>
      <c r="D53" s="18" t="str">
        <f t="shared" si="1"/>
        <v>10. Vorruhestand</v>
      </c>
      <c r="E53" s="33" t="s">
        <v>2796</v>
      </c>
      <c r="F53" s="6" t="s">
        <v>581</v>
      </c>
    </row>
    <row r="54" spans="1:6" ht="272.25">
      <c r="A54" s="17">
        <f>ROW()</f>
        <v>54</v>
      </c>
      <c r="B54" s="18" t="s">
        <v>2780</v>
      </c>
      <c r="C54" s="18" t="s">
        <v>2695</v>
      </c>
      <c r="D54" s="18" t="str">
        <f t="shared" si="1"/>
        <v>11. Beschwerliche und gefährliche Arbeit</v>
      </c>
      <c r="E54" s="33" t="s">
        <v>2797</v>
      </c>
      <c r="F54" s="6" t="s">
        <v>606</v>
      </c>
    </row>
    <row r="55" spans="1:6" ht="90">
      <c r="A55" s="17">
        <f>ROW()</f>
        <v>55</v>
      </c>
      <c r="B55" s="18" t="s">
        <v>2780</v>
      </c>
      <c r="C55" s="18" t="s">
        <v>2695</v>
      </c>
      <c r="D55" s="18" t="str">
        <f t="shared" si="1"/>
        <v>12. Teilrente</v>
      </c>
      <c r="E55" s="33" t="s">
        <v>2798</v>
      </c>
      <c r="F55" s="6" t="s">
        <v>634</v>
      </c>
    </row>
    <row r="56" spans="1:6" ht="171.75">
      <c r="A56" s="17">
        <f>ROW()</f>
        <v>56</v>
      </c>
      <c r="B56" s="18" t="s">
        <v>2780</v>
      </c>
      <c r="C56" s="18" t="s">
        <v>2695</v>
      </c>
      <c r="D56" s="18" t="str">
        <f t="shared" si="1"/>
        <v>13. Aufgeschobene Rente</v>
      </c>
      <c r="E56" s="33" t="s">
        <v>2893</v>
      </c>
      <c r="F56" s="6" t="s">
        <v>4925</v>
      </c>
    </row>
    <row r="57" spans="1:6" ht="179.25">
      <c r="A57" s="17">
        <f>ROW()</f>
        <v>57</v>
      </c>
      <c r="B57" s="18" t="s">
        <v>2780</v>
      </c>
      <c r="C57" s="18" t="s">
        <v>2799</v>
      </c>
      <c r="D57" s="18" t="s">
        <v>2799</v>
      </c>
      <c r="E57" s="32" t="s">
        <v>2799</v>
      </c>
      <c r="F57" s="6" t="s">
        <v>695</v>
      </c>
    </row>
    <row r="58" spans="1:6" ht="246">
      <c r="A58" s="17">
        <f>ROW()</f>
        <v>58</v>
      </c>
      <c r="B58" s="18" t="s">
        <v>2780</v>
      </c>
      <c r="C58" s="18" t="s">
        <v>2799</v>
      </c>
      <c r="D58" s="18" t="str">
        <f t="shared" si="1"/>
        <v xml:space="preserve">Kumulation mit Erwerbseinkommen </v>
      </c>
      <c r="E58" s="32" t="s">
        <v>2697</v>
      </c>
      <c r="F58" s="6" t="s">
        <v>726</v>
      </c>
    </row>
    <row r="59" spans="1:6" ht="286.5">
      <c r="A59" s="17">
        <f>ROW()</f>
        <v>59</v>
      </c>
      <c r="B59" s="18" t="s">
        <v>2780</v>
      </c>
      <c r="C59" s="18" t="s">
        <v>2799</v>
      </c>
      <c r="D59" s="18" t="s">
        <v>2800</v>
      </c>
      <c r="E59" s="32" t="s">
        <v>2696</v>
      </c>
      <c r="F59" s="6" t="s">
        <v>757</v>
      </c>
    </row>
    <row r="60" spans="1:6" ht="225.75">
      <c r="A60" s="17">
        <f>ROW()</f>
        <v>60</v>
      </c>
      <c r="B60" s="18" t="s">
        <v>2780</v>
      </c>
      <c r="C60" s="18" t="s">
        <v>761</v>
      </c>
      <c r="D60" s="18" t="str">
        <f t="shared" ref="D60:D70" si="2">+E60</f>
        <v>1. Besteuerung von Renten</v>
      </c>
      <c r="E60" s="33" t="s">
        <v>2801</v>
      </c>
      <c r="F60" s="6" t="s">
        <v>772</v>
      </c>
    </row>
    <row r="61" spans="1:6" ht="335.25">
      <c r="A61" s="17">
        <f>ROW()</f>
        <v>61</v>
      </c>
      <c r="B61" s="18" t="s">
        <v>2780</v>
      </c>
      <c r="C61" s="18" t="s">
        <v>761</v>
      </c>
      <c r="D61" s="18" t="str">
        <f t="shared" si="2"/>
        <v>2. Einkommensgrenze für Besteuerung von Renten</v>
      </c>
      <c r="E61" s="33" t="s">
        <v>2802</v>
      </c>
      <c r="F61" s="6" t="s">
        <v>813</v>
      </c>
    </row>
    <row r="62" spans="1:6" ht="264">
      <c r="A62" s="17">
        <f>ROW()</f>
        <v>62</v>
      </c>
      <c r="B62" s="18" t="s">
        <v>2780</v>
      </c>
      <c r="C62" s="18" t="s">
        <v>761</v>
      </c>
      <c r="D62" s="18" t="str">
        <f t="shared" si="2"/>
        <v>3. Auf Renten anfallende Sozialabgaben</v>
      </c>
      <c r="E62" s="33" t="s">
        <v>2803</v>
      </c>
      <c r="F62" s="6" t="s">
        <v>820</v>
      </c>
    </row>
    <row r="63" spans="1:6" ht="138">
      <c r="A63" s="17">
        <f>ROW()</f>
        <v>63</v>
      </c>
      <c r="B63" s="18" t="s">
        <v>2804</v>
      </c>
      <c r="C63" s="18" t="str">
        <f>+E63</f>
        <v>Anwendungsbereich</v>
      </c>
      <c r="D63" s="18" t="str">
        <f t="shared" si="2"/>
        <v>Anwendungsbereich</v>
      </c>
      <c r="E63" s="33" t="s">
        <v>2708</v>
      </c>
      <c r="F63" s="6" t="s">
        <v>861</v>
      </c>
    </row>
    <row r="64" spans="1:6" ht="132.75">
      <c r="A64" s="17">
        <f>ROW()</f>
        <v>64</v>
      </c>
      <c r="B64" s="18" t="s">
        <v>2804</v>
      </c>
      <c r="C64" s="18" t="s">
        <v>2775</v>
      </c>
      <c r="D64" s="18" t="str">
        <f t="shared" si="2"/>
        <v>Grundprinzipien</v>
      </c>
      <c r="E64" s="33" t="s">
        <v>2709</v>
      </c>
      <c r="F64" s="6" t="s">
        <v>889</v>
      </c>
    </row>
    <row r="65" spans="1:6" ht="224.25">
      <c r="A65" s="17">
        <f>ROW()</f>
        <v>65</v>
      </c>
      <c r="B65" s="18" t="s">
        <v>2804</v>
      </c>
      <c r="C65" s="18" t="s">
        <v>2775</v>
      </c>
      <c r="D65" s="18" t="str">
        <f t="shared" si="2"/>
        <v>Voraussetzungen für die Deckung</v>
      </c>
      <c r="E65" s="33" t="s">
        <v>2710</v>
      </c>
      <c r="F65" s="6" t="s">
        <v>916</v>
      </c>
    </row>
    <row r="66" spans="1:6" ht="409.5">
      <c r="A66" s="17">
        <f>ROW()</f>
        <v>66</v>
      </c>
      <c r="B66" s="18" t="s">
        <v>2804</v>
      </c>
      <c r="C66" s="18" t="s">
        <v>2775</v>
      </c>
      <c r="D66" s="18" t="str">
        <f t="shared" si="2"/>
        <v>Kombination von selbstständiger und unselbstständiger Tätigkeit</v>
      </c>
      <c r="E66" s="33" t="s">
        <v>2698</v>
      </c>
      <c r="F66" s="6" t="s">
        <v>937</v>
      </c>
    </row>
    <row r="67" spans="1:6" ht="376.5">
      <c r="A67" s="17">
        <f>ROW()</f>
        <v>67</v>
      </c>
      <c r="B67" s="18" t="s">
        <v>2804</v>
      </c>
      <c r="C67" s="18" t="s">
        <v>2695</v>
      </c>
      <c r="D67" s="19" t="str">
        <f t="shared" si="2"/>
        <v xml:space="preserve">Voraussetzungen für den Zugang zu Diensten/Leistungen </v>
      </c>
      <c r="E67" s="33" t="s">
        <v>2699</v>
      </c>
      <c r="F67" s="6" t="s">
        <v>951</v>
      </c>
    </row>
    <row r="68" spans="1:6" ht="253.5">
      <c r="A68" s="17">
        <f>ROW()</f>
        <v>68</v>
      </c>
      <c r="B68" s="18" t="s">
        <v>2804</v>
      </c>
      <c r="C68" s="18" t="s">
        <v>2695</v>
      </c>
      <c r="D68" s="19" t="str">
        <f t="shared" si="2"/>
        <v>Beträge, Dauer und Kostenbeteiligung</v>
      </c>
      <c r="E68" s="33" t="s">
        <v>2700</v>
      </c>
      <c r="F68" s="6" t="s">
        <v>963</v>
      </c>
    </row>
    <row r="69" spans="1:6" ht="216">
      <c r="A69" s="17">
        <f>ROW()</f>
        <v>69</v>
      </c>
      <c r="B69" s="18" t="s">
        <v>2804</v>
      </c>
      <c r="C69" s="18" t="s">
        <v>2695</v>
      </c>
      <c r="D69" s="19" t="str">
        <f t="shared" si="2"/>
        <v>Besteuerung von Geldleistungen</v>
      </c>
      <c r="E69" s="33" t="s">
        <v>2681</v>
      </c>
      <c r="F69" s="6" t="s">
        <v>940</v>
      </c>
    </row>
    <row r="70" spans="1:6" ht="272.25">
      <c r="A70" s="17">
        <f>ROW()</f>
        <v>70</v>
      </c>
      <c r="B70" s="18" t="s">
        <v>2804</v>
      </c>
      <c r="C70" s="18" t="s">
        <v>2695</v>
      </c>
      <c r="D70" s="19" t="str">
        <f t="shared" si="2"/>
        <v>Auf Leistungen anfallende Sozialabgaben</v>
      </c>
      <c r="E70" s="33" t="s">
        <v>2683</v>
      </c>
      <c r="F70" s="6" t="s">
        <v>940</v>
      </c>
    </row>
    <row r="71" spans="1:6" ht="240">
      <c r="A71" s="17">
        <f>ROW()</f>
        <v>71</v>
      </c>
      <c r="B71" s="18" t="s">
        <v>2702</v>
      </c>
      <c r="C71" s="18" t="str">
        <f t="shared" ref="C71:D75" si="3">+D71</f>
        <v>Geltende Rechtsgrundlage</v>
      </c>
      <c r="D71" s="19" t="str">
        <f t="shared" si="3"/>
        <v>Geltende Rechtsgrundlage</v>
      </c>
      <c r="E71" s="32" t="s">
        <v>2724</v>
      </c>
      <c r="F71" s="6" t="s">
        <v>1013</v>
      </c>
    </row>
    <row r="72" spans="1:6" ht="110.25">
      <c r="A72" s="17">
        <f>ROW()</f>
        <v>72</v>
      </c>
      <c r="B72" s="18" t="s">
        <v>2702</v>
      </c>
      <c r="C72" s="18" t="str">
        <f t="shared" si="3"/>
        <v>Grundprinzipien</v>
      </c>
      <c r="D72" s="19" t="str">
        <f t="shared" si="3"/>
        <v>Grundprinzipien</v>
      </c>
      <c r="E72" s="32" t="s">
        <v>2709</v>
      </c>
      <c r="F72" s="6" t="s">
        <v>1043</v>
      </c>
    </row>
    <row r="73" spans="1:6" ht="315">
      <c r="A73" s="17">
        <f>ROW()</f>
        <v>73</v>
      </c>
      <c r="B73" s="18" t="s">
        <v>2702</v>
      </c>
      <c r="C73" s="19" t="str">
        <f t="shared" si="3"/>
        <v>Anwendungsbereich (in Bezug auf Verstorbene)</v>
      </c>
      <c r="D73" s="19" t="str">
        <f t="shared" si="3"/>
        <v>Anwendungsbereich (in Bezug auf Verstorbene)</v>
      </c>
      <c r="E73" s="32" t="s">
        <v>2725</v>
      </c>
      <c r="F73" s="13" t="s">
        <v>27</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1088</v>
      </c>
    </row>
    <row r="75" spans="1:6" ht="195">
      <c r="A75" s="17">
        <f>ROW()</f>
        <v>75</v>
      </c>
      <c r="B75" s="18" t="s">
        <v>2702</v>
      </c>
      <c r="C75" s="19" t="str">
        <f t="shared" si="3"/>
        <v>Berechtigte Personen</v>
      </c>
      <c r="D75" s="19" t="str">
        <f t="shared" si="3"/>
        <v>Berechtigte Personen</v>
      </c>
      <c r="E75" s="32" t="s">
        <v>2730</v>
      </c>
      <c r="F75" s="6" t="s">
        <v>1118</v>
      </c>
    </row>
    <row r="76" spans="1:6" ht="102">
      <c r="A76" s="17">
        <f>ROW()</f>
        <v>76</v>
      </c>
      <c r="B76" s="18" t="s">
        <v>2702</v>
      </c>
      <c r="C76" s="1"/>
      <c r="D76" s="1"/>
      <c r="E76" s="32" t="s">
        <v>2783</v>
      </c>
      <c r="F76" s="6"/>
    </row>
    <row r="77" spans="1:6" ht="189.75">
      <c r="A77" s="17">
        <f>ROW()</f>
        <v>77</v>
      </c>
      <c r="B77" s="18" t="s">
        <v>2702</v>
      </c>
      <c r="C77" s="18" t="s">
        <v>2805</v>
      </c>
      <c r="D77" s="18" t="str">
        <f t="shared" ref="D77:D90" si="4">+E77</f>
        <v>1. Verstorbener Versicherter</v>
      </c>
      <c r="E77" s="33" t="s">
        <v>2806</v>
      </c>
      <c r="F77" s="6" t="s">
        <v>4926</v>
      </c>
    </row>
    <row r="78" spans="1:6" ht="185.25">
      <c r="A78" s="17">
        <f>ROW()</f>
        <v>78</v>
      </c>
      <c r="B78" s="18" t="s">
        <v>2702</v>
      </c>
      <c r="C78" s="18" t="s">
        <v>2805</v>
      </c>
      <c r="D78" s="18" t="str">
        <f t="shared" si="4"/>
        <v>2. Hinterbliebener Ehegatte</v>
      </c>
      <c r="E78" s="33" t="s">
        <v>2807</v>
      </c>
      <c r="F78" s="6" t="s">
        <v>1180</v>
      </c>
    </row>
    <row r="79" spans="1:6" ht="181.5">
      <c r="A79" s="17">
        <f>ROW()</f>
        <v>79</v>
      </c>
      <c r="B79" s="18" t="s">
        <v>2702</v>
      </c>
      <c r="C79" s="18" t="s">
        <v>2805</v>
      </c>
      <c r="D79" s="18" t="str">
        <f t="shared" si="4"/>
        <v>3. Geschiedener Ehegatte</v>
      </c>
      <c r="E79" s="33" t="s">
        <v>2808</v>
      </c>
      <c r="F79" s="6" t="s">
        <v>1209</v>
      </c>
    </row>
    <row r="80" spans="1:6" ht="216">
      <c r="A80" s="17">
        <f>ROW()</f>
        <v>80</v>
      </c>
      <c r="B80" s="18" t="s">
        <v>2702</v>
      </c>
      <c r="C80" s="18" t="s">
        <v>2805</v>
      </c>
      <c r="D80" s="18" t="str">
        <f t="shared" si="4"/>
        <v>4. Hinterbliebene Lebenspartner</v>
      </c>
      <c r="E80" s="33" t="s">
        <v>2809</v>
      </c>
      <c r="F80" s="6" t="s">
        <v>1231</v>
      </c>
    </row>
    <row r="81" spans="1:6" ht="181.5">
      <c r="A81" s="17">
        <f>ROW()</f>
        <v>81</v>
      </c>
      <c r="B81" s="18" t="s">
        <v>2702</v>
      </c>
      <c r="C81" s="18" t="s">
        <v>2805</v>
      </c>
      <c r="D81" s="18" t="str">
        <f t="shared" si="4"/>
        <v>5. Kinder</v>
      </c>
      <c r="E81" s="33" t="s">
        <v>2810</v>
      </c>
      <c r="F81" s="6" t="s">
        <v>4927</v>
      </c>
    </row>
    <row r="82" spans="1:6" ht="181.5">
      <c r="A82" s="17">
        <f>ROW()</f>
        <v>82</v>
      </c>
      <c r="B82" s="18" t="s">
        <v>2702</v>
      </c>
      <c r="C82" s="18" t="s">
        <v>2805</v>
      </c>
      <c r="D82" s="18" t="str">
        <f t="shared" si="4"/>
        <v>6. Andere Personen</v>
      </c>
      <c r="E82" s="33" t="s">
        <v>2811</v>
      </c>
      <c r="F82" s="6" t="s">
        <v>4928</v>
      </c>
    </row>
    <row r="83" spans="1:6" ht="409.5">
      <c r="A83" s="17">
        <f>ROW()</f>
        <v>83</v>
      </c>
      <c r="B83" s="18" t="s">
        <v>2702</v>
      </c>
      <c r="C83" s="18" t="s">
        <v>2695</v>
      </c>
      <c r="D83" s="19" t="str">
        <f t="shared" si="4"/>
        <v>1. Hinterbliebener Ehegatte, geschiedener Ehegatte, hinterbliebene Lebenspartner</v>
      </c>
      <c r="E83" s="33" t="s">
        <v>2812</v>
      </c>
      <c r="F83" s="6" t="s">
        <v>1309</v>
      </c>
    </row>
    <row r="84" spans="1:6" ht="280.5">
      <c r="A84" s="17">
        <f>ROW()</f>
        <v>84</v>
      </c>
      <c r="B84" s="18" t="s">
        <v>2702</v>
      </c>
      <c r="C84" s="18" t="s">
        <v>2695</v>
      </c>
      <c r="D84" s="19" t="str">
        <f t="shared" si="4"/>
        <v>2. Hinterbliebener Ehegatte: Wiederheirat</v>
      </c>
      <c r="E84" s="33" t="s">
        <v>2813</v>
      </c>
      <c r="F84" s="6" t="s">
        <v>4929</v>
      </c>
    </row>
    <row r="85" spans="1:6" ht="195">
      <c r="A85" s="17">
        <f>ROW()</f>
        <v>85</v>
      </c>
      <c r="B85" s="18" t="s">
        <v>2702</v>
      </c>
      <c r="C85" s="18" t="s">
        <v>2695</v>
      </c>
      <c r="D85" s="19" t="str">
        <f t="shared" si="4"/>
        <v>3. Kinder</v>
      </c>
      <c r="E85" s="33" t="s">
        <v>2814</v>
      </c>
      <c r="F85" s="6" t="s">
        <v>1369</v>
      </c>
    </row>
    <row r="86" spans="1:6" ht="147">
      <c r="A86" s="17">
        <f>ROW()</f>
        <v>86</v>
      </c>
      <c r="B86" s="18" t="s">
        <v>2702</v>
      </c>
      <c r="C86" s="18" t="s">
        <v>2695</v>
      </c>
      <c r="D86" s="19" t="str">
        <f t="shared" si="4"/>
        <v>4. Andere Berechtigte</v>
      </c>
      <c r="E86" s="33" t="s">
        <v>2815</v>
      </c>
      <c r="F86" s="6" t="s">
        <v>1386</v>
      </c>
    </row>
    <row r="87" spans="1:6" ht="381">
      <c r="A87" s="17">
        <f>ROW()</f>
        <v>87</v>
      </c>
      <c r="B87" s="18" t="s">
        <v>2702</v>
      </c>
      <c r="C87" s="18" t="s">
        <v>2695</v>
      </c>
      <c r="D87" s="19" t="str">
        <f t="shared" si="4"/>
        <v xml:space="preserve"> 5. Höchster zahlbarer Gesamtbetrag für alle Berechtigten</v>
      </c>
      <c r="E87" s="33" t="s">
        <v>2816</v>
      </c>
      <c r="F87" s="6" t="s">
        <v>1410</v>
      </c>
    </row>
    <row r="88" spans="1:6" ht="151.5">
      <c r="A88" s="17">
        <f>ROW()</f>
        <v>88</v>
      </c>
      <c r="B88" s="18" t="s">
        <v>2702</v>
      </c>
      <c r="C88" s="18" t="s">
        <v>2695</v>
      </c>
      <c r="D88" s="19" t="str">
        <f t="shared" si="4"/>
        <v>6. Sonstige Leistungen</v>
      </c>
      <c r="E88" s="33" t="s">
        <v>2817</v>
      </c>
      <c r="F88" s="6" t="s">
        <v>1439</v>
      </c>
    </row>
    <row r="89" spans="1:6" ht="375">
      <c r="A89" s="17">
        <f>ROW()</f>
        <v>89</v>
      </c>
      <c r="B89" s="18" t="s">
        <v>2702</v>
      </c>
      <c r="C89" s="18" t="s">
        <v>2695</v>
      </c>
      <c r="D89" s="19" t="str">
        <f>+E89</f>
        <v>7. Mindestleistung</v>
      </c>
      <c r="E89" s="33" t="s">
        <v>2818</v>
      </c>
      <c r="F89" s="6" t="s">
        <v>4930</v>
      </c>
    </row>
    <row r="90" spans="1:6" ht="122.25">
      <c r="A90" s="17">
        <f>ROW()</f>
        <v>90</v>
      </c>
      <c r="B90" s="18" t="s">
        <v>2702</v>
      </c>
      <c r="C90" s="18" t="s">
        <v>2695</v>
      </c>
      <c r="D90" s="19" t="str">
        <f t="shared" si="4"/>
        <v xml:space="preserve"> 8. Höchstleistung</v>
      </c>
      <c r="E90" s="33" t="s">
        <v>2819</v>
      </c>
      <c r="F90" s="6" t="s">
        <v>1488</v>
      </c>
    </row>
    <row r="91" spans="1:6" ht="179.25">
      <c r="A91" s="17">
        <f>ROW()</f>
        <v>91</v>
      </c>
      <c r="B91" s="18" t="s">
        <v>2702</v>
      </c>
      <c r="C91" s="18" t="s">
        <v>2799</v>
      </c>
      <c r="D91" s="19" t="str">
        <f>+C91</f>
        <v>Indexbindung / Anpassung</v>
      </c>
      <c r="E91" s="32" t="s">
        <v>2799</v>
      </c>
      <c r="F91" s="6" t="s">
        <v>695</v>
      </c>
    </row>
    <row r="92" spans="1:6" ht="242.25">
      <c r="A92" s="17">
        <f>ROW()</f>
        <v>92</v>
      </c>
      <c r="B92" s="18" t="s">
        <v>2702</v>
      </c>
      <c r="C92" s="18" t="s">
        <v>2799</v>
      </c>
      <c r="D92" s="19" t="str">
        <f t="shared" ref="D92:D105" si="5">+E92</f>
        <v>Kumulation mit Erwerbseinkommen</v>
      </c>
      <c r="E92" s="32" t="s">
        <v>2723</v>
      </c>
      <c r="F92" s="6" t="s">
        <v>1548</v>
      </c>
    </row>
    <row r="93" spans="1:6" ht="275.25">
      <c r="A93" s="17">
        <f>ROW()</f>
        <v>93</v>
      </c>
      <c r="B93" s="18" t="s">
        <v>2702</v>
      </c>
      <c r="C93" s="18" t="s">
        <v>2799</v>
      </c>
      <c r="D93" s="19" t="str">
        <f t="shared" si="5"/>
        <v>Kumulation mit anderen Sozialleistungen</v>
      </c>
      <c r="E93" s="32" t="s">
        <v>2696</v>
      </c>
      <c r="F93" s="6" t="s">
        <v>1579</v>
      </c>
    </row>
    <row r="94" spans="1:6" ht="232.5">
      <c r="A94" s="17">
        <f>ROW()</f>
        <v>94</v>
      </c>
      <c r="B94" s="18" t="s">
        <v>2702</v>
      </c>
      <c r="C94" s="19" t="s">
        <v>2701</v>
      </c>
      <c r="D94" s="19" t="str">
        <f t="shared" si="5"/>
        <v>1. Besteuerung von Geldleistungen</v>
      </c>
      <c r="E94" s="33" t="s">
        <v>2770</v>
      </c>
      <c r="F94" s="6" t="s">
        <v>1599</v>
      </c>
    </row>
    <row r="95" spans="1:6" ht="387">
      <c r="A95" s="17">
        <f>ROW()</f>
        <v>95</v>
      </c>
      <c r="B95" s="18" t="s">
        <v>2702</v>
      </c>
      <c r="C95" s="19" t="s">
        <v>2701</v>
      </c>
      <c r="D95" s="19" t="str">
        <f t="shared" si="5"/>
        <v>2. Einkommensgrenze für Besteuerung von Geldleistungen</v>
      </c>
      <c r="E95" s="33" t="s">
        <v>2772</v>
      </c>
      <c r="F95" s="6" t="s">
        <v>1623</v>
      </c>
    </row>
    <row r="96" spans="1:6" ht="288.75">
      <c r="A96" s="17">
        <f>ROW()</f>
        <v>96</v>
      </c>
      <c r="B96" s="18" t="s">
        <v>2702</v>
      </c>
      <c r="C96" s="19" t="s">
        <v>2701</v>
      </c>
      <c r="D96" s="19" t="str">
        <f t="shared" si="5"/>
        <v>3. Auf Leistungen anfallende Sozialabgaben</v>
      </c>
      <c r="E96" s="33" t="s">
        <v>2773</v>
      </c>
      <c r="F96" s="6" t="s">
        <v>820</v>
      </c>
    </row>
    <row r="97" spans="1:6" ht="138">
      <c r="A97" s="17">
        <f>ROW()</f>
        <v>97</v>
      </c>
      <c r="B97" s="18" t="s">
        <v>2702</v>
      </c>
      <c r="C97" s="19" t="s">
        <v>2775</v>
      </c>
      <c r="D97" s="19" t="str">
        <f t="shared" si="5"/>
        <v>Anwendungsbereich</v>
      </c>
      <c r="E97" s="33" t="s">
        <v>2708</v>
      </c>
      <c r="F97" s="6" t="s">
        <v>861</v>
      </c>
    </row>
    <row r="98" spans="1:6" ht="110.25">
      <c r="A98" s="17">
        <f>ROW()</f>
        <v>98</v>
      </c>
      <c r="B98" s="18" t="s">
        <v>2702</v>
      </c>
      <c r="C98" s="19" t="s">
        <v>2775</v>
      </c>
      <c r="D98" s="19" t="str">
        <f t="shared" si="5"/>
        <v>Grundprinzipien</v>
      </c>
      <c r="E98" s="33" t="s">
        <v>2709</v>
      </c>
      <c r="F98" s="6" t="s">
        <v>889</v>
      </c>
    </row>
    <row r="99" spans="1:6" ht="224.25">
      <c r="A99" s="17">
        <f>ROW()</f>
        <v>99</v>
      </c>
      <c r="B99" s="18" t="s">
        <v>2702</v>
      </c>
      <c r="C99" s="19" t="s">
        <v>2775</v>
      </c>
      <c r="D99" s="19" t="str">
        <f t="shared" si="5"/>
        <v>Voraussetzungen für die Deckung</v>
      </c>
      <c r="E99" s="33" t="s">
        <v>2710</v>
      </c>
      <c r="F99" s="6" t="s">
        <v>916</v>
      </c>
    </row>
    <row r="100" spans="1:6" ht="409.5">
      <c r="A100" s="17">
        <f>ROW()</f>
        <v>100</v>
      </c>
      <c r="B100" s="18" t="s">
        <v>2702</v>
      </c>
      <c r="C100" s="19" t="s">
        <v>2775</v>
      </c>
      <c r="D100" s="19" t="str">
        <f t="shared" si="5"/>
        <v>Kombination von selbstständiger und unselbstständiger Tätigkeit</v>
      </c>
      <c r="E100" s="33" t="s">
        <v>2698</v>
      </c>
      <c r="F100" s="6" t="s">
        <v>1690</v>
      </c>
    </row>
    <row r="101" spans="1:6" ht="376.5">
      <c r="A101" s="17">
        <f>ROW()</f>
        <v>101</v>
      </c>
      <c r="B101" s="18" t="s">
        <v>2702</v>
      </c>
      <c r="C101" s="19" t="s">
        <v>2775</v>
      </c>
      <c r="D101" s="19" t="str">
        <f t="shared" si="5"/>
        <v xml:space="preserve">Voraussetzungen für den Zugang zu Diensten/Leistungen </v>
      </c>
      <c r="E101" s="33" t="s">
        <v>2699</v>
      </c>
      <c r="F101" s="6" t="s">
        <v>951</v>
      </c>
    </row>
    <row r="102" spans="1:6" ht="253.5">
      <c r="A102" s="17">
        <f>ROW()</f>
        <v>102</v>
      </c>
      <c r="B102" s="18" t="s">
        <v>2702</v>
      </c>
      <c r="C102" s="19" t="s">
        <v>2775</v>
      </c>
      <c r="D102" s="19" t="str">
        <f t="shared" si="5"/>
        <v>Beträge, Dauer und Kostenbeteiligung</v>
      </c>
      <c r="E102" s="33" t="s">
        <v>2700</v>
      </c>
      <c r="F102" s="6" t="s">
        <v>940</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940</v>
      </c>
    </row>
    <row r="105" spans="1:6" ht="272.25">
      <c r="A105" s="17">
        <f>ROW()</f>
        <v>105</v>
      </c>
      <c r="B105" s="18" t="s">
        <v>2702</v>
      </c>
      <c r="C105" s="19" t="s">
        <v>2775</v>
      </c>
      <c r="D105" s="19" t="str">
        <f t="shared" si="5"/>
        <v>Auf Leistungen anfallende Sozialabgaben</v>
      </c>
      <c r="E105" s="33" t="s">
        <v>2683</v>
      </c>
      <c r="F105" s="6" t="s">
        <v>940</v>
      </c>
    </row>
  </sheetData>
  <sheetProtection algorithmName="SHA-512" hashValue="q/KbSKEJEJUnpc8rcbMQh0+BJ/O83+lmBqe2IOMdgj+35pu/2FfV0R0KQ9LE3SaMrbLUTxzfZGAmS7PDI9mYhA==" saltValue="Fm9lYVFrAOART+OjCSLVAg==" spinCount="100000" sheet="1" formatColumns="0" autoFilter="0"/>
  <autoFilter ref="A2:F2" xr:uid="{E98F2202-6281-4049-940C-61C5385E8249}"/>
  <pageMargins left="0.7" right="0.7" top="0.78740157499999996" bottom="0.78740157499999996"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2D606-8D31-4EC7-88E2-D64893C1E0E3}">
  <sheetPr codeName="Tabelle30" filterMode="1"/>
  <dimension ref="A1:XFC105"/>
  <sheetViews>
    <sheetView zoomScaleNormal="100" workbookViewId="0">
      <pane xSplit="5" ySplit="2" topLeftCell="F3" activePane="bottomRight" state="frozen"/>
      <selection activeCell="F2" sqref="F2"/>
      <selection pane="topRight" activeCell="F2" sqref="F2"/>
      <selection pane="bottomLeft" activeCell="F2" sqref="F2"/>
      <selection pane="bottomRight" activeCell="F2" sqref="A1:XFC105"/>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3" width="11.42578125" hidden="1"/>
    <col min="16384" max="16384" width="0.140625" hidden="1"/>
  </cols>
  <sheetData>
    <row r="1" spans="1:6" ht="64.5" customHeight="1">
      <c r="B1" s="139" t="s">
        <v>2726</v>
      </c>
      <c r="C1" s="136" t="s">
        <v>2739</v>
      </c>
      <c r="D1" s="136" t="s">
        <v>2728</v>
      </c>
      <c r="E1" s="128" t="s">
        <v>3506</v>
      </c>
      <c r="F1" s="16" t="s">
        <v>3524</v>
      </c>
    </row>
    <row r="2" spans="1:6" ht="39.75" customHeight="1">
      <c r="A2" s="138"/>
      <c r="B2" s="139"/>
      <c r="C2" s="136"/>
      <c r="D2" s="136"/>
      <c r="E2" s="134"/>
      <c r="F2" s="173" t="str" cm="1">
        <f t="array" ref="F2">_xlfn.TEXTJOIN("; ", TRUE, IF(Entscheidungen!A2:A100=F1, Entscheidungen!B2:B100, ""))</f>
        <v/>
      </c>
    </row>
    <row r="3" spans="1:6" ht="177">
      <c r="A3" s="17">
        <f>ROW()</f>
        <v>3</v>
      </c>
      <c r="B3" s="18" t="s">
        <v>2740</v>
      </c>
      <c r="C3" s="18"/>
      <c r="D3" s="18" t="str">
        <f>+E3</f>
        <v>Geltende Rechtsgrundlage</v>
      </c>
      <c r="E3" s="31" t="s">
        <v>2724</v>
      </c>
      <c r="F3" s="6" t="s">
        <v>2922</v>
      </c>
    </row>
    <row r="4" spans="1:6" ht="110.25">
      <c r="A4" s="17">
        <f>ROW()</f>
        <v>4</v>
      </c>
      <c r="B4" s="18" t="s">
        <v>2740</v>
      </c>
      <c r="C4" s="1"/>
      <c r="D4" s="18" t="str">
        <f t="shared" ref="D4:D34" si="0">+E4</f>
        <v>Grundprinzipien</v>
      </c>
      <c r="E4" s="32" t="s">
        <v>2709</v>
      </c>
      <c r="F4" s="6" t="s">
        <v>2923</v>
      </c>
    </row>
    <row r="5" spans="1:6" ht="188.25">
      <c r="A5" s="17">
        <f>ROW()</f>
        <v>5</v>
      </c>
      <c r="B5" s="18" t="s">
        <v>2740</v>
      </c>
      <c r="C5" s="1"/>
      <c r="D5" s="18" t="str">
        <f t="shared" si="0"/>
        <v>Gedecktes Risiko: Definition</v>
      </c>
      <c r="E5" s="32" t="s">
        <v>2891</v>
      </c>
      <c r="F5" s="6" t="s">
        <v>2924</v>
      </c>
    </row>
    <row r="6" spans="1:6" ht="144">
      <c r="A6" s="17">
        <f>ROW()</f>
        <v>6</v>
      </c>
      <c r="B6" s="18" t="s">
        <v>2740</v>
      </c>
      <c r="C6" s="18" t="s">
        <v>2653</v>
      </c>
      <c r="D6" s="18" t="str">
        <f t="shared" si="0"/>
        <v>Versicherte Personen</v>
      </c>
      <c r="E6" s="33" t="s">
        <v>2653</v>
      </c>
      <c r="F6" s="6" t="s">
        <v>2925</v>
      </c>
    </row>
    <row r="7" spans="1:6" ht="273">
      <c r="A7" s="17">
        <f>ROW()</f>
        <v>7</v>
      </c>
      <c r="B7" s="18" t="s">
        <v>2740</v>
      </c>
      <c r="C7" s="18" t="str">
        <f>+E6</f>
        <v>Versicherte Personen</v>
      </c>
      <c r="D7" s="18" t="str">
        <f t="shared" si="0"/>
        <v>Ausnahmen von der Versicherungspflicht</v>
      </c>
      <c r="E7" s="33" t="s">
        <v>2685</v>
      </c>
      <c r="F7" s="13" t="s">
        <v>3726</v>
      </c>
    </row>
    <row r="8" spans="1:6" ht="240">
      <c r="A8" s="17">
        <f>ROW()</f>
        <v>8</v>
      </c>
      <c r="B8" s="18" t="s">
        <v>2740</v>
      </c>
      <c r="C8" s="19" t="s">
        <v>149</v>
      </c>
      <c r="D8" s="18" t="str">
        <f t="shared" si="0"/>
        <v>1. Anwartschaftszeit</v>
      </c>
      <c r="E8" s="33" t="s">
        <v>2744</v>
      </c>
      <c r="F8" s="13" t="s">
        <v>2926</v>
      </c>
    </row>
    <row r="9" spans="1:6" ht="409.5">
      <c r="A9" s="17">
        <f>ROW()</f>
        <v>9</v>
      </c>
      <c r="B9" s="18" t="s">
        <v>2740</v>
      </c>
      <c r="C9" s="19" t="s">
        <v>149</v>
      </c>
      <c r="D9" s="18" t="str">
        <f t="shared" si="0"/>
        <v xml:space="preserve">2. Begutachtungskriterien und Kategorien der Arbeitsunfähigkeit/Arbeitsfähigkeit  </v>
      </c>
      <c r="E9" s="33" t="s">
        <v>2745</v>
      </c>
      <c r="F9" s="6" t="s">
        <v>2927</v>
      </c>
    </row>
    <row r="10" spans="1:6" ht="222">
      <c r="A10" s="17">
        <f>ROW()</f>
        <v>10</v>
      </c>
      <c r="B10" s="18" t="s">
        <v>2740</v>
      </c>
      <c r="C10" s="19" t="s">
        <v>149</v>
      </c>
      <c r="D10" s="18" t="str">
        <f t="shared" si="0"/>
        <v>3. Zeitraum der Leistungszahlung</v>
      </c>
      <c r="E10" s="33" t="s">
        <v>2747</v>
      </c>
      <c r="F10" s="6" t="s">
        <v>2928</v>
      </c>
    </row>
    <row r="11" spans="1:6" ht="105">
      <c r="A11" s="17">
        <f>ROW()</f>
        <v>11</v>
      </c>
      <c r="B11" s="18" t="s">
        <v>2740</v>
      </c>
      <c r="C11" s="19" t="s">
        <v>2749</v>
      </c>
      <c r="D11" s="18" t="str">
        <f t="shared" si="0"/>
        <v>1. Gutachter</v>
      </c>
      <c r="E11" s="33" t="s">
        <v>2750</v>
      </c>
      <c r="F11" s="6" t="s">
        <v>2929</v>
      </c>
    </row>
    <row r="12" spans="1:6" ht="111.75">
      <c r="A12" s="17">
        <f>ROW()</f>
        <v>12</v>
      </c>
      <c r="B12" s="18" t="s">
        <v>2740</v>
      </c>
      <c r="C12" s="19" t="s">
        <v>2749</v>
      </c>
      <c r="D12" s="18" t="str">
        <f t="shared" si="0"/>
        <v xml:space="preserve">2. Überprüfung  </v>
      </c>
      <c r="E12" s="33" t="s">
        <v>2751</v>
      </c>
      <c r="F12" s="6" t="s">
        <v>2930</v>
      </c>
    </row>
    <row r="13" spans="1:6" ht="291.75">
      <c r="A13" s="17">
        <f>ROW()</f>
        <v>13</v>
      </c>
      <c r="B13" s="18" t="s">
        <v>2740</v>
      </c>
      <c r="C13" s="18" t="s">
        <v>2695</v>
      </c>
      <c r="D13" s="18" t="str">
        <f t="shared" si="0"/>
        <v>1. Berechnungsmethode bzw. Rentenformel</v>
      </c>
      <c r="E13" s="33" t="s">
        <v>2753</v>
      </c>
      <c r="F13" s="13" t="s">
        <v>3734</v>
      </c>
    </row>
    <row r="14" spans="1:6" ht="343.5">
      <c r="A14" s="17">
        <f>ROW()</f>
        <v>14</v>
      </c>
      <c r="B14" s="18" t="s">
        <v>2740</v>
      </c>
      <c r="C14" s="18" t="s">
        <v>2695</v>
      </c>
      <c r="D14" s="18" t="str">
        <f t="shared" si="0"/>
        <v>2. Referenzeinkommen bzw. Berechnungsgrundlage</v>
      </c>
      <c r="E14" s="33" t="s">
        <v>2754</v>
      </c>
      <c r="F14" s="6" t="s">
        <v>4931</v>
      </c>
    </row>
    <row r="15" spans="1:6" ht="226.5">
      <c r="A15" s="17">
        <f>ROW()</f>
        <v>15</v>
      </c>
      <c r="B15" s="18" t="s">
        <v>2740</v>
      </c>
      <c r="C15" s="18" t="s">
        <v>2695</v>
      </c>
      <c r="D15" s="18" t="str">
        <f t="shared" si="0"/>
        <v>3. Mindest- und Höchstleistungen</v>
      </c>
      <c r="E15" s="33" t="s">
        <v>2756</v>
      </c>
      <c r="F15" s="6" t="s">
        <v>4932</v>
      </c>
    </row>
    <row r="16" spans="1:6" ht="405">
      <c r="A16" s="17">
        <f>ROW()</f>
        <v>16</v>
      </c>
      <c r="B16" s="18" t="s">
        <v>2740</v>
      </c>
      <c r="C16" s="18" t="s">
        <v>2695</v>
      </c>
      <c r="D16" s="18" t="str">
        <f t="shared" si="0"/>
        <v>4. Anrechenbare oder als Beitragszeiten gewertete Zeiträume</v>
      </c>
      <c r="E16" s="33" t="s">
        <v>2757</v>
      </c>
      <c r="F16" s="6" t="s">
        <v>4933</v>
      </c>
    </row>
    <row r="17" spans="1:6" ht="250.5">
      <c r="A17" s="17">
        <f>ROW()</f>
        <v>17</v>
      </c>
      <c r="B17" s="18" t="s">
        <v>2740</v>
      </c>
      <c r="C17" s="18" t="s">
        <v>2695</v>
      </c>
      <c r="D17" s="18" t="str">
        <f t="shared" si="0"/>
        <v xml:space="preserve">5. Zulagen für Unterhaltsberechtigte  </v>
      </c>
      <c r="E17" s="33" t="s">
        <v>2759</v>
      </c>
      <c r="F17" s="6" t="s">
        <v>456</v>
      </c>
    </row>
    <row r="18" spans="1:6" ht="135">
      <c r="A18" s="17">
        <f>ROW()</f>
        <v>18</v>
      </c>
      <c r="B18" s="18" t="s">
        <v>2740</v>
      </c>
      <c r="C18" s="18" t="str">
        <f>+E18</f>
        <v>Sonstige Leistungen</v>
      </c>
      <c r="D18" s="18" t="str">
        <f>+E18</f>
        <v>Sonstige Leistungen</v>
      </c>
      <c r="E18" s="32" t="s">
        <v>2678</v>
      </c>
      <c r="F18" s="6" t="s">
        <v>1425</v>
      </c>
    </row>
    <row r="19" spans="1:6" ht="330">
      <c r="A19" s="17">
        <f>ROW()</f>
        <v>19</v>
      </c>
      <c r="B19" s="18" t="s">
        <v>2740</v>
      </c>
      <c r="C19" s="18" t="s">
        <v>2761</v>
      </c>
      <c r="D19" s="18" t="str">
        <f t="shared" si="0"/>
        <v>Umschulung, berufsbezogene Rehabilitation</v>
      </c>
      <c r="E19" s="33" t="s">
        <v>2762</v>
      </c>
      <c r="F19" s="6" t="s">
        <v>2931</v>
      </c>
    </row>
    <row r="20" spans="1:6" ht="409.5">
      <c r="A20" s="17">
        <f>ROW()</f>
        <v>20</v>
      </c>
      <c r="B20" s="18" t="s">
        <v>2740</v>
      </c>
      <c r="C20" s="18" t="s">
        <v>2761</v>
      </c>
      <c r="D20" s="18" t="str">
        <f t="shared" si="0"/>
        <v xml:space="preserve">Bevorzugte und reservierte Beschäftigung von Menschen mit Behinderungen  </v>
      </c>
      <c r="E20" s="33" t="s">
        <v>2763</v>
      </c>
      <c r="F20" s="6" t="s">
        <v>4934</v>
      </c>
    </row>
    <row r="21" spans="1:6" ht="171.75">
      <c r="A21" s="17">
        <f>ROW()</f>
        <v>21</v>
      </c>
      <c r="B21" s="18" t="s">
        <v>2740</v>
      </c>
      <c r="C21" s="18" t="s">
        <v>2765</v>
      </c>
      <c r="D21" s="18" t="str">
        <f t="shared" si="0"/>
        <v>Indexbindung/Anpassung</v>
      </c>
      <c r="E21" s="32" t="s">
        <v>2766</v>
      </c>
      <c r="F21" s="6" t="s">
        <v>2932</v>
      </c>
    </row>
    <row r="22" spans="1:6" ht="242.25">
      <c r="A22" s="17">
        <f>ROW()</f>
        <v>22</v>
      </c>
      <c r="B22" s="18" t="s">
        <v>2740</v>
      </c>
      <c r="C22" s="18" t="s">
        <v>2765</v>
      </c>
      <c r="D22" s="18" t="str">
        <f>+E22</f>
        <v>Kumulation mit Erwerbseinkommen</v>
      </c>
      <c r="E22" s="32" t="s">
        <v>2723</v>
      </c>
      <c r="F22" s="6" t="s">
        <v>2933</v>
      </c>
    </row>
    <row r="23" spans="1:6" ht="275.25">
      <c r="A23" s="17">
        <f>ROW()</f>
        <v>23</v>
      </c>
      <c r="B23" s="18" t="s">
        <v>2740</v>
      </c>
      <c r="C23" s="18" t="s">
        <v>2765</v>
      </c>
      <c r="D23" s="18" t="str">
        <f t="shared" si="0"/>
        <v>Kumulation mit anderen Sozialleistungen</v>
      </c>
      <c r="E23" s="32" t="s">
        <v>2696</v>
      </c>
      <c r="F23" s="6" t="s">
        <v>2934</v>
      </c>
    </row>
    <row r="24" spans="1:6" ht="232.5">
      <c r="A24" s="17">
        <f>ROW()</f>
        <v>24</v>
      </c>
      <c r="B24" s="18" t="s">
        <v>2740</v>
      </c>
      <c r="C24" s="18" t="s">
        <v>2701</v>
      </c>
      <c r="D24" s="18" t="str">
        <f t="shared" si="0"/>
        <v>1. Besteuerung von Geldleistungen</v>
      </c>
      <c r="E24" s="33" t="s">
        <v>2770</v>
      </c>
      <c r="F24" s="6" t="s">
        <v>2935</v>
      </c>
    </row>
    <row r="25" spans="1:6" ht="387">
      <c r="A25" s="17">
        <f>ROW()</f>
        <v>25</v>
      </c>
      <c r="B25" s="18" t="s">
        <v>2740</v>
      </c>
      <c r="C25" s="18" t="s">
        <v>2701</v>
      </c>
      <c r="D25" s="18" t="str">
        <f t="shared" si="0"/>
        <v>2. Einkommensgrenze für Besteuerung von Geldleistungen</v>
      </c>
      <c r="E25" s="33" t="s">
        <v>2772</v>
      </c>
      <c r="F25" s="6" t="s">
        <v>2936</v>
      </c>
    </row>
    <row r="26" spans="1:6" ht="288.75">
      <c r="A26" s="17">
        <f>ROW()</f>
        <v>26</v>
      </c>
      <c r="B26" s="18" t="s">
        <v>2740</v>
      </c>
      <c r="C26" s="18" t="s">
        <v>2701</v>
      </c>
      <c r="D26" s="18" t="str">
        <f t="shared" si="0"/>
        <v>3. Auf Leistungen anfallende Sozialabgaben</v>
      </c>
      <c r="E26" s="33" t="s">
        <v>2773</v>
      </c>
      <c r="F26" s="6" t="s">
        <v>820</v>
      </c>
    </row>
    <row r="27" spans="1:6" ht="138">
      <c r="A27" s="17">
        <f>ROW()</f>
        <v>27</v>
      </c>
      <c r="B27" s="18" t="s">
        <v>2740</v>
      </c>
      <c r="C27" s="18" t="s">
        <v>2775</v>
      </c>
      <c r="D27" s="18" t="str">
        <f t="shared" si="0"/>
        <v>Anwendungsbereich</v>
      </c>
      <c r="E27" s="33" t="s">
        <v>2708</v>
      </c>
      <c r="F27" s="6" t="s">
        <v>840</v>
      </c>
    </row>
    <row r="28" spans="1:6" ht="110.25">
      <c r="A28" s="17">
        <f>ROW()</f>
        <v>28</v>
      </c>
      <c r="B28" s="18" t="s">
        <v>2740</v>
      </c>
      <c r="C28" s="18" t="s">
        <v>2775</v>
      </c>
      <c r="D28" s="18" t="str">
        <f t="shared" si="0"/>
        <v>Grundprinzipien</v>
      </c>
      <c r="E28" s="33" t="s">
        <v>2709</v>
      </c>
      <c r="F28" s="6" t="s">
        <v>2937</v>
      </c>
    </row>
    <row r="29" spans="1:6" ht="224.25">
      <c r="A29" s="17">
        <f>ROW()</f>
        <v>29</v>
      </c>
      <c r="B29" s="18" t="s">
        <v>2740</v>
      </c>
      <c r="C29" s="18" t="s">
        <v>2775</v>
      </c>
      <c r="D29" s="18" t="str">
        <f t="shared" si="0"/>
        <v>Voraussetzungen für die Deckung</v>
      </c>
      <c r="E29" s="33" t="s">
        <v>2710</v>
      </c>
      <c r="F29" s="6" t="s">
        <v>2938</v>
      </c>
    </row>
    <row r="30" spans="1:6" ht="409.5">
      <c r="A30" s="17">
        <f>ROW()</f>
        <v>30</v>
      </c>
      <c r="B30" s="18" t="s">
        <v>2740</v>
      </c>
      <c r="C30" s="18" t="s">
        <v>2775</v>
      </c>
      <c r="D30" s="19" t="str">
        <f t="shared" si="0"/>
        <v>Kombination von selbstständiger und unselbstständiger Tätigkeit</v>
      </c>
      <c r="E30" s="33" t="s">
        <v>2698</v>
      </c>
      <c r="F30" s="6" t="s">
        <v>4935</v>
      </c>
    </row>
    <row r="31" spans="1:6" ht="376.5">
      <c r="A31" s="17">
        <f>ROW()</f>
        <v>31</v>
      </c>
      <c r="B31" s="18" t="s">
        <v>2740</v>
      </c>
      <c r="C31" s="18" t="s">
        <v>2695</v>
      </c>
      <c r="D31" s="19" t="str">
        <f t="shared" si="0"/>
        <v xml:space="preserve">Voraussetzungen für den Zugang zu Diensten/Leistungen </v>
      </c>
      <c r="E31" s="33" t="s">
        <v>2699</v>
      </c>
      <c r="F31" s="6" t="s">
        <v>942</v>
      </c>
    </row>
    <row r="32" spans="1:6" ht="253.5">
      <c r="A32" s="17">
        <f>ROW()</f>
        <v>32</v>
      </c>
      <c r="B32" s="18" t="s">
        <v>2740</v>
      </c>
      <c r="C32" s="18" t="s">
        <v>2695</v>
      </c>
      <c r="D32" s="18" t="str">
        <f t="shared" si="0"/>
        <v>Beträge, Dauer und Kostenbeteiligung</v>
      </c>
      <c r="E32" s="33" t="s">
        <v>2700</v>
      </c>
      <c r="F32" s="6" t="s">
        <v>964</v>
      </c>
    </row>
    <row r="33" spans="1:6" ht="216">
      <c r="A33" s="17">
        <f>ROW()</f>
        <v>33</v>
      </c>
      <c r="B33" s="18" t="s">
        <v>2740</v>
      </c>
      <c r="C33" s="18" t="s">
        <v>2695</v>
      </c>
      <c r="D33" s="18" t="str">
        <f t="shared" si="0"/>
        <v>Besteuerung von Geldleistungen</v>
      </c>
      <c r="E33" s="33" t="s">
        <v>2681</v>
      </c>
      <c r="F33" s="6" t="s">
        <v>1704</v>
      </c>
    </row>
    <row r="34" spans="1:6" ht="276.75">
      <c r="A34" s="17">
        <f>ROW()</f>
        <v>34</v>
      </c>
      <c r="B34" s="18" t="s">
        <v>2740</v>
      </c>
      <c r="C34" s="18" t="s">
        <v>2695</v>
      </c>
      <c r="D34" s="18" t="str">
        <f t="shared" si="0"/>
        <v xml:space="preserve"> Auf Leistungen anfallende Sozialabgaben</v>
      </c>
      <c r="E34" s="33" t="s">
        <v>2779</v>
      </c>
      <c r="F34" s="6" t="s">
        <v>988</v>
      </c>
    </row>
    <row r="35" spans="1:6" ht="177" hidden="1">
      <c r="A35" s="17">
        <f>ROW()</f>
        <v>35</v>
      </c>
      <c r="B35" s="18" t="s">
        <v>2780</v>
      </c>
      <c r="C35" s="18" t="str">
        <f>+D35</f>
        <v>Geltende Rechtsgrundlage</v>
      </c>
      <c r="D35" s="18" t="str">
        <f>+E35</f>
        <v>Geltende Rechtsgrundlage</v>
      </c>
      <c r="E35" s="32" t="s">
        <v>2724</v>
      </c>
      <c r="F35" s="6" t="s">
        <v>59</v>
      </c>
    </row>
    <row r="36" spans="1:6" ht="120" hidden="1">
      <c r="A36" s="17">
        <f>ROW()</f>
        <v>36</v>
      </c>
      <c r="B36" s="18" t="s">
        <v>2780</v>
      </c>
      <c r="C36" s="18" t="str">
        <f>+D36</f>
        <v>Grundprinzipien</v>
      </c>
      <c r="D36" s="18" t="str">
        <f>+E36</f>
        <v>Grundprinzipien</v>
      </c>
      <c r="E36" s="32" t="s">
        <v>2709</v>
      </c>
      <c r="F36" s="6" t="s">
        <v>90</v>
      </c>
    </row>
    <row r="37" spans="1:6" ht="159.75" hidden="1">
      <c r="A37" s="17">
        <f>ROW()</f>
        <v>37</v>
      </c>
      <c r="B37" s="18" t="s">
        <v>2780</v>
      </c>
      <c r="C37" s="18" t="s">
        <v>2708</v>
      </c>
      <c r="D37" s="18" t="str">
        <f>+E37</f>
        <v>1. Versicherte Personen</v>
      </c>
      <c r="E37" s="33" t="s">
        <v>2781</v>
      </c>
      <c r="F37" s="6" t="s">
        <v>122</v>
      </c>
    </row>
    <row r="38" spans="1:6" ht="371.25" hidden="1">
      <c r="A38" s="17">
        <f>ROW()</f>
        <v>38</v>
      </c>
      <c r="B38" s="18" t="s">
        <v>2780</v>
      </c>
      <c r="C38" s="18" t="s">
        <v>2708</v>
      </c>
      <c r="D38" s="18" t="str">
        <f t="shared" ref="D38:D58" si="1">+E38</f>
        <v>2. Ausnahmen von der Deckung  der Pflichtversicherung</v>
      </c>
      <c r="E38" s="33" t="s">
        <v>2782</v>
      </c>
      <c r="F38" s="13" t="s">
        <v>3726</v>
      </c>
    </row>
    <row r="39" spans="1:6" ht="210" hidden="1">
      <c r="A39" s="17">
        <f>ROW()</f>
        <v>39</v>
      </c>
      <c r="B39" s="18" t="s">
        <v>2780</v>
      </c>
      <c r="C39" s="18" t="s">
        <v>149</v>
      </c>
      <c r="D39" s="18" t="str">
        <f t="shared" si="1"/>
        <v>1. Rentenalter</v>
      </c>
      <c r="E39" s="33" t="s">
        <v>2784</v>
      </c>
      <c r="F39" s="13" t="s">
        <v>3727</v>
      </c>
    </row>
    <row r="40" spans="1:6" ht="409.5" hidden="1">
      <c r="A40" s="17">
        <f>ROW()</f>
        <v>40</v>
      </c>
      <c r="B40" s="18" t="s">
        <v>2780</v>
      </c>
      <c r="C40" s="18" t="s">
        <v>149</v>
      </c>
      <c r="D40" s="18" t="str">
        <f t="shared" si="1"/>
        <v>2. Anwartschaftszeit und sonstige Anspruchsvoraussetzungen für den Bezug einer Altersrente</v>
      </c>
      <c r="E40" s="33" t="s">
        <v>2785</v>
      </c>
      <c r="F40" s="6" t="s">
        <v>209</v>
      </c>
    </row>
    <row r="41" spans="1:6" ht="194.25" hidden="1">
      <c r="A41" s="17">
        <f>ROW()</f>
        <v>41</v>
      </c>
      <c r="B41" s="18" t="s">
        <v>2780</v>
      </c>
      <c r="C41" s="18" t="s">
        <v>149</v>
      </c>
      <c r="D41" s="18" t="str">
        <f t="shared" si="1"/>
        <v>3. Vorruhestand</v>
      </c>
      <c r="E41" s="33" t="s">
        <v>2786</v>
      </c>
      <c r="F41" s="6" t="s">
        <v>240</v>
      </c>
    </row>
    <row r="42" spans="1:6" ht="264" hidden="1">
      <c r="A42" s="17">
        <f>ROW()</f>
        <v>42</v>
      </c>
      <c r="B42" s="18" t="s">
        <v>2780</v>
      </c>
      <c r="C42" s="18" t="s">
        <v>149</v>
      </c>
      <c r="D42" s="18" t="str">
        <f t="shared" si="1"/>
        <v>4. Beschwerliche und gefährliche Arbeit</v>
      </c>
      <c r="E42" s="33" t="s">
        <v>2787</v>
      </c>
      <c r="F42" s="6" t="s">
        <v>269</v>
      </c>
    </row>
    <row r="43" spans="1:6" ht="194.25" hidden="1">
      <c r="A43" s="17">
        <f>ROW()</f>
        <v>43</v>
      </c>
      <c r="B43" s="18" t="s">
        <v>2780</v>
      </c>
      <c r="C43" s="18" t="s">
        <v>149</v>
      </c>
      <c r="D43" s="18" t="str">
        <f t="shared" si="1"/>
        <v>5. Rentenaufschub</v>
      </c>
      <c r="E43" s="33" t="s">
        <v>2788</v>
      </c>
      <c r="F43" s="6" t="s">
        <v>293</v>
      </c>
    </row>
    <row r="44" spans="1:6" ht="174" hidden="1">
      <c r="A44" s="17">
        <f>ROW()</f>
        <v>44</v>
      </c>
      <c r="B44" s="18" t="s">
        <v>2780</v>
      </c>
      <c r="C44" s="18" t="s">
        <v>2695</v>
      </c>
      <c r="D44" s="18" t="str">
        <f t="shared" si="1"/>
        <v>1. Bestimmende Faktoren</v>
      </c>
      <c r="E44" s="33" t="s">
        <v>2789</v>
      </c>
      <c r="F44" s="6" t="s">
        <v>325</v>
      </c>
    </row>
    <row r="45" spans="1:6" ht="349.5" hidden="1">
      <c r="A45" s="17">
        <f>ROW()</f>
        <v>45</v>
      </c>
      <c r="B45" s="18" t="s">
        <v>2780</v>
      </c>
      <c r="C45" s="18" t="s">
        <v>2695</v>
      </c>
      <c r="D45" s="18" t="str">
        <f t="shared" si="1"/>
        <v>2. Berechnungsmethode, Rentenformel bzw. Beträge</v>
      </c>
      <c r="E45" s="33" t="s">
        <v>2790</v>
      </c>
      <c r="F45" s="6" t="s">
        <v>356</v>
      </c>
    </row>
    <row r="46" spans="1:6" ht="343.5" hidden="1">
      <c r="A46" s="17">
        <f>ROW()</f>
        <v>46</v>
      </c>
      <c r="B46" s="18" t="s">
        <v>2780</v>
      </c>
      <c r="C46" s="18" t="s">
        <v>2695</v>
      </c>
      <c r="D46" s="18" t="str">
        <f t="shared" si="1"/>
        <v>3. Referenzeinkommen bzw. Berechnungsgrundlage</v>
      </c>
      <c r="E46" s="33" t="s">
        <v>2791</v>
      </c>
      <c r="F46" s="6" t="s">
        <v>387</v>
      </c>
    </row>
    <row r="47" spans="1:6" ht="405" hidden="1">
      <c r="A47" s="17">
        <f>ROW()</f>
        <v>47</v>
      </c>
      <c r="B47" s="18" t="s">
        <v>2780</v>
      </c>
      <c r="C47" s="18" t="s">
        <v>2695</v>
      </c>
      <c r="D47" s="18" t="str">
        <f t="shared" si="1"/>
        <v>4. Anrechenbare oder als Beitragszeiten gewertete Zeiträume</v>
      </c>
      <c r="E47" s="33" t="s">
        <v>2757</v>
      </c>
      <c r="F47" s="6" t="s">
        <v>417</v>
      </c>
    </row>
    <row r="48" spans="1:6" ht="243.75" hidden="1">
      <c r="A48" s="17">
        <f>ROW()</f>
        <v>48</v>
      </c>
      <c r="B48" s="18" t="s">
        <v>2780</v>
      </c>
      <c r="C48" s="18" t="s">
        <v>2695</v>
      </c>
      <c r="D48" s="18" t="str">
        <f t="shared" si="1"/>
        <v>5. Rückkauf von Versicherungszeiten</v>
      </c>
      <c r="E48" s="33" t="s">
        <v>2792</v>
      </c>
      <c r="F48" s="6" t="s">
        <v>444</v>
      </c>
    </row>
    <row r="49" spans="1:6" ht="246" hidden="1">
      <c r="A49" s="17">
        <f>ROW()</f>
        <v>49</v>
      </c>
      <c r="B49" s="18" t="s">
        <v>2780</v>
      </c>
      <c r="C49" s="18" t="s">
        <v>2695</v>
      </c>
      <c r="D49" s="18" t="str">
        <f t="shared" si="1"/>
        <v>6.  Zulagen für Unterhaltsberechtigte</v>
      </c>
      <c r="E49" s="33" t="s">
        <v>2892</v>
      </c>
      <c r="F49" s="6" t="s">
        <v>468</v>
      </c>
    </row>
    <row r="50" spans="1:6" ht="145.5" hidden="1">
      <c r="A50" s="17">
        <f>ROW()</f>
        <v>50</v>
      </c>
      <c r="B50" s="18" t="s">
        <v>2780</v>
      </c>
      <c r="C50" s="18" t="s">
        <v>2695</v>
      </c>
      <c r="D50" s="18" t="str">
        <f t="shared" si="1"/>
        <v>7. Besondere Zulagen</v>
      </c>
      <c r="E50" s="33" t="s">
        <v>2793</v>
      </c>
      <c r="F50" s="6" t="s">
        <v>496</v>
      </c>
    </row>
    <row r="51" spans="1:6" ht="360.75" hidden="1">
      <c r="A51" s="17">
        <f>ROW()</f>
        <v>51</v>
      </c>
      <c r="B51" s="18" t="s">
        <v>2780</v>
      </c>
      <c r="C51" s="18" t="s">
        <v>2695</v>
      </c>
      <c r="D51" s="18" t="str">
        <f t="shared" si="1"/>
        <v>8. Mindestrente und bedürftigkeitsabhängige Leistung</v>
      </c>
      <c r="E51" s="33" t="s">
        <v>2794</v>
      </c>
      <c r="F51" s="6" t="s">
        <v>527</v>
      </c>
    </row>
    <row r="52" spans="1:6" ht="101.25" hidden="1">
      <c r="A52" s="17">
        <f>ROW()</f>
        <v>52</v>
      </c>
      <c r="B52" s="18" t="s">
        <v>2780</v>
      </c>
      <c r="C52" s="18" t="s">
        <v>2695</v>
      </c>
      <c r="D52" s="18" t="str">
        <f t="shared" si="1"/>
        <v>9. Höchstrente</v>
      </c>
      <c r="E52" s="33" t="s">
        <v>2795</v>
      </c>
      <c r="F52" s="6" t="s">
        <v>553</v>
      </c>
    </row>
    <row r="53" spans="1:6" ht="119.25" hidden="1">
      <c r="A53" s="17">
        <f>ROW()</f>
        <v>53</v>
      </c>
      <c r="B53" s="18" t="s">
        <v>2780</v>
      </c>
      <c r="C53" s="18" t="s">
        <v>2695</v>
      </c>
      <c r="D53" s="18" t="str">
        <f t="shared" si="1"/>
        <v>10. Vorruhestand</v>
      </c>
      <c r="E53" s="33" t="s">
        <v>2796</v>
      </c>
      <c r="F53" s="6" t="s">
        <v>582</v>
      </c>
    </row>
    <row r="54" spans="1:6" ht="272.25" hidden="1">
      <c r="A54" s="17">
        <f>ROW()</f>
        <v>54</v>
      </c>
      <c r="B54" s="18" t="s">
        <v>2780</v>
      </c>
      <c r="C54" s="18" t="s">
        <v>2695</v>
      </c>
      <c r="D54" s="18" t="str">
        <f t="shared" si="1"/>
        <v>11. Beschwerliche und gefährliche Arbeit</v>
      </c>
      <c r="E54" s="33" t="s">
        <v>2797</v>
      </c>
      <c r="F54" s="6" t="s">
        <v>607</v>
      </c>
    </row>
    <row r="55" spans="1:6" ht="87.75" hidden="1">
      <c r="A55" s="17">
        <f>ROW()</f>
        <v>55</v>
      </c>
      <c r="B55" s="18" t="s">
        <v>2780</v>
      </c>
      <c r="C55" s="18" t="s">
        <v>2695</v>
      </c>
      <c r="D55" s="18" t="str">
        <f t="shared" si="1"/>
        <v>12. Teilrente</v>
      </c>
      <c r="E55" s="33" t="s">
        <v>2798</v>
      </c>
      <c r="F55" s="6" t="s">
        <v>618</v>
      </c>
    </row>
    <row r="56" spans="1:6" ht="171.75" hidden="1">
      <c r="A56" s="17">
        <f>ROW()</f>
        <v>56</v>
      </c>
      <c r="B56" s="18" t="s">
        <v>2780</v>
      </c>
      <c r="C56" s="18" t="s">
        <v>2695</v>
      </c>
      <c r="D56" s="18" t="str">
        <f t="shared" si="1"/>
        <v>13. Aufgeschobene Rente</v>
      </c>
      <c r="E56" s="33" t="s">
        <v>2893</v>
      </c>
      <c r="F56" s="6" t="s">
        <v>665</v>
      </c>
    </row>
    <row r="57" spans="1:6" ht="179.25" hidden="1">
      <c r="A57" s="17">
        <f>ROW()</f>
        <v>57</v>
      </c>
      <c r="B57" s="18" t="s">
        <v>2780</v>
      </c>
      <c r="C57" s="18" t="s">
        <v>2799</v>
      </c>
      <c r="D57" s="18" t="s">
        <v>2799</v>
      </c>
      <c r="E57" s="32" t="s">
        <v>2799</v>
      </c>
      <c r="F57" s="6" t="s">
        <v>696</v>
      </c>
    </row>
    <row r="58" spans="1:6" ht="246" hidden="1">
      <c r="A58" s="17">
        <f>ROW()</f>
        <v>58</v>
      </c>
      <c r="B58" s="18" t="s">
        <v>2780</v>
      </c>
      <c r="C58" s="18" t="s">
        <v>2799</v>
      </c>
      <c r="D58" s="18" t="str">
        <f t="shared" si="1"/>
        <v xml:space="preserve">Kumulation mit Erwerbseinkommen </v>
      </c>
      <c r="E58" s="32" t="s">
        <v>2697</v>
      </c>
      <c r="F58" s="6" t="s">
        <v>727</v>
      </c>
    </row>
    <row r="59" spans="1:6" ht="286.5" hidden="1">
      <c r="A59" s="17">
        <f>ROW()</f>
        <v>59</v>
      </c>
      <c r="B59" s="18" t="s">
        <v>2780</v>
      </c>
      <c r="C59" s="18" t="s">
        <v>2799</v>
      </c>
      <c r="D59" s="18" t="s">
        <v>2800</v>
      </c>
      <c r="E59" s="32" t="s">
        <v>2696</v>
      </c>
      <c r="F59" s="6" t="s">
        <v>758</v>
      </c>
    </row>
    <row r="60" spans="1:6" ht="225.75" hidden="1">
      <c r="A60" s="17">
        <f>ROW()</f>
        <v>60</v>
      </c>
      <c r="B60" s="18" t="s">
        <v>2780</v>
      </c>
      <c r="C60" s="18" t="s">
        <v>761</v>
      </c>
      <c r="D60" s="18" t="str">
        <f t="shared" ref="D60:D70" si="2">+E60</f>
        <v>1. Besteuerung von Renten</v>
      </c>
      <c r="E60" s="33" t="s">
        <v>2801</v>
      </c>
      <c r="F60" s="6" t="s">
        <v>785</v>
      </c>
    </row>
    <row r="61" spans="1:6" ht="335.25" hidden="1">
      <c r="A61" s="17">
        <f>ROW()</f>
        <v>61</v>
      </c>
      <c r="B61" s="18" t="s">
        <v>2780</v>
      </c>
      <c r="C61" s="18" t="s">
        <v>761</v>
      </c>
      <c r="D61" s="18" t="str">
        <f t="shared" si="2"/>
        <v>2. Einkommensgrenze für Besteuerung von Renten</v>
      </c>
      <c r="E61" s="33" t="s">
        <v>2802</v>
      </c>
      <c r="F61" s="6" t="s">
        <v>814</v>
      </c>
    </row>
    <row r="62" spans="1:6" ht="264" hidden="1">
      <c r="A62" s="17">
        <f>ROW()</f>
        <v>62</v>
      </c>
      <c r="B62" s="18" t="s">
        <v>2780</v>
      </c>
      <c r="C62" s="18" t="s">
        <v>761</v>
      </c>
      <c r="D62" s="18" t="str">
        <f t="shared" si="2"/>
        <v>3. Auf Renten anfallende Sozialabgaben</v>
      </c>
      <c r="E62" s="33" t="s">
        <v>2803</v>
      </c>
      <c r="F62" s="6" t="s">
        <v>820</v>
      </c>
    </row>
    <row r="63" spans="1:6" ht="138" hidden="1">
      <c r="A63" s="17">
        <f>ROW()</f>
        <v>63</v>
      </c>
      <c r="B63" s="18" t="s">
        <v>2804</v>
      </c>
      <c r="C63" s="18" t="str">
        <f>+E63</f>
        <v>Anwendungsbereich</v>
      </c>
      <c r="D63" s="18" t="str">
        <f t="shared" si="2"/>
        <v>Anwendungsbereich</v>
      </c>
      <c r="E63" s="33" t="s">
        <v>2708</v>
      </c>
      <c r="F63" s="6" t="s">
        <v>840</v>
      </c>
    </row>
    <row r="64" spans="1:6" ht="132.75" hidden="1">
      <c r="A64" s="17">
        <f>ROW()</f>
        <v>64</v>
      </c>
      <c r="B64" s="18" t="s">
        <v>2804</v>
      </c>
      <c r="C64" s="18" t="s">
        <v>2775</v>
      </c>
      <c r="D64" s="18" t="str">
        <f t="shared" si="2"/>
        <v>Grundprinzipien</v>
      </c>
      <c r="E64" s="33" t="s">
        <v>2709</v>
      </c>
      <c r="F64" s="6" t="s">
        <v>890</v>
      </c>
    </row>
    <row r="65" spans="1:6" ht="224.25" hidden="1">
      <c r="A65" s="17">
        <f>ROW()</f>
        <v>65</v>
      </c>
      <c r="B65" s="18" t="s">
        <v>2804</v>
      </c>
      <c r="C65" s="18" t="s">
        <v>2775</v>
      </c>
      <c r="D65" s="18" t="str">
        <f t="shared" si="2"/>
        <v>Voraussetzungen für die Deckung</v>
      </c>
      <c r="E65" s="33" t="s">
        <v>2710</v>
      </c>
      <c r="F65" s="6" t="s">
        <v>899</v>
      </c>
    </row>
    <row r="66" spans="1:6" ht="409.5" hidden="1">
      <c r="A66" s="17">
        <f>ROW()</f>
        <v>66</v>
      </c>
      <c r="B66" s="18" t="s">
        <v>2804</v>
      </c>
      <c r="C66" s="18" t="s">
        <v>2775</v>
      </c>
      <c r="D66" s="18" t="str">
        <f t="shared" si="2"/>
        <v>Kombination von selbstständiger und unselbstständiger Tätigkeit</v>
      </c>
      <c r="E66" s="33" t="s">
        <v>2698</v>
      </c>
      <c r="F66" s="6" t="s">
        <v>938</v>
      </c>
    </row>
    <row r="67" spans="1:6" ht="376.5" hidden="1">
      <c r="A67" s="17">
        <f>ROW()</f>
        <v>67</v>
      </c>
      <c r="B67" s="18" t="s">
        <v>2804</v>
      </c>
      <c r="C67" s="18" t="s">
        <v>2695</v>
      </c>
      <c r="D67" s="19" t="str">
        <f t="shared" si="2"/>
        <v xml:space="preserve">Voraussetzungen für den Zugang zu Diensten/Leistungen </v>
      </c>
      <c r="E67" s="33" t="s">
        <v>2699</v>
      </c>
      <c r="F67" s="6" t="s">
        <v>942</v>
      </c>
    </row>
    <row r="68" spans="1:6" ht="253.5" hidden="1">
      <c r="A68" s="17">
        <f>ROW()</f>
        <v>68</v>
      </c>
      <c r="B68" s="18" t="s">
        <v>2804</v>
      </c>
      <c r="C68" s="18" t="s">
        <v>2695</v>
      </c>
      <c r="D68" s="19" t="str">
        <f t="shared" si="2"/>
        <v>Beträge, Dauer und Kostenbeteiligung</v>
      </c>
      <c r="E68" s="33" t="s">
        <v>2700</v>
      </c>
      <c r="F68" s="6" t="s">
        <v>964</v>
      </c>
    </row>
    <row r="69" spans="1:6" ht="216" hidden="1">
      <c r="A69" s="17">
        <f>ROW()</f>
        <v>69</v>
      </c>
      <c r="B69" s="18" t="s">
        <v>2804</v>
      </c>
      <c r="C69" s="18" t="s">
        <v>2695</v>
      </c>
      <c r="D69" s="19" t="str">
        <f t="shared" si="2"/>
        <v>Besteuerung von Geldleistungen</v>
      </c>
      <c r="E69" s="33" t="s">
        <v>2681</v>
      </c>
      <c r="F69" s="6" t="s">
        <v>977</v>
      </c>
    </row>
    <row r="70" spans="1:6" ht="272.25" hidden="1">
      <c r="A70" s="17">
        <f>ROW()</f>
        <v>70</v>
      </c>
      <c r="B70" s="18" t="s">
        <v>2804</v>
      </c>
      <c r="C70" s="18" t="s">
        <v>2695</v>
      </c>
      <c r="D70" s="19" t="str">
        <f t="shared" si="2"/>
        <v>Auf Leistungen anfallende Sozialabgaben</v>
      </c>
      <c r="E70" s="33" t="s">
        <v>2683</v>
      </c>
      <c r="F70" s="6" t="s">
        <v>988</v>
      </c>
    </row>
    <row r="71" spans="1:6" ht="177" hidden="1">
      <c r="A71" s="17">
        <f>ROW()</f>
        <v>71</v>
      </c>
      <c r="B71" s="18" t="s">
        <v>2702</v>
      </c>
      <c r="C71" s="18" t="str">
        <f t="shared" ref="C71:D75" si="3">+D71</f>
        <v>Geltende Rechtsgrundlage</v>
      </c>
      <c r="D71" s="19" t="str">
        <f t="shared" si="3"/>
        <v>Geltende Rechtsgrundlage</v>
      </c>
      <c r="E71" s="32" t="s">
        <v>2724</v>
      </c>
      <c r="F71" s="6" t="s">
        <v>1014</v>
      </c>
    </row>
    <row r="72" spans="1:6" ht="110.25" hidden="1">
      <c r="A72" s="17">
        <f>ROW()</f>
        <v>72</v>
      </c>
      <c r="B72" s="18" t="s">
        <v>2702</v>
      </c>
      <c r="C72" s="18" t="str">
        <f t="shared" si="3"/>
        <v>Grundprinzipien</v>
      </c>
      <c r="D72" s="19" t="str">
        <f t="shared" si="3"/>
        <v>Grundprinzipien</v>
      </c>
      <c r="E72" s="32" t="s">
        <v>2709</v>
      </c>
      <c r="F72" s="6" t="s">
        <v>1044</v>
      </c>
    </row>
    <row r="73" spans="1:6" ht="315" hidden="1">
      <c r="A73" s="17">
        <f>ROW()</f>
        <v>73</v>
      </c>
      <c r="B73" s="18" t="s">
        <v>2702</v>
      </c>
      <c r="C73" s="19" t="str">
        <f t="shared" si="3"/>
        <v>Anwendungsbereich (in Bezug auf Verstorbene)</v>
      </c>
      <c r="D73" s="19" t="str">
        <f t="shared" si="3"/>
        <v>Anwendungsbereich (in Bezug auf Verstorbene)</v>
      </c>
      <c r="E73" s="32" t="s">
        <v>2725</v>
      </c>
      <c r="F73" s="6" t="s">
        <v>1073</v>
      </c>
    </row>
    <row r="74" spans="1:6" ht="409.5" hidden="1">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1089</v>
      </c>
    </row>
    <row r="75" spans="1:6" ht="144.75" hidden="1">
      <c r="A75" s="17">
        <f>ROW()</f>
        <v>75</v>
      </c>
      <c r="B75" s="18" t="s">
        <v>2702</v>
      </c>
      <c r="C75" s="19" t="str">
        <f t="shared" si="3"/>
        <v>Berechtigte Personen</v>
      </c>
      <c r="D75" s="19" t="str">
        <f t="shared" si="3"/>
        <v>Berechtigte Personen</v>
      </c>
      <c r="E75" s="32" t="s">
        <v>2730</v>
      </c>
      <c r="F75" s="6" t="s">
        <v>1119</v>
      </c>
    </row>
    <row r="76" spans="1:6" ht="102" hidden="1">
      <c r="A76" s="17">
        <f>ROW()</f>
        <v>76</v>
      </c>
      <c r="B76" s="18" t="s">
        <v>2702</v>
      </c>
      <c r="C76" s="1"/>
      <c r="D76" s="1"/>
      <c r="E76" s="32" t="s">
        <v>2783</v>
      </c>
      <c r="F76" s="6"/>
    </row>
    <row r="77" spans="1:6" ht="189.75" hidden="1">
      <c r="A77" s="17">
        <f>ROW()</f>
        <v>77</v>
      </c>
      <c r="B77" s="18" t="s">
        <v>2702</v>
      </c>
      <c r="C77" s="18" t="s">
        <v>2805</v>
      </c>
      <c r="D77" s="18" t="str">
        <f t="shared" ref="D77:D90" si="4">+E77</f>
        <v>1. Verstorbener Versicherter</v>
      </c>
      <c r="E77" s="33" t="s">
        <v>2806</v>
      </c>
      <c r="F77" s="6" t="s">
        <v>1150</v>
      </c>
    </row>
    <row r="78" spans="1:6" ht="185.25" hidden="1">
      <c r="A78" s="17">
        <f>ROW()</f>
        <v>78</v>
      </c>
      <c r="B78" s="18" t="s">
        <v>2702</v>
      </c>
      <c r="C78" s="18" t="s">
        <v>2805</v>
      </c>
      <c r="D78" s="18" t="str">
        <f t="shared" si="4"/>
        <v>2. Hinterbliebener Ehegatte</v>
      </c>
      <c r="E78" s="33" t="s">
        <v>2807</v>
      </c>
      <c r="F78" s="13" t="s">
        <v>3724</v>
      </c>
    </row>
    <row r="79" spans="1:6" ht="181.5" hidden="1">
      <c r="A79" s="17">
        <f>ROW()</f>
        <v>79</v>
      </c>
      <c r="B79" s="18" t="s">
        <v>2702</v>
      </c>
      <c r="C79" s="18" t="s">
        <v>2805</v>
      </c>
      <c r="D79" s="18" t="str">
        <f t="shared" si="4"/>
        <v>3. Geschiedener Ehegatte</v>
      </c>
      <c r="E79" s="33" t="s">
        <v>2808</v>
      </c>
      <c r="F79" s="6" t="s">
        <v>1210</v>
      </c>
    </row>
    <row r="80" spans="1:6" ht="216" hidden="1">
      <c r="A80" s="17">
        <f>ROW()</f>
        <v>80</v>
      </c>
      <c r="B80" s="18" t="s">
        <v>2702</v>
      </c>
      <c r="C80" s="18" t="s">
        <v>2805</v>
      </c>
      <c r="D80" s="18" t="str">
        <f t="shared" si="4"/>
        <v>4. Hinterbliebene Lebenspartner</v>
      </c>
      <c r="E80" s="33" t="s">
        <v>2809</v>
      </c>
      <c r="F80" s="6" t="s">
        <v>1232</v>
      </c>
    </row>
    <row r="81" spans="1:6" ht="181.5" hidden="1">
      <c r="A81" s="17">
        <f>ROW()</f>
        <v>81</v>
      </c>
      <c r="B81" s="18" t="s">
        <v>2702</v>
      </c>
      <c r="C81" s="18" t="s">
        <v>2805</v>
      </c>
      <c r="D81" s="18" t="str">
        <f t="shared" si="4"/>
        <v>5. Kinder</v>
      </c>
      <c r="E81" s="33" t="s">
        <v>2810</v>
      </c>
      <c r="F81" s="6" t="s">
        <v>1262</v>
      </c>
    </row>
    <row r="82" spans="1:6" ht="181.5" hidden="1">
      <c r="A82" s="17">
        <f>ROW()</f>
        <v>82</v>
      </c>
      <c r="B82" s="18" t="s">
        <v>2702</v>
      </c>
      <c r="C82" s="18" t="s">
        <v>2805</v>
      </c>
      <c r="D82" s="18" t="str">
        <f t="shared" si="4"/>
        <v>6. Andere Personen</v>
      </c>
      <c r="E82" s="33" t="s">
        <v>2811</v>
      </c>
      <c r="F82" s="6" t="s">
        <v>373</v>
      </c>
    </row>
    <row r="83" spans="1:6" ht="409.5" hidden="1">
      <c r="A83" s="17">
        <f>ROW()</f>
        <v>83</v>
      </c>
      <c r="B83" s="18" t="s">
        <v>2702</v>
      </c>
      <c r="C83" s="18" t="s">
        <v>2695</v>
      </c>
      <c r="D83" s="19" t="str">
        <f t="shared" si="4"/>
        <v>1. Hinterbliebener Ehegatte, geschiedener Ehegatte, hinterbliebene Lebenspartner</v>
      </c>
      <c r="E83" s="33" t="s">
        <v>2812</v>
      </c>
      <c r="F83" s="13" t="s">
        <v>3725</v>
      </c>
    </row>
    <row r="84" spans="1:6" ht="280.5" hidden="1">
      <c r="A84" s="17">
        <f>ROW()</f>
        <v>84</v>
      </c>
      <c r="B84" s="18" t="s">
        <v>2702</v>
      </c>
      <c r="C84" s="18" t="s">
        <v>2695</v>
      </c>
      <c r="D84" s="19" t="str">
        <f t="shared" si="4"/>
        <v>2. Hinterbliebener Ehegatte: Wiederheirat</v>
      </c>
      <c r="E84" s="33" t="s">
        <v>2813</v>
      </c>
      <c r="F84" s="6" t="s">
        <v>1339</v>
      </c>
    </row>
    <row r="85" spans="1:6" ht="180" hidden="1">
      <c r="A85" s="17">
        <f>ROW()</f>
        <v>85</v>
      </c>
      <c r="B85" s="18" t="s">
        <v>2702</v>
      </c>
      <c r="C85" s="18" t="s">
        <v>2695</v>
      </c>
      <c r="D85" s="19" t="str">
        <f t="shared" si="4"/>
        <v>3. Kinder</v>
      </c>
      <c r="E85" s="33" t="s">
        <v>2814</v>
      </c>
      <c r="F85" s="6" t="s">
        <v>1370</v>
      </c>
    </row>
    <row r="86" spans="1:6" ht="147" hidden="1">
      <c r="A86" s="17">
        <f>ROW()</f>
        <v>86</v>
      </c>
      <c r="B86" s="18" t="s">
        <v>2702</v>
      </c>
      <c r="C86" s="18" t="s">
        <v>2695</v>
      </c>
      <c r="D86" s="19" t="str">
        <f t="shared" si="4"/>
        <v>4. Andere Berechtigte</v>
      </c>
      <c r="E86" s="33" t="s">
        <v>2815</v>
      </c>
      <c r="F86" s="6" t="s">
        <v>373</v>
      </c>
    </row>
    <row r="87" spans="1:6" ht="381" hidden="1">
      <c r="A87" s="17">
        <f>ROW()</f>
        <v>87</v>
      </c>
      <c r="B87" s="18" t="s">
        <v>2702</v>
      </c>
      <c r="C87" s="18" t="s">
        <v>2695</v>
      </c>
      <c r="D87" s="19" t="str">
        <f t="shared" si="4"/>
        <v xml:space="preserve"> 5. Höchster zahlbarer Gesamtbetrag für alle Berechtigten</v>
      </c>
      <c r="E87" s="33" t="s">
        <v>2816</v>
      </c>
      <c r="F87" s="6" t="s">
        <v>545</v>
      </c>
    </row>
    <row r="88" spans="1:6" ht="151.5" hidden="1">
      <c r="A88" s="17">
        <f>ROW()</f>
        <v>88</v>
      </c>
      <c r="B88" s="18" t="s">
        <v>2702</v>
      </c>
      <c r="C88" s="18" t="s">
        <v>2695</v>
      </c>
      <c r="D88" s="19" t="str">
        <f t="shared" si="4"/>
        <v>6. Sonstige Leistungen</v>
      </c>
      <c r="E88" s="33" t="s">
        <v>2817</v>
      </c>
      <c r="F88" s="6" t="s">
        <v>1440</v>
      </c>
    </row>
    <row r="89" spans="1:6" ht="135" hidden="1">
      <c r="A89" s="17">
        <f>ROW()</f>
        <v>89</v>
      </c>
      <c r="B89" s="18" t="s">
        <v>2702</v>
      </c>
      <c r="C89" s="18" t="s">
        <v>2695</v>
      </c>
      <c r="D89" s="19" t="str">
        <f>+E89</f>
        <v>7. Mindestleistung</v>
      </c>
      <c r="E89" s="33" t="s">
        <v>2818</v>
      </c>
      <c r="F89" s="6" t="s">
        <v>1467</v>
      </c>
    </row>
    <row r="90" spans="1:6" ht="122.25" hidden="1">
      <c r="A90" s="17">
        <f>ROW()</f>
        <v>90</v>
      </c>
      <c r="B90" s="18" t="s">
        <v>2702</v>
      </c>
      <c r="C90" s="18" t="s">
        <v>2695</v>
      </c>
      <c r="D90" s="19" t="str">
        <f t="shared" si="4"/>
        <v xml:space="preserve"> 8. Höchstleistung</v>
      </c>
      <c r="E90" s="33" t="s">
        <v>2819</v>
      </c>
      <c r="F90" s="6" t="s">
        <v>1489</v>
      </c>
    </row>
    <row r="91" spans="1:6" ht="179.25" hidden="1">
      <c r="A91" s="17">
        <f>ROW()</f>
        <v>91</v>
      </c>
      <c r="B91" s="18" t="s">
        <v>2702</v>
      </c>
      <c r="C91" s="18" t="s">
        <v>2799</v>
      </c>
      <c r="D91" s="19" t="str">
        <f>+C91</f>
        <v>Indexbindung / Anpassung</v>
      </c>
      <c r="E91" s="32" t="s">
        <v>2799</v>
      </c>
      <c r="F91" s="6" t="s">
        <v>1518</v>
      </c>
    </row>
    <row r="92" spans="1:6" ht="242.25" hidden="1">
      <c r="A92" s="17">
        <f>ROW()</f>
        <v>92</v>
      </c>
      <c r="B92" s="18" t="s">
        <v>2702</v>
      </c>
      <c r="C92" s="18" t="s">
        <v>2799</v>
      </c>
      <c r="D92" s="19" t="str">
        <f t="shared" ref="D92:D105" si="5">+E92</f>
        <v>Kumulation mit Erwerbseinkommen</v>
      </c>
      <c r="E92" s="32" t="s">
        <v>2723</v>
      </c>
      <c r="F92" s="6" t="s">
        <v>1549</v>
      </c>
    </row>
    <row r="93" spans="1:6" ht="275.25" hidden="1">
      <c r="A93" s="17">
        <f>ROW()</f>
        <v>93</v>
      </c>
      <c r="B93" s="18" t="s">
        <v>2702</v>
      </c>
      <c r="C93" s="18" t="s">
        <v>2799</v>
      </c>
      <c r="D93" s="19" t="str">
        <f t="shared" si="5"/>
        <v>Kumulation mit anderen Sozialleistungen</v>
      </c>
      <c r="E93" s="32" t="s">
        <v>2696</v>
      </c>
      <c r="F93" s="6" t="s">
        <v>1580</v>
      </c>
    </row>
    <row r="94" spans="1:6" ht="232.5" hidden="1">
      <c r="A94" s="17">
        <f>ROW()</f>
        <v>94</v>
      </c>
      <c r="B94" s="18" t="s">
        <v>2702</v>
      </c>
      <c r="C94" s="19" t="s">
        <v>2701</v>
      </c>
      <c r="D94" s="19" t="str">
        <f t="shared" si="5"/>
        <v>1. Besteuerung von Geldleistungen</v>
      </c>
      <c r="E94" s="33" t="s">
        <v>2770</v>
      </c>
      <c r="F94" s="6" t="s">
        <v>785</v>
      </c>
    </row>
    <row r="95" spans="1:6" ht="387" hidden="1">
      <c r="A95" s="17">
        <f>ROW()</f>
        <v>95</v>
      </c>
      <c r="B95" s="18" t="s">
        <v>2702</v>
      </c>
      <c r="C95" s="19" t="s">
        <v>2701</v>
      </c>
      <c r="D95" s="19" t="str">
        <f t="shared" si="5"/>
        <v>2. Einkommensgrenze für Besteuerung von Geldleistungen</v>
      </c>
      <c r="E95" s="33" t="s">
        <v>2772</v>
      </c>
      <c r="F95" s="6" t="s">
        <v>785</v>
      </c>
    </row>
    <row r="96" spans="1:6" ht="288.75" hidden="1">
      <c r="A96" s="17">
        <f>ROW()</f>
        <v>96</v>
      </c>
      <c r="B96" s="18" t="s">
        <v>2702</v>
      </c>
      <c r="C96" s="19" t="s">
        <v>2701</v>
      </c>
      <c r="D96" s="19" t="str">
        <f t="shared" si="5"/>
        <v>3. Auf Leistungen anfallende Sozialabgaben</v>
      </c>
      <c r="E96" s="33" t="s">
        <v>2773</v>
      </c>
      <c r="F96" s="6" t="s">
        <v>1641</v>
      </c>
    </row>
    <row r="97" spans="1:6" ht="138" hidden="1">
      <c r="A97" s="17">
        <f>ROW()</f>
        <v>97</v>
      </c>
      <c r="B97" s="18" t="s">
        <v>2702</v>
      </c>
      <c r="C97" s="19" t="s">
        <v>2775</v>
      </c>
      <c r="D97" s="19" t="str">
        <f t="shared" si="5"/>
        <v>Anwendungsbereich</v>
      </c>
      <c r="E97" s="33" t="s">
        <v>2708</v>
      </c>
      <c r="F97" s="6" t="s">
        <v>840</v>
      </c>
    </row>
    <row r="98" spans="1:6" ht="110.25" hidden="1">
      <c r="A98" s="17">
        <f>ROW()</f>
        <v>98</v>
      </c>
      <c r="B98" s="18" t="s">
        <v>2702</v>
      </c>
      <c r="C98" s="19" t="s">
        <v>2775</v>
      </c>
      <c r="D98" s="19" t="str">
        <f t="shared" si="5"/>
        <v>Grundprinzipien</v>
      </c>
      <c r="E98" s="33" t="s">
        <v>2709</v>
      </c>
      <c r="F98" s="6" t="s">
        <v>890</v>
      </c>
    </row>
    <row r="99" spans="1:6" ht="224.25" hidden="1">
      <c r="A99" s="17">
        <f>ROW()</f>
        <v>99</v>
      </c>
      <c r="B99" s="18" t="s">
        <v>2702</v>
      </c>
      <c r="C99" s="19" t="s">
        <v>2775</v>
      </c>
      <c r="D99" s="19" t="str">
        <f t="shared" si="5"/>
        <v>Voraussetzungen für die Deckung</v>
      </c>
      <c r="E99" s="33" t="s">
        <v>2710</v>
      </c>
      <c r="F99" s="6" t="s">
        <v>1681</v>
      </c>
    </row>
    <row r="100" spans="1:6" ht="409.5" hidden="1">
      <c r="A100" s="17">
        <f>ROW()</f>
        <v>100</v>
      </c>
      <c r="B100" s="18" t="s">
        <v>2702</v>
      </c>
      <c r="C100" s="19" t="s">
        <v>2775</v>
      </c>
      <c r="D100" s="19" t="str">
        <f t="shared" si="5"/>
        <v>Kombination von selbstständiger und unselbstständiger Tätigkeit</v>
      </c>
      <c r="E100" s="33" t="s">
        <v>2698</v>
      </c>
      <c r="F100" s="6" t="s">
        <v>1691</v>
      </c>
    </row>
    <row r="101" spans="1:6" ht="376.5" hidden="1">
      <c r="A101" s="17">
        <f>ROW()</f>
        <v>101</v>
      </c>
      <c r="B101" s="18" t="s">
        <v>2702</v>
      </c>
      <c r="C101" s="19" t="s">
        <v>2775</v>
      </c>
      <c r="D101" s="19" t="str">
        <f t="shared" si="5"/>
        <v xml:space="preserve">Voraussetzungen für den Zugang zu Diensten/Leistungen </v>
      </c>
      <c r="E101" s="33" t="s">
        <v>2699</v>
      </c>
      <c r="F101" s="6" t="s">
        <v>942</v>
      </c>
    </row>
    <row r="102" spans="1:6" ht="253.5" hidden="1">
      <c r="A102" s="17">
        <f>ROW()</f>
        <v>102</v>
      </c>
      <c r="B102" s="18" t="s">
        <v>2702</v>
      </c>
      <c r="C102" s="19" t="s">
        <v>2775</v>
      </c>
      <c r="D102" s="19" t="str">
        <f t="shared" si="5"/>
        <v>Beträge, Dauer und Kostenbeteiligung</v>
      </c>
      <c r="E102" s="33" t="s">
        <v>2700</v>
      </c>
      <c r="F102" s="6" t="s">
        <v>964</v>
      </c>
    </row>
    <row r="103" spans="1:6" ht="213.75" hidden="1">
      <c r="A103" s="17">
        <f>ROW()</f>
        <v>103</v>
      </c>
      <c r="B103" s="18" t="s">
        <v>2702</v>
      </c>
      <c r="C103" s="19" t="s">
        <v>2775</v>
      </c>
      <c r="D103" s="19" t="str">
        <f t="shared" si="5"/>
        <v>Besteuerung und Sozialabgaben</v>
      </c>
      <c r="E103" s="33" t="s">
        <v>2701</v>
      </c>
      <c r="F103" s="6"/>
    </row>
    <row r="104" spans="1:6" ht="216" hidden="1">
      <c r="A104" s="17">
        <f>ROW()</f>
        <v>104</v>
      </c>
      <c r="B104" s="18" t="s">
        <v>2702</v>
      </c>
      <c r="C104" s="19" t="s">
        <v>2775</v>
      </c>
      <c r="D104" s="19" t="str">
        <f t="shared" si="5"/>
        <v>Besteuerung von Geldleistungen</v>
      </c>
      <c r="E104" s="33" t="s">
        <v>2681</v>
      </c>
      <c r="F104" s="6" t="s">
        <v>1704</v>
      </c>
    </row>
    <row r="105" spans="1:6" ht="272.25" hidden="1">
      <c r="A105" s="17">
        <f>ROW()</f>
        <v>105</v>
      </c>
      <c r="B105" s="18" t="s">
        <v>2702</v>
      </c>
      <c r="C105" s="19" t="s">
        <v>2775</v>
      </c>
      <c r="D105" s="19" t="str">
        <f t="shared" si="5"/>
        <v>Auf Leistungen anfallende Sozialabgaben</v>
      </c>
      <c r="E105" s="33" t="s">
        <v>2683</v>
      </c>
      <c r="F105" s="6" t="s">
        <v>988</v>
      </c>
    </row>
  </sheetData>
  <sheetProtection algorithmName="SHA-512" hashValue="jLEVXr8h/1k7r0+wR1wjHdcW+r8QK7WwpdqoZtk7IcMbXrrZI19DS0AvvJPRdoMRoO/L17hMi10ZcUICEeubDw==" saltValue="v2Hbug6ypQoBjwRLXto9Rg==" spinCount="100000" sheet="1" objects="1" scenarios="1" formatColumns="0" autoFilter="0"/>
  <autoFilter ref="A2:F105" xr:uid="{BAC2D606-8D31-4EC7-88E2-D64893C1E0E3}">
    <filterColumn colId="1">
      <filters>
        <filter val="Invalidität"/>
      </filters>
    </filterColumn>
  </autoFilter>
  <pageMargins left="0.7" right="0.7" top="0.78740157499999996" bottom="0.78740157499999996"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43EFE-F902-4E19-BA58-41C42270C3F4}">
  <sheetPr codeName="Tabelle31"/>
  <dimension ref="A1:F106"/>
  <sheetViews>
    <sheetView workbookViewId="0">
      <pane xSplit="5" ySplit="2" topLeftCell="F12" activePane="bottomRight" state="frozen"/>
      <selection activeCell="F2" sqref="F2"/>
      <selection pane="topRight" activeCell="F2" sqref="F2"/>
      <selection pane="bottomLeft" activeCell="F2" sqref="F2"/>
      <selection pane="bottomRight" activeCell="F12" sqref="F12"/>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73.28515625" hidden="1"/>
  </cols>
  <sheetData>
    <row r="1" spans="1:6" ht="64.5" customHeight="1">
      <c r="B1" s="139" t="s">
        <v>2726</v>
      </c>
      <c r="C1" s="136" t="s">
        <v>2739</v>
      </c>
      <c r="D1" s="136" t="s">
        <v>2728</v>
      </c>
      <c r="E1" s="128" t="s">
        <v>3506</v>
      </c>
      <c r="F1" s="16" t="s">
        <v>29</v>
      </c>
    </row>
    <row r="2" spans="1:6" ht="39.75" customHeight="1">
      <c r="A2" s="138"/>
      <c r="B2" s="139"/>
      <c r="C2" s="136"/>
      <c r="D2" s="136"/>
      <c r="E2" s="134"/>
      <c r="F2" s="173" t="str" cm="1">
        <f t="array" ref="F2">_xlfn.TEXTJOIN("; ", TRUE, IF(Entscheidungen!A2:A100=F1, Entscheidungen!B2:B100, ""))</f>
        <v/>
      </c>
    </row>
    <row r="3" spans="1:6" ht="177">
      <c r="A3" s="17">
        <f>ROW()</f>
        <v>3</v>
      </c>
      <c r="B3" s="18" t="s">
        <v>2740</v>
      </c>
      <c r="C3" s="18"/>
      <c r="D3" s="18" t="str">
        <f>+E3</f>
        <v>Geltende Rechtsgrundlage</v>
      </c>
      <c r="E3" s="31" t="s">
        <v>2724</v>
      </c>
      <c r="F3" s="6" t="s">
        <v>2907</v>
      </c>
    </row>
    <row r="4" spans="1:6" ht="300">
      <c r="A4" s="17">
        <f>ROW()</f>
        <v>4</v>
      </c>
      <c r="B4" s="18" t="s">
        <v>2740</v>
      </c>
      <c r="C4" s="1"/>
      <c r="D4" s="18" t="str">
        <f t="shared" ref="D4:D34" si="0">+E4</f>
        <v>Grundprinzipien</v>
      </c>
      <c r="E4" s="32" t="s">
        <v>2709</v>
      </c>
      <c r="F4" s="6" t="s">
        <v>2908</v>
      </c>
    </row>
    <row r="5" spans="1:6" ht="188.25">
      <c r="A5" s="17">
        <f>ROW()</f>
        <v>5</v>
      </c>
      <c r="B5" s="18" t="s">
        <v>2740</v>
      </c>
      <c r="C5" s="1"/>
      <c r="D5" s="18" t="str">
        <f t="shared" si="0"/>
        <v>Gedecktes Risiko: Definition</v>
      </c>
      <c r="E5" s="32" t="s">
        <v>2891</v>
      </c>
      <c r="F5" s="6" t="s">
        <v>2909</v>
      </c>
    </row>
    <row r="6" spans="1:6" ht="144">
      <c r="A6" s="17">
        <f>ROW()</f>
        <v>6</v>
      </c>
      <c r="B6" s="18" t="s">
        <v>2740</v>
      </c>
      <c r="C6" s="18" t="s">
        <v>2653</v>
      </c>
      <c r="D6" s="18" t="str">
        <f t="shared" si="0"/>
        <v>Versicherte Personen</v>
      </c>
      <c r="E6" s="33" t="s">
        <v>2653</v>
      </c>
      <c r="F6" s="6" t="s">
        <v>2910</v>
      </c>
    </row>
    <row r="7" spans="1:6" ht="273">
      <c r="A7" s="17">
        <f>ROW()</f>
        <v>7</v>
      </c>
      <c r="B7" s="18" t="s">
        <v>2740</v>
      </c>
      <c r="C7" s="18" t="str">
        <f>+E6</f>
        <v>Versicherte Personen</v>
      </c>
      <c r="D7" s="18" t="str">
        <f t="shared" si="0"/>
        <v>Ausnahmen von der Versicherungspflicht</v>
      </c>
      <c r="E7" s="33" t="s">
        <v>2685</v>
      </c>
      <c r="F7" s="6" t="s">
        <v>125</v>
      </c>
    </row>
    <row r="8" spans="1:6" ht="225">
      <c r="A8" s="17">
        <f>ROW()</f>
        <v>8</v>
      </c>
      <c r="B8" s="18" t="s">
        <v>2740</v>
      </c>
      <c r="C8" s="19" t="s">
        <v>149</v>
      </c>
      <c r="D8" s="18" t="str">
        <f t="shared" si="0"/>
        <v>1. Anwartschaftszeit</v>
      </c>
      <c r="E8" s="33" t="s">
        <v>2744</v>
      </c>
      <c r="F8" s="6" t="s">
        <v>4936</v>
      </c>
    </row>
    <row r="9" spans="1:6" ht="409.5">
      <c r="A9" s="17">
        <f>ROW()</f>
        <v>9</v>
      </c>
      <c r="B9" s="18" t="s">
        <v>2740</v>
      </c>
      <c r="C9" s="19" t="s">
        <v>149</v>
      </c>
      <c r="D9" s="18" t="str">
        <f t="shared" si="0"/>
        <v xml:space="preserve">2. Begutachtungskriterien und Kategorien der Arbeitsunfähigkeit/Arbeitsfähigkeit  </v>
      </c>
      <c r="E9" s="33" t="s">
        <v>2745</v>
      </c>
      <c r="F9" s="6" t="s">
        <v>2911</v>
      </c>
    </row>
    <row r="10" spans="1:6" ht="222">
      <c r="A10" s="17">
        <f>ROW()</f>
        <v>10</v>
      </c>
      <c r="B10" s="18" t="s">
        <v>2740</v>
      </c>
      <c r="C10" s="19" t="s">
        <v>149</v>
      </c>
      <c r="D10" s="18" t="str">
        <f t="shared" si="0"/>
        <v>3. Zeitraum der Leistungszahlung</v>
      </c>
      <c r="E10" s="33" t="s">
        <v>2747</v>
      </c>
      <c r="F10" s="6" t="s">
        <v>2912</v>
      </c>
    </row>
    <row r="11" spans="1:6" ht="96">
      <c r="A11" s="17">
        <f>ROW()</f>
        <v>11</v>
      </c>
      <c r="B11" s="18" t="s">
        <v>2740</v>
      </c>
      <c r="C11" s="19" t="s">
        <v>2749</v>
      </c>
      <c r="D11" s="18" t="str">
        <f t="shared" si="0"/>
        <v>1. Gutachter</v>
      </c>
      <c r="E11" s="33" t="s">
        <v>2750</v>
      </c>
      <c r="F11" s="6" t="s">
        <v>2913</v>
      </c>
    </row>
    <row r="12" spans="1:6" ht="285">
      <c r="A12" s="17">
        <f>ROW()</f>
        <v>12</v>
      </c>
      <c r="B12" s="18" t="s">
        <v>2740</v>
      </c>
      <c r="C12" s="19" t="s">
        <v>2749</v>
      </c>
      <c r="D12" s="18" t="str">
        <f t="shared" si="0"/>
        <v xml:space="preserve">2. Überprüfung  </v>
      </c>
      <c r="E12" s="33" t="s">
        <v>2751</v>
      </c>
      <c r="F12" s="6" t="s">
        <v>4937</v>
      </c>
    </row>
    <row r="13" spans="1:6" ht="291.75">
      <c r="A13" s="17">
        <f>ROW()</f>
        <v>13</v>
      </c>
      <c r="B13" s="18" t="s">
        <v>2740</v>
      </c>
      <c r="C13" s="18" t="s">
        <v>2695</v>
      </c>
      <c r="D13" s="18" t="str">
        <f t="shared" si="0"/>
        <v>1. Berechnungsmethode bzw. Rentenformel</v>
      </c>
      <c r="E13" s="33" t="s">
        <v>2753</v>
      </c>
      <c r="F13" s="6" t="s">
        <v>4938</v>
      </c>
    </row>
    <row r="14" spans="1:6" ht="343.5">
      <c r="A14" s="17">
        <f>ROW()</f>
        <v>14</v>
      </c>
      <c r="B14" s="18" t="s">
        <v>2740</v>
      </c>
      <c r="C14" s="18" t="s">
        <v>2695</v>
      </c>
      <c r="D14" s="18" t="str">
        <f t="shared" si="0"/>
        <v>2. Referenzeinkommen bzw. Berechnungsgrundlage</v>
      </c>
      <c r="E14" s="33" t="s">
        <v>2754</v>
      </c>
      <c r="F14" s="6" t="s">
        <v>4939</v>
      </c>
    </row>
    <row r="15" spans="1:6" ht="409.5">
      <c r="A15" s="17">
        <f>ROW()</f>
        <v>15</v>
      </c>
      <c r="B15" s="18" t="s">
        <v>2740</v>
      </c>
      <c r="C15" s="18" t="s">
        <v>2695</v>
      </c>
      <c r="D15" s="18" t="str">
        <f t="shared" si="0"/>
        <v>3. Mindest- und Höchstleistungen</v>
      </c>
      <c r="E15" s="33" t="s">
        <v>2756</v>
      </c>
      <c r="F15" s="6" t="s">
        <v>4940</v>
      </c>
    </row>
    <row r="16" spans="1:6" ht="405">
      <c r="A16" s="17">
        <f>ROW()</f>
        <v>16</v>
      </c>
      <c r="B16" s="18" t="s">
        <v>2740</v>
      </c>
      <c r="C16" s="18" t="s">
        <v>2695</v>
      </c>
      <c r="D16" s="18" t="str">
        <f t="shared" si="0"/>
        <v>4. Anrechenbare oder als Beitragszeiten gewertete Zeiträume</v>
      </c>
      <c r="E16" s="33" t="s">
        <v>2757</v>
      </c>
      <c r="F16" s="6" t="s">
        <v>2914</v>
      </c>
    </row>
    <row r="17" spans="1:6" ht="250.5">
      <c r="A17" s="17">
        <f>ROW()</f>
        <v>17</v>
      </c>
      <c r="B17" s="18" t="s">
        <v>2740</v>
      </c>
      <c r="C17" s="18" t="s">
        <v>2695</v>
      </c>
      <c r="D17" s="18" t="str">
        <f t="shared" si="0"/>
        <v xml:space="preserve">5. Zulagen für Unterhaltsberechtigte  </v>
      </c>
      <c r="E17" s="33" t="s">
        <v>2759</v>
      </c>
      <c r="F17" s="6" t="s">
        <v>456</v>
      </c>
    </row>
    <row r="18" spans="1:6" ht="195">
      <c r="A18" s="17">
        <f>ROW()</f>
        <v>18</v>
      </c>
      <c r="B18" s="18" t="s">
        <v>2740</v>
      </c>
      <c r="C18" s="18" t="str">
        <f>+E18</f>
        <v>Sonstige Leistungen</v>
      </c>
      <c r="D18" s="18" t="str">
        <f>+E18</f>
        <v>Sonstige Leistungen</v>
      </c>
      <c r="E18" s="32" t="s">
        <v>2678</v>
      </c>
      <c r="F18" s="6" t="s">
        <v>4941</v>
      </c>
    </row>
    <row r="19" spans="1:6" ht="300.75">
      <c r="A19" s="17">
        <f>ROW()</f>
        <v>19</v>
      </c>
      <c r="B19" s="18" t="s">
        <v>2740</v>
      </c>
      <c r="C19" s="18" t="s">
        <v>2761</v>
      </c>
      <c r="D19" s="18" t="str">
        <f t="shared" si="0"/>
        <v>Umschulung, berufsbezogene Rehabilitation</v>
      </c>
      <c r="E19" s="33" t="s">
        <v>2762</v>
      </c>
      <c r="F19" s="6" t="s">
        <v>2915</v>
      </c>
    </row>
    <row r="20" spans="1:6" ht="409.5">
      <c r="A20" s="17">
        <f>ROW()</f>
        <v>20</v>
      </c>
      <c r="B20" s="18" t="s">
        <v>2740</v>
      </c>
      <c r="C20" s="18" t="s">
        <v>2761</v>
      </c>
      <c r="D20" s="18" t="str">
        <f t="shared" si="0"/>
        <v xml:space="preserve">Bevorzugte und reservierte Beschäftigung von Menschen mit Behinderungen  </v>
      </c>
      <c r="E20" s="33" t="s">
        <v>2763</v>
      </c>
      <c r="F20" s="6" t="s">
        <v>2916</v>
      </c>
    </row>
    <row r="21" spans="1:6" ht="171.75">
      <c r="A21" s="17">
        <f>ROW()</f>
        <v>21</v>
      </c>
      <c r="B21" s="18" t="s">
        <v>2740</v>
      </c>
      <c r="C21" s="18" t="s">
        <v>2765</v>
      </c>
      <c r="D21" s="18" t="str">
        <f t="shared" si="0"/>
        <v>Indexbindung/Anpassung</v>
      </c>
      <c r="E21" s="32" t="s">
        <v>2766</v>
      </c>
      <c r="F21" s="6" t="s">
        <v>2917</v>
      </c>
    </row>
    <row r="22" spans="1:6" ht="242.25">
      <c r="A22" s="17">
        <f>ROW()</f>
        <v>22</v>
      </c>
      <c r="B22" s="18" t="s">
        <v>2740</v>
      </c>
      <c r="C22" s="18" t="s">
        <v>2765</v>
      </c>
      <c r="D22" s="18" t="str">
        <f>+E22</f>
        <v>Kumulation mit Erwerbseinkommen</v>
      </c>
      <c r="E22" s="32" t="s">
        <v>2723</v>
      </c>
      <c r="F22" s="6" t="s">
        <v>2918</v>
      </c>
    </row>
    <row r="23" spans="1:6" ht="275.25">
      <c r="A23" s="17">
        <f>ROW()</f>
        <v>23</v>
      </c>
      <c r="B23" s="18" t="s">
        <v>2740</v>
      </c>
      <c r="C23" s="18" t="s">
        <v>2765</v>
      </c>
      <c r="D23" s="18" t="str">
        <f t="shared" si="0"/>
        <v>Kumulation mit anderen Sozialleistungen</v>
      </c>
      <c r="E23" s="32" t="s">
        <v>2696</v>
      </c>
      <c r="F23" s="6" t="s">
        <v>2919</v>
      </c>
    </row>
    <row r="24" spans="1:6" ht="232.5">
      <c r="A24" s="17">
        <f>ROW()</f>
        <v>24</v>
      </c>
      <c r="B24" s="18" t="s">
        <v>2740</v>
      </c>
      <c r="C24" s="18" t="s">
        <v>2701</v>
      </c>
      <c r="D24" s="18" t="str">
        <f t="shared" si="0"/>
        <v>1. Besteuerung von Geldleistungen</v>
      </c>
      <c r="E24" s="33" t="s">
        <v>2770</v>
      </c>
      <c r="F24" s="6" t="s">
        <v>2920</v>
      </c>
    </row>
    <row r="25" spans="1:6" ht="387">
      <c r="A25" s="17">
        <f>ROW()</f>
        <v>25</v>
      </c>
      <c r="B25" s="18" t="s">
        <v>2740</v>
      </c>
      <c r="C25" s="18" t="s">
        <v>2701</v>
      </c>
      <c r="D25" s="18" t="str">
        <f t="shared" si="0"/>
        <v>2. Einkommensgrenze für Besteuerung von Geldleistungen</v>
      </c>
      <c r="E25" s="33" t="s">
        <v>2772</v>
      </c>
      <c r="F25" s="6" t="s">
        <v>2538</v>
      </c>
    </row>
    <row r="26" spans="1:6" ht="288.75">
      <c r="A26" s="17">
        <f>ROW()</f>
        <v>26</v>
      </c>
      <c r="B26" s="18" t="s">
        <v>2740</v>
      </c>
      <c r="C26" s="18" t="s">
        <v>2701</v>
      </c>
      <c r="D26" s="18" t="str">
        <f t="shared" si="0"/>
        <v>3. Auf Leistungen anfallende Sozialabgaben</v>
      </c>
      <c r="E26" s="33" t="s">
        <v>2773</v>
      </c>
      <c r="F26" s="6" t="s">
        <v>2921</v>
      </c>
    </row>
    <row r="27" spans="1:6" ht="138">
      <c r="A27" s="17">
        <f>ROW()</f>
        <v>27</v>
      </c>
      <c r="B27" s="18" t="s">
        <v>2740</v>
      </c>
      <c r="C27" s="18" t="s">
        <v>2775</v>
      </c>
      <c r="D27" s="18" t="str">
        <f t="shared" si="0"/>
        <v>Anwendungsbereich</v>
      </c>
      <c r="E27" s="33" t="s">
        <v>2708</v>
      </c>
      <c r="F27" s="6" t="s">
        <v>840</v>
      </c>
    </row>
    <row r="28" spans="1:6" ht="110.25">
      <c r="A28" s="17">
        <f>ROW()</f>
        <v>28</v>
      </c>
      <c r="B28" s="18" t="s">
        <v>2740</v>
      </c>
      <c r="C28" s="18" t="s">
        <v>2775</v>
      </c>
      <c r="D28" s="18" t="str">
        <f t="shared" si="0"/>
        <v>Grundprinzipien</v>
      </c>
      <c r="E28" s="33" t="s">
        <v>2709</v>
      </c>
      <c r="F28" s="6" t="s">
        <v>876</v>
      </c>
    </row>
    <row r="29" spans="1:6" ht="224.25">
      <c r="A29" s="17">
        <f>ROW()</f>
        <v>29</v>
      </c>
      <c r="B29" s="18" t="s">
        <v>2740</v>
      </c>
      <c r="C29" s="18" t="s">
        <v>2775</v>
      </c>
      <c r="D29" s="18" t="str">
        <f t="shared" si="0"/>
        <v>Voraussetzungen für die Deckung</v>
      </c>
      <c r="E29" s="33" t="s">
        <v>2710</v>
      </c>
      <c r="F29" s="6" t="s">
        <v>899</v>
      </c>
    </row>
    <row r="30" spans="1:6" ht="409.5">
      <c r="A30" s="17">
        <f>ROW()</f>
        <v>30</v>
      </c>
      <c r="B30" s="18" t="s">
        <v>2740</v>
      </c>
      <c r="C30" s="18" t="s">
        <v>2775</v>
      </c>
      <c r="D30" s="19" t="str">
        <f t="shared" si="0"/>
        <v>Kombination von selbstständiger und unselbstständiger Tätigkeit</v>
      </c>
      <c r="E30" s="33" t="s">
        <v>2698</v>
      </c>
      <c r="F30" s="6" t="s">
        <v>920</v>
      </c>
    </row>
    <row r="31" spans="1:6" ht="376.5">
      <c r="A31" s="17">
        <f>ROW()</f>
        <v>31</v>
      </c>
      <c r="B31" s="18" t="s">
        <v>2740</v>
      </c>
      <c r="C31" s="18" t="s">
        <v>2695</v>
      </c>
      <c r="D31" s="19" t="str">
        <f t="shared" si="0"/>
        <v xml:space="preserve">Voraussetzungen für den Zugang zu Diensten/Leistungen </v>
      </c>
      <c r="E31" s="33" t="s">
        <v>2699</v>
      </c>
      <c r="F31" s="6" t="s">
        <v>940</v>
      </c>
    </row>
    <row r="32" spans="1:6" ht="253.5">
      <c r="A32" s="17">
        <f>ROW()</f>
        <v>32</v>
      </c>
      <c r="B32" s="18" t="s">
        <v>2740</v>
      </c>
      <c r="C32" s="18" t="s">
        <v>2695</v>
      </c>
      <c r="D32" s="18" t="str">
        <f t="shared" si="0"/>
        <v>Beträge, Dauer und Kostenbeteiligung</v>
      </c>
      <c r="E32" s="33" t="s">
        <v>2700</v>
      </c>
      <c r="F32" s="6" t="s">
        <v>940</v>
      </c>
    </row>
    <row r="33" spans="1:6" ht="216">
      <c r="A33" s="17">
        <f>ROW()</f>
        <v>33</v>
      </c>
      <c r="B33" s="18" t="s">
        <v>2740</v>
      </c>
      <c r="C33" s="18" t="s">
        <v>2695</v>
      </c>
      <c r="D33" s="18" t="str">
        <f t="shared" si="0"/>
        <v>Besteuerung von Geldleistungen</v>
      </c>
      <c r="E33" s="33" t="s">
        <v>2681</v>
      </c>
      <c r="F33" s="6" t="s">
        <v>940</v>
      </c>
    </row>
    <row r="34" spans="1:6" ht="276.75">
      <c r="A34" s="17">
        <f>ROW()</f>
        <v>34</v>
      </c>
      <c r="B34" s="18" t="s">
        <v>2740</v>
      </c>
      <c r="C34" s="18" t="s">
        <v>2695</v>
      </c>
      <c r="D34" s="18" t="str">
        <f t="shared" si="0"/>
        <v xml:space="preserve"> Auf Leistungen anfallende Sozialabgaben</v>
      </c>
      <c r="E34" s="33" t="s">
        <v>2779</v>
      </c>
      <c r="F34" s="6" t="s">
        <v>940</v>
      </c>
    </row>
    <row r="35" spans="1:6" ht="210">
      <c r="A35" s="17">
        <f>ROW()</f>
        <v>35</v>
      </c>
      <c r="B35" s="18" t="s">
        <v>2780</v>
      </c>
      <c r="C35" s="18" t="str">
        <f>+D35</f>
        <v>Geltende Rechtsgrundlage</v>
      </c>
      <c r="D35" s="18" t="str">
        <f>+E35</f>
        <v>Geltende Rechtsgrundlage</v>
      </c>
      <c r="E35" s="32" t="s">
        <v>2724</v>
      </c>
      <c r="F35" s="6" t="s">
        <v>60</v>
      </c>
    </row>
    <row r="36" spans="1:6" ht="135">
      <c r="A36" s="17">
        <f>ROW()</f>
        <v>36</v>
      </c>
      <c r="B36" s="18" t="s">
        <v>2780</v>
      </c>
      <c r="C36" s="18" t="str">
        <f>+D36</f>
        <v>Grundprinzipien</v>
      </c>
      <c r="D36" s="18" t="str">
        <f>+E36</f>
        <v>Grundprinzipien</v>
      </c>
      <c r="E36" s="32" t="s">
        <v>2709</v>
      </c>
      <c r="F36" s="6" t="s">
        <v>91</v>
      </c>
    </row>
    <row r="37" spans="1:6" ht="159.75">
      <c r="A37" s="17">
        <f>ROW()</f>
        <v>37</v>
      </c>
      <c r="B37" s="18" t="s">
        <v>2780</v>
      </c>
      <c r="C37" s="18" t="s">
        <v>2708</v>
      </c>
      <c r="D37" s="18" t="str">
        <f>+E37</f>
        <v>1. Versicherte Personen</v>
      </c>
      <c r="E37" s="33" t="s">
        <v>2781</v>
      </c>
      <c r="F37" s="6" t="s">
        <v>123</v>
      </c>
    </row>
    <row r="38" spans="1:6" ht="371.25">
      <c r="A38" s="17">
        <f>ROW()</f>
        <v>38</v>
      </c>
      <c r="B38" s="18" t="s">
        <v>2780</v>
      </c>
      <c r="C38" s="18" t="s">
        <v>2708</v>
      </c>
      <c r="D38" s="18" t="str">
        <f t="shared" ref="D38:D58" si="1">+E38</f>
        <v>2. Ausnahmen von der Deckung  der Pflichtversicherung</v>
      </c>
      <c r="E38" s="33" t="s">
        <v>2782</v>
      </c>
      <c r="F38" s="6" t="s">
        <v>147</v>
      </c>
    </row>
    <row r="39" spans="1:6" ht="194.25">
      <c r="A39" s="17">
        <f>ROW()</f>
        <v>39</v>
      </c>
      <c r="B39" s="18" t="s">
        <v>2780</v>
      </c>
      <c r="C39" s="18" t="s">
        <v>149</v>
      </c>
      <c r="D39" s="18" t="str">
        <f t="shared" si="1"/>
        <v>1. Rentenalter</v>
      </c>
      <c r="E39" s="33" t="s">
        <v>2784</v>
      </c>
      <c r="F39" s="6" t="s">
        <v>179</v>
      </c>
    </row>
    <row r="40" spans="1:6" ht="409.5">
      <c r="A40" s="17">
        <f>ROW()</f>
        <v>40</v>
      </c>
      <c r="B40" s="18" t="s">
        <v>2780</v>
      </c>
      <c r="C40" s="18" t="s">
        <v>149</v>
      </c>
      <c r="D40" s="18" t="str">
        <f t="shared" si="1"/>
        <v>2. Anwartschaftszeit und sonstige Anspruchsvoraussetzungen für den Bezug einer Altersrente</v>
      </c>
      <c r="E40" s="33" t="s">
        <v>2785</v>
      </c>
      <c r="F40" s="6" t="s">
        <v>210</v>
      </c>
    </row>
    <row r="41" spans="1:6" ht="375">
      <c r="A41" s="17">
        <f>ROW()</f>
        <v>41</v>
      </c>
      <c r="B41" s="18" t="s">
        <v>2780</v>
      </c>
      <c r="C41" s="18" t="s">
        <v>149</v>
      </c>
      <c r="D41" s="18" t="str">
        <f t="shared" si="1"/>
        <v>3. Vorruhestand</v>
      </c>
      <c r="E41" s="33" t="s">
        <v>2786</v>
      </c>
      <c r="F41" s="6" t="s">
        <v>4942</v>
      </c>
    </row>
    <row r="42" spans="1:6" ht="264">
      <c r="A42" s="17">
        <f>ROW()</f>
        <v>42</v>
      </c>
      <c r="B42" s="18" t="s">
        <v>2780</v>
      </c>
      <c r="C42" s="18" t="s">
        <v>149</v>
      </c>
      <c r="D42" s="18" t="str">
        <f t="shared" si="1"/>
        <v>4. Beschwerliche und gefährliche Arbeit</v>
      </c>
      <c r="E42" s="33" t="s">
        <v>2787</v>
      </c>
      <c r="F42" s="6" t="s">
        <v>270</v>
      </c>
    </row>
    <row r="43" spans="1:6" ht="194.25">
      <c r="A43" s="17">
        <f>ROW()</f>
        <v>43</v>
      </c>
      <c r="B43" s="18" t="s">
        <v>2780</v>
      </c>
      <c r="C43" s="18" t="s">
        <v>149</v>
      </c>
      <c r="D43" s="18" t="str">
        <f t="shared" si="1"/>
        <v>5. Rentenaufschub</v>
      </c>
      <c r="E43" s="33" t="s">
        <v>2788</v>
      </c>
      <c r="F43" s="6" t="s">
        <v>294</v>
      </c>
    </row>
    <row r="44" spans="1:6" ht="174">
      <c r="A44" s="17">
        <f>ROW()</f>
        <v>44</v>
      </c>
      <c r="B44" s="18" t="s">
        <v>2780</v>
      </c>
      <c r="C44" s="18" t="s">
        <v>2695</v>
      </c>
      <c r="D44" s="18" t="str">
        <f t="shared" si="1"/>
        <v>1. Bestimmende Faktoren</v>
      </c>
      <c r="E44" s="33" t="s">
        <v>2789</v>
      </c>
      <c r="F44" s="6" t="s">
        <v>326</v>
      </c>
    </row>
    <row r="45" spans="1:6" ht="349.5">
      <c r="A45" s="17">
        <f>ROW()</f>
        <v>45</v>
      </c>
      <c r="B45" s="18" t="s">
        <v>2780</v>
      </c>
      <c r="C45" s="18" t="s">
        <v>2695</v>
      </c>
      <c r="D45" s="18" t="str">
        <f t="shared" si="1"/>
        <v>2. Berechnungsmethode, Rentenformel bzw. Beträge</v>
      </c>
      <c r="E45" s="33" t="s">
        <v>2790</v>
      </c>
      <c r="F45" s="6" t="s">
        <v>357</v>
      </c>
    </row>
    <row r="46" spans="1:6" ht="343.5">
      <c r="A46" s="17">
        <f>ROW()</f>
        <v>46</v>
      </c>
      <c r="B46" s="18" t="s">
        <v>2780</v>
      </c>
      <c r="C46" s="18" t="s">
        <v>2695</v>
      </c>
      <c r="D46" s="18" t="str">
        <f t="shared" si="1"/>
        <v>3. Referenzeinkommen bzw. Berechnungsgrundlage</v>
      </c>
      <c r="E46" s="33" t="s">
        <v>2791</v>
      </c>
      <c r="F46" s="6" t="s">
        <v>388</v>
      </c>
    </row>
    <row r="47" spans="1:6" ht="405">
      <c r="A47" s="17">
        <f>ROW()</f>
        <v>47</v>
      </c>
      <c r="B47" s="18" t="s">
        <v>2780</v>
      </c>
      <c r="C47" s="18" t="s">
        <v>2695</v>
      </c>
      <c r="D47" s="18" t="str">
        <f t="shared" si="1"/>
        <v>4. Anrechenbare oder als Beitragszeiten gewertete Zeiträume</v>
      </c>
      <c r="E47" s="33" t="s">
        <v>2757</v>
      </c>
      <c r="F47" s="6" t="s">
        <v>4943</v>
      </c>
    </row>
    <row r="48" spans="1:6" ht="243.75">
      <c r="A48" s="17">
        <f>ROW()</f>
        <v>48</v>
      </c>
      <c r="B48" s="18" t="s">
        <v>2780</v>
      </c>
      <c r="C48" s="18" t="s">
        <v>2695</v>
      </c>
      <c r="D48" s="18" t="str">
        <f t="shared" si="1"/>
        <v>5. Rückkauf von Versicherungszeiten</v>
      </c>
      <c r="E48" s="33" t="s">
        <v>2792</v>
      </c>
      <c r="F48" s="6" t="s">
        <v>4944</v>
      </c>
    </row>
    <row r="49" spans="1:6" ht="246">
      <c r="A49" s="17">
        <f>ROW()</f>
        <v>49</v>
      </c>
      <c r="B49" s="18" t="s">
        <v>2780</v>
      </c>
      <c r="C49" s="18" t="s">
        <v>2695</v>
      </c>
      <c r="D49" s="18" t="str">
        <f t="shared" si="1"/>
        <v>6.  Zulagen für Unterhaltsberechtigte</v>
      </c>
      <c r="E49" s="33" t="s">
        <v>2892</v>
      </c>
      <c r="F49" s="6" t="s">
        <v>469</v>
      </c>
    </row>
    <row r="50" spans="1:6" ht="145.5">
      <c r="A50" s="17">
        <f>ROW()</f>
        <v>50</v>
      </c>
      <c r="B50" s="18" t="s">
        <v>2780</v>
      </c>
      <c r="C50" s="18" t="s">
        <v>2695</v>
      </c>
      <c r="D50" s="18" t="str">
        <f t="shared" si="1"/>
        <v>7. Besondere Zulagen</v>
      </c>
      <c r="E50" s="33" t="s">
        <v>2793</v>
      </c>
      <c r="F50" s="6" t="s">
        <v>497</v>
      </c>
    </row>
    <row r="51" spans="1:6" ht="360.75">
      <c r="A51" s="17">
        <f>ROW()</f>
        <v>51</v>
      </c>
      <c r="B51" s="18" t="s">
        <v>2780</v>
      </c>
      <c r="C51" s="18" t="s">
        <v>2695</v>
      </c>
      <c r="D51" s="18" t="str">
        <f t="shared" si="1"/>
        <v>8. Mindestrente und bedürftigkeitsabhängige Leistung</v>
      </c>
      <c r="E51" s="33" t="s">
        <v>2794</v>
      </c>
      <c r="F51" s="6" t="s">
        <v>528</v>
      </c>
    </row>
    <row r="52" spans="1:6" ht="101.25">
      <c r="A52" s="17">
        <f>ROW()</f>
        <v>52</v>
      </c>
      <c r="B52" s="18" t="s">
        <v>2780</v>
      </c>
      <c r="C52" s="18" t="s">
        <v>2695</v>
      </c>
      <c r="D52" s="18" t="str">
        <f t="shared" si="1"/>
        <v>9. Höchstrente</v>
      </c>
      <c r="E52" s="33" t="s">
        <v>2795</v>
      </c>
      <c r="F52" s="6" t="s">
        <v>554</v>
      </c>
    </row>
    <row r="53" spans="1:6" ht="119.25">
      <c r="A53" s="17">
        <f>ROW()</f>
        <v>53</v>
      </c>
      <c r="B53" s="18" t="s">
        <v>2780</v>
      </c>
      <c r="C53" s="18" t="s">
        <v>2695</v>
      </c>
      <c r="D53" s="18" t="str">
        <f t="shared" si="1"/>
        <v>10. Vorruhestand</v>
      </c>
      <c r="E53" s="33" t="s">
        <v>2796</v>
      </c>
      <c r="F53" s="6" t="s">
        <v>583</v>
      </c>
    </row>
    <row r="54" spans="1:6" ht="272.25">
      <c r="A54" s="17">
        <f>ROW()</f>
        <v>54</v>
      </c>
      <c r="B54" s="18" t="s">
        <v>2780</v>
      </c>
      <c r="C54" s="18" t="s">
        <v>2695</v>
      </c>
      <c r="D54" s="18" t="str">
        <f t="shared" si="1"/>
        <v>11. Beschwerliche und gefährliche Arbeit</v>
      </c>
      <c r="E54" s="33" t="s">
        <v>2797</v>
      </c>
      <c r="F54" s="6" t="s">
        <v>608</v>
      </c>
    </row>
    <row r="55" spans="1:6" ht="87.75">
      <c r="A55" s="17">
        <f>ROW()</f>
        <v>55</v>
      </c>
      <c r="B55" s="18" t="s">
        <v>2780</v>
      </c>
      <c r="C55" s="18" t="s">
        <v>2695</v>
      </c>
      <c r="D55" s="18" t="str">
        <f t="shared" si="1"/>
        <v>12. Teilrente</v>
      </c>
      <c r="E55" s="33" t="s">
        <v>2798</v>
      </c>
      <c r="F55" s="6" t="s">
        <v>635</v>
      </c>
    </row>
    <row r="56" spans="1:6" ht="171.75">
      <c r="A56" s="17">
        <f>ROW()</f>
        <v>56</v>
      </c>
      <c r="B56" s="18" t="s">
        <v>2780</v>
      </c>
      <c r="C56" s="18" t="s">
        <v>2695</v>
      </c>
      <c r="D56" s="18" t="str">
        <f t="shared" si="1"/>
        <v>13. Aufgeschobene Rente</v>
      </c>
      <c r="E56" s="33" t="s">
        <v>2893</v>
      </c>
      <c r="F56" s="6" t="s">
        <v>666</v>
      </c>
    </row>
    <row r="57" spans="1:6" ht="179.25">
      <c r="A57" s="17">
        <f>ROW()</f>
        <v>57</v>
      </c>
      <c r="B57" s="18" t="s">
        <v>2780</v>
      </c>
      <c r="C57" s="18" t="s">
        <v>2799</v>
      </c>
      <c r="D57" s="18" t="s">
        <v>2799</v>
      </c>
      <c r="E57" s="32" t="s">
        <v>2799</v>
      </c>
      <c r="F57" s="6" t="s">
        <v>697</v>
      </c>
    </row>
    <row r="58" spans="1:6" ht="246">
      <c r="A58" s="17">
        <f>ROW()</f>
        <v>58</v>
      </c>
      <c r="B58" s="18" t="s">
        <v>2780</v>
      </c>
      <c r="C58" s="18" t="s">
        <v>2799</v>
      </c>
      <c r="D58" s="18" t="str">
        <f t="shared" si="1"/>
        <v xml:space="preserve">Kumulation mit Erwerbseinkommen </v>
      </c>
      <c r="E58" s="32" t="s">
        <v>2697</v>
      </c>
      <c r="F58" s="6" t="s">
        <v>728</v>
      </c>
    </row>
    <row r="59" spans="1:6" ht="286.5">
      <c r="A59" s="17">
        <f>ROW()</f>
        <v>59</v>
      </c>
      <c r="B59" s="18" t="s">
        <v>2780</v>
      </c>
      <c r="C59" s="18" t="s">
        <v>2799</v>
      </c>
      <c r="D59" s="18" t="s">
        <v>2800</v>
      </c>
      <c r="E59" s="32" t="s">
        <v>2696</v>
      </c>
      <c r="F59" s="6" t="s">
        <v>759</v>
      </c>
    </row>
    <row r="60" spans="1:6" ht="225.75">
      <c r="A60" s="17">
        <f>ROW()</f>
        <v>60</v>
      </c>
      <c r="B60" s="18" t="s">
        <v>2780</v>
      </c>
      <c r="C60" s="18" t="s">
        <v>761</v>
      </c>
      <c r="D60" s="18" t="str">
        <f t="shared" ref="D60:D70" si="2">+E60</f>
        <v>1. Besteuerung von Renten</v>
      </c>
      <c r="E60" s="33" t="s">
        <v>2801</v>
      </c>
      <c r="F60" s="6" t="s">
        <v>786</v>
      </c>
    </row>
    <row r="61" spans="1:6" ht="335.25">
      <c r="A61" s="17">
        <f>ROW()</f>
        <v>61</v>
      </c>
      <c r="B61" s="18" t="s">
        <v>2780</v>
      </c>
      <c r="C61" s="18" t="s">
        <v>761</v>
      </c>
      <c r="D61" s="18" t="str">
        <f t="shared" si="2"/>
        <v>2. Einkommensgrenze für Besteuerung von Renten</v>
      </c>
      <c r="E61" s="33" t="s">
        <v>2802</v>
      </c>
      <c r="F61" s="6" t="s">
        <v>815</v>
      </c>
    </row>
    <row r="62" spans="1:6" ht="264">
      <c r="A62" s="17">
        <f>ROW()</f>
        <v>62</v>
      </c>
      <c r="B62" s="18" t="s">
        <v>2780</v>
      </c>
      <c r="C62" s="18" t="s">
        <v>761</v>
      </c>
      <c r="D62" s="18" t="str">
        <f t="shared" si="2"/>
        <v>3. Auf Renten anfallende Sozialabgaben</v>
      </c>
      <c r="E62" s="33" t="s">
        <v>2803</v>
      </c>
      <c r="F62" s="6" t="s">
        <v>836</v>
      </c>
    </row>
    <row r="63" spans="1:6" ht="138">
      <c r="A63" s="17">
        <f>ROW()</f>
        <v>63</v>
      </c>
      <c r="B63" s="18" t="s">
        <v>2804</v>
      </c>
      <c r="C63" s="18" t="str">
        <f>+E63</f>
        <v>Anwendungsbereich</v>
      </c>
      <c r="D63" s="18" t="str">
        <f t="shared" si="2"/>
        <v>Anwendungsbereich</v>
      </c>
      <c r="E63" s="33" t="s">
        <v>2708</v>
      </c>
      <c r="F63" s="6" t="s">
        <v>840</v>
      </c>
    </row>
    <row r="64" spans="1:6" ht="132.75">
      <c r="A64" s="17">
        <f>ROW()</f>
        <v>64</v>
      </c>
      <c r="B64" s="18" t="s">
        <v>2804</v>
      </c>
      <c r="C64" s="18" t="s">
        <v>2775</v>
      </c>
      <c r="D64" s="18" t="str">
        <f t="shared" si="2"/>
        <v>Grundprinzipien</v>
      </c>
      <c r="E64" s="33" t="s">
        <v>2709</v>
      </c>
      <c r="F64" s="6" t="s">
        <v>876</v>
      </c>
    </row>
    <row r="65" spans="1:6" ht="224.25">
      <c r="A65" s="17">
        <f>ROW()</f>
        <v>65</v>
      </c>
      <c r="B65" s="18" t="s">
        <v>2804</v>
      </c>
      <c r="C65" s="18" t="s">
        <v>2775</v>
      </c>
      <c r="D65" s="18" t="str">
        <f t="shared" si="2"/>
        <v>Voraussetzungen für die Deckung</v>
      </c>
      <c r="E65" s="33" t="s">
        <v>2710</v>
      </c>
      <c r="F65" s="6" t="s">
        <v>899</v>
      </c>
    </row>
    <row r="66" spans="1:6" ht="409.5">
      <c r="A66" s="17">
        <f>ROW()</f>
        <v>66</v>
      </c>
      <c r="B66" s="18" t="s">
        <v>2804</v>
      </c>
      <c r="C66" s="18" t="s">
        <v>2775</v>
      </c>
      <c r="D66" s="18" t="str">
        <f t="shared" si="2"/>
        <v>Kombination von selbstständiger und unselbstständiger Tätigkeit</v>
      </c>
      <c r="E66" s="33" t="s">
        <v>2698</v>
      </c>
      <c r="F66" s="6" t="s">
        <v>920</v>
      </c>
    </row>
    <row r="67" spans="1:6" ht="376.5">
      <c r="A67" s="17">
        <f>ROW()</f>
        <v>67</v>
      </c>
      <c r="B67" s="18" t="s">
        <v>2804</v>
      </c>
      <c r="C67" s="18" t="s">
        <v>2695</v>
      </c>
      <c r="D67" s="19" t="str">
        <f t="shared" si="2"/>
        <v xml:space="preserve">Voraussetzungen für den Zugang zu Diensten/Leistungen </v>
      </c>
      <c r="E67" s="33" t="s">
        <v>2699</v>
      </c>
      <c r="F67" s="6" t="s">
        <v>940</v>
      </c>
    </row>
    <row r="68" spans="1:6" ht="253.5">
      <c r="A68" s="17">
        <f>ROW()</f>
        <v>68</v>
      </c>
      <c r="B68" s="18" t="s">
        <v>2804</v>
      </c>
      <c r="C68" s="18" t="s">
        <v>2695</v>
      </c>
      <c r="D68" s="19" t="str">
        <f t="shared" si="2"/>
        <v>Beträge, Dauer und Kostenbeteiligung</v>
      </c>
      <c r="E68" s="33" t="s">
        <v>2700</v>
      </c>
      <c r="F68" s="6" t="s">
        <v>940</v>
      </c>
    </row>
    <row r="69" spans="1:6" ht="216">
      <c r="A69" s="17">
        <f>ROW()</f>
        <v>69</v>
      </c>
      <c r="B69" s="18" t="s">
        <v>2804</v>
      </c>
      <c r="C69" s="18" t="s">
        <v>2695</v>
      </c>
      <c r="D69" s="19" t="str">
        <f t="shared" si="2"/>
        <v>Besteuerung von Geldleistungen</v>
      </c>
      <c r="E69" s="33" t="s">
        <v>2681</v>
      </c>
      <c r="F69" s="6" t="s">
        <v>940</v>
      </c>
    </row>
    <row r="70" spans="1:6" ht="272.25">
      <c r="A70" s="17">
        <f>ROW()</f>
        <v>70</v>
      </c>
      <c r="B70" s="18" t="s">
        <v>2804</v>
      </c>
      <c r="C70" s="18" t="s">
        <v>2695</v>
      </c>
      <c r="D70" s="19" t="str">
        <f t="shared" si="2"/>
        <v>Auf Leistungen anfallende Sozialabgaben</v>
      </c>
      <c r="E70" s="33" t="s">
        <v>2683</v>
      </c>
      <c r="F70" s="6" t="s">
        <v>940</v>
      </c>
    </row>
    <row r="71" spans="1:6" ht="177">
      <c r="A71" s="17">
        <f>ROW()</f>
        <v>71</v>
      </c>
      <c r="B71" s="18" t="s">
        <v>2702</v>
      </c>
      <c r="C71" s="18" t="str">
        <f t="shared" ref="C71:D75" si="3">+D71</f>
        <v>Geltende Rechtsgrundlage</v>
      </c>
      <c r="D71" s="19" t="str">
        <f t="shared" si="3"/>
        <v>Geltende Rechtsgrundlage</v>
      </c>
      <c r="E71" s="32" t="s">
        <v>2724</v>
      </c>
      <c r="F71" s="6" t="s">
        <v>1015</v>
      </c>
    </row>
    <row r="72" spans="1:6" ht="110.25">
      <c r="A72" s="17">
        <f>ROW()</f>
        <v>72</v>
      </c>
      <c r="B72" s="18" t="s">
        <v>2702</v>
      </c>
      <c r="C72" s="18" t="str">
        <f t="shared" si="3"/>
        <v>Grundprinzipien</v>
      </c>
      <c r="D72" s="19" t="str">
        <f t="shared" si="3"/>
        <v>Grundprinzipien</v>
      </c>
      <c r="E72" s="32" t="s">
        <v>2709</v>
      </c>
      <c r="F72" s="6" t="s">
        <v>1045</v>
      </c>
    </row>
    <row r="73" spans="1:6" ht="315">
      <c r="A73" s="17">
        <f>ROW()</f>
        <v>73</v>
      </c>
      <c r="B73" s="18" t="s">
        <v>2702</v>
      </c>
      <c r="C73" s="19" t="str">
        <f t="shared" si="3"/>
        <v>Anwendungsbereich (in Bezug auf Verstorbene)</v>
      </c>
      <c r="D73" s="19" t="str">
        <f t="shared" si="3"/>
        <v>Anwendungsbereich (in Bezug auf Verstorbene)</v>
      </c>
      <c r="E73" s="32" t="s">
        <v>2725</v>
      </c>
      <c r="F73" s="6" t="s">
        <v>1074</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125</v>
      </c>
    </row>
    <row r="75" spans="1:6" ht="144.75">
      <c r="A75" s="17">
        <f>ROW()</f>
        <v>75</v>
      </c>
      <c r="B75" s="18" t="s">
        <v>2702</v>
      </c>
      <c r="C75" s="19" t="str">
        <f t="shared" si="3"/>
        <v>Berechtigte Personen</v>
      </c>
      <c r="D75" s="19" t="str">
        <f t="shared" si="3"/>
        <v>Berechtigte Personen</v>
      </c>
      <c r="E75" s="32" t="s">
        <v>2730</v>
      </c>
      <c r="F75" s="6" t="s">
        <v>1120</v>
      </c>
    </row>
    <row r="76" spans="1:6" ht="102">
      <c r="A76" s="17">
        <f>ROW()</f>
        <v>76</v>
      </c>
      <c r="B76" s="18" t="s">
        <v>2702</v>
      </c>
      <c r="C76" s="1"/>
      <c r="D76" s="1"/>
      <c r="E76" s="32" t="s">
        <v>2783</v>
      </c>
      <c r="F76" s="6"/>
    </row>
    <row r="77" spans="1:6" ht="285">
      <c r="A77" s="17">
        <f>ROW()</f>
        <v>77</v>
      </c>
      <c r="B77" s="18" t="s">
        <v>2702</v>
      </c>
      <c r="C77" s="18" t="s">
        <v>2805</v>
      </c>
      <c r="D77" s="18" t="str">
        <f t="shared" ref="D77:D90" si="4">+E77</f>
        <v>1. Verstorbener Versicherter</v>
      </c>
      <c r="E77" s="33" t="s">
        <v>2806</v>
      </c>
      <c r="F77" s="6" t="s">
        <v>4945</v>
      </c>
    </row>
    <row r="78" spans="1:6" ht="375">
      <c r="A78" s="17">
        <f>ROW()</f>
        <v>78</v>
      </c>
      <c r="B78" s="18" t="s">
        <v>2702</v>
      </c>
      <c r="C78" s="18" t="s">
        <v>2805</v>
      </c>
      <c r="D78" s="18" t="str">
        <f t="shared" si="4"/>
        <v>2. Hinterbliebener Ehegatte</v>
      </c>
      <c r="E78" s="33" t="s">
        <v>2807</v>
      </c>
      <c r="F78" s="6" t="s">
        <v>4946</v>
      </c>
    </row>
    <row r="79" spans="1:6" ht="181.5">
      <c r="A79" s="17">
        <f>ROW()</f>
        <v>79</v>
      </c>
      <c r="B79" s="18" t="s">
        <v>2702</v>
      </c>
      <c r="C79" s="18" t="s">
        <v>2805</v>
      </c>
      <c r="D79" s="18" t="str">
        <f t="shared" si="4"/>
        <v>3. Geschiedener Ehegatte</v>
      </c>
      <c r="E79" s="33" t="s">
        <v>2808</v>
      </c>
      <c r="F79" s="6" t="s">
        <v>1211</v>
      </c>
    </row>
    <row r="80" spans="1:6" ht="216">
      <c r="A80" s="17">
        <f>ROW()</f>
        <v>80</v>
      </c>
      <c r="B80" s="18" t="s">
        <v>2702</v>
      </c>
      <c r="C80" s="18" t="s">
        <v>2805</v>
      </c>
      <c r="D80" s="18" t="str">
        <f t="shared" si="4"/>
        <v>4. Hinterbliebene Lebenspartner</v>
      </c>
      <c r="E80" s="33" t="s">
        <v>2809</v>
      </c>
      <c r="F80" s="6" t="s">
        <v>1233</v>
      </c>
    </row>
    <row r="81" spans="1:6" ht="181.5">
      <c r="A81" s="17">
        <f>ROW()</f>
        <v>81</v>
      </c>
      <c r="B81" s="18" t="s">
        <v>2702</v>
      </c>
      <c r="C81" s="18" t="s">
        <v>2805</v>
      </c>
      <c r="D81" s="18" t="str">
        <f t="shared" si="4"/>
        <v>5. Kinder</v>
      </c>
      <c r="E81" s="33" t="s">
        <v>2810</v>
      </c>
      <c r="F81" s="6" t="s">
        <v>1263</v>
      </c>
    </row>
    <row r="82" spans="1:6" ht="181.5">
      <c r="A82" s="17">
        <f>ROW()</f>
        <v>82</v>
      </c>
      <c r="B82" s="18" t="s">
        <v>2702</v>
      </c>
      <c r="C82" s="18" t="s">
        <v>2805</v>
      </c>
      <c r="D82" s="18" t="str">
        <f t="shared" si="4"/>
        <v>6. Andere Personen</v>
      </c>
      <c r="E82" s="33" t="s">
        <v>2811</v>
      </c>
      <c r="F82" s="6" t="s">
        <v>4947</v>
      </c>
    </row>
    <row r="83" spans="1:6" ht="409.5">
      <c r="A83" s="17">
        <f>ROW()</f>
        <v>83</v>
      </c>
      <c r="B83" s="18" t="s">
        <v>2702</v>
      </c>
      <c r="C83" s="18" t="s">
        <v>2695</v>
      </c>
      <c r="D83" s="19" t="str">
        <f t="shared" si="4"/>
        <v>1. Hinterbliebener Ehegatte, geschiedener Ehegatte, hinterbliebene Lebenspartner</v>
      </c>
      <c r="E83" s="33" t="s">
        <v>2812</v>
      </c>
      <c r="F83" s="6" t="s">
        <v>1311</v>
      </c>
    </row>
    <row r="84" spans="1:6" ht="280.5">
      <c r="A84" s="17">
        <f>ROW()</f>
        <v>84</v>
      </c>
      <c r="B84" s="18" t="s">
        <v>2702</v>
      </c>
      <c r="C84" s="18" t="s">
        <v>2695</v>
      </c>
      <c r="D84" s="19" t="str">
        <f t="shared" si="4"/>
        <v>2. Hinterbliebener Ehegatte: Wiederheirat</v>
      </c>
      <c r="E84" s="33" t="s">
        <v>2813</v>
      </c>
      <c r="F84" s="6" t="s">
        <v>1340</v>
      </c>
    </row>
    <row r="85" spans="1:6" ht="195">
      <c r="A85" s="17">
        <f>ROW()</f>
        <v>85</v>
      </c>
      <c r="B85" s="18" t="s">
        <v>2702</v>
      </c>
      <c r="C85" s="18" t="s">
        <v>2695</v>
      </c>
      <c r="D85" s="19" t="str">
        <f t="shared" si="4"/>
        <v>3. Kinder</v>
      </c>
      <c r="E85" s="33" t="s">
        <v>2814</v>
      </c>
      <c r="F85" s="6" t="s">
        <v>1371</v>
      </c>
    </row>
    <row r="86" spans="1:6" ht="147">
      <c r="A86" s="17">
        <f>ROW()</f>
        <v>86</v>
      </c>
      <c r="B86" s="18" t="s">
        <v>2702</v>
      </c>
      <c r="C86" s="18" t="s">
        <v>2695</v>
      </c>
      <c r="D86" s="19" t="str">
        <f t="shared" si="4"/>
        <v>4. Andere Berechtigte</v>
      </c>
      <c r="E86" s="33" t="s">
        <v>2815</v>
      </c>
      <c r="F86" s="6" t="s">
        <v>1387</v>
      </c>
    </row>
    <row r="87" spans="1:6" ht="381">
      <c r="A87" s="17">
        <f>ROW()</f>
        <v>87</v>
      </c>
      <c r="B87" s="18" t="s">
        <v>2702</v>
      </c>
      <c r="C87" s="18" t="s">
        <v>2695</v>
      </c>
      <c r="D87" s="19" t="str">
        <f t="shared" si="4"/>
        <v xml:space="preserve"> 5. Höchster zahlbarer Gesamtbetrag für alle Berechtigten</v>
      </c>
      <c r="E87" s="33" t="s">
        <v>2816</v>
      </c>
      <c r="F87" s="6" t="s">
        <v>1411</v>
      </c>
    </row>
    <row r="88" spans="1:6" ht="151.5">
      <c r="A88" s="17">
        <f>ROW()</f>
        <v>88</v>
      </c>
      <c r="B88" s="18" t="s">
        <v>2702</v>
      </c>
      <c r="C88" s="18" t="s">
        <v>2695</v>
      </c>
      <c r="D88" s="19" t="str">
        <f t="shared" si="4"/>
        <v>6. Sonstige Leistungen</v>
      </c>
      <c r="E88" s="33" t="s">
        <v>2817</v>
      </c>
      <c r="F88" s="6" t="s">
        <v>1425</v>
      </c>
    </row>
    <row r="89" spans="1:6" ht="126.75">
      <c r="A89" s="17">
        <f>ROW()</f>
        <v>89</v>
      </c>
      <c r="B89" s="18" t="s">
        <v>2702</v>
      </c>
      <c r="C89" s="18" t="s">
        <v>2695</v>
      </c>
      <c r="D89" s="19" t="str">
        <f>+E89</f>
        <v>7. Mindestleistung</v>
      </c>
      <c r="E89" s="33" t="s">
        <v>2818</v>
      </c>
      <c r="F89" s="6" t="s">
        <v>1468</v>
      </c>
    </row>
    <row r="90" spans="1:6" ht="122.25">
      <c r="A90" s="17">
        <f>ROW()</f>
        <v>90</v>
      </c>
      <c r="B90" s="18" t="s">
        <v>2702</v>
      </c>
      <c r="C90" s="18" t="s">
        <v>2695</v>
      </c>
      <c r="D90" s="19" t="str">
        <f t="shared" si="4"/>
        <v xml:space="preserve"> 8. Höchstleistung</v>
      </c>
      <c r="E90" s="33" t="s">
        <v>2819</v>
      </c>
      <c r="F90" s="6" t="s">
        <v>1485</v>
      </c>
    </row>
    <row r="91" spans="1:6" ht="179.25">
      <c r="A91" s="17">
        <f>ROW()</f>
        <v>91</v>
      </c>
      <c r="B91" s="18" t="s">
        <v>2702</v>
      </c>
      <c r="C91" s="18" t="s">
        <v>2799</v>
      </c>
      <c r="D91" s="19" t="str">
        <f>+C91</f>
        <v>Indexbindung / Anpassung</v>
      </c>
      <c r="E91" s="32" t="s">
        <v>2799</v>
      </c>
      <c r="F91" s="6" t="s">
        <v>1519</v>
      </c>
    </row>
    <row r="92" spans="1:6" ht="242.25">
      <c r="A92" s="17">
        <f>ROW()</f>
        <v>92</v>
      </c>
      <c r="B92" s="18" t="s">
        <v>2702</v>
      </c>
      <c r="C92" s="18" t="s">
        <v>2799</v>
      </c>
      <c r="D92" s="19" t="str">
        <f t="shared" ref="D92:D105" si="5">+E92</f>
        <v>Kumulation mit Erwerbseinkommen</v>
      </c>
      <c r="E92" s="32" t="s">
        <v>2723</v>
      </c>
      <c r="F92" s="6" t="s">
        <v>1550</v>
      </c>
    </row>
    <row r="93" spans="1:6" ht="275.25">
      <c r="A93" s="17">
        <f>ROW()</f>
        <v>93</v>
      </c>
      <c r="B93" s="18" t="s">
        <v>2702</v>
      </c>
      <c r="C93" s="18" t="s">
        <v>2799</v>
      </c>
      <c r="D93" s="19" t="str">
        <f t="shared" si="5"/>
        <v>Kumulation mit anderen Sozialleistungen</v>
      </c>
      <c r="E93" s="32" t="s">
        <v>2696</v>
      </c>
      <c r="F93" s="6" t="s">
        <v>1581</v>
      </c>
    </row>
    <row r="94" spans="1:6" ht="232.5">
      <c r="A94" s="17">
        <f>ROW()</f>
        <v>94</v>
      </c>
      <c r="B94" s="18" t="s">
        <v>2702</v>
      </c>
      <c r="C94" s="19" t="s">
        <v>2701</v>
      </c>
      <c r="D94" s="19" t="str">
        <f t="shared" si="5"/>
        <v>1. Besteuerung von Geldleistungen</v>
      </c>
      <c r="E94" s="33" t="s">
        <v>2770</v>
      </c>
      <c r="F94" s="6" t="s">
        <v>1600</v>
      </c>
    </row>
    <row r="95" spans="1:6" ht="387">
      <c r="A95" s="17">
        <f>ROW()</f>
        <v>95</v>
      </c>
      <c r="B95" s="18" t="s">
        <v>2702</v>
      </c>
      <c r="C95" s="19" t="s">
        <v>2701</v>
      </c>
      <c r="D95" s="19" t="str">
        <f t="shared" si="5"/>
        <v>2. Einkommensgrenze für Besteuerung von Geldleistungen</v>
      </c>
      <c r="E95" s="33" t="s">
        <v>2772</v>
      </c>
      <c r="F95" s="6" t="s">
        <v>1602</v>
      </c>
    </row>
    <row r="96" spans="1:6" ht="288.75">
      <c r="A96" s="17">
        <f>ROW()</f>
        <v>96</v>
      </c>
      <c r="B96" s="18" t="s">
        <v>2702</v>
      </c>
      <c r="C96" s="19" t="s">
        <v>2701</v>
      </c>
      <c r="D96" s="19" t="str">
        <f t="shared" si="5"/>
        <v>3. Auf Leistungen anfallende Sozialabgaben</v>
      </c>
      <c r="E96" s="33" t="s">
        <v>2773</v>
      </c>
      <c r="F96" s="6" t="s">
        <v>820</v>
      </c>
    </row>
    <row r="97" spans="1:6" ht="138">
      <c r="A97" s="17">
        <f>ROW()</f>
        <v>97</v>
      </c>
      <c r="B97" s="18" t="s">
        <v>2702</v>
      </c>
      <c r="C97" s="19" t="s">
        <v>2775</v>
      </c>
      <c r="D97" s="19" t="str">
        <f t="shared" si="5"/>
        <v>Anwendungsbereich</v>
      </c>
      <c r="E97" s="33" t="s">
        <v>2708</v>
      </c>
      <c r="F97" s="6" t="s">
        <v>840</v>
      </c>
    </row>
    <row r="98" spans="1:6" ht="110.25">
      <c r="A98" s="17">
        <f>ROW()</f>
        <v>98</v>
      </c>
      <c r="B98" s="18" t="s">
        <v>2702</v>
      </c>
      <c r="C98" s="19" t="s">
        <v>2775</v>
      </c>
      <c r="D98" s="19" t="str">
        <f t="shared" si="5"/>
        <v>Grundprinzipien</v>
      </c>
      <c r="E98" s="33" t="s">
        <v>2709</v>
      </c>
      <c r="F98" s="6" t="s">
        <v>876</v>
      </c>
    </row>
    <row r="99" spans="1:6" ht="224.25">
      <c r="A99" s="17">
        <f>ROW()</f>
        <v>99</v>
      </c>
      <c r="B99" s="18" t="s">
        <v>2702</v>
      </c>
      <c r="C99" s="19" t="s">
        <v>2775</v>
      </c>
      <c r="D99" s="19" t="str">
        <f t="shared" si="5"/>
        <v>Voraussetzungen für die Deckung</v>
      </c>
      <c r="E99" s="33" t="s">
        <v>2710</v>
      </c>
      <c r="F99" s="6" t="s">
        <v>899</v>
      </c>
    </row>
    <row r="100" spans="1:6" ht="409.5">
      <c r="A100" s="17">
        <f>ROW()</f>
        <v>100</v>
      </c>
      <c r="B100" s="18" t="s">
        <v>2702</v>
      </c>
      <c r="C100" s="19" t="s">
        <v>2775</v>
      </c>
      <c r="D100" s="19" t="str">
        <f t="shared" si="5"/>
        <v>Kombination von selbstständiger und unselbstständiger Tätigkeit</v>
      </c>
      <c r="E100" s="33" t="s">
        <v>2698</v>
      </c>
      <c r="F100" s="6" t="s">
        <v>920</v>
      </c>
    </row>
    <row r="101" spans="1:6" ht="376.5">
      <c r="A101" s="17">
        <f>ROW()</f>
        <v>101</v>
      </c>
      <c r="B101" s="18" t="s">
        <v>2702</v>
      </c>
      <c r="C101" s="19" t="s">
        <v>2775</v>
      </c>
      <c r="D101" s="19" t="str">
        <f t="shared" si="5"/>
        <v xml:space="preserve">Voraussetzungen für den Zugang zu Diensten/Leistungen </v>
      </c>
      <c r="E101" s="33" t="s">
        <v>2699</v>
      </c>
      <c r="F101" s="6" t="s">
        <v>940</v>
      </c>
    </row>
    <row r="102" spans="1:6" ht="253.5">
      <c r="A102" s="17">
        <f>ROW()</f>
        <v>102</v>
      </c>
      <c r="B102" s="18" t="s">
        <v>2702</v>
      </c>
      <c r="C102" s="19" t="s">
        <v>2775</v>
      </c>
      <c r="D102" s="19" t="str">
        <f t="shared" si="5"/>
        <v>Beträge, Dauer und Kostenbeteiligung</v>
      </c>
      <c r="E102" s="33" t="s">
        <v>2700</v>
      </c>
      <c r="F102" s="6" t="s">
        <v>940</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940</v>
      </c>
    </row>
    <row r="105" spans="1:6" ht="272.25">
      <c r="A105" s="17">
        <f>ROW()</f>
        <v>105</v>
      </c>
      <c r="B105" s="18" t="s">
        <v>2702</v>
      </c>
      <c r="C105" s="19" t="s">
        <v>2775</v>
      </c>
      <c r="D105" s="19" t="str">
        <f t="shared" si="5"/>
        <v>Auf Leistungen anfallende Sozialabgaben</v>
      </c>
      <c r="E105" s="33" t="s">
        <v>2683</v>
      </c>
      <c r="F105" s="6" t="s">
        <v>940</v>
      </c>
    </row>
    <row r="106" spans="1:6"/>
  </sheetData>
  <sheetProtection algorithmName="SHA-512" hashValue="cp6JtofF28DHk1NBrv2Z942siHlcjkp5FoEGrFztvKqDryNrUyjsNKCNCXNKJxrZg4aUtS5Pt4jirDj8PJfLGQ==" saltValue="aOoy2gj9XgBxqmBf6wbNLQ==" spinCount="100000" sheet="1" objects="1" scenarios="1" formatColumns="0" autoFilter="0"/>
  <autoFilter ref="A2:F2" xr:uid="{56A43EFE-F902-4E19-BA58-41C42270C3F4}"/>
  <pageMargins left="0.7" right="0.7" top="0.78740157499999996" bottom="0.78740157499999996"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FA273-E78B-4A31-BCA6-4BF9B7DE6413}">
  <sheetPr codeName="Tabelle32"/>
  <dimension ref="A1:F105"/>
  <sheetViews>
    <sheetView workbookViewId="0">
      <pane xSplit="5" ySplit="2" topLeftCell="F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25" hidden="1"/>
  </cols>
  <sheetData>
    <row r="1" spans="1:6" ht="64.5" customHeight="1">
      <c r="B1" s="139" t="s">
        <v>2726</v>
      </c>
      <c r="C1" s="136" t="s">
        <v>2739</v>
      </c>
      <c r="D1" s="136" t="s">
        <v>2728</v>
      </c>
      <c r="E1" s="128" t="s">
        <v>3506</v>
      </c>
      <c r="F1" s="16" t="s">
        <v>30</v>
      </c>
    </row>
    <row r="2" spans="1:6" ht="39.75" customHeight="1">
      <c r="A2" s="138"/>
      <c r="B2" s="139"/>
      <c r="C2" s="136"/>
      <c r="D2" s="136"/>
      <c r="E2" s="134"/>
      <c r="F2" s="173" t="str" cm="1">
        <f t="array" ref="F2">_xlfn.TEXTJOIN("; ", TRUE, IF(Entscheidungen!A2:A100=F1, Entscheidungen!B2:B100, ""))</f>
        <v/>
      </c>
    </row>
    <row r="3" spans="1:6" ht="177">
      <c r="A3" s="17">
        <f>ROW()</f>
        <v>3</v>
      </c>
      <c r="B3" s="18" t="s">
        <v>2740</v>
      </c>
      <c r="C3" s="18"/>
      <c r="D3" s="18" t="str">
        <f>+E3</f>
        <v>Geltende Rechtsgrundlage</v>
      </c>
      <c r="E3" s="31" t="s">
        <v>2724</v>
      </c>
      <c r="F3" s="6" t="s">
        <v>61</v>
      </c>
    </row>
    <row r="4" spans="1:6" ht="110.25">
      <c r="A4" s="17">
        <f>ROW()</f>
        <v>4</v>
      </c>
      <c r="B4" s="18" t="s">
        <v>2740</v>
      </c>
      <c r="C4" s="1"/>
      <c r="D4" s="18" t="str">
        <f t="shared" ref="D4:D34" si="0">+E4</f>
        <v>Grundprinzipien</v>
      </c>
      <c r="E4" s="32" t="s">
        <v>2709</v>
      </c>
      <c r="F4" s="13" t="s">
        <v>2894</v>
      </c>
    </row>
    <row r="5" spans="1:6" ht="188.25">
      <c r="A5" s="17">
        <f>ROW()</f>
        <v>5</v>
      </c>
      <c r="B5" s="18" t="s">
        <v>2740</v>
      </c>
      <c r="C5" s="1"/>
      <c r="D5" s="18" t="str">
        <f t="shared" si="0"/>
        <v>Gedecktes Risiko: Definition</v>
      </c>
      <c r="E5" s="32" t="s">
        <v>2891</v>
      </c>
      <c r="F5" s="13" t="s">
        <v>4970</v>
      </c>
    </row>
    <row r="6" spans="1:6" ht="144">
      <c r="A6" s="17">
        <f>ROW()</f>
        <v>6</v>
      </c>
      <c r="B6" s="18" t="s">
        <v>2740</v>
      </c>
      <c r="C6" s="18" t="s">
        <v>2653</v>
      </c>
      <c r="D6" s="18" t="str">
        <f t="shared" si="0"/>
        <v>Versicherte Personen</v>
      </c>
      <c r="E6" s="33" t="s">
        <v>2653</v>
      </c>
      <c r="F6" s="13" t="s">
        <v>4969</v>
      </c>
    </row>
    <row r="7" spans="1:6" ht="273">
      <c r="A7" s="17">
        <f>ROW()</f>
        <v>7</v>
      </c>
      <c r="B7" s="18" t="s">
        <v>2740</v>
      </c>
      <c r="C7" s="18" t="str">
        <f>+E6</f>
        <v>Versicherte Personen</v>
      </c>
      <c r="D7" s="18" t="str">
        <f t="shared" si="0"/>
        <v>Ausnahmen von der Versicherungspflicht</v>
      </c>
      <c r="E7" s="33" t="s">
        <v>2685</v>
      </c>
      <c r="F7" s="13" t="s">
        <v>4968</v>
      </c>
    </row>
    <row r="8" spans="1:6" ht="409.5">
      <c r="A8" s="17">
        <f>ROW()</f>
        <v>8</v>
      </c>
      <c r="B8" s="18" t="s">
        <v>2740</v>
      </c>
      <c r="C8" s="19" t="s">
        <v>149</v>
      </c>
      <c r="D8" s="18" t="str">
        <f t="shared" si="0"/>
        <v>1. Anwartschaftszeit</v>
      </c>
      <c r="E8" s="33" t="s">
        <v>2744</v>
      </c>
      <c r="F8" s="13" t="s">
        <v>4967</v>
      </c>
    </row>
    <row r="9" spans="1:6" ht="409.5">
      <c r="A9" s="17">
        <f>ROW()</f>
        <v>9</v>
      </c>
      <c r="B9" s="18" t="s">
        <v>2740</v>
      </c>
      <c r="C9" s="19" t="s">
        <v>149</v>
      </c>
      <c r="D9" s="18" t="str">
        <f t="shared" si="0"/>
        <v xml:space="preserve">2. Begutachtungskriterien und Kategorien der Arbeitsunfähigkeit/Arbeitsfähigkeit  </v>
      </c>
      <c r="E9" s="33" t="s">
        <v>2745</v>
      </c>
      <c r="F9" s="6" t="s">
        <v>2895</v>
      </c>
    </row>
    <row r="10" spans="1:6" ht="222">
      <c r="A10" s="17">
        <f>ROW()</f>
        <v>10</v>
      </c>
      <c r="B10" s="18" t="s">
        <v>2740</v>
      </c>
      <c r="C10" s="19" t="s">
        <v>149</v>
      </c>
      <c r="D10" s="18" t="str">
        <f t="shared" si="0"/>
        <v>3. Zeitraum der Leistungszahlung</v>
      </c>
      <c r="E10" s="33" t="s">
        <v>2747</v>
      </c>
      <c r="F10" s="6" t="s">
        <v>2896</v>
      </c>
    </row>
    <row r="11" spans="1:6" ht="135">
      <c r="A11" s="17">
        <f>ROW()</f>
        <v>11</v>
      </c>
      <c r="B11" s="18" t="s">
        <v>2740</v>
      </c>
      <c r="C11" s="19" t="s">
        <v>2749</v>
      </c>
      <c r="D11" s="18" t="str">
        <f t="shared" si="0"/>
        <v>1. Gutachter</v>
      </c>
      <c r="E11" s="33" t="s">
        <v>2750</v>
      </c>
      <c r="F11" s="6" t="s">
        <v>2897</v>
      </c>
    </row>
    <row r="12" spans="1:6" ht="111.75">
      <c r="A12" s="17">
        <f>ROW()</f>
        <v>12</v>
      </c>
      <c r="B12" s="18" t="s">
        <v>2740</v>
      </c>
      <c r="C12" s="19" t="s">
        <v>2749</v>
      </c>
      <c r="D12" s="18" t="str">
        <f t="shared" si="0"/>
        <v xml:space="preserve">2. Überprüfung  </v>
      </c>
      <c r="E12" s="33" t="s">
        <v>2751</v>
      </c>
      <c r="F12" s="6" t="s">
        <v>2898</v>
      </c>
    </row>
    <row r="13" spans="1:6" ht="409.5">
      <c r="A13" s="17">
        <f>ROW()</f>
        <v>13</v>
      </c>
      <c r="B13" s="18" t="s">
        <v>2740</v>
      </c>
      <c r="C13" s="18" t="s">
        <v>2695</v>
      </c>
      <c r="D13" s="18" t="str">
        <f t="shared" si="0"/>
        <v>1. Berechnungsmethode bzw. Rentenformel</v>
      </c>
      <c r="E13" s="33" t="s">
        <v>2753</v>
      </c>
      <c r="F13" s="13" t="s">
        <v>4966</v>
      </c>
    </row>
    <row r="14" spans="1:6" ht="343.5">
      <c r="A14" s="17">
        <f>ROW()</f>
        <v>14</v>
      </c>
      <c r="B14" s="18" t="s">
        <v>2740</v>
      </c>
      <c r="C14" s="18" t="s">
        <v>2695</v>
      </c>
      <c r="D14" s="18" t="str">
        <f t="shared" si="0"/>
        <v>2. Referenzeinkommen bzw. Berechnungsgrundlage</v>
      </c>
      <c r="E14" s="33" t="s">
        <v>2754</v>
      </c>
      <c r="F14" s="6" t="s">
        <v>2899</v>
      </c>
    </row>
    <row r="15" spans="1:6" ht="226.5">
      <c r="A15" s="17">
        <f>ROW()</f>
        <v>15</v>
      </c>
      <c r="B15" s="18" t="s">
        <v>2740</v>
      </c>
      <c r="C15" s="18" t="s">
        <v>2695</v>
      </c>
      <c r="D15" s="18" t="str">
        <f t="shared" si="0"/>
        <v>3. Mindest- und Höchstleistungen</v>
      </c>
      <c r="E15" s="33" t="s">
        <v>2756</v>
      </c>
      <c r="F15" s="13" t="s">
        <v>4965</v>
      </c>
    </row>
    <row r="16" spans="1:6" ht="405">
      <c r="A16" s="17">
        <f>ROW()</f>
        <v>16</v>
      </c>
      <c r="B16" s="18" t="s">
        <v>2740</v>
      </c>
      <c r="C16" s="18" t="s">
        <v>2695</v>
      </c>
      <c r="D16" s="18" t="str">
        <f t="shared" si="0"/>
        <v>4. Anrechenbare oder als Beitragszeiten gewertete Zeiträume</v>
      </c>
      <c r="E16" s="33" t="s">
        <v>2757</v>
      </c>
      <c r="F16" s="13" t="s">
        <v>4964</v>
      </c>
    </row>
    <row r="17" spans="1:6" ht="250.5">
      <c r="A17" s="17">
        <f>ROW()</f>
        <v>17</v>
      </c>
      <c r="B17" s="18" t="s">
        <v>2740</v>
      </c>
      <c r="C17" s="18" t="s">
        <v>2695</v>
      </c>
      <c r="D17" s="18" t="str">
        <f t="shared" si="0"/>
        <v xml:space="preserve">5. Zulagen für Unterhaltsberechtigte  </v>
      </c>
      <c r="E17" s="33" t="s">
        <v>2759</v>
      </c>
      <c r="F17" s="13" t="s">
        <v>4963</v>
      </c>
    </row>
    <row r="18" spans="1:6" ht="135">
      <c r="A18" s="17">
        <f>ROW()</f>
        <v>18</v>
      </c>
      <c r="B18" s="18" t="s">
        <v>2740</v>
      </c>
      <c r="C18" s="18" t="str">
        <f>+E18</f>
        <v>Sonstige Leistungen</v>
      </c>
      <c r="D18" s="18" t="str">
        <f>+E18</f>
        <v>Sonstige Leistungen</v>
      </c>
      <c r="E18" s="32" t="s">
        <v>2678</v>
      </c>
      <c r="F18" s="6" t="s">
        <v>2900</v>
      </c>
    </row>
    <row r="19" spans="1:6" ht="300.75">
      <c r="A19" s="17">
        <f>ROW()</f>
        <v>19</v>
      </c>
      <c r="B19" s="18" t="s">
        <v>2740</v>
      </c>
      <c r="C19" s="18" t="s">
        <v>2761</v>
      </c>
      <c r="D19" s="18" t="str">
        <f t="shared" si="0"/>
        <v>Umschulung, berufsbezogene Rehabilitation</v>
      </c>
      <c r="E19" s="33" t="s">
        <v>2762</v>
      </c>
      <c r="F19" s="6" t="s">
        <v>2901</v>
      </c>
    </row>
    <row r="20" spans="1:6" ht="409.5">
      <c r="A20" s="17">
        <f>ROW()</f>
        <v>20</v>
      </c>
      <c r="B20" s="18" t="s">
        <v>2740</v>
      </c>
      <c r="C20" s="18" t="s">
        <v>2761</v>
      </c>
      <c r="D20" s="18" t="str">
        <f t="shared" si="0"/>
        <v xml:space="preserve">Bevorzugte und reservierte Beschäftigung von Menschen mit Behinderungen  </v>
      </c>
      <c r="E20" s="33" t="s">
        <v>2763</v>
      </c>
      <c r="F20" s="6" t="s">
        <v>2902</v>
      </c>
    </row>
    <row r="21" spans="1:6" ht="171.75">
      <c r="A21" s="17">
        <f>ROW()</f>
        <v>21</v>
      </c>
      <c r="B21" s="18" t="s">
        <v>2740</v>
      </c>
      <c r="C21" s="18" t="s">
        <v>2765</v>
      </c>
      <c r="D21" s="18" t="str">
        <f t="shared" si="0"/>
        <v>Indexbindung/Anpassung</v>
      </c>
      <c r="E21" s="32" t="s">
        <v>2766</v>
      </c>
      <c r="F21" s="13" t="s">
        <v>4962</v>
      </c>
    </row>
    <row r="22" spans="1:6" ht="242.25">
      <c r="A22" s="17">
        <f>ROW()</f>
        <v>22</v>
      </c>
      <c r="B22" s="18" t="s">
        <v>2740</v>
      </c>
      <c r="C22" s="18" t="s">
        <v>2765</v>
      </c>
      <c r="D22" s="18" t="str">
        <f>+E22</f>
        <v>Kumulation mit Erwerbseinkommen</v>
      </c>
      <c r="E22" s="32" t="s">
        <v>2723</v>
      </c>
      <c r="F22" s="6" t="s">
        <v>2903</v>
      </c>
    </row>
    <row r="23" spans="1:6" ht="275.25">
      <c r="A23" s="17">
        <f>ROW()</f>
        <v>23</v>
      </c>
      <c r="B23" s="18" t="s">
        <v>2740</v>
      </c>
      <c r="C23" s="18" t="s">
        <v>2765</v>
      </c>
      <c r="D23" s="18" t="str">
        <f t="shared" si="0"/>
        <v>Kumulation mit anderen Sozialleistungen</v>
      </c>
      <c r="E23" s="32" t="s">
        <v>2696</v>
      </c>
      <c r="F23" s="13" t="s">
        <v>4961</v>
      </c>
    </row>
    <row r="24" spans="1:6" ht="232.5">
      <c r="A24" s="17">
        <f>ROW()</f>
        <v>24</v>
      </c>
      <c r="B24" s="18" t="s">
        <v>2740</v>
      </c>
      <c r="C24" s="18" t="s">
        <v>2701</v>
      </c>
      <c r="D24" s="18" t="str">
        <f t="shared" si="0"/>
        <v>1. Besteuerung von Geldleistungen</v>
      </c>
      <c r="E24" s="33" t="s">
        <v>2770</v>
      </c>
      <c r="F24" s="6" t="s">
        <v>772</v>
      </c>
    </row>
    <row r="25" spans="1:6" ht="387">
      <c r="A25" s="17">
        <f>ROW()</f>
        <v>25</v>
      </c>
      <c r="B25" s="18" t="s">
        <v>2740</v>
      </c>
      <c r="C25" s="18" t="s">
        <v>2701</v>
      </c>
      <c r="D25" s="18" t="str">
        <f t="shared" si="0"/>
        <v>2. Einkommensgrenze für Besteuerung von Geldleistungen</v>
      </c>
      <c r="E25" s="33" t="s">
        <v>2772</v>
      </c>
      <c r="F25" s="6" t="s">
        <v>2904</v>
      </c>
    </row>
    <row r="26" spans="1:6" ht="288.75">
      <c r="A26" s="17">
        <f>ROW()</f>
        <v>26</v>
      </c>
      <c r="B26" s="18" t="s">
        <v>2740</v>
      </c>
      <c r="C26" s="18" t="s">
        <v>2701</v>
      </c>
      <c r="D26" s="18" t="str">
        <f t="shared" si="0"/>
        <v>3. Auf Leistungen anfallende Sozialabgaben</v>
      </c>
      <c r="E26" s="33" t="s">
        <v>2773</v>
      </c>
      <c r="F26" s="6" t="s">
        <v>827</v>
      </c>
    </row>
    <row r="27" spans="1:6" ht="138">
      <c r="A27" s="17">
        <f>ROW()</f>
        <v>27</v>
      </c>
      <c r="B27" s="18" t="s">
        <v>2740</v>
      </c>
      <c r="C27" s="18" t="s">
        <v>2775</v>
      </c>
      <c r="D27" s="18" t="str">
        <f t="shared" si="0"/>
        <v>Anwendungsbereich</v>
      </c>
      <c r="E27" s="33" t="s">
        <v>2708</v>
      </c>
      <c r="F27" s="6" t="s">
        <v>1655</v>
      </c>
    </row>
    <row r="28" spans="1:6" ht="110.25">
      <c r="A28" s="17">
        <f>ROW()</f>
        <v>28</v>
      </c>
      <c r="B28" s="18" t="s">
        <v>2740</v>
      </c>
      <c r="C28" s="18" t="s">
        <v>2775</v>
      </c>
      <c r="D28" s="18" t="str">
        <f t="shared" si="0"/>
        <v>Grundprinzipien</v>
      </c>
      <c r="E28" s="33" t="s">
        <v>2709</v>
      </c>
      <c r="F28" s="6" t="s">
        <v>891</v>
      </c>
    </row>
    <row r="29" spans="1:6" ht="224.25">
      <c r="A29" s="17">
        <f>ROW()</f>
        <v>29</v>
      </c>
      <c r="B29" s="18" t="s">
        <v>2740</v>
      </c>
      <c r="C29" s="18" t="s">
        <v>2775</v>
      </c>
      <c r="D29" s="18" t="str">
        <f t="shared" si="0"/>
        <v>Voraussetzungen für die Deckung</v>
      </c>
      <c r="E29" s="33" t="s">
        <v>2710</v>
      </c>
      <c r="F29" s="6" t="s">
        <v>2905</v>
      </c>
    </row>
    <row r="30" spans="1:6" ht="409.5">
      <c r="A30" s="17">
        <f>ROW()</f>
        <v>30</v>
      </c>
      <c r="B30" s="18" t="s">
        <v>2740</v>
      </c>
      <c r="C30" s="18" t="s">
        <v>2775</v>
      </c>
      <c r="D30" s="19" t="str">
        <f t="shared" si="0"/>
        <v>Kombination von selbstständiger und unselbstständiger Tätigkeit</v>
      </c>
      <c r="E30" s="33" t="s">
        <v>2698</v>
      </c>
      <c r="F30" s="6" t="s">
        <v>2906</v>
      </c>
    </row>
    <row r="31" spans="1:6" ht="376.5">
      <c r="A31" s="17">
        <f>ROW()</f>
        <v>31</v>
      </c>
      <c r="B31" s="18" t="s">
        <v>2740</v>
      </c>
      <c r="C31" s="18" t="s">
        <v>2695</v>
      </c>
      <c r="D31" s="19" t="str">
        <f t="shared" si="0"/>
        <v xml:space="preserve">Voraussetzungen für den Zugang zu Diensten/Leistungen </v>
      </c>
      <c r="E31" s="33" t="s">
        <v>2699</v>
      </c>
      <c r="F31" s="6" t="s">
        <v>917</v>
      </c>
    </row>
    <row r="32" spans="1:6" ht="253.5">
      <c r="A32" s="17">
        <f>ROW()</f>
        <v>32</v>
      </c>
      <c r="B32" s="18" t="s">
        <v>2740</v>
      </c>
      <c r="C32" s="18" t="s">
        <v>2695</v>
      </c>
      <c r="D32" s="18" t="str">
        <f t="shared" si="0"/>
        <v>Beträge, Dauer und Kostenbeteiligung</v>
      </c>
      <c r="E32" s="33" t="s">
        <v>2700</v>
      </c>
      <c r="F32" s="6" t="s">
        <v>917</v>
      </c>
    </row>
    <row r="33" spans="1:6" ht="216">
      <c r="A33" s="17">
        <f>ROW()</f>
        <v>33</v>
      </c>
      <c r="B33" s="18" t="s">
        <v>2740</v>
      </c>
      <c r="C33" s="18" t="s">
        <v>2695</v>
      </c>
      <c r="D33" s="18" t="str">
        <f t="shared" si="0"/>
        <v>Besteuerung von Geldleistungen</v>
      </c>
      <c r="E33" s="33" t="s">
        <v>2681</v>
      </c>
      <c r="F33" s="6" t="s">
        <v>978</v>
      </c>
    </row>
    <row r="34" spans="1:6" ht="276.75">
      <c r="A34" s="17">
        <f>ROW()</f>
        <v>34</v>
      </c>
      <c r="B34" s="18" t="s">
        <v>2740</v>
      </c>
      <c r="C34" s="18" t="s">
        <v>2695</v>
      </c>
      <c r="D34" s="18" t="str">
        <f t="shared" si="0"/>
        <v xml:space="preserve"> Auf Leistungen anfallende Sozialabgaben</v>
      </c>
      <c r="E34" s="33" t="s">
        <v>2779</v>
      </c>
      <c r="F34" s="6" t="s">
        <v>1709</v>
      </c>
    </row>
    <row r="35" spans="1:6" ht="177">
      <c r="A35" s="17">
        <f>ROW()</f>
        <v>35</v>
      </c>
      <c r="B35" s="18" t="s">
        <v>2780</v>
      </c>
      <c r="C35" s="18" t="str">
        <f>+D35</f>
        <v>Geltende Rechtsgrundlage</v>
      </c>
      <c r="D35" s="18" t="str">
        <f>+E35</f>
        <v>Geltende Rechtsgrundlage</v>
      </c>
      <c r="E35" s="32" t="s">
        <v>2724</v>
      </c>
      <c r="F35" s="6" t="s">
        <v>61</v>
      </c>
    </row>
    <row r="36" spans="1:6" ht="110.25">
      <c r="A36" s="17">
        <f>ROW()</f>
        <v>36</v>
      </c>
      <c r="B36" s="18" t="s">
        <v>2780</v>
      </c>
      <c r="C36" s="18" t="str">
        <f>+D36</f>
        <v>Grundprinzipien</v>
      </c>
      <c r="D36" s="18" t="str">
        <f>+E36</f>
        <v>Grundprinzipien</v>
      </c>
      <c r="E36" s="32" t="s">
        <v>2709</v>
      </c>
      <c r="F36" s="6" t="s">
        <v>92</v>
      </c>
    </row>
    <row r="37" spans="1:6" ht="159.75">
      <c r="A37" s="17">
        <f>ROW()</f>
        <v>37</v>
      </c>
      <c r="B37" s="18" t="s">
        <v>2780</v>
      </c>
      <c r="C37" s="18" t="s">
        <v>2708</v>
      </c>
      <c r="D37" s="18" t="str">
        <f>+E37</f>
        <v>1. Versicherte Personen</v>
      </c>
      <c r="E37" s="33" t="s">
        <v>2781</v>
      </c>
      <c r="F37" s="6" t="s">
        <v>124</v>
      </c>
    </row>
    <row r="38" spans="1:6" ht="371.25">
      <c r="A38" s="17">
        <f>ROW()</f>
        <v>38</v>
      </c>
      <c r="B38" s="18" t="s">
        <v>2780</v>
      </c>
      <c r="C38" s="18" t="s">
        <v>2708</v>
      </c>
      <c r="D38" s="18" t="str">
        <f t="shared" ref="D38:D58" si="1">+E38</f>
        <v>2. Ausnahmen von der Deckung  der Pflichtversicherung</v>
      </c>
      <c r="E38" s="33" t="s">
        <v>2782</v>
      </c>
      <c r="F38" s="13" t="s">
        <v>4960</v>
      </c>
    </row>
    <row r="39" spans="1:6" ht="194.25">
      <c r="A39" s="17">
        <f>ROW()</f>
        <v>39</v>
      </c>
      <c r="B39" s="18" t="s">
        <v>2780</v>
      </c>
      <c r="C39" s="18" t="s">
        <v>149</v>
      </c>
      <c r="D39" s="18" t="str">
        <f t="shared" si="1"/>
        <v>1. Rentenalter</v>
      </c>
      <c r="E39" s="33" t="s">
        <v>2784</v>
      </c>
      <c r="F39" s="6" t="s">
        <v>180</v>
      </c>
    </row>
    <row r="40" spans="1:6" ht="409.5">
      <c r="A40" s="17">
        <f>ROW()</f>
        <v>40</v>
      </c>
      <c r="B40" s="18" t="s">
        <v>2780</v>
      </c>
      <c r="C40" s="18" t="s">
        <v>149</v>
      </c>
      <c r="D40" s="18" t="str">
        <f t="shared" si="1"/>
        <v>2. Anwartschaftszeit und sonstige Anspruchsvoraussetzungen für den Bezug einer Altersrente</v>
      </c>
      <c r="E40" s="33" t="s">
        <v>2785</v>
      </c>
      <c r="F40" s="13" t="s">
        <v>4959</v>
      </c>
    </row>
    <row r="41" spans="1:6" ht="194.25">
      <c r="A41" s="17">
        <f>ROW()</f>
        <v>41</v>
      </c>
      <c r="B41" s="18" t="s">
        <v>2780</v>
      </c>
      <c r="C41" s="18" t="s">
        <v>149</v>
      </c>
      <c r="D41" s="18" t="str">
        <f t="shared" si="1"/>
        <v>3. Vorruhestand</v>
      </c>
      <c r="E41" s="33" t="s">
        <v>2786</v>
      </c>
      <c r="F41" s="13" t="s">
        <v>4958</v>
      </c>
    </row>
    <row r="42" spans="1:6" ht="264">
      <c r="A42" s="17">
        <f>ROW()</f>
        <v>42</v>
      </c>
      <c r="B42" s="18" t="s">
        <v>2780</v>
      </c>
      <c r="C42" s="18" t="s">
        <v>149</v>
      </c>
      <c r="D42" s="18" t="str">
        <f t="shared" si="1"/>
        <v>4. Beschwerliche und gefährliche Arbeit</v>
      </c>
      <c r="E42" s="33" t="s">
        <v>2787</v>
      </c>
      <c r="F42" s="6" t="s">
        <v>271</v>
      </c>
    </row>
    <row r="43" spans="1:6" ht="194.25">
      <c r="A43" s="17">
        <f>ROW()</f>
        <v>43</v>
      </c>
      <c r="B43" s="18" t="s">
        <v>2780</v>
      </c>
      <c r="C43" s="18" t="s">
        <v>149</v>
      </c>
      <c r="D43" s="18" t="str">
        <f t="shared" si="1"/>
        <v>5. Rentenaufschub</v>
      </c>
      <c r="E43" s="33" t="s">
        <v>2788</v>
      </c>
      <c r="F43" s="6" t="s">
        <v>295</v>
      </c>
    </row>
    <row r="44" spans="1:6" ht="174">
      <c r="A44" s="17">
        <f>ROW()</f>
        <v>44</v>
      </c>
      <c r="B44" s="18" t="s">
        <v>2780</v>
      </c>
      <c r="C44" s="18" t="s">
        <v>2695</v>
      </c>
      <c r="D44" s="18" t="str">
        <f t="shared" si="1"/>
        <v>1. Bestimmende Faktoren</v>
      </c>
      <c r="E44" s="33" t="s">
        <v>2789</v>
      </c>
      <c r="F44" s="6" t="s">
        <v>327</v>
      </c>
    </row>
    <row r="45" spans="1:6" ht="349.5">
      <c r="A45" s="17">
        <f>ROW()</f>
        <v>45</v>
      </c>
      <c r="B45" s="18" t="s">
        <v>2780</v>
      </c>
      <c r="C45" s="18" t="s">
        <v>2695</v>
      </c>
      <c r="D45" s="18" t="str">
        <f t="shared" si="1"/>
        <v>2. Berechnungsmethode, Rentenformel bzw. Beträge</v>
      </c>
      <c r="E45" s="33" t="s">
        <v>2790</v>
      </c>
      <c r="F45" s="6" t="s">
        <v>358</v>
      </c>
    </row>
    <row r="46" spans="1:6" ht="343.5">
      <c r="A46" s="17">
        <f>ROW()</f>
        <v>46</v>
      </c>
      <c r="B46" s="18" t="s">
        <v>2780</v>
      </c>
      <c r="C46" s="18" t="s">
        <v>2695</v>
      </c>
      <c r="D46" s="18" t="str">
        <f t="shared" si="1"/>
        <v>3. Referenzeinkommen bzw. Berechnungsgrundlage</v>
      </c>
      <c r="E46" s="33" t="s">
        <v>2791</v>
      </c>
      <c r="F46" s="6" t="s">
        <v>389</v>
      </c>
    </row>
    <row r="47" spans="1:6" ht="405">
      <c r="A47" s="17">
        <f>ROW()</f>
        <v>47</v>
      </c>
      <c r="B47" s="18" t="s">
        <v>2780</v>
      </c>
      <c r="C47" s="18" t="s">
        <v>2695</v>
      </c>
      <c r="D47" s="18" t="str">
        <f t="shared" si="1"/>
        <v>4. Anrechenbare oder als Beitragszeiten gewertete Zeiträume</v>
      </c>
      <c r="E47" s="33" t="s">
        <v>2757</v>
      </c>
      <c r="F47" s="13" t="s">
        <v>4957</v>
      </c>
    </row>
    <row r="48" spans="1:6" ht="243.75">
      <c r="A48" s="17">
        <f>ROW()</f>
        <v>48</v>
      </c>
      <c r="B48" s="18" t="s">
        <v>2780</v>
      </c>
      <c r="C48" s="18" t="s">
        <v>2695</v>
      </c>
      <c r="D48" s="18" t="str">
        <f t="shared" si="1"/>
        <v>5. Rückkauf von Versicherungszeiten</v>
      </c>
      <c r="E48" s="33" t="s">
        <v>2792</v>
      </c>
      <c r="F48" s="6" t="s">
        <v>431</v>
      </c>
    </row>
    <row r="49" spans="1:6" ht="246">
      <c r="A49" s="17">
        <f>ROW()</f>
        <v>49</v>
      </c>
      <c r="B49" s="18" t="s">
        <v>2780</v>
      </c>
      <c r="C49" s="18" t="s">
        <v>2695</v>
      </c>
      <c r="D49" s="18" t="str">
        <f t="shared" si="1"/>
        <v>6.  Zulagen für Unterhaltsberechtigte</v>
      </c>
      <c r="E49" s="33" t="s">
        <v>2892</v>
      </c>
      <c r="F49" s="6" t="s">
        <v>470</v>
      </c>
    </row>
    <row r="50" spans="1:6" ht="145.5">
      <c r="A50" s="17">
        <f>ROW()</f>
        <v>50</v>
      </c>
      <c r="B50" s="18" t="s">
        <v>2780</v>
      </c>
      <c r="C50" s="18" t="s">
        <v>2695</v>
      </c>
      <c r="D50" s="18" t="str">
        <f t="shared" si="1"/>
        <v>7. Besondere Zulagen</v>
      </c>
      <c r="E50" s="33" t="s">
        <v>2793</v>
      </c>
      <c r="F50" s="6" t="s">
        <v>498</v>
      </c>
    </row>
    <row r="51" spans="1:6" ht="360.75">
      <c r="A51" s="17">
        <f>ROW()</f>
        <v>51</v>
      </c>
      <c r="B51" s="18" t="s">
        <v>2780</v>
      </c>
      <c r="C51" s="18" t="s">
        <v>2695</v>
      </c>
      <c r="D51" s="18" t="str">
        <f t="shared" si="1"/>
        <v>8. Mindestrente und bedürftigkeitsabhängige Leistung</v>
      </c>
      <c r="E51" s="33" t="s">
        <v>2794</v>
      </c>
      <c r="F51" s="13" t="s">
        <v>4956</v>
      </c>
    </row>
    <row r="52" spans="1:6" ht="105">
      <c r="A52" s="17">
        <f>ROW()</f>
        <v>52</v>
      </c>
      <c r="B52" s="18" t="s">
        <v>2780</v>
      </c>
      <c r="C52" s="18" t="s">
        <v>2695</v>
      </c>
      <c r="D52" s="18" t="str">
        <f t="shared" si="1"/>
        <v>9. Höchstrente</v>
      </c>
      <c r="E52" s="33" t="s">
        <v>2795</v>
      </c>
      <c r="F52" s="6" t="s">
        <v>555</v>
      </c>
    </row>
    <row r="53" spans="1:6" ht="119.25">
      <c r="A53" s="17">
        <f>ROW()</f>
        <v>53</v>
      </c>
      <c r="B53" s="18" t="s">
        <v>2780</v>
      </c>
      <c r="C53" s="18" t="s">
        <v>2695</v>
      </c>
      <c r="D53" s="18" t="str">
        <f t="shared" si="1"/>
        <v>10. Vorruhestand</v>
      </c>
      <c r="E53" s="33" t="s">
        <v>2796</v>
      </c>
      <c r="F53" s="6" t="s">
        <v>584</v>
      </c>
    </row>
    <row r="54" spans="1:6" ht="272.25">
      <c r="A54" s="17">
        <f>ROW()</f>
        <v>54</v>
      </c>
      <c r="B54" s="18" t="s">
        <v>2780</v>
      </c>
      <c r="C54" s="18" t="s">
        <v>2695</v>
      </c>
      <c r="D54" s="18" t="str">
        <f t="shared" si="1"/>
        <v>11. Beschwerliche und gefährliche Arbeit</v>
      </c>
      <c r="E54" s="33" t="s">
        <v>2797</v>
      </c>
      <c r="F54" s="6" t="s">
        <v>609</v>
      </c>
    </row>
    <row r="55" spans="1:6" ht="87.75">
      <c r="A55" s="17">
        <f>ROW()</f>
        <v>55</v>
      </c>
      <c r="B55" s="18" t="s">
        <v>2780</v>
      </c>
      <c r="C55" s="18" t="s">
        <v>2695</v>
      </c>
      <c r="D55" s="18" t="str">
        <f t="shared" si="1"/>
        <v>12. Teilrente</v>
      </c>
      <c r="E55" s="33" t="s">
        <v>2798</v>
      </c>
      <c r="F55" s="6" t="s">
        <v>636</v>
      </c>
    </row>
    <row r="56" spans="1:6" ht="171.75">
      <c r="A56" s="17">
        <f>ROW()</f>
        <v>56</v>
      </c>
      <c r="B56" s="18" t="s">
        <v>2780</v>
      </c>
      <c r="C56" s="18" t="s">
        <v>2695</v>
      </c>
      <c r="D56" s="18" t="str">
        <f t="shared" si="1"/>
        <v>13. Aufgeschobene Rente</v>
      </c>
      <c r="E56" s="33" t="s">
        <v>2893</v>
      </c>
      <c r="F56" s="6" t="s">
        <v>667</v>
      </c>
    </row>
    <row r="57" spans="1:6" ht="179.25">
      <c r="A57" s="17">
        <f>ROW()</f>
        <v>57</v>
      </c>
      <c r="B57" s="18" t="s">
        <v>2780</v>
      </c>
      <c r="C57" s="18" t="s">
        <v>2799</v>
      </c>
      <c r="D57" s="18" t="s">
        <v>2799</v>
      </c>
      <c r="E57" s="32" t="s">
        <v>2799</v>
      </c>
      <c r="F57" s="13" t="s">
        <v>4955</v>
      </c>
    </row>
    <row r="58" spans="1:6" ht="246">
      <c r="A58" s="17">
        <f>ROW()</f>
        <v>58</v>
      </c>
      <c r="B58" s="18" t="s">
        <v>2780</v>
      </c>
      <c r="C58" s="18" t="s">
        <v>2799</v>
      </c>
      <c r="D58" s="18" t="str">
        <f t="shared" si="1"/>
        <v xml:space="preserve">Kumulation mit Erwerbseinkommen </v>
      </c>
      <c r="E58" s="32" t="s">
        <v>2697</v>
      </c>
      <c r="F58" s="6" t="s">
        <v>729</v>
      </c>
    </row>
    <row r="59" spans="1:6" ht="286.5">
      <c r="A59" s="17">
        <f>ROW()</f>
        <v>59</v>
      </c>
      <c r="B59" s="18" t="s">
        <v>2780</v>
      </c>
      <c r="C59" s="18" t="s">
        <v>2799</v>
      </c>
      <c r="D59" s="18" t="s">
        <v>2800</v>
      </c>
      <c r="E59" s="32" t="s">
        <v>2696</v>
      </c>
      <c r="F59" s="6" t="s">
        <v>760</v>
      </c>
    </row>
    <row r="60" spans="1:6" ht="225.75">
      <c r="A60" s="17">
        <f>ROW()</f>
        <v>60</v>
      </c>
      <c r="B60" s="18" t="s">
        <v>2780</v>
      </c>
      <c r="C60" s="18" t="s">
        <v>761</v>
      </c>
      <c r="D60" s="18" t="str">
        <f t="shared" ref="D60:D70" si="2">+E60</f>
        <v>1. Besteuerung von Renten</v>
      </c>
      <c r="E60" s="33" t="s">
        <v>2801</v>
      </c>
      <c r="F60" s="6" t="s">
        <v>787</v>
      </c>
    </row>
    <row r="61" spans="1:6" ht="335.25">
      <c r="A61" s="17">
        <f>ROW()</f>
        <v>61</v>
      </c>
      <c r="B61" s="18" t="s">
        <v>2780</v>
      </c>
      <c r="C61" s="18" t="s">
        <v>761</v>
      </c>
      <c r="D61" s="18" t="str">
        <f t="shared" si="2"/>
        <v>2. Einkommensgrenze für Besteuerung von Renten</v>
      </c>
      <c r="E61" s="33" t="s">
        <v>2802</v>
      </c>
      <c r="F61" s="6" t="s">
        <v>804</v>
      </c>
    </row>
    <row r="62" spans="1:6" ht="264">
      <c r="A62" s="17">
        <f>ROW()</f>
        <v>62</v>
      </c>
      <c r="B62" s="18" t="s">
        <v>2780</v>
      </c>
      <c r="C62" s="18" t="s">
        <v>761</v>
      </c>
      <c r="D62" s="18" t="str">
        <f t="shared" si="2"/>
        <v>3. Auf Renten anfallende Sozialabgaben</v>
      </c>
      <c r="E62" s="33" t="s">
        <v>2803</v>
      </c>
      <c r="F62" s="6" t="s">
        <v>820</v>
      </c>
    </row>
    <row r="63" spans="1:6" ht="138">
      <c r="A63" s="17">
        <f>ROW()</f>
        <v>63</v>
      </c>
      <c r="B63" s="18" t="s">
        <v>2804</v>
      </c>
      <c r="C63" s="18" t="str">
        <f>+E63</f>
        <v>Anwendungsbereich</v>
      </c>
      <c r="D63" s="18" t="str">
        <f t="shared" si="2"/>
        <v>Anwendungsbereich</v>
      </c>
      <c r="E63" s="33" t="s">
        <v>2708</v>
      </c>
      <c r="F63" s="6" t="s">
        <v>862</v>
      </c>
    </row>
    <row r="64" spans="1:6" ht="132.75">
      <c r="A64" s="17">
        <f>ROW()</f>
        <v>64</v>
      </c>
      <c r="B64" s="18" t="s">
        <v>2804</v>
      </c>
      <c r="C64" s="18" t="s">
        <v>2775</v>
      </c>
      <c r="D64" s="18" t="str">
        <f t="shared" si="2"/>
        <v>Grundprinzipien</v>
      </c>
      <c r="E64" s="33" t="s">
        <v>2709</v>
      </c>
      <c r="F64" s="6" t="s">
        <v>891</v>
      </c>
    </row>
    <row r="65" spans="1:6" ht="224.25">
      <c r="A65" s="17">
        <f>ROW()</f>
        <v>65</v>
      </c>
      <c r="B65" s="18" t="s">
        <v>2804</v>
      </c>
      <c r="C65" s="18" t="s">
        <v>2775</v>
      </c>
      <c r="D65" s="18" t="str">
        <f t="shared" si="2"/>
        <v>Voraussetzungen für die Deckung</v>
      </c>
      <c r="E65" s="33" t="s">
        <v>2710</v>
      </c>
      <c r="F65" s="6" t="s">
        <v>917</v>
      </c>
    </row>
    <row r="66" spans="1:6" ht="409.5">
      <c r="A66" s="17">
        <f>ROW()</f>
        <v>66</v>
      </c>
      <c r="B66" s="18" t="s">
        <v>2804</v>
      </c>
      <c r="C66" s="18" t="s">
        <v>2775</v>
      </c>
      <c r="D66" s="18" t="str">
        <f t="shared" si="2"/>
        <v>Kombination von selbstständiger und unselbstständiger Tätigkeit</v>
      </c>
      <c r="E66" s="33" t="s">
        <v>2698</v>
      </c>
      <c r="F66" s="6" t="s">
        <v>933</v>
      </c>
    </row>
    <row r="67" spans="1:6" ht="376.5">
      <c r="A67" s="17">
        <f>ROW()</f>
        <v>67</v>
      </c>
      <c r="B67" s="18" t="s">
        <v>2804</v>
      </c>
      <c r="C67" s="18" t="s">
        <v>2695</v>
      </c>
      <c r="D67" s="19" t="str">
        <f t="shared" si="2"/>
        <v xml:space="preserve">Voraussetzungen für den Zugang zu Diensten/Leistungen </v>
      </c>
      <c r="E67" s="33" t="s">
        <v>2699</v>
      </c>
      <c r="F67" s="6" t="s">
        <v>917</v>
      </c>
    </row>
    <row r="68" spans="1:6" ht="253.5">
      <c r="A68" s="17">
        <f>ROW()</f>
        <v>68</v>
      </c>
      <c r="B68" s="18" t="s">
        <v>2804</v>
      </c>
      <c r="C68" s="18" t="s">
        <v>2695</v>
      </c>
      <c r="D68" s="19" t="str">
        <f t="shared" si="2"/>
        <v>Beträge, Dauer und Kostenbeteiligung</v>
      </c>
      <c r="E68" s="33" t="s">
        <v>2700</v>
      </c>
      <c r="F68" s="6" t="s">
        <v>917</v>
      </c>
    </row>
    <row r="69" spans="1:6" ht="216">
      <c r="A69" s="17">
        <f>ROW()</f>
        <v>69</v>
      </c>
      <c r="B69" s="18" t="s">
        <v>2804</v>
      </c>
      <c r="C69" s="18" t="s">
        <v>2695</v>
      </c>
      <c r="D69" s="19" t="str">
        <f t="shared" si="2"/>
        <v>Besteuerung von Geldleistungen</v>
      </c>
      <c r="E69" s="33" t="s">
        <v>2681</v>
      </c>
      <c r="F69" s="6" t="s">
        <v>978</v>
      </c>
    </row>
    <row r="70" spans="1:6" ht="272.25">
      <c r="A70" s="17">
        <f>ROW()</f>
        <v>70</v>
      </c>
      <c r="B70" s="18" t="s">
        <v>2804</v>
      </c>
      <c r="C70" s="18" t="s">
        <v>2695</v>
      </c>
      <c r="D70" s="19" t="str">
        <f t="shared" si="2"/>
        <v>Auf Leistungen anfallende Sozialabgaben</v>
      </c>
      <c r="E70" s="33" t="s">
        <v>2683</v>
      </c>
      <c r="F70" s="6" t="s">
        <v>989</v>
      </c>
    </row>
    <row r="71" spans="1:6" ht="177">
      <c r="A71" s="17">
        <f>ROW()</f>
        <v>71</v>
      </c>
      <c r="B71" s="18" t="s">
        <v>2702</v>
      </c>
      <c r="C71" s="18" t="str">
        <f t="shared" ref="C71:D75" si="3">+D71</f>
        <v>Geltende Rechtsgrundlage</v>
      </c>
      <c r="D71" s="19" t="str">
        <f t="shared" si="3"/>
        <v>Geltende Rechtsgrundlage</v>
      </c>
      <c r="E71" s="32" t="s">
        <v>2724</v>
      </c>
      <c r="F71" s="6" t="s">
        <v>61</v>
      </c>
    </row>
    <row r="72" spans="1:6" ht="110.25">
      <c r="A72" s="17">
        <f>ROW()</f>
        <v>72</v>
      </c>
      <c r="B72" s="18" t="s">
        <v>2702</v>
      </c>
      <c r="C72" s="18" t="str">
        <f t="shared" si="3"/>
        <v>Grundprinzipien</v>
      </c>
      <c r="D72" s="19" t="str">
        <f t="shared" si="3"/>
        <v>Grundprinzipien</v>
      </c>
      <c r="E72" s="32" t="s">
        <v>2709</v>
      </c>
      <c r="F72" s="6" t="s">
        <v>1046</v>
      </c>
    </row>
    <row r="73" spans="1:6" ht="315">
      <c r="A73" s="17">
        <f>ROW()</f>
        <v>73</v>
      </c>
      <c r="B73" s="18" t="s">
        <v>2702</v>
      </c>
      <c r="C73" s="19" t="str">
        <f t="shared" si="3"/>
        <v>Anwendungsbereich (in Bezug auf Verstorbene)</v>
      </c>
      <c r="D73" s="19" t="str">
        <f t="shared" si="3"/>
        <v>Anwendungsbereich (in Bezug auf Verstorbene)</v>
      </c>
      <c r="E73" s="32" t="s">
        <v>2725</v>
      </c>
      <c r="F73" s="6" t="s">
        <v>1075</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13" t="s">
        <v>4954</v>
      </c>
    </row>
    <row r="75" spans="1:6" ht="144.75">
      <c r="A75" s="17">
        <f>ROW()</f>
        <v>75</v>
      </c>
      <c r="B75" s="18" t="s">
        <v>2702</v>
      </c>
      <c r="C75" s="19" t="str">
        <f t="shared" si="3"/>
        <v>Berechtigte Personen</v>
      </c>
      <c r="D75" s="19" t="str">
        <f t="shared" si="3"/>
        <v>Berechtigte Personen</v>
      </c>
      <c r="E75" s="32" t="s">
        <v>2730</v>
      </c>
      <c r="F75" s="13" t="s">
        <v>4953</v>
      </c>
    </row>
    <row r="76" spans="1:6" ht="102">
      <c r="A76" s="17">
        <f>ROW()</f>
        <v>76</v>
      </c>
      <c r="B76" s="18" t="s">
        <v>2702</v>
      </c>
      <c r="C76" s="1"/>
      <c r="D76" s="1"/>
      <c r="E76" s="32" t="s">
        <v>2783</v>
      </c>
      <c r="F76" s="6"/>
    </row>
    <row r="77" spans="1:6" ht="409.5">
      <c r="A77" s="17">
        <f>ROW()</f>
        <v>77</v>
      </c>
      <c r="B77" s="18" t="s">
        <v>2702</v>
      </c>
      <c r="C77" s="18" t="s">
        <v>2805</v>
      </c>
      <c r="D77" s="18" t="str">
        <f t="shared" ref="D77:D90" si="4">+E77</f>
        <v>1. Verstorbener Versicherter</v>
      </c>
      <c r="E77" s="33" t="s">
        <v>2806</v>
      </c>
      <c r="F77" s="13" t="s">
        <v>4952</v>
      </c>
    </row>
    <row r="78" spans="1:6" ht="185.25">
      <c r="A78" s="17">
        <f>ROW()</f>
        <v>78</v>
      </c>
      <c r="B78" s="18" t="s">
        <v>2702</v>
      </c>
      <c r="C78" s="18" t="s">
        <v>2805</v>
      </c>
      <c r="D78" s="18" t="str">
        <f t="shared" si="4"/>
        <v>2. Hinterbliebener Ehegatte</v>
      </c>
      <c r="E78" s="33" t="s">
        <v>2807</v>
      </c>
      <c r="F78" s="6" t="s">
        <v>1183</v>
      </c>
    </row>
    <row r="79" spans="1:6" ht="181.5">
      <c r="A79" s="17">
        <f>ROW()</f>
        <v>79</v>
      </c>
      <c r="B79" s="18" t="s">
        <v>2702</v>
      </c>
      <c r="C79" s="18" t="s">
        <v>2805</v>
      </c>
      <c r="D79" s="18" t="str">
        <f t="shared" si="4"/>
        <v>3. Geschiedener Ehegatte</v>
      </c>
      <c r="E79" s="33" t="s">
        <v>2808</v>
      </c>
      <c r="F79" s="6" t="s">
        <v>1192</v>
      </c>
    </row>
    <row r="80" spans="1:6" ht="216">
      <c r="A80" s="17">
        <f>ROW()</f>
        <v>80</v>
      </c>
      <c r="B80" s="18" t="s">
        <v>2702</v>
      </c>
      <c r="C80" s="18" t="s">
        <v>2805</v>
      </c>
      <c r="D80" s="18" t="str">
        <f t="shared" si="4"/>
        <v>4. Hinterbliebene Lebenspartner</v>
      </c>
      <c r="E80" s="33" t="s">
        <v>2809</v>
      </c>
      <c r="F80" s="6" t="s">
        <v>1192</v>
      </c>
    </row>
    <row r="81" spans="1:6" ht="181.5">
      <c r="A81" s="17">
        <f>ROW()</f>
        <v>81</v>
      </c>
      <c r="B81" s="18" t="s">
        <v>2702</v>
      </c>
      <c r="C81" s="18" t="s">
        <v>2805</v>
      </c>
      <c r="D81" s="18" t="str">
        <f t="shared" si="4"/>
        <v>5. Kinder</v>
      </c>
      <c r="E81" s="33" t="s">
        <v>2810</v>
      </c>
      <c r="F81" s="13" t="s">
        <v>4951</v>
      </c>
    </row>
    <row r="82" spans="1:6" ht="181.5">
      <c r="A82" s="17">
        <f>ROW()</f>
        <v>82</v>
      </c>
      <c r="B82" s="18" t="s">
        <v>2702</v>
      </c>
      <c r="C82" s="18" t="s">
        <v>2805</v>
      </c>
      <c r="D82" s="18" t="str">
        <f t="shared" si="4"/>
        <v>6. Andere Personen</v>
      </c>
      <c r="E82" s="33" t="s">
        <v>2811</v>
      </c>
      <c r="F82" s="6" t="s">
        <v>373</v>
      </c>
    </row>
    <row r="83" spans="1:6" ht="409.5">
      <c r="A83" s="17">
        <f>ROW()</f>
        <v>83</v>
      </c>
      <c r="B83" s="18" t="s">
        <v>2702</v>
      </c>
      <c r="C83" s="18" t="s">
        <v>2695</v>
      </c>
      <c r="D83" s="19" t="str">
        <f t="shared" si="4"/>
        <v>1. Hinterbliebener Ehegatte, geschiedener Ehegatte, hinterbliebene Lebenspartner</v>
      </c>
      <c r="E83" s="33" t="s">
        <v>2812</v>
      </c>
      <c r="F83" s="6" t="s">
        <v>1312</v>
      </c>
    </row>
    <row r="84" spans="1:6" ht="280.5">
      <c r="A84" s="17">
        <f>ROW()</f>
        <v>84</v>
      </c>
      <c r="B84" s="18" t="s">
        <v>2702</v>
      </c>
      <c r="C84" s="18" t="s">
        <v>2695</v>
      </c>
      <c r="D84" s="19" t="str">
        <f t="shared" si="4"/>
        <v>2. Hinterbliebener Ehegatte: Wiederheirat</v>
      </c>
      <c r="E84" s="33" t="s">
        <v>2813</v>
      </c>
      <c r="F84" s="6" t="s">
        <v>1341</v>
      </c>
    </row>
    <row r="85" spans="1:6" ht="180">
      <c r="A85" s="17">
        <f>ROW()</f>
        <v>85</v>
      </c>
      <c r="B85" s="18" t="s">
        <v>2702</v>
      </c>
      <c r="C85" s="18" t="s">
        <v>2695</v>
      </c>
      <c r="D85" s="19" t="str">
        <f t="shared" si="4"/>
        <v>3. Kinder</v>
      </c>
      <c r="E85" s="33" t="s">
        <v>2814</v>
      </c>
      <c r="F85" s="6" t="s">
        <v>1372</v>
      </c>
    </row>
    <row r="86" spans="1:6" ht="147">
      <c r="A86" s="17">
        <f>ROW()</f>
        <v>86</v>
      </c>
      <c r="B86" s="18" t="s">
        <v>2702</v>
      </c>
      <c r="C86" s="18" t="s">
        <v>2695</v>
      </c>
      <c r="D86" s="19" t="str">
        <f t="shared" si="4"/>
        <v>4. Andere Berechtigte</v>
      </c>
      <c r="E86" s="33" t="s">
        <v>2815</v>
      </c>
      <c r="F86" s="6" t="s">
        <v>1388</v>
      </c>
    </row>
    <row r="87" spans="1:6" ht="381">
      <c r="A87" s="17">
        <f>ROW()</f>
        <v>87</v>
      </c>
      <c r="B87" s="18" t="s">
        <v>2702</v>
      </c>
      <c r="C87" s="18" t="s">
        <v>2695</v>
      </c>
      <c r="D87" s="19" t="str">
        <f t="shared" si="4"/>
        <v xml:space="preserve"> 5. Höchster zahlbarer Gesamtbetrag für alle Berechtigten</v>
      </c>
      <c r="E87" s="33" t="s">
        <v>2816</v>
      </c>
      <c r="F87" s="13" t="s">
        <v>4948</v>
      </c>
    </row>
    <row r="88" spans="1:6" ht="151.5">
      <c r="A88" s="17">
        <f>ROW()</f>
        <v>88</v>
      </c>
      <c r="B88" s="18" t="s">
        <v>2702</v>
      </c>
      <c r="C88" s="18" t="s">
        <v>2695</v>
      </c>
      <c r="D88" s="19" t="str">
        <f t="shared" si="4"/>
        <v>6. Sonstige Leistungen</v>
      </c>
      <c r="E88" s="33" t="s">
        <v>2817</v>
      </c>
      <c r="F88" s="13" t="s">
        <v>4949</v>
      </c>
    </row>
    <row r="89" spans="1:6" ht="126.75">
      <c r="A89" s="17">
        <f>ROW()</f>
        <v>89</v>
      </c>
      <c r="B89" s="18" t="s">
        <v>2702</v>
      </c>
      <c r="C89" s="18" t="s">
        <v>2695</v>
      </c>
      <c r="D89" s="19" t="str">
        <f>+E89</f>
        <v>7. Mindestleistung</v>
      </c>
      <c r="E89" s="33" t="s">
        <v>2818</v>
      </c>
      <c r="F89" s="6" t="s">
        <v>1469</v>
      </c>
    </row>
    <row r="90" spans="1:6" ht="122.25">
      <c r="A90" s="17">
        <f>ROW()</f>
        <v>90</v>
      </c>
      <c r="B90" s="18" t="s">
        <v>2702</v>
      </c>
      <c r="C90" s="18" t="s">
        <v>2695</v>
      </c>
      <c r="D90" s="19" t="str">
        <f t="shared" si="4"/>
        <v xml:space="preserve"> 8. Höchstleistung</v>
      </c>
      <c r="E90" s="33" t="s">
        <v>2819</v>
      </c>
      <c r="F90" s="6" t="s">
        <v>1490</v>
      </c>
    </row>
    <row r="91" spans="1:6" ht="179.25">
      <c r="A91" s="17">
        <f>ROW()</f>
        <v>91</v>
      </c>
      <c r="B91" s="18" t="s">
        <v>2702</v>
      </c>
      <c r="C91" s="18" t="s">
        <v>2799</v>
      </c>
      <c r="D91" s="19" t="str">
        <f>+C91</f>
        <v>Indexbindung / Anpassung</v>
      </c>
      <c r="E91" s="32" t="s">
        <v>2799</v>
      </c>
      <c r="F91" s="13" t="s">
        <v>4950</v>
      </c>
    </row>
    <row r="92" spans="1:6" ht="242.25">
      <c r="A92" s="17">
        <f>ROW()</f>
        <v>92</v>
      </c>
      <c r="B92" s="18" t="s">
        <v>2702</v>
      </c>
      <c r="C92" s="18" t="s">
        <v>2799</v>
      </c>
      <c r="D92" s="19" t="str">
        <f t="shared" ref="D92:D105" si="5">+E92</f>
        <v>Kumulation mit Erwerbseinkommen</v>
      </c>
      <c r="E92" s="32" t="s">
        <v>2723</v>
      </c>
      <c r="F92" s="6" t="s">
        <v>1551</v>
      </c>
    </row>
    <row r="93" spans="1:6" ht="275.25">
      <c r="A93" s="17">
        <f>ROW()</f>
        <v>93</v>
      </c>
      <c r="B93" s="18" t="s">
        <v>2702</v>
      </c>
      <c r="C93" s="18" t="s">
        <v>2799</v>
      </c>
      <c r="D93" s="19" t="str">
        <f t="shared" si="5"/>
        <v>Kumulation mit anderen Sozialleistungen</v>
      </c>
      <c r="E93" s="32" t="s">
        <v>2696</v>
      </c>
      <c r="F93" s="6" t="s">
        <v>1582</v>
      </c>
    </row>
    <row r="94" spans="1:6" ht="232.5">
      <c r="A94" s="17">
        <f>ROW()</f>
        <v>94</v>
      </c>
      <c r="B94" s="18" t="s">
        <v>2702</v>
      </c>
      <c r="C94" s="19" t="s">
        <v>2701</v>
      </c>
      <c r="D94" s="19" t="str">
        <f t="shared" si="5"/>
        <v>1. Besteuerung von Geldleistungen</v>
      </c>
      <c r="E94" s="33" t="s">
        <v>2770</v>
      </c>
      <c r="F94" s="6" t="s">
        <v>1601</v>
      </c>
    </row>
    <row r="95" spans="1:6" ht="387">
      <c r="A95" s="17">
        <f>ROW()</f>
        <v>95</v>
      </c>
      <c r="B95" s="18" t="s">
        <v>2702</v>
      </c>
      <c r="C95" s="19" t="s">
        <v>2701</v>
      </c>
      <c r="D95" s="19" t="str">
        <f t="shared" si="5"/>
        <v>2. Einkommensgrenze für Besteuerung von Geldleistungen</v>
      </c>
      <c r="E95" s="33" t="s">
        <v>2772</v>
      </c>
      <c r="F95" s="6" t="s">
        <v>1624</v>
      </c>
    </row>
    <row r="96" spans="1:6" ht="288.75">
      <c r="A96" s="17">
        <f>ROW()</f>
        <v>96</v>
      </c>
      <c r="B96" s="18" t="s">
        <v>2702</v>
      </c>
      <c r="C96" s="19" t="s">
        <v>2701</v>
      </c>
      <c r="D96" s="19" t="str">
        <f t="shared" si="5"/>
        <v>3. Auf Leistungen anfallende Sozialabgaben</v>
      </c>
      <c r="E96" s="33" t="s">
        <v>2773</v>
      </c>
      <c r="F96" s="6" t="s">
        <v>825</v>
      </c>
    </row>
    <row r="97" spans="1:6" ht="138">
      <c r="A97" s="17">
        <f>ROW()</f>
        <v>97</v>
      </c>
      <c r="B97" s="18" t="s">
        <v>2702</v>
      </c>
      <c r="C97" s="19" t="s">
        <v>2775</v>
      </c>
      <c r="D97" s="19" t="str">
        <f t="shared" si="5"/>
        <v>Anwendungsbereich</v>
      </c>
      <c r="E97" s="33" t="s">
        <v>2708</v>
      </c>
      <c r="F97" s="6" t="s">
        <v>1655</v>
      </c>
    </row>
    <row r="98" spans="1:6" ht="110.25">
      <c r="A98" s="17">
        <f>ROW()</f>
        <v>98</v>
      </c>
      <c r="B98" s="18" t="s">
        <v>2702</v>
      </c>
      <c r="C98" s="19" t="s">
        <v>2775</v>
      </c>
      <c r="D98" s="19" t="str">
        <f t="shared" si="5"/>
        <v>Grundprinzipien</v>
      </c>
      <c r="E98" s="33" t="s">
        <v>2709</v>
      </c>
      <c r="F98" s="6" t="s">
        <v>1672</v>
      </c>
    </row>
    <row r="99" spans="1:6" ht="224.25">
      <c r="A99" s="17">
        <f>ROW()</f>
        <v>99</v>
      </c>
      <c r="B99" s="18" t="s">
        <v>2702</v>
      </c>
      <c r="C99" s="19" t="s">
        <v>2775</v>
      </c>
      <c r="D99" s="19" t="str">
        <f t="shared" si="5"/>
        <v>Voraussetzungen für die Deckung</v>
      </c>
      <c r="E99" s="33" t="s">
        <v>2710</v>
      </c>
      <c r="F99" s="6" t="s">
        <v>917</v>
      </c>
    </row>
    <row r="100" spans="1:6" ht="409.5">
      <c r="A100" s="17">
        <f>ROW()</f>
        <v>100</v>
      </c>
      <c r="B100" s="18" t="s">
        <v>2702</v>
      </c>
      <c r="C100" s="19" t="s">
        <v>2775</v>
      </c>
      <c r="D100" s="19" t="str">
        <f t="shared" si="5"/>
        <v>Kombination von selbstständiger und unselbstständiger Tätigkeit</v>
      </c>
      <c r="E100" s="33" t="s">
        <v>2698</v>
      </c>
      <c r="F100" s="6" t="s">
        <v>933</v>
      </c>
    </row>
    <row r="101" spans="1:6" ht="376.5">
      <c r="A101" s="17">
        <f>ROW()</f>
        <v>101</v>
      </c>
      <c r="B101" s="18" t="s">
        <v>2702</v>
      </c>
      <c r="C101" s="19" t="s">
        <v>2775</v>
      </c>
      <c r="D101" s="19" t="str">
        <f t="shared" si="5"/>
        <v xml:space="preserve">Voraussetzungen für den Zugang zu Diensten/Leistungen </v>
      </c>
      <c r="E101" s="33" t="s">
        <v>2699</v>
      </c>
      <c r="F101" s="6" t="s">
        <v>917</v>
      </c>
    </row>
    <row r="102" spans="1:6" ht="253.5">
      <c r="A102" s="17">
        <f>ROW()</f>
        <v>102</v>
      </c>
      <c r="B102" s="18" t="s">
        <v>2702</v>
      </c>
      <c r="C102" s="19" t="s">
        <v>2775</v>
      </c>
      <c r="D102" s="19" t="str">
        <f t="shared" si="5"/>
        <v>Beträge, Dauer und Kostenbeteiligung</v>
      </c>
      <c r="E102" s="33" t="s">
        <v>2700</v>
      </c>
      <c r="F102" s="6" t="s">
        <v>917</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1705</v>
      </c>
    </row>
    <row r="105" spans="1:6" ht="272.25">
      <c r="A105" s="17">
        <f>ROW()</f>
        <v>105</v>
      </c>
      <c r="B105" s="18" t="s">
        <v>2702</v>
      </c>
      <c r="C105" s="19" t="s">
        <v>2775</v>
      </c>
      <c r="D105" s="19" t="str">
        <f t="shared" si="5"/>
        <v>Auf Leistungen anfallende Sozialabgaben</v>
      </c>
      <c r="E105" s="33" t="s">
        <v>2683</v>
      </c>
      <c r="F105" s="6" t="s">
        <v>1709</v>
      </c>
    </row>
  </sheetData>
  <sheetProtection algorithmName="SHA-512" hashValue="pQVxFjVsCfFu+LpTUtt7D1gTWxnytMY8KKm1tVW0E3ATTOB2tNjoqnEkxtOuw+UBnLXNoBUDt2GY6Vm3UckoKA==" saltValue="IwlPakJUEfSRMYYXrDC0aw==" spinCount="100000" sheet="1" objects="1" scenarios="1" formatColumns="0" autoFilter="0"/>
  <autoFilter ref="A2:F2" xr:uid="{BA1FA273-E78B-4A31-BCA6-4BF9B7DE6413}"/>
  <pageMargins left="0.7" right="0.7" top="0.78740157499999996" bottom="0.78740157499999996"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A6AED-1931-42C4-9ACA-7FF69F6C4747}">
  <sheetPr codeName="Tabelle49"/>
  <dimension ref="A1:AS33"/>
  <sheetViews>
    <sheetView zoomScaleNormal="100" workbookViewId="0">
      <pane xSplit="2" ySplit="1" topLeftCell="C12" activePane="bottomRight" state="frozen"/>
      <selection pane="topRight" activeCell="C1" sqref="C1"/>
      <selection pane="bottomLeft" activeCell="A2" sqref="A2"/>
      <selection pane="bottomRight" activeCell="AB2" sqref="AB2"/>
    </sheetView>
  </sheetViews>
  <sheetFormatPr baseColWidth="10" defaultColWidth="10.28515625" defaultRowHeight="15"/>
  <cols>
    <col min="1" max="1" width="5.42578125" style="26" customWidth="1"/>
    <col min="2" max="2" width="5.85546875" style="26" customWidth="1"/>
    <col min="3" max="3" width="14.5703125" style="24" customWidth="1"/>
    <col min="4" max="15" width="6.28515625" style="26" customWidth="1"/>
    <col min="16" max="16" width="29.85546875" style="23" customWidth="1"/>
    <col min="17" max="21" width="10.85546875" style="15" customWidth="1"/>
    <col min="22" max="22" width="20.140625" customWidth="1"/>
    <col min="23" max="23" width="15" customWidth="1"/>
    <col min="24" max="25" width="9" style="15" customWidth="1"/>
    <col min="26" max="26" width="38.42578125" customWidth="1"/>
    <col min="27" max="27" width="26.28515625" customWidth="1"/>
    <col min="28" max="28" width="48.5703125" customWidth="1"/>
    <col min="30" max="30" width="11.140625" bestFit="1" customWidth="1"/>
    <col min="45" max="45" width="15.42578125" bestFit="1" customWidth="1"/>
    <col min="16384" max="16384" width="0.140625" customWidth="1"/>
  </cols>
  <sheetData>
    <row r="1" spans="1:45" s="127" customFormat="1" ht="44.25" customHeight="1" thickBot="1">
      <c r="A1" s="294" t="s">
        <v>3722</v>
      </c>
      <c r="B1" s="295" t="s">
        <v>3454</v>
      </c>
      <c r="C1" s="296" t="s">
        <v>2883</v>
      </c>
      <c r="D1" s="295">
        <v>2015</v>
      </c>
      <c r="E1" s="295">
        <f>+D1+1</f>
        <v>2016</v>
      </c>
      <c r="F1" s="295">
        <f t="shared" ref="F1:O1" si="0">+E1+1</f>
        <v>2017</v>
      </c>
      <c r="G1" s="295">
        <f t="shared" si="0"/>
        <v>2018</v>
      </c>
      <c r="H1" s="295">
        <f t="shared" si="0"/>
        <v>2019</v>
      </c>
      <c r="I1" s="295">
        <f t="shared" si="0"/>
        <v>2020</v>
      </c>
      <c r="J1" s="295">
        <f t="shared" si="0"/>
        <v>2021</v>
      </c>
      <c r="K1" s="295">
        <f t="shared" si="0"/>
        <v>2022</v>
      </c>
      <c r="L1" s="295">
        <f t="shared" si="0"/>
        <v>2023</v>
      </c>
      <c r="M1" s="295">
        <f t="shared" si="0"/>
        <v>2024</v>
      </c>
      <c r="N1" s="295">
        <f>+M1+1</f>
        <v>2025</v>
      </c>
      <c r="O1" s="295">
        <f t="shared" si="0"/>
        <v>2026</v>
      </c>
      <c r="P1" s="295" t="s">
        <v>3455</v>
      </c>
      <c r="Q1" s="295" t="str">
        <f>"Kumuliert "&amp;TEXT(MIN(D1:O1),"##")&amp;"-"&amp;TEXT(MAX(D1:O1),"##")</f>
        <v>Kumuliert 2015-2026</v>
      </c>
      <c r="R1" s="295" t="str">
        <f>"CAGR *"&amp;TEXT(MIN(D1:O1),"##")&amp;"-"&amp;TEXT(MAX(D1:O1),"##")</f>
        <v>CAGR *2015-2026</v>
      </c>
      <c r="S1" s="295" t="s">
        <v>3456</v>
      </c>
      <c r="T1" s="295" t="s">
        <v>3457</v>
      </c>
      <c r="U1" s="295" t="s">
        <v>3458</v>
      </c>
      <c r="V1" s="295" t="s">
        <v>3459</v>
      </c>
      <c r="W1" s="295" t="s">
        <v>3460</v>
      </c>
      <c r="X1" s="297"/>
      <c r="Y1" s="297" t="s">
        <v>3721</v>
      </c>
      <c r="Z1" s="295" t="s">
        <v>4317</v>
      </c>
      <c r="AA1" s="295" t="s">
        <v>4348</v>
      </c>
      <c r="AB1" s="294"/>
    </row>
    <row r="2" spans="1:45" s="148" customFormat="1" ht="87" customHeight="1" thickBot="1">
      <c r="A2" s="298">
        <v>1</v>
      </c>
      <c r="B2" s="299" t="s">
        <v>3461</v>
      </c>
      <c r="C2" s="300" t="s">
        <v>0</v>
      </c>
      <c r="D2" s="301">
        <v>0</v>
      </c>
      <c r="E2" s="301">
        <v>4.0999999999999925E-2</v>
      </c>
      <c r="F2" s="301">
        <v>2.0000000000000018E-2</v>
      </c>
      <c r="G2" s="301">
        <v>2.0000000000000018E-2</v>
      </c>
      <c r="H2" s="301">
        <v>0</v>
      </c>
      <c r="I2" s="301">
        <v>2.0000000000000018E-2</v>
      </c>
      <c r="J2" s="301">
        <v>4.0999999999999925E-2</v>
      </c>
      <c r="K2" s="301">
        <v>0.10400000000000009</v>
      </c>
      <c r="L2" s="301">
        <v>2.0000000000000018E-2</v>
      </c>
      <c r="M2" s="301">
        <v>2.0000000000000018E-2</v>
      </c>
      <c r="N2" s="301"/>
      <c r="O2" s="301"/>
      <c r="P2" s="302" t="s">
        <v>3462</v>
      </c>
      <c r="Q2" s="301" cm="1">
        <f t="array" ref="Q2">PRODUCT(1+$D2:O2)-1</f>
        <v>0.32090441333740771</v>
      </c>
      <c r="R2" s="301" cm="1">
        <f t="array" ref="R2">PRODUCT(1+D2:O2)^(1/COUNT(D2:O2))-1</f>
        <v>2.8222585402259526E-2</v>
      </c>
      <c r="S2" s="301">
        <f>MAX(D2:O2)</f>
        <v>0.10400000000000009</v>
      </c>
      <c r="T2" s="301">
        <f>MIN(D2:O2)</f>
        <v>0</v>
      </c>
      <c r="U2" s="301">
        <f>_xlfn.STDEV.P(D2:O2)</f>
        <v>2.8281442678901671E-2</v>
      </c>
      <c r="V2" s="302" t="s">
        <v>3463</v>
      </c>
      <c r="W2" s="302" t="s">
        <v>3464</v>
      </c>
      <c r="X2" s="301" cm="1">
        <f t="array" ref="X2">PRODUCT(1+$I2:O2)-1</f>
        <v>0.21960815091200026</v>
      </c>
      <c r="Y2" s="301">
        <f>POWER(1+X2,1/5)-1</f>
        <v>4.0504741593966553E-2</v>
      </c>
      <c r="Z2" s="302" t="s">
        <v>4318</v>
      </c>
      <c r="AA2" s="302" t="str">
        <f>HYPERLINK("https://journals.sagepub.com/doi/suppl/10.1177/09589287261430475/suppl_file/sj-pdf-1-esp-10.1177_09589287261430475.pdf","JESP/Sage Supplement 2026")</f>
        <v>JESP/Sage Supplement 2026</v>
      </c>
      <c r="AB2" s="303" t="s">
        <v>4351</v>
      </c>
      <c r="AD2" s="310" cm="1">
        <f t="array" ref="AD2">PRODUCT(1+D2:O2)</f>
        <v>1.3209044133374077</v>
      </c>
      <c r="AS2" s="293"/>
    </row>
    <row r="3" spans="1:45" s="23" customFormat="1" ht="67.5">
      <c r="A3" s="17">
        <v>2</v>
      </c>
      <c r="B3" s="304" t="s">
        <v>3465</v>
      </c>
      <c r="C3" s="305" t="s">
        <v>1</v>
      </c>
      <c r="D3" s="306">
        <v>1.8999999999999906E-2</v>
      </c>
      <c r="E3" s="306">
        <v>2.6000000000000023E-2</v>
      </c>
      <c r="F3" s="306">
        <v>1.2000000000000011E-2</v>
      </c>
      <c r="G3" s="306">
        <v>3.8000000000000034E-2</v>
      </c>
      <c r="H3" s="306">
        <v>5.699999999999994E-2</v>
      </c>
      <c r="I3" s="306">
        <v>6.6999999999999948E-2</v>
      </c>
      <c r="J3" s="306">
        <v>5.0000000000000044E-2</v>
      </c>
      <c r="K3" s="306">
        <v>0.30000000000000004</v>
      </c>
      <c r="L3" s="306">
        <v>0.12000000000000011</v>
      </c>
      <c r="M3" s="306">
        <v>0.1100000000000001</v>
      </c>
      <c r="N3" s="306"/>
      <c r="O3" s="306"/>
      <c r="P3" s="307" t="s">
        <v>3466</v>
      </c>
      <c r="Q3" s="306" cm="1">
        <f t="array" ref="Q3">PRODUCT(1+$D3:O3)-1</f>
        <v>1.1019020335686878</v>
      </c>
      <c r="R3" s="306" cm="1">
        <f t="array" ref="R3">PRODUCT(1+D3:O3)^(1/COUNT(D3:O3))-1</f>
        <v>7.7112949117092544E-2</v>
      </c>
      <c r="S3" s="306">
        <f t="shared" ref="S3:S32" si="1">MAX(D3:O3)</f>
        <v>0.30000000000000004</v>
      </c>
      <c r="T3" s="306">
        <f t="shared" ref="T3:T32" si="2">MIN(D3:O3)</f>
        <v>1.2000000000000011E-2</v>
      </c>
      <c r="U3" s="306">
        <f t="shared" ref="U3:U32" si="3">_xlfn.STDEV.P(D3:O3)</f>
        <v>8.0946216712086086E-2</v>
      </c>
      <c r="V3" s="307" t="s">
        <v>3463</v>
      </c>
      <c r="W3" s="307" t="s">
        <v>3464</v>
      </c>
      <c r="X3" s="306" cm="1">
        <f t="array" ref="X3">PRODUCT(1+$I3:M3)-1</f>
        <v>0.81066485600000027</v>
      </c>
      <c r="Y3" s="306">
        <f t="shared" ref="Y3:Y32" si="4">POWER(1+X3,1/5)-1</f>
        <v>0.12607577176500095</v>
      </c>
      <c r="Z3" s="307" t="s">
        <v>4319</v>
      </c>
      <c r="AA3" s="307" t="str">
        <f>HYPERLINK("https://journals.sagepub.com/doi/suppl/10.1177/09589287261430475/suppl_file/sj-pdf-1-esp-10.1177_09589287261430475.pdf","JESP/Sage Supplement 2026")</f>
        <v>JESP/Sage Supplement 2026</v>
      </c>
      <c r="AB3" s="308" t="s">
        <v>4351</v>
      </c>
    </row>
    <row r="4" spans="1:45" s="148" customFormat="1" ht="30">
      <c r="A4" s="298">
        <v>3</v>
      </c>
      <c r="B4" s="299" t="s">
        <v>3467</v>
      </c>
      <c r="C4" s="300" t="s">
        <v>2</v>
      </c>
      <c r="D4" s="301">
        <v>1.2999999999999999E-2</v>
      </c>
      <c r="E4" s="301">
        <v>1.0999999999999999E-2</v>
      </c>
      <c r="F4" s="301">
        <v>4.0000000000000001E-3</v>
      </c>
      <c r="G4" s="301">
        <v>1.0999999999999999E-2</v>
      </c>
      <c r="H4" s="301">
        <v>1.2999999999999999E-2</v>
      </c>
      <c r="I4" s="301">
        <v>6.0000000000000001E-3</v>
      </c>
      <c r="J4" s="301">
        <v>3.9E-2</v>
      </c>
      <c r="K4" s="301">
        <v>4.0000000000000001E-3</v>
      </c>
      <c r="L4" s="301">
        <v>-4.0000000000000001E-3</v>
      </c>
      <c r="M4" s="301">
        <v>2.8000000000000001E-2</v>
      </c>
      <c r="N4" s="301">
        <v>4.8000000000000001E-2</v>
      </c>
      <c r="O4" s="301">
        <v>7.4999999999999997E-2</v>
      </c>
      <c r="P4" s="302"/>
      <c r="Q4" s="301" cm="1">
        <f t="array" ref="Q4">PRODUCT(1+$D4:O4)-1</f>
        <v>0.27474804849214474</v>
      </c>
      <c r="R4" s="301" cm="1">
        <f t="array" ref="R4">PRODUCT(1+D4:O4)^(1/COUNT(D4:O4))-1</f>
        <v>2.0435039660671173E-2</v>
      </c>
      <c r="S4" s="301">
        <f t="shared" si="1"/>
        <v>7.4999999999999997E-2</v>
      </c>
      <c r="T4" s="301">
        <f t="shared" si="2"/>
        <v>-4.0000000000000001E-3</v>
      </c>
      <c r="U4" s="301">
        <f t="shared" si="3"/>
        <v>2.1932978720537608E-2</v>
      </c>
      <c r="V4" s="302"/>
      <c r="W4" s="302"/>
      <c r="X4" s="301" cm="1">
        <f t="array" ref="X4">PRODUCT(1+$I4:M4)-1</f>
        <v>7.4483359991167841E-2</v>
      </c>
      <c r="Y4" s="301">
        <f t="shared" si="4"/>
        <v>1.447170584367008E-2</v>
      </c>
      <c r="Z4" s="302" t="s">
        <v>4320</v>
      </c>
      <c r="AA4" s="302" t="str">
        <f>HYPERLINK("https://www.parlament.gv.at/dokument/XXVII/EU/187913/imfname_11382449.pdf","Mechanismus-/Statusquelle")</f>
        <v>Mechanismus-/Statusquelle</v>
      </c>
      <c r="AB4" s="303"/>
    </row>
    <row r="5" spans="1:45" s="23" customFormat="1" ht="67.5">
      <c r="A5" s="17">
        <v>4</v>
      </c>
      <c r="B5" s="304" t="s">
        <v>3468</v>
      </c>
      <c r="C5" s="305" t="s">
        <v>3</v>
      </c>
      <c r="D5" s="306">
        <v>2.0999999999999908E-2</v>
      </c>
      <c r="E5" s="306">
        <v>4.2999999999999927E-2</v>
      </c>
      <c r="F5" s="306">
        <v>1.8999999999999906E-2</v>
      </c>
      <c r="G5" s="306">
        <v>3.2000000000000028E-2</v>
      </c>
      <c r="H5" s="306">
        <v>3.2000000000000028E-2</v>
      </c>
      <c r="I5" s="306">
        <v>3.499999999999992E-2</v>
      </c>
      <c r="J5" s="306">
        <v>0</v>
      </c>
      <c r="K5" s="306">
        <v>5.4000000000000048E-2</v>
      </c>
      <c r="L5" s="306">
        <v>4.4000000000000039E-2</v>
      </c>
      <c r="M5" s="306">
        <v>4.6000000000000041E-2</v>
      </c>
      <c r="N5" s="306">
        <v>3.7400000000000003E-2</v>
      </c>
      <c r="O5" s="306">
        <v>4.24E-2</v>
      </c>
      <c r="P5" s="307" t="s">
        <v>3469</v>
      </c>
      <c r="Q5" s="306" cm="1">
        <f t="array" ref="Q5">PRODUCT(1+$D5:O5)-1</f>
        <v>0.48880363106544533</v>
      </c>
      <c r="R5" s="306" cm="1">
        <f t="array" ref="R5">PRODUCT(1+D5:O5)^(1/COUNT(D5:O5))-1</f>
        <v>3.3720474539840284E-2</v>
      </c>
      <c r="S5" s="306">
        <f t="shared" si="1"/>
        <v>5.4000000000000048E-2</v>
      </c>
      <c r="T5" s="306">
        <f t="shared" si="2"/>
        <v>0</v>
      </c>
      <c r="U5" s="306">
        <f t="shared" si="3"/>
        <v>1.4040764065945857E-2</v>
      </c>
      <c r="V5" s="307" t="s">
        <v>3463</v>
      </c>
      <c r="W5" s="307" t="s">
        <v>3464</v>
      </c>
      <c r="X5" s="306" cm="1">
        <f t="array" ref="X5">PRODUCT(1+$I5:M5)-1</f>
        <v>0.19127806136000003</v>
      </c>
      <c r="Y5" s="306">
        <f t="shared" si="4"/>
        <v>3.5625245639141934E-2</v>
      </c>
      <c r="Z5" s="307" t="s">
        <v>4321</v>
      </c>
      <c r="AA5" s="307" t="str">
        <f>HYPERLINK("https://journals.sagepub.com/doi/suppl/10.1177/09589287261430475/suppl_file/sj-pdf-1-esp-10.1177_09589287261430475.pdf","JESP/Sage Supplement 2026")</f>
        <v>JESP/Sage Supplement 2026</v>
      </c>
      <c r="AB5" s="308" t="s">
        <v>4351</v>
      </c>
    </row>
    <row r="6" spans="1:45" s="148" customFormat="1" ht="67.5">
      <c r="A6" s="298">
        <v>5</v>
      </c>
      <c r="B6" s="299" t="s">
        <v>3470</v>
      </c>
      <c r="C6" s="300" t="s">
        <v>4</v>
      </c>
      <c r="D6" s="301">
        <v>6.2999999999999945E-2</v>
      </c>
      <c r="E6" s="301">
        <v>5.699999999999994E-2</v>
      </c>
      <c r="F6" s="301">
        <v>5.0999999999999934E-2</v>
      </c>
      <c r="G6" s="301">
        <v>7.6000000000000068E-2</v>
      </c>
      <c r="H6" s="301">
        <v>8.4000000000000075E-2</v>
      </c>
      <c r="I6" s="301">
        <v>8.0000000000000071E-2</v>
      </c>
      <c r="J6" s="301">
        <v>1.6000000000000014E-2</v>
      </c>
      <c r="K6" s="301">
        <v>7.8999999999999959E-2</v>
      </c>
      <c r="L6" s="301">
        <v>0.13900000000000001</v>
      </c>
      <c r="M6" s="301">
        <v>0.10600000000000009</v>
      </c>
      <c r="N6" s="301"/>
      <c r="O6" s="301"/>
      <c r="P6" s="302" t="s">
        <v>3471</v>
      </c>
      <c r="Q6" s="301" cm="1">
        <f t="array" ref="Q6">PRODUCT(1+$D6:O6)-1</f>
        <v>1.054330341653801</v>
      </c>
      <c r="R6" s="301" cm="1">
        <f t="array" ref="R6">PRODUCT(1+D6:O6)^(1/COUNT(D6:O6))-1</f>
        <v>7.4649962959168592E-2</v>
      </c>
      <c r="S6" s="301">
        <f t="shared" si="1"/>
        <v>0.13900000000000001</v>
      </c>
      <c r="T6" s="301">
        <f t="shared" si="2"/>
        <v>1.6000000000000014E-2</v>
      </c>
      <c r="U6" s="301">
        <f t="shared" si="3"/>
        <v>3.1152688487512625E-2</v>
      </c>
      <c r="V6" s="302" t="s">
        <v>3463</v>
      </c>
      <c r="W6" s="302" t="s">
        <v>3464</v>
      </c>
      <c r="X6" s="301" cm="1">
        <f t="array" ref="X6">PRODUCT(1+$I6:M6)-1</f>
        <v>0.49148111647808035</v>
      </c>
      <c r="Y6" s="301">
        <f t="shared" si="4"/>
        <v>8.3237164851350798E-2</v>
      </c>
      <c r="Z6" s="302" t="s">
        <v>4322</v>
      </c>
      <c r="AA6" s="302" t="str">
        <f>HYPERLINK("https://journals.sagepub.com/doi/suppl/10.1177/09589287261430475/suppl_file/sj-pdf-1-esp-10.1177_09589287261430475.pdf","JESP/Sage Supplement 2026")</f>
        <v>JESP/Sage Supplement 2026</v>
      </c>
      <c r="AB6" s="303" t="s">
        <v>4351</v>
      </c>
    </row>
    <row r="7" spans="1:45" s="23" customFormat="1" ht="67.5">
      <c r="A7" s="17">
        <v>6</v>
      </c>
      <c r="B7" s="304" t="s">
        <v>3472</v>
      </c>
      <c r="C7" s="305" t="s">
        <v>5</v>
      </c>
      <c r="D7" s="306">
        <v>4.0000000000000036E-3</v>
      </c>
      <c r="E7" s="306">
        <v>0</v>
      </c>
      <c r="F7" s="306">
        <v>6.0000000000000053E-3</v>
      </c>
      <c r="G7" s="306">
        <v>6.0000000000000053E-3</v>
      </c>
      <c r="H7" s="306">
        <v>1.4999999999999902E-2</v>
      </c>
      <c r="I7" s="306">
        <v>1.2000000000000011E-2</v>
      </c>
      <c r="J7" s="306">
        <v>4.9999999999998934E-3</v>
      </c>
      <c r="K7" s="306">
        <v>2.2999999999999909E-2</v>
      </c>
      <c r="L7" s="306">
        <v>6.800000000000006E-2</v>
      </c>
      <c r="M7" s="306">
        <v>5.699999999999994E-2</v>
      </c>
      <c r="N7" s="306"/>
      <c r="O7" s="306"/>
      <c r="P7" s="307" t="s">
        <v>3473</v>
      </c>
      <c r="Q7" s="306" cm="1">
        <f t="array" ref="Q7">PRODUCT(1+$D7:O7)-1</f>
        <v>0.21133471738471732</v>
      </c>
      <c r="R7" s="306" cm="1">
        <f t="array" ref="R7">PRODUCT(1+D7:O7)^(1/COUNT(D7:O7))-1</f>
        <v>1.9357250792833014E-2</v>
      </c>
      <c r="S7" s="306">
        <f t="shared" si="1"/>
        <v>6.800000000000006E-2</v>
      </c>
      <c r="T7" s="306">
        <f t="shared" si="2"/>
        <v>0</v>
      </c>
      <c r="U7" s="306">
        <f t="shared" si="3"/>
        <v>2.2455288909297075E-2</v>
      </c>
      <c r="V7" s="307" t="s">
        <v>3463</v>
      </c>
      <c r="W7" s="307" t="s">
        <v>3464</v>
      </c>
      <c r="X7" s="306" cm="1">
        <f t="array" ref="X7">PRODUCT(1+$I7:M7)-1</f>
        <v>0.17454172092487985</v>
      </c>
      <c r="Y7" s="306">
        <f t="shared" si="4"/>
        <v>3.2698840959264786E-2</v>
      </c>
      <c r="Z7" s="307" t="s">
        <v>4323</v>
      </c>
      <c r="AA7" s="307" t="str">
        <f>HYPERLINK("https://journals.sagepub.com/doi/suppl/10.1177/09589287261430475/suppl_file/sj-pdf-1-esp-10.1177_09589287261430475.pdf","JESP/Sage Supplement 2026")</f>
        <v>JESP/Sage Supplement 2026</v>
      </c>
      <c r="AB7" s="308" t="s">
        <v>4351</v>
      </c>
    </row>
    <row r="8" spans="1:45" s="148" customFormat="1" ht="67.5">
      <c r="A8" s="298">
        <v>7</v>
      </c>
      <c r="B8" s="299" t="s">
        <v>3474</v>
      </c>
      <c r="C8" s="300" t="s">
        <v>6</v>
      </c>
      <c r="D8" s="301">
        <v>9.9999999999988987E-4</v>
      </c>
      <c r="E8" s="301">
        <v>0</v>
      </c>
      <c r="F8" s="301">
        <v>8.0000000000000071E-3</v>
      </c>
      <c r="G8" s="301">
        <v>0</v>
      </c>
      <c r="H8" s="301">
        <v>2.9999999999998916E-3</v>
      </c>
      <c r="I8" s="301">
        <v>1.0000000000000009E-2</v>
      </c>
      <c r="J8" s="301">
        <v>4.0000000000000036E-3</v>
      </c>
      <c r="K8" s="301">
        <v>5.0999999999999934E-2</v>
      </c>
      <c r="L8" s="301">
        <v>8.0000000000000071E-3</v>
      </c>
      <c r="M8" s="301">
        <v>5.2999999999999936E-2</v>
      </c>
      <c r="N8" s="301"/>
      <c r="O8" s="301"/>
      <c r="P8" s="302" t="s">
        <v>3475</v>
      </c>
      <c r="Q8" s="301" cm="1">
        <f t="array" ref="Q8">PRODUCT(1+$D8:O8)-1</f>
        <v>0.14483328728459322</v>
      </c>
      <c r="R8" s="301" cm="1">
        <f t="array" ref="R8">PRODUCT(1+D8:O8)^(1/COUNT(D8:O8))-1</f>
        <v>1.3617791424133552E-2</v>
      </c>
      <c r="S8" s="301">
        <f t="shared" si="1"/>
        <v>5.2999999999999936E-2</v>
      </c>
      <c r="T8" s="301">
        <f t="shared" si="2"/>
        <v>0</v>
      </c>
      <c r="U8" s="301">
        <f t="shared" si="3"/>
        <v>1.9389687980986173E-2</v>
      </c>
      <c r="V8" s="302" t="s">
        <v>3463</v>
      </c>
      <c r="W8" s="302" t="s">
        <v>3464</v>
      </c>
      <c r="X8" s="301" cm="1">
        <f t="array" ref="X8">PRODUCT(1+$I8:M8)-1</f>
        <v>0.13121903900095977</v>
      </c>
      <c r="Y8" s="301">
        <f t="shared" si="4"/>
        <v>2.4965721265867824E-2</v>
      </c>
      <c r="Z8" s="302" t="s">
        <v>4324</v>
      </c>
      <c r="AA8" s="302" t="str">
        <f>HYPERLINK("https://journals.sagepub.com/doi/suppl/10.1177/09589287261430475/suppl_file/sj-pdf-1-esp-10.1177_09589287261430475.pdf","JESP/Sage Supplement 2026")</f>
        <v>JESP/Sage Supplement 2026</v>
      </c>
      <c r="AB8" s="303" t="s">
        <v>4351</v>
      </c>
    </row>
    <row r="9" spans="1:45" s="23" customFormat="1" ht="67.5">
      <c r="A9" s="17">
        <v>8</v>
      </c>
      <c r="B9" s="304" t="s">
        <v>3476</v>
      </c>
      <c r="C9" s="305" t="s">
        <v>7</v>
      </c>
      <c r="D9" s="306">
        <v>0</v>
      </c>
      <c r="E9" s="306">
        <v>0</v>
      </c>
      <c r="F9" s="306">
        <v>0</v>
      </c>
      <c r="G9" s="306">
        <v>0</v>
      </c>
      <c r="H9" s="306">
        <v>0</v>
      </c>
      <c r="I9" s="306">
        <v>0</v>
      </c>
      <c r="J9" s="306">
        <v>0</v>
      </c>
      <c r="K9" s="306">
        <v>0</v>
      </c>
      <c r="L9" s="306">
        <v>7.4999999999999956E-2</v>
      </c>
      <c r="M9" s="306">
        <v>3.0000000000000027E-2</v>
      </c>
      <c r="N9" s="306"/>
      <c r="O9" s="306"/>
      <c r="P9" s="307" t="s">
        <v>3477</v>
      </c>
      <c r="Q9" s="306" cm="1">
        <f t="array" ref="Q9">PRODUCT(1+$D9:O9)-1</f>
        <v>0.10725000000000007</v>
      </c>
      <c r="R9" s="306" cm="1">
        <f t="array" ref="R9">PRODUCT(1+D9:O9)^(1/COUNT(D9:O9))-1</f>
        <v>1.0240020199372424E-2</v>
      </c>
      <c r="S9" s="306">
        <f t="shared" si="1"/>
        <v>7.4999999999999956E-2</v>
      </c>
      <c r="T9" s="306">
        <f t="shared" si="2"/>
        <v>0</v>
      </c>
      <c r="U9" s="306">
        <f t="shared" si="3"/>
        <v>2.3286262044390025E-2</v>
      </c>
      <c r="V9" s="307" t="s">
        <v>3463</v>
      </c>
      <c r="W9" s="307" t="s">
        <v>3464</v>
      </c>
      <c r="X9" s="306" cm="1">
        <f t="array" ref="X9">PRODUCT(1+$I9:M9)-1</f>
        <v>0.10725000000000007</v>
      </c>
      <c r="Y9" s="306">
        <f t="shared" si="4"/>
        <v>2.0584898412428387E-2</v>
      </c>
      <c r="Z9" s="307" t="s">
        <v>4325</v>
      </c>
      <c r="AA9" s="307" t="str">
        <f>HYPERLINK("https://journals.sagepub.com/doi/suppl/10.1177/09589287261430475/suppl_file/sj-pdf-1-esp-10.1177_09589287261430475.pdf","JESP/Sage Supplement 2026")</f>
        <v>JESP/Sage Supplement 2026</v>
      </c>
      <c r="AB9" s="308" t="s">
        <v>4351</v>
      </c>
    </row>
    <row r="10" spans="1:45" s="148" customFormat="1" ht="45">
      <c r="A10" s="298">
        <v>9</v>
      </c>
      <c r="B10" s="299"/>
      <c r="C10" s="300" t="s">
        <v>8</v>
      </c>
      <c r="D10" s="301">
        <v>0</v>
      </c>
      <c r="E10" s="301">
        <v>1.2999999999999999E-2</v>
      </c>
      <c r="F10" s="301">
        <v>2.1000000000000001E-2</v>
      </c>
      <c r="G10" s="301">
        <v>2.1000000000000001E-2</v>
      </c>
      <c r="H10" s="301">
        <v>2.1000000000000001E-2</v>
      </c>
      <c r="I10" s="301">
        <v>0</v>
      </c>
      <c r="J10" s="301">
        <v>0</v>
      </c>
      <c r="K10" s="301">
        <v>0.02</v>
      </c>
      <c r="L10" s="301">
        <v>4.7E-2</v>
      </c>
      <c r="M10" s="301">
        <v>4.4999999999999998E-2</v>
      </c>
      <c r="N10" s="301">
        <v>4.2999999999999997E-2</v>
      </c>
      <c r="O10" s="301"/>
      <c r="P10" s="302"/>
      <c r="Q10" s="301" cm="1">
        <f t="array" ref="Q10">PRODUCT(1+$D10:O10)-1</f>
        <v>0.25497225332394713</v>
      </c>
      <c r="R10" s="301" cm="1">
        <f t="array" ref="R10">PRODUCT(1+D10:O10)^(1/COUNT(D10:O10))-1</f>
        <v>2.086129565947048E-2</v>
      </c>
      <c r="S10" s="301">
        <f t="shared" si="1"/>
        <v>4.7E-2</v>
      </c>
      <c r="T10" s="301">
        <f t="shared" si="2"/>
        <v>0</v>
      </c>
      <c r="U10" s="301">
        <f t="shared" si="3"/>
        <v>1.6852299546352721E-2</v>
      </c>
      <c r="V10" s="302"/>
      <c r="W10" s="302"/>
      <c r="X10" s="301" cm="1">
        <f t="array" ref="X10">PRODUCT(1+$I10:M10)-1</f>
        <v>0.11599729999999986</v>
      </c>
      <c r="Y10" s="301">
        <f t="shared" si="4"/>
        <v>2.2192355575627376E-2</v>
      </c>
      <c r="Z10" s="302" t="s">
        <v>4326</v>
      </c>
      <c r="AA10" s="302" t="str">
        <f>HYPERLINK("https://www.parlament.gv.at/dokument/XXVII/EU/187913/imfname_11382449.pdf","Mechanismus-/Statusquelle")</f>
        <v>Mechanismus-/Statusquelle</v>
      </c>
      <c r="AB10" s="303"/>
    </row>
    <row r="11" spans="1:45" s="23" customFormat="1" ht="60">
      <c r="A11" s="17">
        <v>10</v>
      </c>
      <c r="B11" s="304"/>
      <c r="C11" s="305" t="s">
        <v>9</v>
      </c>
      <c r="D11" s="306">
        <v>0</v>
      </c>
      <c r="E11" s="306">
        <v>2.4E-2</v>
      </c>
      <c r="F11" s="306">
        <v>2.8000000000000001E-2</v>
      </c>
      <c r="G11" s="306">
        <v>3.1E-2</v>
      </c>
      <c r="H11" s="306">
        <v>0.03</v>
      </c>
      <c r="I11" s="306">
        <v>0.03</v>
      </c>
      <c r="J11" s="306">
        <v>3.6999999999999998E-2</v>
      </c>
      <c r="K11" s="306">
        <v>4.2999999999999997E-2</v>
      </c>
      <c r="L11" s="306">
        <v>4.4999999999999998E-2</v>
      </c>
      <c r="M11" s="306">
        <v>5.0999999999999997E-2</v>
      </c>
      <c r="N11" s="306">
        <v>5.1999999999999998E-2</v>
      </c>
      <c r="O11" s="306">
        <v>5.6000000000000001E-2</v>
      </c>
      <c r="P11" s="309" t="s">
        <v>4380</v>
      </c>
      <c r="Q11" s="306" cm="1">
        <f t="array" ref="Q11">PRODUCT(1+$D11:O11)-1</f>
        <v>0.51945525437830531</v>
      </c>
      <c r="R11" s="306" cm="1">
        <f t="array" ref="R11">PRODUCT(1+D11:O11)^(1/COUNT(D11:O11))-1</f>
        <v>3.547748356510394E-2</v>
      </c>
      <c r="S11" s="306">
        <f t="shared" si="1"/>
        <v>5.6000000000000001E-2</v>
      </c>
      <c r="T11" s="306">
        <f t="shared" si="2"/>
        <v>0</v>
      </c>
      <c r="U11" s="306">
        <f t="shared" si="3"/>
        <v>1.4750470802279115E-2</v>
      </c>
      <c r="V11" s="307"/>
      <c r="W11" s="307"/>
      <c r="X11" s="306" cm="1">
        <f t="array" ref="X11">PRODUCT(1+$I11:M11)-1</f>
        <v>0.22354316696534959</v>
      </c>
      <c r="Y11" s="306">
        <f t="shared" si="4"/>
        <v>4.1175305970808873E-2</v>
      </c>
      <c r="Z11" s="307" t="s">
        <v>4327</v>
      </c>
      <c r="AA11" s="307" t="str">
        <f>HYPERLINK("https://employment-social-affairs.ec.europa.eu/policies-and-activities/moving-working-europe/eu-social-security-coordination/specialised-information/social-protection-systems-missoc_en","Mechanismus-/Statusquelle")</f>
        <v>Mechanismus-/Statusquelle</v>
      </c>
      <c r="AB11" s="308"/>
    </row>
    <row r="12" spans="1:45" s="148" customFormat="1" ht="67.5">
      <c r="A12" s="298">
        <v>11</v>
      </c>
      <c r="B12" s="299" t="s">
        <v>3478</v>
      </c>
      <c r="C12" s="300" t="s">
        <v>10</v>
      </c>
      <c r="D12" s="301">
        <v>2.0000000000000018E-3</v>
      </c>
      <c r="E12" s="301">
        <v>0</v>
      </c>
      <c r="F12" s="301">
        <v>0</v>
      </c>
      <c r="G12" s="301">
        <v>1.0999999999999899E-2</v>
      </c>
      <c r="H12" s="301">
        <v>1.0999999999999899E-2</v>
      </c>
      <c r="I12" s="301">
        <v>4.9999999999998934E-3</v>
      </c>
      <c r="J12" s="301">
        <v>0</v>
      </c>
      <c r="K12" s="301">
        <v>1.6999999999999904E-2</v>
      </c>
      <c r="L12" s="301">
        <v>0.1100000000000001</v>
      </c>
      <c r="M12" s="301">
        <v>5.4000000000000048E-2</v>
      </c>
      <c r="N12" s="301"/>
      <c r="O12" s="301"/>
      <c r="P12" s="302" t="s">
        <v>3479</v>
      </c>
      <c r="Q12" s="301" cm="1">
        <f t="array" ref="Q12">PRODUCT(1+$D12:O12)-1</f>
        <v>0.22467439266651446</v>
      </c>
      <c r="R12" s="301" cm="1">
        <f t="array" ref="R12">PRODUCT(1+D12:O12)^(1/COUNT(D12:O12))-1</f>
        <v>2.0474281079221557E-2</v>
      </c>
      <c r="S12" s="301">
        <f t="shared" si="1"/>
        <v>0.1100000000000001</v>
      </c>
      <c r="T12" s="301">
        <f t="shared" si="2"/>
        <v>0</v>
      </c>
      <c r="U12" s="301">
        <f t="shared" si="3"/>
        <v>3.3415565235380994E-2</v>
      </c>
      <c r="V12" s="302" t="s">
        <v>3463</v>
      </c>
      <c r="W12" s="302" t="s">
        <v>3464</v>
      </c>
      <c r="X12" s="301" cm="1">
        <f t="array" ref="X12">PRODUCT(1+$I12:M12)-1</f>
        <v>0.19577812489999968</v>
      </c>
      <c r="Y12" s="301">
        <f t="shared" si="4"/>
        <v>3.6406482804212548E-2</v>
      </c>
      <c r="Z12" s="302" t="s">
        <v>4328</v>
      </c>
      <c r="AA12" s="302" t="str">
        <f>HYPERLINK("https://journals.sagepub.com/doi/suppl/10.1177/09589287261430475/suppl_file/sj-pdf-1-esp-10.1177_09589287261430475.pdf","JESP/Sage Supplement 2026")</f>
        <v>JESP/Sage Supplement 2026</v>
      </c>
      <c r="AB12" s="303" t="s">
        <v>4351</v>
      </c>
    </row>
    <row r="13" spans="1:45" s="23" customFormat="1" ht="67.5">
      <c r="A13" s="17">
        <v>12</v>
      </c>
      <c r="B13" s="304" t="s">
        <v>3480</v>
      </c>
      <c r="C13" s="305" t="s">
        <v>11</v>
      </c>
      <c r="D13" s="306">
        <v>2.9999999999998916E-3</v>
      </c>
      <c r="E13" s="306">
        <v>8.0000000000000071E-3</v>
      </c>
      <c r="F13" s="306">
        <v>2.8000000000000025E-2</v>
      </c>
      <c r="G13" s="306">
        <v>3.6999999999999922E-2</v>
      </c>
      <c r="H13" s="306">
        <v>3.6000000000000032E-2</v>
      </c>
      <c r="I13" s="306">
        <v>2.0999999999999908E-2</v>
      </c>
      <c r="J13" s="306">
        <v>3.0000000000000027E-2</v>
      </c>
      <c r="K13" s="306">
        <v>8.6000000000000076E-2</v>
      </c>
      <c r="L13" s="306">
        <v>0.1419999999999999</v>
      </c>
      <c r="M13" s="306">
        <v>0.12000000000000011</v>
      </c>
      <c r="N13" s="306"/>
      <c r="O13" s="306"/>
      <c r="P13" s="307" t="s">
        <v>3481</v>
      </c>
      <c r="Q13" s="306" cm="1">
        <f t="array" ref="Q13">PRODUCT(1+$D13:O13)-1</f>
        <v>0.63106027404083709</v>
      </c>
      <c r="R13" s="306" cm="1">
        <f t="array" ref="R13">PRODUCT(1+D13:O13)^(1/COUNT(D13:O13))-1</f>
        <v>5.0139516103643977E-2</v>
      </c>
      <c r="S13" s="306">
        <f t="shared" si="1"/>
        <v>0.1419999999999999</v>
      </c>
      <c r="T13" s="306">
        <f t="shared" si="2"/>
        <v>2.9999999999998916E-3</v>
      </c>
      <c r="U13" s="306">
        <f t="shared" si="3"/>
        <v>4.550922983307893E-2</v>
      </c>
      <c r="V13" s="307" t="s">
        <v>3463</v>
      </c>
      <c r="W13" s="307" t="s">
        <v>3464</v>
      </c>
      <c r="X13" s="306" cm="1">
        <f t="array" ref="X13">PRODUCT(1+$I13:M13)-1</f>
        <v>0.4607534430272</v>
      </c>
      <c r="Y13" s="306">
        <f t="shared" si="4"/>
        <v>7.873652485677618E-2</v>
      </c>
      <c r="Z13" s="307" t="s">
        <v>4322</v>
      </c>
      <c r="AA13" s="307" t="str">
        <f>HYPERLINK("https://journals.sagepub.com/doi/suppl/10.1177/09589287261430475/suppl_file/sj-pdf-1-esp-10.1177_09589287261430475.pdf","JESP/Sage Supplement 2026")</f>
        <v>JESP/Sage Supplement 2026</v>
      </c>
      <c r="AB13" s="308" t="s">
        <v>4351</v>
      </c>
    </row>
    <row r="14" spans="1:45" s="148" customFormat="1" ht="30">
      <c r="A14" s="298">
        <v>13</v>
      </c>
      <c r="B14" s="299"/>
      <c r="C14" s="300" t="s">
        <v>12</v>
      </c>
      <c r="D14" s="301">
        <v>1.7000000000000001E-2</v>
      </c>
      <c r="E14" s="301">
        <v>4.0000000000000001E-3</v>
      </c>
      <c r="F14" s="301">
        <v>0.03</v>
      </c>
      <c r="G14" s="301">
        <v>6.3E-2</v>
      </c>
      <c r="H14" s="301">
        <v>7.1999999999999995E-2</v>
      </c>
      <c r="I14" s="301">
        <v>0.05</v>
      </c>
      <c r="J14" s="301">
        <v>1.2999999999999999E-2</v>
      </c>
      <c r="K14" s="301">
        <v>8.8999999999999996E-2</v>
      </c>
      <c r="L14" s="301">
        <v>0.123</v>
      </c>
      <c r="M14" s="301">
        <v>9.9000000000000005E-2</v>
      </c>
      <c r="N14" s="301">
        <v>6.0999999999999999E-2</v>
      </c>
      <c r="O14" s="301"/>
      <c r="P14" s="302"/>
      <c r="Q14" s="301" cm="1">
        <f t="array" ref="Q14">PRODUCT(1+$D14:O14)-1</f>
        <v>0.81777194807196429</v>
      </c>
      <c r="R14" s="301" cm="1">
        <f t="array" ref="R14">PRODUCT(1+D14:O14)^(1/COUNT(D14:O14))-1</f>
        <v>5.5831198324047149E-2</v>
      </c>
      <c r="S14" s="301">
        <f t="shared" si="1"/>
        <v>0.123</v>
      </c>
      <c r="T14" s="301">
        <f t="shared" si="2"/>
        <v>4.0000000000000001E-3</v>
      </c>
      <c r="U14" s="301">
        <f t="shared" si="3"/>
        <v>3.6357726792535613E-2</v>
      </c>
      <c r="V14" s="302"/>
      <c r="W14" s="302"/>
      <c r="X14" s="301" cm="1">
        <f t="array" ref="X14">PRODUCT(1+$I14:M14)-1</f>
        <v>0.42956554662845003</v>
      </c>
      <c r="Y14" s="301">
        <f t="shared" si="4"/>
        <v>7.4090349567474512E-2</v>
      </c>
      <c r="Z14" s="302" t="s">
        <v>4329</v>
      </c>
      <c r="AA14" s="302" t="str">
        <f>HYPERLINK("https://www.parlament.gv.at/dokument/XXVII/EU/187913/imfname_11382449.pdf","Mechanismus-/Statusquelle")</f>
        <v>Mechanismus-/Statusquelle</v>
      </c>
      <c r="AB14" s="303"/>
    </row>
    <row r="15" spans="1:45" s="23" customFormat="1" ht="45">
      <c r="A15" s="17">
        <v>14</v>
      </c>
      <c r="B15" s="304"/>
      <c r="C15" s="305" t="s">
        <v>13</v>
      </c>
      <c r="D15" s="306">
        <v>4.0000000000000001E-3</v>
      </c>
      <c r="E15" s="306">
        <v>0</v>
      </c>
      <c r="F15" s="306">
        <v>0</v>
      </c>
      <c r="G15" s="306">
        <v>0</v>
      </c>
      <c r="H15" s="306">
        <v>8.9999999999999993E-3</v>
      </c>
      <c r="I15" s="306">
        <v>0</v>
      </c>
      <c r="J15" s="306">
        <v>0</v>
      </c>
      <c r="K15" s="306">
        <v>0</v>
      </c>
      <c r="L15" s="306">
        <v>2.5000000000000001E-2</v>
      </c>
      <c r="M15" s="306">
        <v>0</v>
      </c>
      <c r="N15" s="306">
        <v>2.4E-2</v>
      </c>
      <c r="O15" s="306"/>
      <c r="P15" s="307"/>
      <c r="Q15" s="306" cm="1">
        <f t="array" ref="Q15">PRODUCT(1+$D15:O15)-1</f>
        <v>6.3282585599999663E-2</v>
      </c>
      <c r="R15" s="306" cm="1">
        <f t="array" ref="R15">PRODUCT(1+D15:O15)^(1/COUNT(D15:O15))-1</f>
        <v>5.5938512881834601E-3</v>
      </c>
      <c r="S15" s="306">
        <f t="shared" si="1"/>
        <v>2.5000000000000001E-2</v>
      </c>
      <c r="T15" s="306">
        <f t="shared" si="2"/>
        <v>0</v>
      </c>
      <c r="U15" s="306">
        <f t="shared" si="3"/>
        <v>9.2860866331667229E-3</v>
      </c>
      <c r="V15" s="307"/>
      <c r="W15" s="307"/>
      <c r="X15" s="306" cm="1">
        <f t="array" ref="X15">PRODUCT(1+$I15:M15)-1</f>
        <v>2.4999999999999911E-2</v>
      </c>
      <c r="Y15" s="306">
        <f t="shared" si="4"/>
        <v>4.9507371194885685E-3</v>
      </c>
      <c r="Z15" s="307" t="s">
        <v>4330</v>
      </c>
      <c r="AA15" s="307" t="str">
        <f>HYPERLINK("https://www.ahv.li/leistungen/ahv/teuerungsanpassung","Mechanismus-/Statusquelle")</f>
        <v>Mechanismus-/Statusquelle</v>
      </c>
      <c r="AB15" s="308"/>
    </row>
    <row r="16" spans="1:45" s="148" customFormat="1" ht="30">
      <c r="A16" s="298">
        <v>15</v>
      </c>
      <c r="B16" s="299"/>
      <c r="C16" s="300" t="s">
        <v>14</v>
      </c>
      <c r="D16" s="301">
        <v>0</v>
      </c>
      <c r="E16" s="301">
        <v>0</v>
      </c>
      <c r="F16" s="301">
        <v>7.0999999999999994E-2</v>
      </c>
      <c r="G16" s="301">
        <v>6.9000000000000006E-2</v>
      </c>
      <c r="H16" s="301">
        <v>8.1000000000000003E-2</v>
      </c>
      <c r="I16" s="301">
        <v>8.1000000000000003E-2</v>
      </c>
      <c r="J16" s="301">
        <v>9.6000000000000002E-2</v>
      </c>
      <c r="K16" s="301">
        <v>0.11</v>
      </c>
      <c r="L16" s="301">
        <v>0.08</v>
      </c>
      <c r="M16" s="301">
        <v>0.09</v>
      </c>
      <c r="N16" s="301">
        <v>7.4999999999999997E-2</v>
      </c>
      <c r="O16" s="301"/>
      <c r="P16" s="302"/>
      <c r="Q16" s="301" cm="1">
        <f t="array" ref="Q16">PRODUCT(1+$D16:O16)-1</f>
        <v>1.0597324662796801</v>
      </c>
      <c r="R16" s="301" cm="1">
        <f t="array" ref="R16">PRODUCT(1+D16:O16)^(1/COUNT(D16:O16))-1</f>
        <v>6.7894269128139006E-2</v>
      </c>
      <c r="S16" s="301">
        <f t="shared" si="1"/>
        <v>0.11</v>
      </c>
      <c r="T16" s="301">
        <f t="shared" si="2"/>
        <v>0</v>
      </c>
      <c r="U16" s="301">
        <f t="shared" si="3"/>
        <v>3.4137059670909096E-2</v>
      </c>
      <c r="V16" s="302"/>
      <c r="W16" s="302"/>
      <c r="X16" s="301" cm="1">
        <f t="array" ref="X16">PRODUCT(1+$I16:M16)-1</f>
        <v>0.54813732099200041</v>
      </c>
      <c r="Y16" s="301">
        <f t="shared" si="4"/>
        <v>9.1344580340888326E-2</v>
      </c>
      <c r="Z16" s="302" t="s">
        <v>4331</v>
      </c>
      <c r="AA16" s="302" t="str">
        <f>HYPERLINK("https://www.parlament.gv.at/dokument/XXVII/EU/187913/imfname_11382449.pdf","Mechanismus-/Statusquelle")</f>
        <v>Mechanismus-/Statusquelle</v>
      </c>
      <c r="AB16" s="303"/>
    </row>
    <row r="17" spans="1:33" s="23" customFormat="1" ht="67.5">
      <c r="A17" s="17">
        <v>16</v>
      </c>
      <c r="B17" s="304" t="s">
        <v>3482</v>
      </c>
      <c r="C17" s="305" t="s">
        <v>15</v>
      </c>
      <c r="D17" s="306">
        <v>0</v>
      </c>
      <c r="E17" s="306">
        <v>4.9999999999998934E-3</v>
      </c>
      <c r="F17" s="306">
        <v>3.400000000000003E-2</v>
      </c>
      <c r="G17" s="306">
        <v>2.8000000000000025E-2</v>
      </c>
      <c r="H17" s="306">
        <v>8.0000000000000071E-3</v>
      </c>
      <c r="I17" s="306">
        <v>4.0000000000000036E-2</v>
      </c>
      <c r="J17" s="306">
        <v>3.8000000000000034E-2</v>
      </c>
      <c r="K17" s="306">
        <v>3.6000000000000032E-2</v>
      </c>
      <c r="L17" s="306">
        <v>9.8999999999999977E-2</v>
      </c>
      <c r="M17" s="306">
        <v>1.0999999999999899E-2</v>
      </c>
      <c r="N17" s="306"/>
      <c r="O17" s="306"/>
      <c r="P17" s="307" t="s">
        <v>3483</v>
      </c>
      <c r="Q17" s="306" cm="1">
        <f t="array" ref="Q17">PRODUCT(1+$D17:O17)-1</f>
        <v>0.33807218673609696</v>
      </c>
      <c r="R17" s="306" cm="1">
        <f t="array" ref="R17">PRODUCT(1+D17:O17)^(1/COUNT(D17:O17))-1</f>
        <v>2.9551212373397862E-2</v>
      </c>
      <c r="S17" s="306">
        <f t="shared" si="1"/>
        <v>9.8999999999999977E-2</v>
      </c>
      <c r="T17" s="306">
        <f t="shared" si="2"/>
        <v>0</v>
      </c>
      <c r="U17" s="306">
        <f t="shared" si="3"/>
        <v>2.7112543222648819E-2</v>
      </c>
      <c r="V17" s="307" t="s">
        <v>3463</v>
      </c>
      <c r="W17" s="307" t="s">
        <v>3464</v>
      </c>
      <c r="X17" s="306" cm="1">
        <f t="array" ref="X17">PRODUCT(1+$I17:M17)-1</f>
        <v>0.24262273798207978</v>
      </c>
      <c r="Y17" s="306">
        <f t="shared" si="4"/>
        <v>4.4402395434389508E-2</v>
      </c>
      <c r="Z17" s="307" t="s">
        <v>4332</v>
      </c>
      <c r="AA17" s="307" t="str">
        <f>HYPERLINK("https://journals.sagepub.com/doi/suppl/10.1177/09589287261430475/suppl_file/sj-pdf-1-esp-10.1177_09589287261430475.pdf","JESP/Sage Supplement 2026")</f>
        <v>JESP/Sage Supplement 2026</v>
      </c>
      <c r="AB17" s="308" t="s">
        <v>4351</v>
      </c>
    </row>
    <row r="18" spans="1:33" s="148" customFormat="1" ht="121.5">
      <c r="A18" s="298">
        <v>17</v>
      </c>
      <c r="B18" s="299"/>
      <c r="C18" s="300" t="s">
        <v>16</v>
      </c>
      <c r="D18" s="301">
        <v>0</v>
      </c>
      <c r="E18" s="301">
        <v>1.6E-2</v>
      </c>
      <c r="F18" s="301">
        <v>1.6E-2</v>
      </c>
      <c r="G18" s="301">
        <v>8.0000000000000002E-3</v>
      </c>
      <c r="H18" s="301">
        <v>8.0000000000000002E-3</v>
      </c>
      <c r="I18" s="301">
        <v>1.4E-2</v>
      </c>
      <c r="J18" s="301">
        <v>1.2999999999999999E-2</v>
      </c>
      <c r="K18" s="301">
        <v>0.02</v>
      </c>
      <c r="L18" s="301">
        <v>4.7E-2</v>
      </c>
      <c r="M18" s="301">
        <v>5.6000000000000001E-2</v>
      </c>
      <c r="N18" s="301">
        <v>5.2999999999999999E-2</v>
      </c>
      <c r="O18" s="301">
        <v>0.04</v>
      </c>
      <c r="P18" s="302" t="s">
        <v>4381</v>
      </c>
      <c r="Q18" s="301" cm="1">
        <f t="array" ref="Q18">PRODUCT(1+$D18:O18)-1</f>
        <v>0.33054130918652347</v>
      </c>
      <c r="R18" s="301" cm="1">
        <f t="array" ref="R18">PRODUCT(1+D18:O18)^(1/COUNT(D18:O18))-1</f>
        <v>2.4084273497456454E-2</v>
      </c>
      <c r="S18" s="301">
        <f t="shared" si="1"/>
        <v>5.6000000000000001E-2</v>
      </c>
      <c r="T18" s="301">
        <f t="shared" si="2"/>
        <v>0</v>
      </c>
      <c r="U18" s="301">
        <f t="shared" si="3"/>
        <v>1.848929870672944E-2</v>
      </c>
      <c r="V18" s="302"/>
      <c r="W18" s="302"/>
      <c r="X18" s="301" cm="1">
        <f t="array" ref="X18">PRODUCT(1+$I18:M18)-1</f>
        <v>0.15839899480447994</v>
      </c>
      <c r="Y18" s="301">
        <f t="shared" si="4"/>
        <v>2.9844453667635662E-2</v>
      </c>
      <c r="Z18" s="302" t="s">
        <v>4333</v>
      </c>
      <c r="AA18" s="302" t="str">
        <f>HYPERLINK("https://www.parlament.gv.at/dokument/XXVII/EU/187913/imfname_11382449.pdf","Mechanismus-/Statusquelle")</f>
        <v>Mechanismus-/Statusquelle</v>
      </c>
      <c r="AB18" s="303"/>
    </row>
    <row r="19" spans="1:33" s="23" customFormat="1" ht="45">
      <c r="A19" s="17">
        <v>18</v>
      </c>
      <c r="B19" s="304"/>
      <c r="C19" s="305" t="s">
        <v>17</v>
      </c>
      <c r="D19" s="306"/>
      <c r="E19" s="306">
        <v>3.1809127045489716E-2</v>
      </c>
      <c r="F19" s="306">
        <v>1.6979036267785665E-2</v>
      </c>
      <c r="G19" s="306">
        <v>1.4060332871012507E-2</v>
      </c>
      <c r="H19" s="306">
        <v>2.103742456104369E-2</v>
      </c>
      <c r="I19" s="306">
        <v>6.3829609102249607E-2</v>
      </c>
      <c r="J19" s="306">
        <v>2.6285345526375205E-3</v>
      </c>
      <c r="K19" s="306">
        <v>2.1185077040211622E-2</v>
      </c>
      <c r="L19" s="306">
        <v>0.12079169869331291</v>
      </c>
      <c r="M19" s="306">
        <v>5.718204574289331E-2</v>
      </c>
      <c r="N19" s="306">
        <v>2.5552535468009122E-2</v>
      </c>
      <c r="O19" s="306">
        <v>3.5833565265794516E-2</v>
      </c>
      <c r="P19" s="307"/>
      <c r="Q19" s="306" cm="1">
        <f t="array" ref="Q19">PRODUCT(1+$D19:O19)-1</f>
        <v>0.48955310768894922</v>
      </c>
      <c r="R19" s="306" cm="1">
        <f t="array" ref="R19">PRODUCT(1+D19:O19)^(1/COUNT(D19:O19))-1</f>
        <v>3.6889228441014055E-2</v>
      </c>
      <c r="S19" s="306">
        <f t="shared" si="1"/>
        <v>0.12079169869331291</v>
      </c>
      <c r="T19" s="306">
        <f t="shared" si="2"/>
        <v>2.6285345526375205E-3</v>
      </c>
      <c r="U19" s="306">
        <f t="shared" si="3"/>
        <v>3.150692199401562E-2</v>
      </c>
      <c r="V19" s="307"/>
      <c r="W19" s="307"/>
      <c r="X19" s="306" cm="1">
        <f t="array" ref="X19">PRODUCT(1+$I19:M19)-1</f>
        <v>0.29059886305601812</v>
      </c>
      <c r="Y19" s="306">
        <f t="shared" si="4"/>
        <v>5.2345275498289823E-2</v>
      </c>
      <c r="Z19" s="307" t="s">
        <v>4334</v>
      </c>
      <c r="AA19" s="307" t="str">
        <f>HYPERLINK("https://www.svb.nl/en/aow-pension/aow-pension-rates/previous-aow-pension-rates","Mechanismus-/Statusquelle")</f>
        <v>Mechanismus-/Statusquelle</v>
      </c>
      <c r="AB19" s="308"/>
    </row>
    <row r="20" spans="1:33" s="148" customFormat="1" ht="130.5">
      <c r="A20" s="298">
        <v>19</v>
      </c>
      <c r="B20" s="299"/>
      <c r="C20" s="300" t="s">
        <v>18</v>
      </c>
      <c r="D20" s="301">
        <v>1.95E-2</v>
      </c>
      <c r="E20" s="301">
        <v>1.6500000000000001E-2</v>
      </c>
      <c r="F20" s="301">
        <v>1.55E-2</v>
      </c>
      <c r="G20" s="301">
        <v>2.0500000000000001E-2</v>
      </c>
      <c r="H20" s="301">
        <v>2.75E-2</v>
      </c>
      <c r="I20" s="301">
        <v>9.4999999999999998E-3</v>
      </c>
      <c r="J20" s="301">
        <v>2.2499999999999999E-2</v>
      </c>
      <c r="K20" s="301">
        <v>2.9499999999999998E-2</v>
      </c>
      <c r="L20" s="301">
        <v>4.4499999999999998E-2</v>
      </c>
      <c r="M20" s="301">
        <v>4.1500000000000002E-2</v>
      </c>
      <c r="N20" s="301">
        <v>3.7499999999999999E-2</v>
      </c>
      <c r="O20" s="301">
        <v>4.0500000000000001E-2</v>
      </c>
      <c r="P20" s="302" t="s">
        <v>4369</v>
      </c>
      <c r="Q20" s="301" cm="1">
        <f t="array" ref="Q20">PRODUCT(1+$D20:O20)-1</f>
        <v>0.37709302908364717</v>
      </c>
      <c r="R20" s="301" cm="1">
        <f t="array" ref="R20">PRODUCT(1+D20:O20)^(1/COUNT(D20:O20))-1</f>
        <v>2.7023245154678799E-2</v>
      </c>
      <c r="S20" s="301">
        <f t="shared" si="1"/>
        <v>4.4499999999999998E-2</v>
      </c>
      <c r="T20" s="301">
        <f t="shared" si="2"/>
        <v>9.4999999999999998E-3</v>
      </c>
      <c r="U20" s="301">
        <f t="shared" si="3"/>
        <v>1.111649175274685E-2</v>
      </c>
      <c r="V20" s="302"/>
      <c r="W20" s="302"/>
      <c r="X20" s="301" cm="1">
        <f t="array" ref="X20">PRODUCT(1+$I20:M20)-1</f>
        <v>0.1560156392534755</v>
      </c>
      <c r="Y20" s="301">
        <f t="shared" si="4"/>
        <v>2.9420332444735298E-2</v>
      </c>
      <c r="Z20" s="302" t="s">
        <v>4335</v>
      </c>
      <c r="AA20" s="302" t="str">
        <f>HYPERLINK("https://www.nav.no/en/home/rules-and-regulations/basic-amount","Mechanismus-/Statusquelle")</f>
        <v>Mechanismus-/Statusquelle</v>
      </c>
      <c r="AB20" s="303"/>
    </row>
    <row r="21" spans="1:33" s="23" customFormat="1" ht="67.5">
      <c r="A21" s="17">
        <v>20</v>
      </c>
      <c r="B21" s="304" t="s">
        <v>3484</v>
      </c>
      <c r="C21" s="305" t="s">
        <v>19</v>
      </c>
      <c r="D21" s="306">
        <v>1.6999999999999904E-2</v>
      </c>
      <c r="E21" s="306">
        <v>1.6000000000000014E-2</v>
      </c>
      <c r="F21" s="306">
        <v>8.0000000000000071E-3</v>
      </c>
      <c r="G21" s="306">
        <v>1.6000000000000014E-2</v>
      </c>
      <c r="H21" s="306">
        <v>2.0000000000000018E-2</v>
      </c>
      <c r="I21" s="306">
        <v>1.8000000000000016E-2</v>
      </c>
      <c r="J21" s="306">
        <v>1.4999999999999902E-2</v>
      </c>
      <c r="K21" s="306">
        <v>1.8000000000000016E-2</v>
      </c>
      <c r="L21" s="306">
        <v>5.8000000000000052E-2</v>
      </c>
      <c r="M21" s="306">
        <v>9.6999999999999975E-2</v>
      </c>
      <c r="N21" s="306"/>
      <c r="O21" s="306"/>
      <c r="P21" s="307" t="s">
        <v>3485</v>
      </c>
      <c r="Q21" s="306" cm="1">
        <f t="array" ref="Q21">PRODUCT(1+$D21:O21)-1</f>
        <v>0.31771948001262107</v>
      </c>
      <c r="R21" s="306" cm="1">
        <f t="array" ref="R21">PRODUCT(1+D21:O21)^(1/COUNT(D21:O21))-1</f>
        <v>2.797439340167629E-2</v>
      </c>
      <c r="S21" s="306">
        <f t="shared" si="1"/>
        <v>9.6999999999999975E-2</v>
      </c>
      <c r="T21" s="306">
        <f t="shared" si="2"/>
        <v>8.0000000000000071E-3</v>
      </c>
      <c r="U21" s="306">
        <f t="shared" si="3"/>
        <v>2.6271848050717715E-2</v>
      </c>
      <c r="V21" s="307" t="s">
        <v>3463</v>
      </c>
      <c r="W21" s="307" t="s">
        <v>3464</v>
      </c>
      <c r="X21" s="306" cm="1">
        <f t="array" ref="X21">PRODUCT(1+$I21:M21)-1</f>
        <v>0.2208263475063601</v>
      </c>
      <c r="Y21" s="306">
        <f t="shared" si="4"/>
        <v>4.0712518691233601E-2</v>
      </c>
      <c r="Z21" s="307" t="s">
        <v>4336</v>
      </c>
      <c r="AA21" s="307" t="str">
        <f>HYPERLINK("https://journals.sagepub.com/doi/suppl/10.1177/09589287261430475/suppl_file/sj-pdf-1-esp-10.1177_09589287261430475.pdf","JESP/Sage Supplement 2026")</f>
        <v>JESP/Sage Supplement 2026</v>
      </c>
      <c r="AB21" s="308" t="s">
        <v>4351</v>
      </c>
    </row>
    <row r="22" spans="1:33" s="148" customFormat="1" ht="67.5">
      <c r="A22" s="298">
        <v>21</v>
      </c>
      <c r="B22" s="299" t="s">
        <v>3486</v>
      </c>
      <c r="C22" s="300" t="s">
        <v>20</v>
      </c>
      <c r="D22" s="301">
        <v>6.9999999999998952E-3</v>
      </c>
      <c r="E22" s="301">
        <v>2.0000000000000018E-3</v>
      </c>
      <c r="F22" s="301">
        <v>4.0000000000000036E-3</v>
      </c>
      <c r="G22" s="301">
        <v>3.0000000000000027E-2</v>
      </c>
      <c r="H22" s="301">
        <v>2.8999999999999915E-2</v>
      </c>
      <c r="I22" s="301">
        <v>3.6000000000000032E-2</v>
      </c>
      <c r="J22" s="301">
        <v>4.2000000000000037E-2</v>
      </c>
      <c r="K22" s="301">
        <v>7.0000000000000062E-2</v>
      </c>
      <c r="L22" s="301">
        <v>0.14799999999999991</v>
      </c>
      <c r="M22" s="301">
        <v>0.121</v>
      </c>
      <c r="N22" s="301"/>
      <c r="O22" s="301"/>
      <c r="P22" s="302" t="s">
        <v>3487</v>
      </c>
      <c r="Q22" s="301" cm="1">
        <f t="array" ref="Q22">PRODUCT(1+$D22:O22)-1</f>
        <v>0.59603443465265871</v>
      </c>
      <c r="R22" s="301" cm="1">
        <f t="array" ref="R22">PRODUCT(1+D22:O22)^(1/COUNT(D22:O22))-1</f>
        <v>4.7862324418263436E-2</v>
      </c>
      <c r="S22" s="301">
        <f t="shared" si="1"/>
        <v>0.14799999999999991</v>
      </c>
      <c r="T22" s="301">
        <f t="shared" si="2"/>
        <v>2.0000000000000018E-3</v>
      </c>
      <c r="U22" s="301">
        <f t="shared" si="3"/>
        <v>4.7331701849817311E-2</v>
      </c>
      <c r="V22" s="302" t="s">
        <v>3463</v>
      </c>
      <c r="W22" s="302" t="s">
        <v>3464</v>
      </c>
      <c r="X22" s="301" cm="1">
        <f t="array" ref="X22">PRODUCT(1+$I22:M22)-1</f>
        <v>0.48647891291871992</v>
      </c>
      <c r="Y22" s="301">
        <f t="shared" si="4"/>
        <v>8.250958518095719E-2</v>
      </c>
      <c r="Z22" s="302" t="s">
        <v>4337</v>
      </c>
      <c r="AA22" s="302" t="str">
        <f>HYPERLINK("https://journals.sagepub.com/doi/suppl/10.1177/09589287261430475/suppl_file/sj-pdf-1-esp-10.1177_09589287261430475.pdf","JESP/Sage Supplement 2026")</f>
        <v>JESP/Sage Supplement 2026</v>
      </c>
      <c r="AB22" s="303" t="s">
        <v>4351</v>
      </c>
    </row>
    <row r="23" spans="1:33" s="23" customFormat="1" ht="67.5">
      <c r="A23" s="17">
        <v>22</v>
      </c>
      <c r="B23" s="304" t="s">
        <v>3488</v>
      </c>
      <c r="C23" s="305" t="s">
        <v>21</v>
      </c>
      <c r="D23" s="306">
        <v>0</v>
      </c>
      <c r="E23" s="306">
        <v>0</v>
      </c>
      <c r="F23" s="306">
        <v>4.9999999999998934E-3</v>
      </c>
      <c r="G23" s="306">
        <v>1.8000000000000016E-2</v>
      </c>
      <c r="H23" s="306">
        <v>1.0000000000000009E-2</v>
      </c>
      <c r="I23" s="306">
        <v>1.2000000000000011E-2</v>
      </c>
      <c r="J23" s="306">
        <v>0</v>
      </c>
      <c r="K23" s="306">
        <v>1.0000000000000009E-2</v>
      </c>
      <c r="L23" s="306">
        <v>8.6000000000000076E-2</v>
      </c>
      <c r="M23" s="306">
        <v>5.699999999999994E-2</v>
      </c>
      <c r="N23" s="306"/>
      <c r="O23" s="306"/>
      <c r="P23" s="307" t="s">
        <v>3489</v>
      </c>
      <c r="Q23" s="306" cm="1">
        <f t="array" ref="Q23">PRODUCT(1+$D23:O23)-1</f>
        <v>0.2123887906976698</v>
      </c>
      <c r="R23" s="306" cm="1">
        <f t="array" ref="R23">PRODUCT(1+D23:O23)^(1/COUNT(D23:O23))-1</f>
        <v>1.9445918008279106E-2</v>
      </c>
      <c r="S23" s="306">
        <f t="shared" si="1"/>
        <v>8.6000000000000076E-2</v>
      </c>
      <c r="T23" s="306">
        <f t="shared" si="2"/>
        <v>0</v>
      </c>
      <c r="U23" s="306">
        <f t="shared" si="3"/>
        <v>2.7235271248878735E-2</v>
      </c>
      <c r="V23" s="307" t="s">
        <v>3463</v>
      </c>
      <c r="W23" s="307" t="s">
        <v>3464</v>
      </c>
      <c r="X23" s="306" cm="1">
        <f t="array" ref="X23">PRODUCT(1+$I23:M23)-1</f>
        <v>0.17329359223999985</v>
      </c>
      <c r="Y23" s="306">
        <f t="shared" si="4"/>
        <v>3.2479267784301546E-2</v>
      </c>
      <c r="Z23" s="307" t="s">
        <v>4338</v>
      </c>
      <c r="AA23" s="307" t="str">
        <f>HYPERLINK("https://journals.sagepub.com/doi/suppl/10.1177/09589287261430475/suppl_file/sj-pdf-1-esp-10.1177_09589287261430475.pdf","JESP/Sage Supplement 2026")</f>
        <v>JESP/Sage Supplement 2026</v>
      </c>
      <c r="AB23" s="308" t="s">
        <v>4351</v>
      </c>
      <c r="AF23" s="320">
        <f>_xlfn.RRI(11,86.6,95.9)</f>
        <v>9.3164179974567496E-3</v>
      </c>
      <c r="AG23" s="320">
        <f>_xlfn.RRI(11,87,95.6)</f>
        <v>8.6063417425725763E-3</v>
      </c>
    </row>
    <row r="24" spans="1:33" s="148" customFormat="1" ht="67.5">
      <c r="A24" s="298">
        <v>23</v>
      </c>
      <c r="B24" s="299" t="s">
        <v>3490</v>
      </c>
      <c r="C24" s="300" t="s">
        <v>22</v>
      </c>
      <c r="D24" s="301">
        <v>5.0000000000000044E-2</v>
      </c>
      <c r="E24" s="301">
        <v>5.0000000000000044E-2</v>
      </c>
      <c r="F24" s="301">
        <v>0.14700000000000002</v>
      </c>
      <c r="G24" s="301">
        <v>0.10000000000000009</v>
      </c>
      <c r="H24" s="301">
        <v>0.14999999999999991</v>
      </c>
      <c r="I24" s="301">
        <v>0.1399999999999999</v>
      </c>
      <c r="J24" s="301">
        <v>0</v>
      </c>
      <c r="K24" s="301">
        <v>0.10000000000000009</v>
      </c>
      <c r="L24" s="301">
        <v>0.12599999999999989</v>
      </c>
      <c r="M24" s="301">
        <v>0.1379999999999999</v>
      </c>
      <c r="N24" s="301"/>
      <c r="O24" s="301"/>
      <c r="P24" s="302" t="s">
        <v>3491</v>
      </c>
      <c r="Q24" s="301" cm="1">
        <f t="array" ref="Q24">PRODUCT(1+$D24:O24)-1</f>
        <v>1.570459293330444</v>
      </c>
      <c r="R24" s="301" cm="1">
        <f t="array" ref="R24">PRODUCT(1+D24:O24)^(1/COUNT(D24:O24))-1</f>
        <v>9.9008554878229571E-2</v>
      </c>
      <c r="S24" s="301">
        <f t="shared" si="1"/>
        <v>0.14999999999999991</v>
      </c>
      <c r="T24" s="301">
        <f t="shared" si="2"/>
        <v>0</v>
      </c>
      <c r="U24" s="301">
        <f t="shared" si="3"/>
        <v>4.8403408970856564E-2</v>
      </c>
      <c r="V24" s="302" t="s">
        <v>3463</v>
      </c>
      <c r="W24" s="302" t="s">
        <v>3464</v>
      </c>
      <c r="X24" s="301" cm="1">
        <f t="array" ref="X24">PRODUCT(1+$I24:M24)-1</f>
        <v>0.60686055199999966</v>
      </c>
      <c r="Y24" s="301">
        <f t="shared" si="4"/>
        <v>9.9501023100392993E-2</v>
      </c>
      <c r="Z24" s="302" t="s">
        <v>4339</v>
      </c>
      <c r="AA24" s="302" t="str">
        <f>HYPERLINK("https://journals.sagepub.com/doi/suppl/10.1177/09589287261430475/suppl_file/sj-pdf-1-esp-10.1177_09589287261430475.pdf","JESP/Sage Supplement 2026")</f>
        <v>JESP/Sage Supplement 2026</v>
      </c>
      <c r="AB24" s="303" t="s">
        <v>4351</v>
      </c>
    </row>
    <row r="25" spans="1:33" s="23" customFormat="1" ht="67.5">
      <c r="A25" s="17">
        <v>24</v>
      </c>
      <c r="B25" s="304" t="s">
        <v>3492</v>
      </c>
      <c r="C25" s="305" t="s">
        <v>23</v>
      </c>
      <c r="D25" s="306">
        <v>8.999999999999897E-3</v>
      </c>
      <c r="E25" s="306">
        <v>4.2000000000000037E-2</v>
      </c>
      <c r="F25" s="306">
        <v>2.8000000000000025E-2</v>
      </c>
      <c r="G25" s="306">
        <v>1.0000000000000009E-2</v>
      </c>
      <c r="H25" s="306">
        <v>1.4000000000000012E-2</v>
      </c>
      <c r="I25" s="306">
        <v>2.0999999999999908E-2</v>
      </c>
      <c r="J25" s="306">
        <v>4.9999999999998934E-3</v>
      </c>
      <c r="K25" s="306">
        <v>2.4999999999999911E-2</v>
      </c>
      <c r="L25" s="306">
        <v>3.0000000000000027E-2</v>
      </c>
      <c r="M25" s="306">
        <v>1.0000000000000009E-2</v>
      </c>
      <c r="N25" s="306"/>
      <c r="O25" s="306"/>
      <c r="P25" s="307" t="s">
        <v>3493</v>
      </c>
      <c r="Q25" s="306" cm="1">
        <f t="array" ref="Q25">PRODUCT(1+$D25:O25)-1</f>
        <v>0.21111559494044729</v>
      </c>
      <c r="R25" s="306" cm="1">
        <f t="array" ref="R25">PRODUCT(1+D25:O25)^(1/COUNT(D25:O25))-1</f>
        <v>1.9338809792708078E-2</v>
      </c>
      <c r="S25" s="306">
        <f t="shared" si="1"/>
        <v>4.2000000000000037E-2</v>
      </c>
      <c r="T25" s="306">
        <f t="shared" si="2"/>
        <v>4.9999999999998934E-3</v>
      </c>
      <c r="U25" s="306">
        <f t="shared" si="3"/>
        <v>1.1191067866830256E-2</v>
      </c>
      <c r="V25" s="307" t="s">
        <v>3463</v>
      </c>
      <c r="W25" s="307" t="s">
        <v>3464</v>
      </c>
      <c r="X25" s="306" cm="1">
        <f t="array" ref="X25">PRODUCT(1+$I25:M25)-1</f>
        <v>9.4143457287499732E-2</v>
      </c>
      <c r="Y25" s="306">
        <f t="shared" si="4"/>
        <v>1.8157239338323583E-2</v>
      </c>
      <c r="Z25" s="307" t="s">
        <v>4340</v>
      </c>
      <c r="AA25" s="307" t="str">
        <f>HYPERLINK("https://journals.sagepub.com/doi/suppl/10.1177/09589287261430475/suppl_file/sj-pdf-1-esp-10.1177_09589287261430475.pdf","JESP/Sage Supplement 2026")</f>
        <v>JESP/Sage Supplement 2026</v>
      </c>
      <c r="AB25" s="308" t="s">
        <v>4351</v>
      </c>
    </row>
    <row r="26" spans="1:33" s="148" customFormat="1" ht="45">
      <c r="A26" s="298">
        <v>25</v>
      </c>
      <c r="B26" s="299"/>
      <c r="C26" s="300" t="s">
        <v>24</v>
      </c>
      <c r="D26" s="301">
        <v>4.3E-3</v>
      </c>
      <c r="E26" s="301">
        <v>0</v>
      </c>
      <c r="F26" s="301">
        <v>0</v>
      </c>
      <c r="G26" s="301">
        <v>0</v>
      </c>
      <c r="H26" s="301">
        <v>8.3999999999999995E-3</v>
      </c>
      <c r="I26" s="301">
        <v>0</v>
      </c>
      <c r="J26" s="301">
        <v>0</v>
      </c>
      <c r="K26" s="301">
        <v>0</v>
      </c>
      <c r="L26" s="301">
        <v>3.27E-2</v>
      </c>
      <c r="M26" s="301">
        <v>0</v>
      </c>
      <c r="N26" s="301">
        <v>2.3900000000000001E-2</v>
      </c>
      <c r="O26" s="301"/>
      <c r="P26" s="302"/>
      <c r="Q26" s="301" cm="1">
        <f t="array" ref="Q26">PRODUCT(1+$D26:O26)-1</f>
        <v>7.0848468051863511E-2</v>
      </c>
      <c r="R26" s="301" cm="1">
        <f t="array" ref="R26">PRODUCT(1+D26:O26)^(1/COUNT(D26:O26))-1</f>
        <v>6.2422471284400149E-3</v>
      </c>
      <c r="S26" s="301">
        <f t="shared" si="1"/>
        <v>3.27E-2</v>
      </c>
      <c r="T26" s="301">
        <f t="shared" si="2"/>
        <v>0</v>
      </c>
      <c r="U26" s="301">
        <f t="shared" si="3"/>
        <v>1.0841670451633281E-2</v>
      </c>
      <c r="V26" s="302"/>
      <c r="W26" s="302"/>
      <c r="X26" s="301" cm="1">
        <f t="array" ref="X26">PRODUCT(1+$I26:M26)-1</f>
        <v>3.2699999999999951E-2</v>
      </c>
      <c r="Y26" s="301">
        <f t="shared" si="4"/>
        <v>6.4560976704153283E-3</v>
      </c>
      <c r="Z26" s="302" t="s">
        <v>4341</v>
      </c>
      <c r="AA26" s="302" t="str">
        <f>HYPERLINK("https://www.oecd.org/content/dam/oecd/en/topics/policy-sub-issues/incomes-support-redistribution-and-work-incentives/TaxBEN-Switzerland-latest.pdf","Mechanismus-/Statusquelle")</f>
        <v>Mechanismus-/Statusquelle</v>
      </c>
      <c r="AB26" s="303" t="s">
        <v>4352</v>
      </c>
    </row>
    <row r="27" spans="1:33" s="23" customFormat="1" ht="67.5">
      <c r="A27" s="17">
        <v>26</v>
      </c>
      <c r="B27" s="304" t="s">
        <v>3494</v>
      </c>
      <c r="C27" s="305" t="s">
        <v>25</v>
      </c>
      <c r="D27" s="306">
        <v>1.2000000000000011E-2</v>
      </c>
      <c r="E27" s="306">
        <v>4.0000000000000036E-3</v>
      </c>
      <c r="F27" s="306">
        <v>2.0000000000000018E-2</v>
      </c>
      <c r="G27" s="306">
        <v>8.0000000000000071E-3</v>
      </c>
      <c r="H27" s="306">
        <v>2.6000000000000023E-2</v>
      </c>
      <c r="I27" s="306">
        <v>2.8999999999999915E-2</v>
      </c>
      <c r="J27" s="306">
        <v>2.6000000000000023E-2</v>
      </c>
      <c r="K27" s="306">
        <v>1.2999999999999901E-2</v>
      </c>
      <c r="L27" s="306">
        <v>0.10600000000000009</v>
      </c>
      <c r="M27" s="306">
        <v>3.6000000000000032E-2</v>
      </c>
      <c r="N27" s="306"/>
      <c r="O27" s="306"/>
      <c r="P27" s="307" t="s">
        <v>3495</v>
      </c>
      <c r="Q27" s="306" cm="1">
        <f t="array" ref="Q27">PRODUCT(1+$D27:O27)-1</f>
        <v>0.31343732323223183</v>
      </c>
      <c r="R27" s="306" cm="1">
        <f t="array" ref="R27">PRODUCT(1+D27:O27)^(1/COUNT(D27:O27))-1</f>
        <v>2.7639845869743773E-2</v>
      </c>
      <c r="S27" s="306">
        <f t="shared" si="1"/>
        <v>0.10600000000000009</v>
      </c>
      <c r="T27" s="306">
        <f t="shared" si="2"/>
        <v>4.0000000000000036E-3</v>
      </c>
      <c r="U27" s="306">
        <f t="shared" si="3"/>
        <v>2.770920424696461E-2</v>
      </c>
      <c r="V27" s="307" t="s">
        <v>3463</v>
      </c>
      <c r="W27" s="307" t="s">
        <v>3464</v>
      </c>
      <c r="X27" s="306" cm="1">
        <f t="array" ref="X27">PRODUCT(1+$I27:M27)-1</f>
        <v>0.2254259229924318</v>
      </c>
      <c r="Y27" s="306">
        <f t="shared" si="4"/>
        <v>4.1495535559416208E-2</v>
      </c>
      <c r="Z27" s="307" t="s">
        <v>4342</v>
      </c>
      <c r="AA27" s="307" t="str">
        <f>HYPERLINK("https://journals.sagepub.com/doi/suppl/10.1177/09589287261430475/suppl_file/sj-pdf-1-esp-10.1177_09589287261430475.pdf","JESP/Sage Supplement 2026")</f>
        <v>JESP/Sage Supplement 2026</v>
      </c>
      <c r="AB27" s="308" t="s">
        <v>4351</v>
      </c>
    </row>
    <row r="28" spans="1:33" s="148" customFormat="1" ht="67.5">
      <c r="A28" s="298">
        <v>27</v>
      </c>
      <c r="B28" s="299" t="s">
        <v>3496</v>
      </c>
      <c r="C28" s="300" t="s">
        <v>26</v>
      </c>
      <c r="D28" s="301">
        <v>0</v>
      </c>
      <c r="E28" s="301">
        <v>1.0999999999999899E-2</v>
      </c>
      <c r="F28" s="301">
        <v>1.2000000000000011E-2</v>
      </c>
      <c r="G28" s="301">
        <v>3.2999999999999918E-2</v>
      </c>
      <c r="H28" s="301">
        <v>4.2999999999999927E-2</v>
      </c>
      <c r="I28" s="301">
        <v>5.2999999999999936E-2</v>
      </c>
      <c r="J28" s="301">
        <v>2.4999999999999911E-2</v>
      </c>
      <c r="K28" s="301">
        <v>8.0000000000000071E-2</v>
      </c>
      <c r="L28" s="301">
        <v>5.2000000000000046E-2</v>
      </c>
      <c r="M28" s="301">
        <v>8.8000000000000078E-2</v>
      </c>
      <c r="N28" s="301"/>
      <c r="O28" s="301"/>
      <c r="P28" s="302" t="s">
        <v>3497</v>
      </c>
      <c r="Q28" s="301" cm="1">
        <f t="array" ref="Q28">PRODUCT(1+$D28:O28)-1</f>
        <v>0.47074345800813155</v>
      </c>
      <c r="R28" s="301" cm="1">
        <f t="array" ref="R28">PRODUCT(1+D28:O28)^(1/COUNT(D28:O28))-1</f>
        <v>3.933054865257346E-2</v>
      </c>
      <c r="S28" s="301">
        <f t="shared" si="1"/>
        <v>8.8000000000000078E-2</v>
      </c>
      <c r="T28" s="301">
        <f t="shared" si="2"/>
        <v>0</v>
      </c>
      <c r="U28" s="301">
        <f t="shared" si="3"/>
        <v>2.77922651109981E-2</v>
      </c>
      <c r="V28" s="302" t="s">
        <v>3463</v>
      </c>
      <c r="W28" s="302" t="s">
        <v>3464</v>
      </c>
      <c r="X28" s="301" cm="1">
        <f t="array" ref="X28">PRODUCT(1+$I28:M28)-1</f>
        <v>0.33419905049599996</v>
      </c>
      <c r="Y28" s="301">
        <f t="shared" si="4"/>
        <v>5.936135357810679E-2</v>
      </c>
      <c r="Z28" s="302" t="s">
        <v>4343</v>
      </c>
      <c r="AA28" s="302" t="str">
        <f>HYPERLINK("https://journals.sagepub.com/doi/suppl/10.1177/09589287261430475/suppl_file/sj-pdf-1-esp-10.1177_09589287261430475.pdf","JESP/Sage Supplement 2026")</f>
        <v>JESP/Sage Supplement 2026</v>
      </c>
      <c r="AB28" s="303" t="s">
        <v>4351</v>
      </c>
    </row>
    <row r="29" spans="1:33" s="23" customFormat="1" ht="67.5">
      <c r="A29" s="17">
        <v>28</v>
      </c>
      <c r="B29" s="304" t="s">
        <v>3498</v>
      </c>
      <c r="C29" s="305" t="s">
        <v>27</v>
      </c>
      <c r="D29" s="306">
        <v>2.9999999999998916E-3</v>
      </c>
      <c r="E29" s="306">
        <v>2.9999999999998916E-3</v>
      </c>
      <c r="F29" s="306">
        <v>2.9999999999998916E-3</v>
      </c>
      <c r="G29" s="306">
        <v>1.6000000000000014E-2</v>
      </c>
      <c r="H29" s="306">
        <v>1.6000000000000014E-2</v>
      </c>
      <c r="I29" s="306">
        <v>8.999999999999897E-3</v>
      </c>
      <c r="J29" s="306">
        <v>8.999999999999897E-3</v>
      </c>
      <c r="K29" s="306">
        <v>2.4999999999999911E-2</v>
      </c>
      <c r="L29" s="306">
        <v>8.4999999999999964E-2</v>
      </c>
      <c r="M29" s="306">
        <v>3.8000000000000034E-2</v>
      </c>
      <c r="N29" s="306"/>
      <c r="O29" s="306"/>
      <c r="P29" s="307" t="s">
        <v>3499</v>
      </c>
      <c r="Q29" s="306" cm="1">
        <f t="array" ref="Q29">PRODUCT(1+$D29:O29)-1</f>
        <v>0.2241186214226849</v>
      </c>
      <c r="R29" s="306" cm="1">
        <f t="array" ref="R29">PRODUCT(1+D29:O29)^(1/COUNT(D29:O29))-1</f>
        <v>2.0427961329428479E-2</v>
      </c>
      <c r="S29" s="306">
        <f t="shared" si="1"/>
        <v>8.4999999999999964E-2</v>
      </c>
      <c r="T29" s="306">
        <f t="shared" si="2"/>
        <v>2.9999999999998916E-3</v>
      </c>
      <c r="U29" s="306">
        <f t="shared" si="3"/>
        <v>2.3895815533268604E-2</v>
      </c>
      <c r="V29" s="307" t="s">
        <v>3463</v>
      </c>
      <c r="W29" s="307" t="s">
        <v>3464</v>
      </c>
      <c r="X29" s="306" cm="1">
        <f t="array" ref="X29">PRODUCT(1+$I29:M29)-1</f>
        <v>0.17525819874574955</v>
      </c>
      <c r="Y29" s="306">
        <f t="shared" si="4"/>
        <v>3.2824800783284758E-2</v>
      </c>
      <c r="Z29" s="307" t="s">
        <v>4344</v>
      </c>
      <c r="AA29" s="307" t="str">
        <f>HYPERLINK("https://journals.sagepub.com/doi/suppl/10.1177/09589287261430475/suppl_file/sj-pdf-1-esp-10.1177_09589287261430475.pdf","JESP/Sage Supplement 2026")</f>
        <v>JESP/Sage Supplement 2026</v>
      </c>
      <c r="AB29" s="308" t="s">
        <v>4351</v>
      </c>
    </row>
    <row r="30" spans="1:33" s="148" customFormat="1" ht="67.5">
      <c r="A30" s="298">
        <v>29</v>
      </c>
      <c r="B30" s="299" t="s">
        <v>3500</v>
      </c>
      <c r="C30" s="300" t="s">
        <v>3501</v>
      </c>
      <c r="D30" s="301">
        <v>2.0000000000000018E-2</v>
      </c>
      <c r="E30" s="301">
        <v>2.0000000000000018E-3</v>
      </c>
      <c r="F30" s="301">
        <v>3.0000000000000027E-2</v>
      </c>
      <c r="G30" s="301">
        <v>4.2999999999999927E-2</v>
      </c>
      <c r="H30" s="301">
        <v>8.4999999999999964E-2</v>
      </c>
      <c r="I30" s="301">
        <v>6.0000000000000053E-2</v>
      </c>
      <c r="J30" s="301">
        <v>0.10000000000000009</v>
      </c>
      <c r="K30" s="301">
        <v>0.15999999999999992</v>
      </c>
      <c r="L30" s="301">
        <v>0.10000000000000009</v>
      </c>
      <c r="M30" s="301">
        <v>2.0000000000000018E-2</v>
      </c>
      <c r="N30" s="301"/>
      <c r="O30" s="301"/>
      <c r="P30" s="302" t="s">
        <v>3502</v>
      </c>
      <c r="Q30" s="301" cm="1">
        <f t="array" ref="Q30">PRODUCT(1+$D30:O30)-1</f>
        <v>0.80787567424127693</v>
      </c>
      <c r="R30" s="301" cm="1">
        <f t="array" ref="R30">PRODUCT(1+D30:O30)^(1/COUNT(D30:O30))-1</f>
        <v>6.100359669424793E-2</v>
      </c>
      <c r="S30" s="301">
        <f t="shared" si="1"/>
        <v>0.15999999999999992</v>
      </c>
      <c r="T30" s="301">
        <f t="shared" si="2"/>
        <v>2.0000000000000018E-3</v>
      </c>
      <c r="U30" s="301">
        <f t="shared" si="3"/>
        <v>4.6409050841403759E-2</v>
      </c>
      <c r="V30" s="302" t="s">
        <v>3463</v>
      </c>
      <c r="W30" s="302" t="s">
        <v>3464</v>
      </c>
      <c r="X30" s="301" cm="1">
        <f t="array" ref="X30">PRODUCT(1+$I30:M30)-1</f>
        <v>0.51757231999999997</v>
      </c>
      <c r="Y30" s="301">
        <f t="shared" si="4"/>
        <v>8.7000839045127121E-2</v>
      </c>
      <c r="Z30" s="302" t="s">
        <v>4345</v>
      </c>
      <c r="AA30" s="302" t="str">
        <f>HYPERLINK("https://journals.sagepub.com/doi/suppl/10.1177/09589287261430475/suppl_file/sj-pdf-1-esp-10.1177_09589287261430475.pdf","JESP/Sage Supplement 2026")</f>
        <v>JESP/Sage Supplement 2026</v>
      </c>
      <c r="AB30" s="303" t="s">
        <v>4351</v>
      </c>
    </row>
    <row r="31" spans="1:33" s="23" customFormat="1" ht="67.5">
      <c r="A31" s="17">
        <v>30</v>
      </c>
      <c r="B31" s="304" t="s">
        <v>3503</v>
      </c>
      <c r="C31" s="305" t="s">
        <v>29</v>
      </c>
      <c r="D31" s="306">
        <v>1.8000000000000016E-2</v>
      </c>
      <c r="E31" s="306">
        <v>1.6000000000000014E-2</v>
      </c>
      <c r="F31" s="306">
        <v>2.4000000000000021E-2</v>
      </c>
      <c r="G31" s="306">
        <v>3.2999999999999918E-2</v>
      </c>
      <c r="H31" s="306">
        <v>3.400000000000003E-2</v>
      </c>
      <c r="I31" s="306">
        <v>3.400000000000003E-2</v>
      </c>
      <c r="J31" s="306">
        <v>4.8000000000000043E-2</v>
      </c>
      <c r="K31" s="306">
        <v>0.14500000000000002</v>
      </c>
      <c r="L31" s="306">
        <v>0.17999999999999994</v>
      </c>
      <c r="M31" s="306">
        <v>6.0000000000000053E-2</v>
      </c>
      <c r="N31" s="306"/>
      <c r="O31" s="306"/>
      <c r="P31" s="307" t="s">
        <v>3504</v>
      </c>
      <c r="Q31" s="306" cm="1">
        <f t="array" ref="Q31">PRODUCT(1+$D31:O31)-1</f>
        <v>0.75564815130238716</v>
      </c>
      <c r="R31" s="306" cm="1">
        <f t="array" ref="R31">PRODUCT(1+D31:O31)^(1/COUNT(D31:O31))-1</f>
        <v>5.7897883737973554E-2</v>
      </c>
      <c r="S31" s="306">
        <f t="shared" si="1"/>
        <v>0.17999999999999994</v>
      </c>
      <c r="T31" s="306">
        <f t="shared" si="2"/>
        <v>1.6000000000000014E-2</v>
      </c>
      <c r="U31" s="306">
        <f t="shared" si="3"/>
        <v>5.37025139076375E-2</v>
      </c>
      <c r="V31" s="307" t="s">
        <v>3463</v>
      </c>
      <c r="W31" s="307" t="s">
        <v>3464</v>
      </c>
      <c r="X31" s="306" cm="1">
        <f t="array" ref="X31">PRODUCT(1+$I31:M31)-1</f>
        <v>0.55194090691200026</v>
      </c>
      <c r="Y31" s="306">
        <f t="shared" si="4"/>
        <v>9.1880314400454965E-2</v>
      </c>
      <c r="Z31" s="307" t="s">
        <v>4346</v>
      </c>
      <c r="AA31" s="307" t="str">
        <f>HYPERLINK("https://journals.sagepub.com/doi/suppl/10.1177/09589287261430475/suppl_file/sj-pdf-1-esp-10.1177_09589287261430475.pdf","JESP/Sage Supplement 2026")</f>
        <v>JESP/Sage Supplement 2026</v>
      </c>
      <c r="AB31" s="308" t="s">
        <v>4351</v>
      </c>
    </row>
    <row r="32" spans="1:33" s="148" customFormat="1" ht="30">
      <c r="A32" s="298">
        <v>31</v>
      </c>
      <c r="B32" s="299" t="s">
        <v>3505</v>
      </c>
      <c r="C32" s="300" t="s">
        <v>30</v>
      </c>
      <c r="D32" s="301"/>
      <c r="E32" s="301"/>
      <c r="F32" s="301"/>
      <c r="G32" s="301"/>
      <c r="H32" s="301"/>
      <c r="I32" s="301"/>
      <c r="J32" s="301"/>
      <c r="K32" s="301"/>
      <c r="L32" s="301"/>
      <c r="M32" s="301"/>
      <c r="N32" s="301"/>
      <c r="O32" s="301"/>
      <c r="P32" s="302"/>
      <c r="Q32" s="301" cm="1">
        <f t="array" ref="Q32">PRODUCT(1+$D32:O32)-1</f>
        <v>0</v>
      </c>
      <c r="R32" s="301" t="e" cm="1">
        <f t="array" ref="R32">PRODUCT(1+D32:O32)^(1/COUNT(D32:O32))-1</f>
        <v>#DIV/0!</v>
      </c>
      <c r="S32" s="301">
        <f t="shared" si="1"/>
        <v>0</v>
      </c>
      <c r="T32" s="301">
        <f t="shared" si="2"/>
        <v>0</v>
      </c>
      <c r="U32" s="301" t="e">
        <f t="shared" si="3"/>
        <v>#DIV/0!</v>
      </c>
      <c r="V32" s="302"/>
      <c r="W32" s="302"/>
      <c r="X32" s="301" cm="1">
        <f t="array" ref="X32">PRODUCT(1+$I32:M32)-1</f>
        <v>0</v>
      </c>
      <c r="Y32" s="301">
        <f t="shared" si="4"/>
        <v>0</v>
      </c>
      <c r="Z32" s="302" t="s">
        <v>4347</v>
      </c>
      <c r="AA32" s="302" t="str">
        <f>HYPERLINK("https://www.parlament.gv.at/dokument/XXVII/EU/187913/imfname_11382449.pdf","Mechanismus-/Statusquelle")</f>
        <v>Mechanismus-/Statusquelle</v>
      </c>
      <c r="AB32" s="303" t="s">
        <v>4353</v>
      </c>
    </row>
    <row r="33" spans="1:11">
      <c r="A33" s="889" t="s">
        <v>4382</v>
      </c>
      <c r="B33" s="889"/>
      <c r="C33" s="889"/>
      <c r="D33" s="889"/>
      <c r="E33" s="889"/>
      <c r="F33" s="889"/>
      <c r="G33" s="889"/>
      <c r="H33" s="889"/>
      <c r="I33" s="889"/>
      <c r="J33" s="889"/>
      <c r="K33" s="889"/>
    </row>
  </sheetData>
  <sheetProtection algorithmName="SHA-512" hashValue="6ddIwLWqOOrfiCdE0cmwgIjVcz6jS7bgZIdNVat17wNuZTCCvPK33r8DxHlWmeuJToTD3almiRFKocBLeydfEQ==" saltValue="an9lKb3jpe7EdnTHqzFarA==" spinCount="100000" sheet="1" formatColumns="0" autoFilter="0"/>
  <autoFilter ref="C1:C33" xr:uid="{800A6AED-1931-42C4-9ACA-7FF69F6C4747}"/>
  <mergeCells count="1">
    <mergeCell ref="A33:K33"/>
  </mergeCells>
  <hyperlinks>
    <hyperlink ref="AB22" r:id="rId1" xr:uid="{150ABCAD-216B-40F5-BA48-F1DCB2133AEA}"/>
    <hyperlink ref="AB23" r:id="rId2" xr:uid="{894C1E7D-5C8B-4B91-8541-DD581F97703C}"/>
    <hyperlink ref="AB24" r:id="rId3" xr:uid="{AE74875D-536E-4AF9-A4C9-9FDDF88BC1B4}"/>
    <hyperlink ref="AB25" r:id="rId4" xr:uid="{1DA2DE0D-D2C0-42D7-8CD0-B0D1E91AD77D}"/>
    <hyperlink ref="AB26" r:id="rId5" xr:uid="{0B5DF526-6746-4E5A-9C8F-DC2EA2DC2ED1}"/>
    <hyperlink ref="AB21" r:id="rId6" xr:uid="{50C173B7-071F-4F70-8C5E-4C9BA0058E1D}"/>
    <hyperlink ref="AB17" r:id="rId7" xr:uid="{42C1CA6C-7A84-4074-98FE-EE362426326B}"/>
    <hyperlink ref="AB13" r:id="rId8" xr:uid="{51F8E26F-C069-4926-9CBC-9FDBF5A5A29E}"/>
    <hyperlink ref="AB12" r:id="rId9" xr:uid="{13F49546-4087-4A6E-A36A-5A488FC4907F}"/>
    <hyperlink ref="AB9" r:id="rId10" xr:uid="{9562E0E6-9033-4BD6-B732-3B72CC433FE4}"/>
    <hyperlink ref="AB8" r:id="rId11" xr:uid="{C04462F0-F28C-49F0-915B-82575A301494}"/>
    <hyperlink ref="AB7" r:id="rId12" xr:uid="{02B16E1E-D0BA-44AE-998A-8E62409F8D58}"/>
    <hyperlink ref="AB6" r:id="rId13" xr:uid="{2FD36489-0A9A-4DA5-A3AA-C80A8300BD47}"/>
    <hyperlink ref="AB5" r:id="rId14" xr:uid="{BF94FE65-1363-4744-8F2D-CED4B8ADB70D}"/>
    <hyperlink ref="AB3" r:id="rId15" xr:uid="{9792F2B8-653E-4A93-8168-734474839959}"/>
    <hyperlink ref="AB2" r:id="rId16" xr:uid="{075CF34B-6531-43DB-8008-89092EFCDF7C}"/>
    <hyperlink ref="AB27" r:id="rId17" xr:uid="{7A48C84C-FD76-41BE-B23C-CC8E49ABE235}"/>
    <hyperlink ref="AB28" r:id="rId18" xr:uid="{5B917EC4-0968-4A10-9F75-5F5F8E87AAD0}"/>
    <hyperlink ref="AB29" r:id="rId19" xr:uid="{1CCE78B7-FB69-46CD-B389-73746F398836}"/>
    <hyperlink ref="AB30" r:id="rId20" xr:uid="{2C2C3132-02C0-4957-9868-2F4037BFB1F4}"/>
    <hyperlink ref="AB31" r:id="rId21" xr:uid="{5940C6CA-E7FB-4D1F-A7F1-3DB55723F54F}"/>
    <hyperlink ref="AB32" r:id="rId22" xr:uid="{19C1E72F-4027-4073-B0D1-08065CD837BF}"/>
  </hyperlinks>
  <pageMargins left="0.7" right="0.7" top="0.78740157499999996" bottom="0.78740157499999996" header="0.3" footer="0.3"/>
  <pageSetup paperSize="9" orientation="portrait" r:id="rId23"/>
  <drawing r:id="rId24"/>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F5757-CF70-4D4B-A67F-74010B06D5E0}">
  <sheetPr codeName="Tabelle60"/>
  <dimension ref="B3:D34"/>
  <sheetViews>
    <sheetView topLeftCell="A7" workbookViewId="0">
      <selection activeCell="D13" sqref="D13:D24"/>
    </sheetView>
  </sheetViews>
  <sheetFormatPr baseColWidth="10" defaultRowHeight="15"/>
  <cols>
    <col min="3" max="3" width="21.85546875" customWidth="1"/>
  </cols>
  <sheetData>
    <row r="3" spans="2:4">
      <c r="B3" s="21" t="s">
        <v>4370</v>
      </c>
    </row>
    <row r="4" spans="2:4">
      <c r="B4" s="21" t="s">
        <v>4371</v>
      </c>
    </row>
    <row r="8" spans="2:4" ht="31.5">
      <c r="B8" s="288" t="s">
        <v>4372</v>
      </c>
    </row>
    <row r="10" spans="2:4">
      <c r="B10" s="289" t="s">
        <v>4373</v>
      </c>
    </row>
    <row r="12" spans="2:4" s="130" customFormat="1" ht="63">
      <c r="B12" s="283" t="s">
        <v>4262</v>
      </c>
      <c r="C12" s="283" t="s">
        <v>4379</v>
      </c>
    </row>
    <row r="13" spans="2:4" ht="15.75">
      <c r="B13" s="281">
        <v>2015</v>
      </c>
      <c r="C13" s="292">
        <v>6000</v>
      </c>
      <c r="D13" s="282">
        <v>1.2999999999999999E-2</v>
      </c>
    </row>
    <row r="14" spans="2:4" ht="15.75">
      <c r="B14" s="281">
        <v>2016</v>
      </c>
      <c r="C14" s="292">
        <v>6067</v>
      </c>
      <c r="D14" s="282">
        <v>1.0999999999999999E-2</v>
      </c>
    </row>
    <row r="15" spans="2:4" ht="15.75">
      <c r="B15" s="281">
        <v>2017</v>
      </c>
      <c r="C15" s="292">
        <v>6090</v>
      </c>
      <c r="D15" s="282">
        <v>4.0000000000000001E-3</v>
      </c>
    </row>
    <row r="16" spans="2:4" ht="15.75">
      <c r="B16" s="281">
        <v>2018</v>
      </c>
      <c r="C16" s="292">
        <v>6160</v>
      </c>
      <c r="D16" s="282">
        <v>1.0999999999999999E-2</v>
      </c>
    </row>
    <row r="17" spans="2:4" ht="15.75">
      <c r="B17" s="281">
        <v>2019</v>
      </c>
      <c r="C17" s="292">
        <v>6237</v>
      </c>
      <c r="D17" s="282">
        <v>1.2999999999999999E-2</v>
      </c>
    </row>
    <row r="18" spans="2:4" ht="15.75">
      <c r="B18" s="281">
        <v>2020</v>
      </c>
      <c r="C18" s="292">
        <v>6273</v>
      </c>
      <c r="D18" s="282">
        <v>6.0000000000000001E-3</v>
      </c>
    </row>
    <row r="19" spans="2:4" ht="15.75">
      <c r="B19" s="281">
        <v>2021</v>
      </c>
      <c r="C19" s="292">
        <v>6518</v>
      </c>
      <c r="D19" s="282">
        <v>3.9E-2</v>
      </c>
    </row>
    <row r="20" spans="2:4" ht="15.75">
      <c r="B20" s="281">
        <v>2022</v>
      </c>
      <c r="C20" s="292">
        <v>6544</v>
      </c>
      <c r="D20" s="282">
        <v>4.0000000000000001E-3</v>
      </c>
    </row>
    <row r="21" spans="2:4" ht="15.75">
      <c r="B21" s="281">
        <v>2023</v>
      </c>
      <c r="C21" s="292">
        <v>6518</v>
      </c>
      <c r="D21" s="282">
        <v>-4.0000000000000001E-3</v>
      </c>
    </row>
    <row r="22" spans="2:4" ht="15.75">
      <c r="B22" s="281">
        <v>2024</v>
      </c>
      <c r="C22" s="292">
        <v>6700</v>
      </c>
      <c r="D22" s="282">
        <v>2.8000000000000001E-2</v>
      </c>
    </row>
    <row r="23" spans="2:4" ht="15.75">
      <c r="B23" s="281">
        <v>2025</v>
      </c>
      <c r="C23" s="292">
        <v>7020</v>
      </c>
      <c r="D23" s="282">
        <v>4.8000000000000001E-2</v>
      </c>
    </row>
    <row r="24" spans="2:4" ht="15.75">
      <c r="B24" s="281">
        <v>2026</v>
      </c>
      <c r="C24" s="292">
        <v>7544</v>
      </c>
      <c r="D24" s="282">
        <v>7.4999999999999997E-2</v>
      </c>
    </row>
    <row r="28" spans="2:4">
      <c r="B28" s="21" t="s">
        <v>4374</v>
      </c>
    </row>
    <row r="29" spans="2:4">
      <c r="B29" s="271"/>
    </row>
    <row r="30" spans="2:4">
      <c r="B30" s="290" t="s">
        <v>4375</v>
      </c>
    </row>
    <row r="31" spans="2:4">
      <c r="B31" s="290" t="s">
        <v>4376</v>
      </c>
    </row>
    <row r="32" spans="2:4">
      <c r="B32" s="291" t="s">
        <v>4377</v>
      </c>
    </row>
    <row r="34" spans="2:2">
      <c r="B34" s="21" t="s">
        <v>4378</v>
      </c>
    </row>
  </sheetData>
  <pageMargins left="0.7" right="0.7" top="0.78740157499999996" bottom="0.78740157499999996"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127E9-00FC-493A-B4AA-92A5CEDAF687}">
  <sheetPr codeName="Tabelle50"/>
  <dimension ref="A1:F28"/>
  <sheetViews>
    <sheetView workbookViewId="0">
      <selection activeCell="B4" sqref="B4"/>
    </sheetView>
  </sheetViews>
  <sheetFormatPr baseColWidth="10" defaultColWidth="9.140625" defaultRowHeight="15"/>
  <cols>
    <col min="1" max="1" width="17.140625" style="143" customWidth="1"/>
    <col min="2" max="2" width="107.7109375" style="143" customWidth="1"/>
    <col min="3" max="5" width="42.28515625" style="143" customWidth="1"/>
    <col min="6" max="6" width="55.7109375" customWidth="1"/>
  </cols>
  <sheetData>
    <row r="1" spans="1:6" s="147" customFormat="1" ht="37.5">
      <c r="A1" s="146" t="s">
        <v>4207</v>
      </c>
      <c r="B1" s="146"/>
      <c r="C1" s="146" t="s">
        <v>3646</v>
      </c>
      <c r="D1" s="146" t="s">
        <v>3647</v>
      </c>
      <c r="E1" s="146" t="s">
        <v>3648</v>
      </c>
    </row>
    <row r="2" spans="1:6" ht="30">
      <c r="A2" s="144" t="s">
        <v>0</v>
      </c>
      <c r="B2" s="144" t="s">
        <v>4452</v>
      </c>
      <c r="C2" s="143" t="s">
        <v>3649</v>
      </c>
      <c r="D2" s="143" t="s">
        <v>3650</v>
      </c>
      <c r="E2" s="143" t="s">
        <v>3651</v>
      </c>
      <c r="F2" s="155"/>
    </row>
    <row r="3" spans="1:6" ht="30">
      <c r="A3" s="144" t="s">
        <v>1</v>
      </c>
      <c r="B3" s="144" t="s">
        <v>4453</v>
      </c>
      <c r="C3" s="143" t="s">
        <v>3652</v>
      </c>
      <c r="D3" s="143" t="s">
        <v>3653</v>
      </c>
      <c r="E3" s="143" t="s">
        <v>3654</v>
      </c>
    </row>
    <row r="4" spans="1:6" ht="30">
      <c r="A4" s="144" t="s">
        <v>2</v>
      </c>
      <c r="B4" s="144" t="s">
        <v>4454</v>
      </c>
      <c r="C4" s="143" t="s">
        <v>3655</v>
      </c>
      <c r="D4" s="143" t="s">
        <v>3656</v>
      </c>
      <c r="E4" s="143" t="s">
        <v>3657</v>
      </c>
    </row>
    <row r="5" spans="1:6" ht="30">
      <c r="A5" s="144" t="s">
        <v>3</v>
      </c>
      <c r="B5" s="144" t="s">
        <v>4455</v>
      </c>
      <c r="C5" s="143" t="s">
        <v>3658</v>
      </c>
      <c r="D5" s="143" t="s">
        <v>3659</v>
      </c>
      <c r="E5" s="143" t="s">
        <v>3660</v>
      </c>
    </row>
    <row r="6" spans="1:6" ht="30">
      <c r="A6" s="144" t="s">
        <v>4</v>
      </c>
      <c r="B6" s="144" t="s">
        <v>4456</v>
      </c>
      <c r="C6" s="143" t="s">
        <v>3661</v>
      </c>
      <c r="D6" s="143" t="s">
        <v>3662</v>
      </c>
      <c r="E6" s="143" t="s">
        <v>3663</v>
      </c>
    </row>
    <row r="7" spans="1:6" ht="30">
      <c r="A7" s="144" t="s">
        <v>5</v>
      </c>
      <c r="B7" s="144" t="s">
        <v>4457</v>
      </c>
      <c r="C7" s="143" t="s">
        <v>3664</v>
      </c>
      <c r="D7" s="143" t="s">
        <v>3665</v>
      </c>
      <c r="E7" s="143" t="s">
        <v>3666</v>
      </c>
    </row>
    <row r="8" spans="1:6" ht="30">
      <c r="A8" s="144" t="s">
        <v>6</v>
      </c>
      <c r="B8" s="144" t="s">
        <v>4458</v>
      </c>
      <c r="C8" s="143" t="s">
        <v>3667</v>
      </c>
      <c r="D8" s="143" t="s">
        <v>3668</v>
      </c>
      <c r="E8" s="143" t="s">
        <v>3669</v>
      </c>
    </row>
    <row r="9" spans="1:6" ht="30">
      <c r="A9" s="144" t="s">
        <v>7</v>
      </c>
      <c r="B9" s="144" t="s">
        <v>4459</v>
      </c>
      <c r="C9" s="143" t="s">
        <v>3670</v>
      </c>
      <c r="D9" s="143" t="s">
        <v>3671</v>
      </c>
      <c r="E9" s="143" t="s">
        <v>3672</v>
      </c>
    </row>
    <row r="10" spans="1:6" ht="30">
      <c r="A10" s="144" t="s">
        <v>8</v>
      </c>
      <c r="B10" s="144" t="s">
        <v>4460</v>
      </c>
      <c r="C10" s="143" t="s">
        <v>3673</v>
      </c>
      <c r="D10" s="143" t="s">
        <v>3674</v>
      </c>
      <c r="E10" s="143" t="s">
        <v>3675</v>
      </c>
    </row>
    <row r="11" spans="1:6" ht="45">
      <c r="A11" s="144" t="s">
        <v>10</v>
      </c>
      <c r="B11" s="144" t="s">
        <v>4461</v>
      </c>
      <c r="C11" s="143" t="s">
        <v>3676</v>
      </c>
      <c r="D11" s="143" t="s">
        <v>3677</v>
      </c>
      <c r="E11" s="143" t="s">
        <v>3678</v>
      </c>
    </row>
    <row r="12" spans="1:6" ht="30">
      <c r="A12" s="144" t="s">
        <v>11</v>
      </c>
      <c r="B12" s="144" t="s">
        <v>4462</v>
      </c>
      <c r="C12" s="143" t="s">
        <v>3679</v>
      </c>
      <c r="D12" s="143" t="s">
        <v>3680</v>
      </c>
      <c r="E12" s="143" t="s">
        <v>3681</v>
      </c>
    </row>
    <row r="13" spans="1:6" ht="30">
      <c r="A13" s="145" t="s">
        <v>12</v>
      </c>
      <c r="B13" s="145" t="s">
        <v>4463</v>
      </c>
      <c r="C13" s="143" t="s">
        <v>3682</v>
      </c>
      <c r="D13" s="143" t="s">
        <v>3683</v>
      </c>
      <c r="E13" s="143" t="s">
        <v>3684</v>
      </c>
    </row>
    <row r="14" spans="1:6" ht="30">
      <c r="A14" s="144" t="s">
        <v>14</v>
      </c>
      <c r="B14" s="144" t="s">
        <v>4464</v>
      </c>
      <c r="C14" s="143" t="s">
        <v>3685</v>
      </c>
      <c r="D14" s="143" t="s">
        <v>3686</v>
      </c>
      <c r="E14" s="143" t="s">
        <v>3687</v>
      </c>
    </row>
    <row r="15" spans="1:6" ht="30">
      <c r="A15" s="144" t="s">
        <v>15</v>
      </c>
      <c r="B15" s="144" t="s">
        <v>4465</v>
      </c>
      <c r="C15" s="143" t="s">
        <v>3649</v>
      </c>
      <c r="D15" s="143" t="s">
        <v>3688</v>
      </c>
      <c r="E15" s="143" t="s">
        <v>3689</v>
      </c>
    </row>
    <row r="16" spans="1:6" ht="30">
      <c r="A16" s="144" t="s">
        <v>16</v>
      </c>
      <c r="B16" s="144" t="s">
        <v>4466</v>
      </c>
      <c r="C16" s="143" t="s">
        <v>3649</v>
      </c>
      <c r="D16" s="143" t="s">
        <v>3690</v>
      </c>
      <c r="E16" s="143" t="s">
        <v>3691</v>
      </c>
    </row>
    <row r="17" spans="1:5" ht="30">
      <c r="A17" s="144" t="s">
        <v>17</v>
      </c>
      <c r="B17" s="144" t="s">
        <v>4467</v>
      </c>
      <c r="C17" s="143" t="s">
        <v>3692</v>
      </c>
      <c r="D17" s="143" t="s">
        <v>3693</v>
      </c>
      <c r="E17" s="143" t="s">
        <v>3694</v>
      </c>
    </row>
    <row r="18" spans="1:5" ht="30">
      <c r="A18" s="144" t="s">
        <v>19</v>
      </c>
      <c r="B18" s="144" t="s">
        <v>4468</v>
      </c>
      <c r="C18" s="143" t="s">
        <v>3695</v>
      </c>
      <c r="D18" s="143" t="s">
        <v>3696</v>
      </c>
      <c r="E18" s="143" t="s">
        <v>3697</v>
      </c>
    </row>
    <row r="19" spans="1:5" ht="30">
      <c r="A19" s="144" t="s">
        <v>20</v>
      </c>
      <c r="B19" s="144" t="s">
        <v>4469</v>
      </c>
      <c r="C19" s="143" t="s">
        <v>3698</v>
      </c>
      <c r="D19" s="143" t="s">
        <v>3699</v>
      </c>
      <c r="E19" s="143" t="s">
        <v>3700</v>
      </c>
    </row>
    <row r="20" spans="1:5" ht="30">
      <c r="A20" s="144" t="s">
        <v>21</v>
      </c>
      <c r="B20" s="144" t="s">
        <v>4470</v>
      </c>
      <c r="C20" s="143" t="s">
        <v>3649</v>
      </c>
      <c r="D20" s="143" t="s">
        <v>3701</v>
      </c>
      <c r="E20" s="143" t="s">
        <v>3702</v>
      </c>
    </row>
    <row r="21" spans="1:5" ht="30">
      <c r="A21" s="144" t="s">
        <v>22</v>
      </c>
      <c r="B21" s="144" t="s">
        <v>4471</v>
      </c>
      <c r="C21" s="143" t="s">
        <v>3703</v>
      </c>
      <c r="D21" s="143" t="s">
        <v>3704</v>
      </c>
      <c r="E21" s="143" t="s">
        <v>3681</v>
      </c>
    </row>
    <row r="22" spans="1:5" ht="45">
      <c r="A22" s="144" t="s">
        <v>23</v>
      </c>
      <c r="B22" s="144" t="s">
        <v>4472</v>
      </c>
      <c r="C22" s="143" t="s">
        <v>3705</v>
      </c>
      <c r="D22" s="143" t="s">
        <v>3706</v>
      </c>
      <c r="E22" s="143" t="s">
        <v>3707</v>
      </c>
    </row>
    <row r="23" spans="1:5" ht="30">
      <c r="A23" s="144" t="s">
        <v>25</v>
      </c>
      <c r="B23" s="144" t="s">
        <v>4473</v>
      </c>
      <c r="C23" s="143" t="s">
        <v>3708</v>
      </c>
      <c r="D23" s="143" t="s">
        <v>3680</v>
      </c>
      <c r="E23" s="143" t="s">
        <v>3684</v>
      </c>
    </row>
    <row r="24" spans="1:5" ht="30">
      <c r="A24" s="144" t="s">
        <v>26</v>
      </c>
      <c r="B24" s="144" t="s">
        <v>4474</v>
      </c>
      <c r="C24" s="143" t="s">
        <v>3649</v>
      </c>
      <c r="D24" s="143" t="s">
        <v>3709</v>
      </c>
      <c r="E24" s="143" t="s">
        <v>3710</v>
      </c>
    </row>
    <row r="25" spans="1:5" ht="45">
      <c r="A25" s="144" t="s">
        <v>27</v>
      </c>
      <c r="B25" s="144" t="s">
        <v>4475</v>
      </c>
      <c r="C25" s="143" t="s">
        <v>3649</v>
      </c>
      <c r="D25" s="143" t="s">
        <v>3711</v>
      </c>
      <c r="E25" s="143" t="s">
        <v>3712</v>
      </c>
    </row>
    <row r="26" spans="1:5" ht="30">
      <c r="A26" s="144" t="s">
        <v>3501</v>
      </c>
      <c r="B26" s="144" t="s">
        <v>4476</v>
      </c>
      <c r="C26" s="143" t="s">
        <v>3649</v>
      </c>
      <c r="D26" s="143" t="s">
        <v>3713</v>
      </c>
      <c r="E26" s="143" t="s">
        <v>3714</v>
      </c>
    </row>
    <row r="27" spans="1:5" ht="30">
      <c r="A27" s="144" t="s">
        <v>29</v>
      </c>
      <c r="B27" s="144" t="s">
        <v>4477</v>
      </c>
      <c r="C27" s="143" t="s">
        <v>3715</v>
      </c>
      <c r="D27" s="143" t="s">
        <v>3716</v>
      </c>
      <c r="E27" s="143" t="s">
        <v>3684</v>
      </c>
    </row>
    <row r="28" spans="1:5" ht="30">
      <c r="A28" s="144" t="s">
        <v>30</v>
      </c>
      <c r="B28" s="144" t="s">
        <v>4478</v>
      </c>
      <c r="C28" s="143" t="s">
        <v>3717</v>
      </c>
      <c r="D28" s="143" t="s">
        <v>3718</v>
      </c>
      <c r="E28" s="143" t="s">
        <v>3719</v>
      </c>
    </row>
  </sheetData>
  <sheetProtection algorithmName="SHA-512" hashValue="FWcoEFXAuDg28wQ19fv97Fv7aRKx9cL43LVnlUUDcm424gDM3Vb7G7j9/NYxtJIl5bAE/0mVbYYTTUloSXL4YQ==" saltValue="/UNjErKqkf05tR6IrsVwpA==" spinCount="100000" sheet="1" formatColumns="0"/>
  <autoFilter ref="A1:E28" xr:uid="{75C127E9-00FC-493A-B4AA-92A5CEDAF687}"/>
  <hyperlinks>
    <hyperlink ref="A2" r:id="rId1" xr:uid="{8297B7A6-C370-4D19-8AAB-F86A54E262D3}"/>
    <hyperlink ref="A3" r:id="rId2" xr:uid="{74C62AA8-AE16-492A-9206-32D02604843A}"/>
    <hyperlink ref="A4" r:id="rId3" xr:uid="{D8CBCFE9-C692-4FE8-8FEE-FB550BE71B29}"/>
    <hyperlink ref="A5" r:id="rId4" xr:uid="{506E540D-98F8-4DCB-AFD9-50217158D862}"/>
    <hyperlink ref="A6" r:id="rId5" xr:uid="{6335BC79-B2D7-4C9A-AF09-66A3447BA3EF}"/>
    <hyperlink ref="A13" r:id="rId6" xr:uid="{0D691009-DD13-4FA1-BF58-A6EB45E4089D}"/>
    <hyperlink ref="A7" r:id="rId7" xr:uid="{06E167B2-643D-49DE-A8ED-81B18706F7E6}"/>
    <hyperlink ref="A8" r:id="rId8" xr:uid="{EDC9F7B3-3358-47B4-BD2F-3A3AB7D0A879}"/>
    <hyperlink ref="A9" r:id="rId9" xr:uid="{5256E53E-3E8E-42DB-B81B-68F1AFFAF2C5}"/>
    <hyperlink ref="A10" r:id="rId10" xr:uid="{9B7C3E57-E54A-488B-9A69-FBC3D8EBB6AA}"/>
    <hyperlink ref="A11" r:id="rId11" xr:uid="{4574AD38-B43C-4173-9C48-D3B3AD42F1E9}"/>
    <hyperlink ref="A12" r:id="rId12" xr:uid="{FE9C4F73-E0DA-4B1A-86F9-6947D054435E}"/>
    <hyperlink ref="A14" r:id="rId13" xr:uid="{7B5B0867-C05F-4A91-A82B-7C244E42A564}"/>
    <hyperlink ref="A15" r:id="rId14" xr:uid="{6C702C71-E6CB-40B8-9F21-6B9C0A573CB8}"/>
    <hyperlink ref="A16" r:id="rId15" xr:uid="{95F7A5BA-B9F3-4241-B582-166516EE7CAA}"/>
    <hyperlink ref="A17" r:id="rId16" xr:uid="{4CEB1C34-7D39-4924-8D8B-780212F336E4}"/>
    <hyperlink ref="A18" r:id="rId17" xr:uid="{B4F9A6AB-2208-4311-A26A-AAE310B7ED1F}"/>
    <hyperlink ref="A19" r:id="rId18" xr:uid="{5DD34D7E-039E-47F3-8E07-2E267E8D3868}"/>
    <hyperlink ref="A20" r:id="rId19" xr:uid="{AB4B852F-5617-429C-855B-EE897E8D3E02}"/>
    <hyperlink ref="A21" r:id="rId20" xr:uid="{7DDED6E2-D3FC-4A41-B46E-7CBD6AC10887}"/>
    <hyperlink ref="A22" r:id="rId21" xr:uid="{4CFF5ED9-3BDF-4669-9D75-33109A486582}"/>
    <hyperlink ref="A23" r:id="rId22" xr:uid="{EFB01B05-F5F1-4829-90FE-FA910482E1FB}"/>
    <hyperlink ref="A24" r:id="rId23" xr:uid="{69C76D49-0BB4-4A41-B466-A57494D98EF1}"/>
    <hyperlink ref="A25" r:id="rId24" xr:uid="{E5368CEC-3D32-4123-B4B3-053CE029D49F}"/>
    <hyperlink ref="A26" r:id="rId25" xr:uid="{E77CC5E5-EA3A-4668-B907-2FB420931D2F}"/>
    <hyperlink ref="A27" r:id="rId26" xr:uid="{492007FC-ABEC-4399-B5C8-49DB6B170A9A}"/>
    <hyperlink ref="A28" r:id="rId27" xr:uid="{CF9A7889-908D-4AAD-9117-EA0AD60A8EF5}"/>
    <hyperlink ref="B4" r:id="rId28" xr:uid="{B4B1E977-CD93-4E11-AFB0-B4A3A21F301E}"/>
  </hyperlinks>
  <pageMargins left="0.7" right="0.7" top="0.78740157499999996" bottom="0.78740157499999996" header="0.3" footer="0.3"/>
  <drawing r:id="rId29"/>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3E989-8821-42F8-9B44-987FD63A2738}">
  <sheetPr codeName="Tabelle51">
    <pageSetUpPr fitToPage="1"/>
  </sheetPr>
  <dimension ref="A1:G58"/>
  <sheetViews>
    <sheetView topLeftCell="B1" zoomScale="115" zoomScaleNormal="115" workbookViewId="0">
      <selection activeCell="B1" sqref="B1:E1048576"/>
    </sheetView>
  </sheetViews>
  <sheetFormatPr baseColWidth="10" defaultColWidth="11.42578125" defaultRowHeight="15" zeroHeight="1"/>
  <cols>
    <col min="1" max="1" width="11.42578125" hidden="1" customWidth="1"/>
    <col min="2" max="2" width="21.5703125" customWidth="1"/>
    <col min="3" max="3" width="23" customWidth="1"/>
    <col min="4" max="4" width="11.7109375" customWidth="1"/>
    <col min="5" max="5" width="62.140625" customWidth="1"/>
  </cols>
  <sheetData>
    <row r="1" spans="1:7" ht="38.25">
      <c r="A1" s="21" t="s">
        <v>3525</v>
      </c>
      <c r="B1" s="140" t="s">
        <v>3526</v>
      </c>
      <c r="C1" s="140" t="s">
        <v>3527</v>
      </c>
      <c r="D1" s="140" t="s">
        <v>3528</v>
      </c>
      <c r="E1" s="140" t="s">
        <v>3529</v>
      </c>
      <c r="F1" s="890"/>
      <c r="G1" s="890"/>
    </row>
    <row r="2" spans="1:7" ht="25.5">
      <c r="A2">
        <v>1</v>
      </c>
      <c r="B2" s="141" t="s">
        <v>3538</v>
      </c>
      <c r="C2" s="141" t="s">
        <v>3539</v>
      </c>
      <c r="D2" s="142" t="s">
        <v>3540</v>
      </c>
      <c r="E2" s="141" t="s">
        <v>3541</v>
      </c>
      <c r="F2" s="23"/>
      <c r="G2" s="22"/>
    </row>
    <row r="3" spans="1:7" ht="25.5">
      <c r="A3">
        <v>2</v>
      </c>
      <c r="B3" s="141" t="s">
        <v>1</v>
      </c>
      <c r="C3" s="141" t="s">
        <v>3531</v>
      </c>
      <c r="D3" s="142" t="s">
        <v>3532</v>
      </c>
      <c r="E3" s="141" t="s">
        <v>3546</v>
      </c>
      <c r="F3" s="23"/>
      <c r="G3" s="133"/>
    </row>
    <row r="4" spans="1:7" ht="25.5">
      <c r="A4">
        <v>3</v>
      </c>
      <c r="B4" s="141" t="s">
        <v>3548</v>
      </c>
      <c r="C4" s="141" t="s">
        <v>3549</v>
      </c>
      <c r="D4" s="142" t="s">
        <v>3540</v>
      </c>
      <c r="E4" s="141" t="s">
        <v>3550</v>
      </c>
      <c r="F4" s="23"/>
      <c r="G4" s="30"/>
    </row>
    <row r="5" spans="1:7" ht="25.5">
      <c r="A5">
        <v>5</v>
      </c>
      <c r="B5" s="141" t="s">
        <v>4</v>
      </c>
      <c r="C5" s="141" t="s">
        <v>3531</v>
      </c>
      <c r="D5" s="142" t="s">
        <v>3532</v>
      </c>
      <c r="E5" s="141" t="s">
        <v>3543</v>
      </c>
      <c r="F5" s="23"/>
      <c r="G5" s="30"/>
    </row>
    <row r="6" spans="1:7" ht="25.5">
      <c r="A6">
        <v>6</v>
      </c>
      <c r="B6" s="141" t="s">
        <v>5</v>
      </c>
      <c r="C6" s="141" t="s">
        <v>3551</v>
      </c>
      <c r="D6" s="142" t="s">
        <v>3540</v>
      </c>
      <c r="E6" s="141" t="s">
        <v>3552</v>
      </c>
      <c r="F6" s="23"/>
      <c r="G6" s="30"/>
    </row>
    <row r="7" spans="1:7" ht="25.5">
      <c r="A7">
        <v>7</v>
      </c>
      <c r="B7" s="141" t="s">
        <v>3553</v>
      </c>
      <c r="C7" s="141" t="s">
        <v>3554</v>
      </c>
      <c r="D7" s="142" t="s">
        <v>3540</v>
      </c>
      <c r="E7" s="141" t="s">
        <v>3555</v>
      </c>
      <c r="F7" s="23"/>
      <c r="G7" s="30"/>
    </row>
    <row r="8" spans="1:7" ht="25.5">
      <c r="A8">
        <v>8</v>
      </c>
      <c r="B8" s="141" t="s">
        <v>7</v>
      </c>
      <c r="C8" s="141" t="s">
        <v>3531</v>
      </c>
      <c r="D8" s="142" t="s">
        <v>3532</v>
      </c>
      <c r="E8" s="141" t="s">
        <v>3543</v>
      </c>
      <c r="F8" s="23"/>
      <c r="G8" s="30"/>
    </row>
    <row r="9" spans="1:7" ht="25.5">
      <c r="A9">
        <v>9</v>
      </c>
      <c r="B9" s="141" t="s">
        <v>8</v>
      </c>
      <c r="C9" s="141" t="s">
        <v>3531</v>
      </c>
      <c r="D9" s="142" t="s">
        <v>3558</v>
      </c>
      <c r="E9" s="141" t="s">
        <v>3560</v>
      </c>
      <c r="F9" s="23"/>
      <c r="G9" s="30"/>
    </row>
    <row r="10" spans="1:7" ht="25.5">
      <c r="A10">
        <v>10</v>
      </c>
      <c r="B10" s="141" t="s">
        <v>9</v>
      </c>
      <c r="C10" s="141" t="s">
        <v>3561</v>
      </c>
      <c r="D10" s="142" t="s">
        <v>3540</v>
      </c>
      <c r="E10" s="141" t="s">
        <v>3562</v>
      </c>
      <c r="F10" s="23"/>
      <c r="G10" s="30"/>
    </row>
    <row r="11" spans="1:7" ht="38.25">
      <c r="A11">
        <v>11</v>
      </c>
      <c r="B11" s="141" t="s">
        <v>10</v>
      </c>
      <c r="C11" s="141" t="s">
        <v>3565</v>
      </c>
      <c r="D11" s="142" t="s">
        <v>3540</v>
      </c>
      <c r="E11" s="141" t="s">
        <v>3566</v>
      </c>
      <c r="F11" s="23"/>
      <c r="G11" s="30"/>
    </row>
    <row r="12" spans="1:7" ht="25.5">
      <c r="A12">
        <v>12</v>
      </c>
      <c r="B12" s="141" t="s">
        <v>11</v>
      </c>
      <c r="C12" s="141" t="s">
        <v>3531</v>
      </c>
      <c r="D12" s="142" t="s">
        <v>3532</v>
      </c>
      <c r="E12" s="141" t="s">
        <v>3575</v>
      </c>
      <c r="F12" s="23"/>
      <c r="G12" s="30"/>
    </row>
    <row r="13" spans="1:7" ht="25.5">
      <c r="A13">
        <v>13</v>
      </c>
      <c r="B13" s="141" t="s">
        <v>12</v>
      </c>
      <c r="C13" s="141" t="s">
        <v>3531</v>
      </c>
      <c r="D13" s="142" t="s">
        <v>3532</v>
      </c>
      <c r="E13" s="141" t="s">
        <v>3543</v>
      </c>
      <c r="F13" s="23"/>
      <c r="G13" s="30"/>
    </row>
    <row r="14" spans="1:7" ht="38.25">
      <c r="A14">
        <v>14</v>
      </c>
      <c r="B14" s="141" t="s">
        <v>13</v>
      </c>
      <c r="C14" s="141" t="s">
        <v>3576</v>
      </c>
      <c r="D14" s="142" t="s">
        <v>3540</v>
      </c>
      <c r="E14" s="141" t="s">
        <v>3577</v>
      </c>
      <c r="F14" s="23"/>
      <c r="G14" s="30"/>
    </row>
    <row r="15" spans="1:7" ht="25.5">
      <c r="A15">
        <v>15</v>
      </c>
      <c r="B15" s="141" t="s">
        <v>14</v>
      </c>
      <c r="C15" s="141" t="s">
        <v>3531</v>
      </c>
      <c r="D15" s="142" t="s">
        <v>3540</v>
      </c>
      <c r="E15" s="141" t="s">
        <v>3578</v>
      </c>
      <c r="F15" s="23"/>
      <c r="G15" s="30"/>
    </row>
    <row r="16" spans="1:7" ht="25.5">
      <c r="A16">
        <v>16</v>
      </c>
      <c r="B16" s="141" t="s">
        <v>3579</v>
      </c>
      <c r="C16" s="141" t="s">
        <v>3580</v>
      </c>
      <c r="D16" s="142" t="s">
        <v>3540</v>
      </c>
      <c r="E16" s="141" t="s">
        <v>3581</v>
      </c>
      <c r="F16" s="23"/>
      <c r="G16" s="30"/>
    </row>
    <row r="17" spans="1:5" ht="25.5">
      <c r="A17">
        <v>17</v>
      </c>
      <c r="B17" s="141" t="s">
        <v>16</v>
      </c>
      <c r="C17" s="141" t="s">
        <v>3531</v>
      </c>
      <c r="D17" s="142" t="s">
        <v>3558</v>
      </c>
      <c r="E17" s="141" t="s">
        <v>3582</v>
      </c>
    </row>
    <row r="18" spans="1:5" ht="25.5">
      <c r="A18">
        <v>18</v>
      </c>
      <c r="B18" s="141" t="s">
        <v>3592</v>
      </c>
      <c r="C18" s="141" t="s">
        <v>3593</v>
      </c>
      <c r="D18" s="142" t="s">
        <v>3540</v>
      </c>
      <c r="E18" s="141" t="s">
        <v>3594</v>
      </c>
    </row>
    <row r="19" spans="1:5" ht="38.25">
      <c r="A19">
        <v>19</v>
      </c>
      <c r="B19" s="141" t="s">
        <v>3597</v>
      </c>
      <c r="C19" s="141" t="s">
        <v>3598</v>
      </c>
      <c r="D19" s="142" t="s">
        <v>3540</v>
      </c>
      <c r="E19" s="141" t="s">
        <v>3599</v>
      </c>
    </row>
    <row r="20" spans="1:5" ht="25.5">
      <c r="A20">
        <v>20</v>
      </c>
      <c r="B20" s="141" t="s">
        <v>3600</v>
      </c>
      <c r="C20" s="141" t="s">
        <v>3601</v>
      </c>
      <c r="D20" s="142" t="s">
        <v>3540</v>
      </c>
      <c r="E20" s="141" t="s">
        <v>3602</v>
      </c>
    </row>
    <row r="21" spans="1:5" ht="25.5">
      <c r="A21">
        <v>21</v>
      </c>
      <c r="B21" s="141" t="s">
        <v>3606</v>
      </c>
      <c r="C21" s="141" t="s">
        <v>3607</v>
      </c>
      <c r="D21" s="142" t="s">
        <v>3532</v>
      </c>
      <c r="E21" s="141" t="s">
        <v>3608</v>
      </c>
    </row>
    <row r="22" spans="1:5" ht="38.25">
      <c r="A22">
        <v>21</v>
      </c>
      <c r="B22" s="141" t="s">
        <v>3609</v>
      </c>
      <c r="C22" s="141" t="s">
        <v>3610</v>
      </c>
      <c r="D22" s="142" t="s">
        <v>3540</v>
      </c>
      <c r="E22" s="141" t="s">
        <v>3611</v>
      </c>
    </row>
    <row r="23" spans="1:5" ht="25.5">
      <c r="A23">
        <v>22</v>
      </c>
      <c r="B23" s="141" t="s">
        <v>21</v>
      </c>
      <c r="C23" s="141" t="s">
        <v>3531</v>
      </c>
      <c r="D23" s="142" t="s">
        <v>3540</v>
      </c>
      <c r="E23" s="141" t="s">
        <v>3612</v>
      </c>
    </row>
    <row r="24" spans="1:5" ht="25.5">
      <c r="A24">
        <v>23</v>
      </c>
      <c r="B24" s="141" t="s">
        <v>22</v>
      </c>
      <c r="C24" s="141" t="s">
        <v>3531</v>
      </c>
      <c r="D24" s="142" t="s">
        <v>3532</v>
      </c>
      <c r="E24" s="141" t="s">
        <v>3613</v>
      </c>
    </row>
    <row r="25" spans="1:5" ht="25.5">
      <c r="A25">
        <v>24</v>
      </c>
      <c r="B25" s="141" t="s">
        <v>3616</v>
      </c>
      <c r="C25" s="141" t="s">
        <v>3617</v>
      </c>
      <c r="D25" s="142" t="s">
        <v>3540</v>
      </c>
      <c r="E25" s="141" t="s">
        <v>3618</v>
      </c>
    </row>
    <row r="26" spans="1:5">
      <c r="A26">
        <v>25</v>
      </c>
      <c r="B26" s="141" t="s">
        <v>3619</v>
      </c>
      <c r="C26" s="141" t="s">
        <v>3620</v>
      </c>
      <c r="D26" s="142" t="s">
        <v>3540</v>
      </c>
      <c r="E26" s="141" t="s">
        <v>3621</v>
      </c>
    </row>
    <row r="27" spans="1:5" ht="25.5">
      <c r="A27">
        <v>26</v>
      </c>
      <c r="B27" s="141" t="s">
        <v>25</v>
      </c>
      <c r="C27" s="141" t="s">
        <v>3531</v>
      </c>
      <c r="D27" s="142" t="s">
        <v>3540</v>
      </c>
      <c r="E27" s="141" t="s">
        <v>3623</v>
      </c>
    </row>
    <row r="28" spans="1:5" ht="25.5">
      <c r="A28">
        <v>27</v>
      </c>
      <c r="B28" s="141" t="s">
        <v>26</v>
      </c>
      <c r="C28" s="141" t="s">
        <v>3531</v>
      </c>
      <c r="D28" s="142" t="s">
        <v>3532</v>
      </c>
      <c r="E28" s="141" t="s">
        <v>3624</v>
      </c>
    </row>
    <row r="29" spans="1:5" ht="25.5">
      <c r="A29">
        <v>28</v>
      </c>
      <c r="B29" s="141" t="s">
        <v>27</v>
      </c>
      <c r="C29" s="141" t="s">
        <v>3531</v>
      </c>
      <c r="D29" s="142" t="s">
        <v>3532</v>
      </c>
      <c r="E29" s="141" t="s">
        <v>3625</v>
      </c>
    </row>
    <row r="30" spans="1:5" ht="25.5">
      <c r="A30">
        <v>29</v>
      </c>
      <c r="B30" s="141" t="s">
        <v>3501</v>
      </c>
      <c r="C30" s="141" t="s">
        <v>3531</v>
      </c>
      <c r="D30" s="142" t="s">
        <v>3532</v>
      </c>
      <c r="E30" s="141" t="s">
        <v>3626</v>
      </c>
    </row>
    <row r="31" spans="1:5" ht="25.5">
      <c r="A31">
        <v>30</v>
      </c>
      <c r="B31" s="141" t="s">
        <v>29</v>
      </c>
      <c r="C31" s="141" t="s">
        <v>3531</v>
      </c>
      <c r="D31" s="142" t="s">
        <v>3532</v>
      </c>
      <c r="E31" s="141" t="s">
        <v>3632</v>
      </c>
    </row>
    <row r="32" spans="1:5" ht="25.5">
      <c r="A32">
        <v>31</v>
      </c>
      <c r="B32" s="141" t="s">
        <v>30</v>
      </c>
      <c r="C32" s="141" t="s">
        <v>3531</v>
      </c>
      <c r="D32" s="142" t="s">
        <v>3558</v>
      </c>
      <c r="E32" s="141" t="s">
        <v>3644</v>
      </c>
    </row>
    <row r="33" spans="2:5" ht="25.5">
      <c r="B33" s="141" t="s">
        <v>3530</v>
      </c>
      <c r="C33" s="141" t="s">
        <v>3531</v>
      </c>
      <c r="D33" s="142" t="s">
        <v>3532</v>
      </c>
      <c r="E33" s="141" t="s">
        <v>3533</v>
      </c>
    </row>
    <row r="34" spans="2:5" ht="25.5">
      <c r="B34" s="141" t="s">
        <v>3534</v>
      </c>
      <c r="C34" s="141" t="s">
        <v>3535</v>
      </c>
      <c r="D34" s="142" t="s">
        <v>3536</v>
      </c>
      <c r="E34" s="141" t="s">
        <v>3537</v>
      </c>
    </row>
    <row r="35" spans="2:5" ht="25.5">
      <c r="B35" s="141" t="s">
        <v>3542</v>
      </c>
      <c r="C35" s="141" t="s">
        <v>3531</v>
      </c>
      <c r="D35" s="142" t="s">
        <v>3532</v>
      </c>
      <c r="E35" s="141" t="s">
        <v>3543</v>
      </c>
    </row>
    <row r="36" spans="2:5" ht="25.5">
      <c r="B36" s="141" t="s">
        <v>3544</v>
      </c>
      <c r="C36" s="141" t="s">
        <v>3531</v>
      </c>
      <c r="D36" s="142" t="s">
        <v>3532</v>
      </c>
      <c r="E36" s="141" t="s">
        <v>3545</v>
      </c>
    </row>
    <row r="37" spans="2:5" ht="25.5">
      <c r="B37" s="141" t="s">
        <v>3547</v>
      </c>
      <c r="C37" s="141" t="s">
        <v>3531</v>
      </c>
      <c r="D37" s="142" t="s">
        <v>3532</v>
      </c>
      <c r="E37" s="141" t="s">
        <v>3545</v>
      </c>
    </row>
    <row r="38" spans="2:5" ht="25.5">
      <c r="B38" s="141" t="s">
        <v>3556</v>
      </c>
      <c r="C38" s="141" t="s">
        <v>3557</v>
      </c>
      <c r="D38" s="142" t="s">
        <v>3558</v>
      </c>
      <c r="E38" s="141" t="s">
        <v>3559</v>
      </c>
    </row>
    <row r="39" spans="2:5" ht="25.5">
      <c r="B39" s="141" t="s">
        <v>3563</v>
      </c>
      <c r="C39" s="141" t="s">
        <v>3531</v>
      </c>
      <c r="D39" s="142" t="s">
        <v>3532</v>
      </c>
      <c r="E39" s="141" t="s">
        <v>3564</v>
      </c>
    </row>
    <row r="40" spans="2:5" ht="38.25">
      <c r="B40" s="141" t="s">
        <v>3567</v>
      </c>
      <c r="C40" s="141" t="s">
        <v>3568</v>
      </c>
      <c r="D40" s="142" t="s">
        <v>3536</v>
      </c>
      <c r="E40" s="141" t="s">
        <v>3569</v>
      </c>
    </row>
    <row r="41" spans="2:5" ht="25.5">
      <c r="B41" s="141" t="s">
        <v>3570</v>
      </c>
      <c r="C41" s="141" t="s">
        <v>3571</v>
      </c>
      <c r="D41" s="142" t="s">
        <v>3536</v>
      </c>
      <c r="E41" s="141" t="s">
        <v>3572</v>
      </c>
    </row>
    <row r="42" spans="2:5" ht="25.5">
      <c r="B42" s="141" t="s">
        <v>3573</v>
      </c>
      <c r="C42" s="141" t="s">
        <v>3531</v>
      </c>
      <c r="D42" s="142" t="s">
        <v>3532</v>
      </c>
      <c r="E42" s="141" t="s">
        <v>3564</v>
      </c>
    </row>
    <row r="43" spans="2:5" ht="25.5">
      <c r="B43" s="141" t="s">
        <v>3574</v>
      </c>
      <c r="C43" s="141" t="s">
        <v>3531</v>
      </c>
      <c r="D43" s="142" t="s">
        <v>3532</v>
      </c>
      <c r="E43" s="141" t="s">
        <v>3543</v>
      </c>
    </row>
    <row r="44" spans="2:5" ht="25.5">
      <c r="B44" s="141" t="s">
        <v>3583</v>
      </c>
      <c r="C44" s="141" t="s">
        <v>3531</v>
      </c>
      <c r="D44" s="142" t="s">
        <v>3540</v>
      </c>
      <c r="E44" s="141" t="s">
        <v>3584</v>
      </c>
    </row>
    <row r="45" spans="2:5" ht="25.5">
      <c r="B45" s="141" t="s">
        <v>3585</v>
      </c>
      <c r="C45" s="141" t="s">
        <v>3586</v>
      </c>
      <c r="D45" s="142" t="s">
        <v>3540</v>
      </c>
      <c r="E45" s="141" t="s">
        <v>3587</v>
      </c>
    </row>
    <row r="46" spans="2:5" ht="25.5">
      <c r="B46" s="141" t="s">
        <v>3588</v>
      </c>
      <c r="C46" s="141" t="s">
        <v>3531</v>
      </c>
      <c r="D46" s="142" t="s">
        <v>3558</v>
      </c>
      <c r="E46" s="141" t="s">
        <v>3589</v>
      </c>
    </row>
    <row r="47" spans="2:5" ht="25.5">
      <c r="B47" s="141" t="s">
        <v>3590</v>
      </c>
      <c r="C47" s="141" t="s">
        <v>3531</v>
      </c>
      <c r="D47" s="142" t="s">
        <v>3532</v>
      </c>
      <c r="E47" s="141" t="s">
        <v>3591</v>
      </c>
    </row>
    <row r="48" spans="2:5" ht="25.5">
      <c r="B48" s="141" t="s">
        <v>3595</v>
      </c>
      <c r="C48" s="141" t="s">
        <v>3531</v>
      </c>
      <c r="D48" s="142" t="s">
        <v>3540</v>
      </c>
      <c r="E48" s="141" t="s">
        <v>3596</v>
      </c>
    </row>
    <row r="49" spans="2:5" ht="25.5">
      <c r="B49" s="141" t="s">
        <v>3603</v>
      </c>
      <c r="C49" s="141" t="s">
        <v>3604</v>
      </c>
      <c r="D49" s="142" t="s">
        <v>3532</v>
      </c>
      <c r="E49" s="141" t="s">
        <v>3605</v>
      </c>
    </row>
    <row r="50" spans="2:5" ht="25.5">
      <c r="B50" s="141" t="s">
        <v>3614</v>
      </c>
      <c r="C50" s="141" t="s">
        <v>3531</v>
      </c>
      <c r="D50" s="142" t="s">
        <v>3536</v>
      </c>
      <c r="E50" s="141" t="s">
        <v>3615</v>
      </c>
    </row>
    <row r="51" spans="2:5" ht="25.5">
      <c r="B51" s="141" t="s">
        <v>3622</v>
      </c>
      <c r="C51" s="141" t="s">
        <v>3531</v>
      </c>
      <c r="D51" s="142" t="s">
        <v>3532</v>
      </c>
      <c r="E51" s="141" t="s">
        <v>3543</v>
      </c>
    </row>
    <row r="52" spans="2:5" ht="25.5">
      <c r="B52" s="141" t="s">
        <v>3627</v>
      </c>
      <c r="C52" s="141" t="s">
        <v>3531</v>
      </c>
      <c r="D52" s="142" t="s">
        <v>3532</v>
      </c>
      <c r="E52" s="141" t="s">
        <v>3543</v>
      </c>
    </row>
    <row r="53" spans="2:5" ht="25.5">
      <c r="B53" s="141" t="s">
        <v>3628</v>
      </c>
      <c r="C53" s="141" t="s">
        <v>3531</v>
      </c>
      <c r="D53" s="142" t="s">
        <v>3532</v>
      </c>
      <c r="E53" s="141" t="s">
        <v>3629</v>
      </c>
    </row>
    <row r="54" spans="2:5" ht="25.5">
      <c r="B54" s="141" t="s">
        <v>3630</v>
      </c>
      <c r="C54" s="141" t="s">
        <v>3531</v>
      </c>
      <c r="D54" s="142" t="s">
        <v>3558</v>
      </c>
      <c r="E54" s="141" t="s">
        <v>3631</v>
      </c>
    </row>
    <row r="55" spans="2:5" ht="38.25">
      <c r="B55" s="141" t="s">
        <v>3633</v>
      </c>
      <c r="C55" s="141" t="s">
        <v>3634</v>
      </c>
      <c r="D55" s="142" t="s">
        <v>3536</v>
      </c>
      <c r="E55" s="141" t="s">
        <v>3635</v>
      </c>
    </row>
    <row r="56" spans="2:5" ht="25.5">
      <c r="B56" s="141" t="s">
        <v>3636</v>
      </c>
      <c r="C56" s="141" t="s">
        <v>3531</v>
      </c>
      <c r="D56" s="142" t="s">
        <v>3558</v>
      </c>
      <c r="E56" s="141" t="s">
        <v>3637</v>
      </c>
    </row>
    <row r="57" spans="2:5" ht="38.25">
      <c r="B57" s="141" t="s">
        <v>3638</v>
      </c>
      <c r="C57" s="141" t="s">
        <v>3639</v>
      </c>
      <c r="D57" s="142" t="s">
        <v>3536</v>
      </c>
      <c r="E57" s="141" t="s">
        <v>3640</v>
      </c>
    </row>
    <row r="58" spans="2:5" ht="38.25">
      <c r="B58" s="141" t="s">
        <v>3641</v>
      </c>
      <c r="C58" s="141" t="s">
        <v>3642</v>
      </c>
      <c r="D58" s="142" t="s">
        <v>3536</v>
      </c>
      <c r="E58" s="141" t="s">
        <v>3643</v>
      </c>
    </row>
  </sheetData>
  <sheetProtection algorithmName="SHA-512" hashValue="OD4RmAn0Gj/ouQFAMrCSvPMnFqAyrNylyJY47AyXOuOATnaLZfpsTefzxmyqSCloq0cMO7eAvtVbDs/2l7V1dA==" saltValue="4i+f5Pvz1feW9aN38hK4YQ==" spinCount="100000" sheet="1" formatColumns="0" autoFilter="0"/>
  <autoFilter ref="A1:E58" xr:uid="{FBF3E989-8821-42F8-9B44-987FD63A2738}">
    <sortState xmlns:xlrd2="http://schemas.microsoft.com/office/spreadsheetml/2017/richdata2" ref="A2:E58">
      <sortCondition ref="A1:A58"/>
    </sortState>
  </autoFilter>
  <mergeCells count="1">
    <mergeCell ref="F1:G1"/>
  </mergeCells>
  <printOptions horizontalCentered="1"/>
  <pageMargins left="0.31496062992125984" right="0.31496062992125984" top="0.78740157480314965" bottom="0.78740157480314965" header="0.31496062992125984" footer="0.31496062992125984"/>
  <pageSetup paperSize="9" scale="82" fitToHeight="3"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FA817-EF27-4282-BA27-7D6E8854F124}">
  <sheetPr codeName="Tabelle52"/>
  <dimension ref="A1:P36"/>
  <sheetViews>
    <sheetView workbookViewId="0">
      <selection activeCell="C4" sqref="C4:P34"/>
    </sheetView>
  </sheetViews>
  <sheetFormatPr baseColWidth="10" defaultRowHeight="15"/>
  <cols>
    <col min="3" max="3" width="7.5703125" style="15" customWidth="1"/>
    <col min="4" max="4" width="15.42578125" customWidth="1"/>
  </cols>
  <sheetData>
    <row r="1" spans="1:16">
      <c r="D1" s="155" t="s">
        <v>3730</v>
      </c>
    </row>
    <row r="2" spans="1:16">
      <c r="O2" s="891" t="s">
        <v>3733</v>
      </c>
      <c r="P2" s="891"/>
    </row>
    <row r="3" spans="1:16">
      <c r="C3" s="14" t="s">
        <v>3525</v>
      </c>
      <c r="D3" s="156" t="s">
        <v>3731</v>
      </c>
      <c r="E3" s="156">
        <v>2015</v>
      </c>
      <c r="F3" s="156">
        <v>2016</v>
      </c>
      <c r="G3" s="156">
        <v>2017</v>
      </c>
      <c r="H3" s="156">
        <v>2018</v>
      </c>
      <c r="I3" s="156">
        <v>2019</v>
      </c>
      <c r="J3" s="156">
        <v>2020</v>
      </c>
      <c r="K3" s="156">
        <v>2021</v>
      </c>
      <c r="L3" s="156">
        <v>2022</v>
      </c>
      <c r="M3" s="156">
        <v>2023</v>
      </c>
      <c r="N3" s="156">
        <v>2024</v>
      </c>
      <c r="O3" s="21" t="s">
        <v>2888</v>
      </c>
      <c r="P3" s="21" t="s">
        <v>2887</v>
      </c>
    </row>
    <row r="4" spans="1:16">
      <c r="A4" s="149">
        <v>1</v>
      </c>
      <c r="B4" s="162" t="s">
        <v>0</v>
      </c>
      <c r="C4" s="15">
        <v>1</v>
      </c>
      <c r="D4" s="157" t="s">
        <v>0</v>
      </c>
      <c r="E4" s="158">
        <v>0.6</v>
      </c>
      <c r="F4" s="158">
        <v>2</v>
      </c>
      <c r="G4" s="158">
        <v>2.1</v>
      </c>
      <c r="H4" s="158">
        <v>2.1</v>
      </c>
      <c r="I4" s="158">
        <v>1.4</v>
      </c>
      <c r="J4" s="158">
        <v>0.7</v>
      </c>
      <c r="K4" s="158">
        <v>2.4</v>
      </c>
      <c r="L4" s="158">
        <v>9.6</v>
      </c>
      <c r="M4" s="158">
        <v>4</v>
      </c>
      <c r="N4" s="158">
        <v>3.1</v>
      </c>
      <c r="O4" s="123">
        <f>POWER(1+SUM(J4:N4)/100,1/5)-1</f>
        <v>3.6791346201171748E-2</v>
      </c>
      <c r="P4" s="123">
        <f>POWER(1+SUM(E4:N4)/100,1/10)-1</f>
        <v>2.4993230105207598E-2</v>
      </c>
    </row>
    <row r="5" spans="1:16">
      <c r="A5" s="149">
        <v>2</v>
      </c>
      <c r="B5" s="163" t="s">
        <v>1</v>
      </c>
      <c r="C5" s="15">
        <v>2</v>
      </c>
      <c r="D5" s="157" t="s">
        <v>1</v>
      </c>
      <c r="E5" s="158">
        <v>-0.1</v>
      </c>
      <c r="F5" s="158">
        <v>-0.8</v>
      </c>
      <c r="G5" s="158">
        <v>2.1</v>
      </c>
      <c r="H5" s="158">
        <v>2.8</v>
      </c>
      <c r="I5" s="158">
        <v>3.1</v>
      </c>
      <c r="J5" s="158">
        <v>1.7</v>
      </c>
      <c r="K5" s="158">
        <v>3.3</v>
      </c>
      <c r="L5" s="158">
        <v>15.3</v>
      </c>
      <c r="M5" s="158">
        <v>9.4</v>
      </c>
      <c r="N5" s="158">
        <v>2.4</v>
      </c>
      <c r="O5" s="123">
        <f t="shared" ref="O5:O12" si="0">POWER(1+SUM(J5:N5)/100,1/5)-1</f>
        <v>5.7256986053634051E-2</v>
      </c>
      <c r="P5" s="123">
        <f t="shared" ref="P5:P12" si="1">POWER(1+SUM(E5:N5)/100,1/10)-1</f>
        <v>3.3627186254622021E-2</v>
      </c>
    </row>
    <row r="6" spans="1:16">
      <c r="A6" s="149">
        <v>3</v>
      </c>
      <c r="B6" s="150" t="s">
        <v>2</v>
      </c>
      <c r="C6" s="15">
        <v>3</v>
      </c>
      <c r="D6" s="157" t="s">
        <v>2</v>
      </c>
      <c r="E6" s="158">
        <v>0.5</v>
      </c>
      <c r="F6" s="158">
        <v>0.2</v>
      </c>
      <c r="G6" s="158">
        <v>1.1000000000000001</v>
      </c>
      <c r="H6" s="158">
        <v>0.8</v>
      </c>
      <c r="I6" s="158">
        <v>0.8</v>
      </c>
      <c r="J6" s="158">
        <v>0.4</v>
      </c>
      <c r="K6" s="158">
        <v>1.9</v>
      </c>
      <c r="L6" s="158">
        <v>7.7</v>
      </c>
      <c r="M6" s="158">
        <v>3.3</v>
      </c>
      <c r="N6" s="158">
        <v>1.4</v>
      </c>
      <c r="O6" s="123">
        <f t="shared" si="0"/>
        <v>2.7809632641679238E-2</v>
      </c>
      <c r="P6" s="123">
        <f t="shared" si="1"/>
        <v>1.6775305103818416E-2</v>
      </c>
    </row>
    <row r="7" spans="1:16">
      <c r="A7" s="149">
        <v>4</v>
      </c>
      <c r="B7" s="150" t="s">
        <v>3</v>
      </c>
      <c r="C7" s="15">
        <v>4</v>
      </c>
      <c r="D7" s="157" t="s">
        <v>3</v>
      </c>
      <c r="E7" s="158">
        <v>0.5</v>
      </c>
      <c r="F7" s="158">
        <v>0.5</v>
      </c>
      <c r="G7" s="158">
        <v>1.5</v>
      </c>
      <c r="H7" s="158">
        <v>1.7</v>
      </c>
      <c r="I7" s="158">
        <v>1.4</v>
      </c>
      <c r="J7" s="158">
        <v>0.1</v>
      </c>
      <c r="K7" s="158">
        <v>3.1</v>
      </c>
      <c r="L7" s="158">
        <v>6.9</v>
      </c>
      <c r="M7" s="158">
        <v>5.9</v>
      </c>
      <c r="N7" s="158">
        <v>2.2999999999999998</v>
      </c>
      <c r="O7" s="123">
        <f t="shared" si="0"/>
        <v>3.4181938908834475E-2</v>
      </c>
      <c r="P7" s="123">
        <f t="shared" si="1"/>
        <v>2.166174177997271E-2</v>
      </c>
    </row>
    <row r="8" spans="1:16">
      <c r="A8" s="149">
        <v>5</v>
      </c>
      <c r="B8" s="150" t="s">
        <v>4</v>
      </c>
      <c r="C8" s="15">
        <v>5</v>
      </c>
      <c r="D8" s="157" t="s">
        <v>4</v>
      </c>
      <c r="E8" s="158">
        <v>-0.5</v>
      </c>
      <c r="F8" s="158">
        <v>0.1</v>
      </c>
      <c r="G8" s="158">
        <v>3.4</v>
      </c>
      <c r="H8" s="158">
        <v>3.4</v>
      </c>
      <c r="I8" s="158">
        <v>2.2999999999999998</v>
      </c>
      <c r="J8" s="158">
        <v>-0.4</v>
      </c>
      <c r="K8" s="158">
        <v>4.7</v>
      </c>
      <c r="L8" s="158">
        <v>19.399999999999999</v>
      </c>
      <c r="M8" s="158">
        <v>9.1999999999999993</v>
      </c>
      <c r="N8" s="158">
        <v>3.5</v>
      </c>
      <c r="O8" s="123">
        <f t="shared" si="0"/>
        <v>6.405205317978413E-2</v>
      </c>
      <c r="P8" s="123">
        <f t="shared" si="1"/>
        <v>3.7926836705649336E-2</v>
      </c>
    </row>
    <row r="9" spans="1:16">
      <c r="A9" s="149">
        <v>6</v>
      </c>
      <c r="B9" s="150" t="s">
        <v>5</v>
      </c>
      <c r="C9" s="15">
        <v>6</v>
      </c>
      <c r="D9" s="157" t="s">
        <v>5</v>
      </c>
      <c r="E9" s="158">
        <v>-0.2</v>
      </c>
      <c r="F9" s="158">
        <v>0.4</v>
      </c>
      <c r="G9" s="158">
        <v>0.8</v>
      </c>
      <c r="H9" s="158">
        <v>1.1000000000000001</v>
      </c>
      <c r="I9" s="158">
        <v>1</v>
      </c>
      <c r="J9" s="158">
        <v>0.3</v>
      </c>
      <c r="K9" s="158">
        <v>2.2000000000000002</v>
      </c>
      <c r="L9" s="158">
        <v>7.1</v>
      </c>
      <c r="M9" s="158">
        <v>6.3</v>
      </c>
      <c r="N9" s="158">
        <v>1.6</v>
      </c>
      <c r="O9" s="123">
        <f t="shared" si="0"/>
        <v>3.2779415436246184E-2</v>
      </c>
      <c r="P9" s="123">
        <f t="shared" si="1"/>
        <v>1.8907433750746661E-2</v>
      </c>
    </row>
    <row r="10" spans="1:16">
      <c r="A10" s="149">
        <v>7</v>
      </c>
      <c r="B10" s="150" t="s">
        <v>6</v>
      </c>
      <c r="C10" s="15">
        <v>7</v>
      </c>
      <c r="D10" s="157" t="s">
        <v>6</v>
      </c>
      <c r="E10" s="158">
        <v>0</v>
      </c>
      <c r="F10" s="158">
        <v>0.2</v>
      </c>
      <c r="G10" s="158">
        <v>1</v>
      </c>
      <c r="H10" s="158">
        <v>1.9</v>
      </c>
      <c r="I10" s="158">
        <v>1.1000000000000001</v>
      </c>
      <c r="J10" s="158">
        <v>0.5</v>
      </c>
      <c r="K10" s="158">
        <v>1.6</v>
      </c>
      <c r="L10" s="158">
        <v>5.2</v>
      </c>
      <c r="M10" s="158">
        <v>4.9000000000000004</v>
      </c>
      <c r="N10" s="158">
        <v>2</v>
      </c>
      <c r="O10" s="123">
        <f t="shared" si="0"/>
        <v>2.6911980937505353E-2</v>
      </c>
      <c r="P10" s="123">
        <f t="shared" si="1"/>
        <v>1.7033293646571579E-2</v>
      </c>
    </row>
    <row r="11" spans="1:16">
      <c r="A11" s="149">
        <v>8</v>
      </c>
      <c r="B11" s="150" t="s">
        <v>7</v>
      </c>
      <c r="C11" s="15">
        <v>8</v>
      </c>
      <c r="D11" s="157" t="s">
        <v>7</v>
      </c>
      <c r="E11" s="158">
        <v>-1.7</v>
      </c>
      <c r="F11" s="158">
        <v>-0.8</v>
      </c>
      <c r="G11" s="158">
        <v>1.1000000000000001</v>
      </c>
      <c r="H11" s="158">
        <v>0.6</v>
      </c>
      <c r="I11" s="158">
        <v>0.3</v>
      </c>
      <c r="J11" s="158">
        <v>-1.2</v>
      </c>
      <c r="K11" s="158">
        <v>1.2</v>
      </c>
      <c r="L11" s="158">
        <v>9.6</v>
      </c>
      <c r="M11" s="158">
        <v>3.5</v>
      </c>
      <c r="N11" s="158">
        <v>2.7</v>
      </c>
      <c r="O11" s="123">
        <f t="shared" si="0"/>
        <v>2.977350070377649E-2</v>
      </c>
      <c r="P11" s="123">
        <f t="shared" si="1"/>
        <v>1.4338548929018424E-2</v>
      </c>
    </row>
    <row r="12" spans="1:16">
      <c r="A12" s="149">
        <v>9</v>
      </c>
      <c r="B12" s="150" t="s">
        <v>8</v>
      </c>
      <c r="C12" s="15">
        <v>9</v>
      </c>
      <c r="D12" s="157" t="s">
        <v>8</v>
      </c>
      <c r="E12" s="158">
        <v>-0.3</v>
      </c>
      <c r="F12" s="158">
        <v>0</v>
      </c>
      <c r="G12" s="158">
        <v>0.4</v>
      </c>
      <c r="H12" s="158">
        <v>0.5</v>
      </c>
      <c r="I12" s="158">
        <v>0.9</v>
      </c>
      <c r="J12" s="158">
        <v>-0.3</v>
      </c>
      <c r="K12" s="158">
        <v>2.2999999999999998</v>
      </c>
      <c r="L12" s="158">
        <v>7.8</v>
      </c>
      <c r="M12" s="158">
        <v>6.3</v>
      </c>
      <c r="N12" s="158">
        <v>2.1</v>
      </c>
      <c r="O12" s="123">
        <f t="shared" si="0"/>
        <v>3.4007039196662703E-2</v>
      </c>
      <c r="P12" s="123">
        <f t="shared" si="1"/>
        <v>1.8144489423833399E-2</v>
      </c>
    </row>
    <row r="13" spans="1:16">
      <c r="A13" s="149">
        <v>10</v>
      </c>
      <c r="B13" s="150" t="s">
        <v>9</v>
      </c>
      <c r="C13" s="15">
        <v>10</v>
      </c>
      <c r="D13" s="157" t="s">
        <v>9</v>
      </c>
    </row>
    <row r="14" spans="1:16">
      <c r="A14" s="149">
        <v>11</v>
      </c>
      <c r="B14" s="150" t="s">
        <v>10</v>
      </c>
      <c r="C14" s="15">
        <v>11</v>
      </c>
      <c r="D14" s="157" t="s">
        <v>10</v>
      </c>
      <c r="E14" s="158">
        <v>0</v>
      </c>
      <c r="F14" s="158">
        <v>-0.1</v>
      </c>
      <c r="G14" s="158">
        <v>1.2</v>
      </c>
      <c r="H14" s="158">
        <v>1.1000000000000001</v>
      </c>
      <c r="I14" s="158">
        <v>0.6</v>
      </c>
      <c r="J14" s="158">
        <v>-0.1</v>
      </c>
      <c r="K14" s="158">
        <v>1.9</v>
      </c>
      <c r="L14" s="158">
        <v>8.1999999999999993</v>
      </c>
      <c r="M14" s="158">
        <v>5.6</v>
      </c>
      <c r="N14" s="158">
        <v>1</v>
      </c>
      <c r="O14" s="123">
        <f>POWER(1+SUM(J14:N14)/100,1/5)-1</f>
        <v>3.1192415492927728E-2</v>
      </c>
      <c r="P14" s="123">
        <f>POWER(1+SUM(E14:N14)/100,1/10)-1</f>
        <v>1.7889027118401568E-2</v>
      </c>
    </row>
    <row r="15" spans="1:16">
      <c r="A15" s="149">
        <v>12</v>
      </c>
      <c r="B15" s="150" t="s">
        <v>11</v>
      </c>
      <c r="C15" s="15">
        <v>12</v>
      </c>
      <c r="D15" s="157" t="s">
        <v>11</v>
      </c>
      <c r="E15" s="158">
        <v>-0.5</v>
      </c>
      <c r="F15" s="158">
        <v>-1.1000000000000001</v>
      </c>
      <c r="G15" s="158">
        <v>1.1000000000000001</v>
      </c>
      <c r="H15" s="158">
        <v>1.5</v>
      </c>
      <c r="I15" s="158">
        <v>0.8</v>
      </c>
      <c r="J15" s="158">
        <v>0.2</v>
      </c>
      <c r="K15" s="158">
        <v>2.6</v>
      </c>
      <c r="L15" s="158">
        <v>10.8</v>
      </c>
      <c r="M15" s="158">
        <v>7.9</v>
      </c>
      <c r="N15" s="158">
        <v>3</v>
      </c>
      <c r="O15" s="123">
        <f>POWER(1+SUM(J15:N15)/100,1/5)-1</f>
        <v>4.4801699309346521E-2</v>
      </c>
      <c r="P15" s="123">
        <f>POWER(1+SUM(E15:N15)/100,1/10)-1</f>
        <v>2.3623705861026911E-2</v>
      </c>
    </row>
    <row r="16" spans="1:16">
      <c r="A16" s="149">
        <v>13</v>
      </c>
      <c r="B16" s="150" t="s">
        <v>12</v>
      </c>
      <c r="C16" s="15">
        <v>13</v>
      </c>
      <c r="D16" s="157" t="s">
        <v>12</v>
      </c>
      <c r="E16" s="158">
        <v>0.2</v>
      </c>
      <c r="F16" s="158">
        <v>0.1</v>
      </c>
      <c r="G16" s="158">
        <v>2.9</v>
      </c>
      <c r="H16" s="158">
        <v>2.5</v>
      </c>
      <c r="I16" s="158">
        <v>2.8</v>
      </c>
      <c r="J16" s="158">
        <v>0.2</v>
      </c>
      <c r="K16" s="158">
        <v>3.3</v>
      </c>
      <c r="L16" s="158">
        <v>17.3</v>
      </c>
      <c r="M16" s="158">
        <v>8.9</v>
      </c>
      <c r="N16" s="158">
        <v>1.3</v>
      </c>
      <c r="O16" s="123">
        <f>POWER(1+SUM(J16:N16)/100,1/5)-1</f>
        <v>5.5490330752731909E-2</v>
      </c>
      <c r="P16" s="123">
        <f>POWER(1+SUM(E16:N16)/100,1/10)-1</f>
        <v>3.3849734985706981E-2</v>
      </c>
    </row>
    <row r="17" spans="1:16">
      <c r="A17" s="149">
        <v>14</v>
      </c>
      <c r="B17" s="150" t="s">
        <v>13</v>
      </c>
      <c r="C17" s="15">
        <v>14</v>
      </c>
      <c r="D17" s="157" t="s">
        <v>13</v>
      </c>
      <c r="P17" s="123">
        <f>POWER(1+SUM(E18:N18)/100,1/10)-1</f>
        <v>3.7209290262093075E-2</v>
      </c>
    </row>
    <row r="18" spans="1:16">
      <c r="A18" s="149">
        <v>15</v>
      </c>
      <c r="B18" s="150" t="s">
        <v>14</v>
      </c>
      <c r="C18" s="15">
        <v>15</v>
      </c>
      <c r="D18" s="157" t="s">
        <v>14</v>
      </c>
      <c r="E18" s="158">
        <v>-0.9</v>
      </c>
      <c r="F18" s="158">
        <v>0.9</v>
      </c>
      <c r="G18" s="158">
        <v>3.7</v>
      </c>
      <c r="H18" s="158">
        <v>2.7</v>
      </c>
      <c r="I18" s="158">
        <v>2.2999999999999998</v>
      </c>
      <c r="J18" s="158">
        <v>1.2</v>
      </c>
      <c r="K18" s="158">
        <v>4.7</v>
      </c>
      <c r="L18" s="158">
        <v>19.7</v>
      </c>
      <c r="M18" s="158">
        <v>9.1</v>
      </c>
      <c r="N18" s="158">
        <v>0.7</v>
      </c>
      <c r="O18" s="123">
        <f>POWER(1+SUM(J18:N18)/100,1/5)-1</f>
        <v>6.2487263975513629E-2</v>
      </c>
      <c r="P18" s="123">
        <f>POWER(1+SUM(E19:N19)/100,1/10)-1</f>
        <v>1.9329080294495204E-2</v>
      </c>
    </row>
    <row r="19" spans="1:16">
      <c r="A19" s="149">
        <v>16</v>
      </c>
      <c r="B19" s="150" t="s">
        <v>15</v>
      </c>
      <c r="C19" s="15">
        <v>16</v>
      </c>
      <c r="D19" s="157" t="s">
        <v>15</v>
      </c>
      <c r="E19" s="158">
        <v>0.5</v>
      </c>
      <c r="F19" s="158">
        <v>0.3</v>
      </c>
      <c r="G19" s="158">
        <v>1.7</v>
      </c>
      <c r="H19" s="158">
        <v>1.5</v>
      </c>
      <c r="I19" s="158">
        <v>1.7</v>
      </c>
      <c r="J19" s="158">
        <v>0.8</v>
      </c>
      <c r="K19" s="158">
        <v>2.5</v>
      </c>
      <c r="L19" s="158">
        <v>6.3</v>
      </c>
      <c r="M19" s="158">
        <v>3.7</v>
      </c>
      <c r="N19" s="158">
        <v>2.1</v>
      </c>
      <c r="O19" s="123">
        <f>POWER(1+SUM(J19:N19)/100,1/5)-1</f>
        <v>2.9061100505419102E-2</v>
      </c>
      <c r="P19" s="123">
        <f>POWER(1+SUM(E20:N20)/100,1/10)-1</f>
        <v>1.9244876491456564E-2</v>
      </c>
    </row>
    <row r="20" spans="1:16">
      <c r="A20" s="149">
        <v>17</v>
      </c>
      <c r="B20" s="150" t="s">
        <v>16</v>
      </c>
      <c r="C20" s="15">
        <v>17</v>
      </c>
      <c r="D20" s="157" t="s">
        <v>16</v>
      </c>
      <c r="E20" s="158">
        <v>1.1000000000000001</v>
      </c>
      <c r="F20" s="158">
        <v>0.6</v>
      </c>
      <c r="G20" s="158">
        <v>1.4</v>
      </c>
      <c r="H20" s="158">
        <v>1.2</v>
      </c>
      <c r="I20" s="158">
        <v>1.6</v>
      </c>
      <c r="J20" s="158">
        <v>0.6</v>
      </c>
      <c r="K20" s="158">
        <v>1.5</v>
      </c>
      <c r="L20" s="158">
        <v>6.2</v>
      </c>
      <c r="M20" s="158">
        <v>5.0999999999999996</v>
      </c>
      <c r="N20" s="158">
        <v>1.7</v>
      </c>
      <c r="O20" s="123">
        <f>POWER(1+SUM(J20:N20)/100,1/5)-1</f>
        <v>2.8525502834611638E-2</v>
      </c>
      <c r="P20" s="123">
        <f>POWER(1+SUM(E21:N21)/100,1/10)-1</f>
        <v>2.4752743569645519E-2</v>
      </c>
    </row>
    <row r="21" spans="1:16">
      <c r="A21" s="149">
        <v>18</v>
      </c>
      <c r="B21" s="150" t="s">
        <v>17</v>
      </c>
      <c r="C21" s="15">
        <v>18</v>
      </c>
      <c r="D21" s="157" t="s">
        <v>17</v>
      </c>
      <c r="E21" s="158">
        <v>0.6</v>
      </c>
      <c r="F21" s="158">
        <v>0.3</v>
      </c>
      <c r="G21" s="158">
        <v>1.4</v>
      </c>
      <c r="H21" s="158">
        <v>1.7</v>
      </c>
      <c r="I21" s="158">
        <v>2.6</v>
      </c>
      <c r="J21" s="158">
        <v>1.3</v>
      </c>
      <c r="K21" s="158">
        <v>2.7</v>
      </c>
      <c r="L21" s="158">
        <v>10</v>
      </c>
      <c r="M21" s="158">
        <v>3.8</v>
      </c>
      <c r="N21" s="158">
        <v>3.3</v>
      </c>
      <c r="O21" s="123">
        <f>POWER(1+SUM(J21:N21)/100,1/5)-1</f>
        <v>3.9031773934021352E-2</v>
      </c>
      <c r="P21" s="123">
        <f>POWER(1+SUM(E23:N23)/100,1/10)-1</f>
        <v>2.7213632421119627E-2</v>
      </c>
    </row>
    <row r="22" spans="1:16">
      <c r="A22" s="149">
        <v>19</v>
      </c>
      <c r="B22" s="150" t="s">
        <v>18</v>
      </c>
      <c r="C22" s="15">
        <v>19</v>
      </c>
      <c r="D22" s="157" t="s">
        <v>18</v>
      </c>
    </row>
    <row r="23" spans="1:16">
      <c r="A23" s="149">
        <v>20</v>
      </c>
      <c r="B23" s="150" t="s">
        <v>19</v>
      </c>
      <c r="C23" s="15">
        <v>20</v>
      </c>
      <c r="D23" s="157" t="s">
        <v>19</v>
      </c>
      <c r="E23" s="158">
        <v>0.9</v>
      </c>
      <c r="F23" s="158">
        <v>0.9</v>
      </c>
      <c r="G23" s="158">
        <v>2.1</v>
      </c>
      <c r="H23" s="158">
        <v>2</v>
      </c>
      <c r="I23" s="158">
        <v>1.5</v>
      </c>
      <c r="J23" s="158">
        <v>1.4</v>
      </c>
      <c r="K23" s="158">
        <v>2.8</v>
      </c>
      <c r="L23" s="158">
        <v>8.5</v>
      </c>
      <c r="M23" s="158">
        <v>7.8</v>
      </c>
      <c r="N23" s="158">
        <v>2.9</v>
      </c>
      <c r="O23" s="123">
        <f t="shared" ref="O23:O34" si="2">POWER(1+SUM(J23:N23)/100,1/5)-1</f>
        <v>4.2948903719995046E-2</v>
      </c>
      <c r="P23" s="123">
        <f t="shared" ref="P23:P33" si="3">POWER(1+SUM(E24:N24)/100,1/10)-1</f>
        <v>3.6197159210736407E-2</v>
      </c>
    </row>
    <row r="24" spans="1:16">
      <c r="A24" s="149">
        <v>21</v>
      </c>
      <c r="B24" s="150" t="s">
        <v>20</v>
      </c>
      <c r="C24" s="15">
        <v>21</v>
      </c>
      <c r="D24" s="157" t="s">
        <v>20</v>
      </c>
      <c r="E24" s="158">
        <v>-0.9</v>
      </c>
      <c r="F24" s="158">
        <v>-0.7</v>
      </c>
      <c r="G24" s="158">
        <v>2.1</v>
      </c>
      <c r="H24" s="158">
        <v>1.8</v>
      </c>
      <c r="I24" s="158">
        <v>2.2000000000000002</v>
      </c>
      <c r="J24" s="158">
        <v>3.4</v>
      </c>
      <c r="K24" s="158">
        <v>5.0999999999999996</v>
      </c>
      <c r="L24" s="158">
        <v>14.4</v>
      </c>
      <c r="M24" s="158">
        <v>11.5</v>
      </c>
      <c r="N24" s="158">
        <v>3.8</v>
      </c>
      <c r="O24" s="123">
        <f t="shared" si="2"/>
        <v>6.6845693882398249E-2</v>
      </c>
      <c r="P24" s="123">
        <f t="shared" si="3"/>
        <v>1.8059399411038735E-2</v>
      </c>
    </row>
    <row r="25" spans="1:16">
      <c r="A25" s="149">
        <v>22</v>
      </c>
      <c r="B25" s="150" t="s">
        <v>21</v>
      </c>
      <c r="C25" s="15">
        <v>22</v>
      </c>
      <c r="D25" s="157" t="s">
        <v>21</v>
      </c>
      <c r="E25" s="158">
        <v>0.5</v>
      </c>
      <c r="F25" s="158">
        <v>0.6</v>
      </c>
      <c r="G25" s="158">
        <v>1.4</v>
      </c>
      <c r="H25" s="158">
        <v>1</v>
      </c>
      <c r="I25" s="158">
        <v>0.3</v>
      </c>
      <c r="J25" s="158">
        <v>0</v>
      </c>
      <c r="K25" s="158">
        <v>1.3</v>
      </c>
      <c r="L25" s="158">
        <v>7.8</v>
      </c>
      <c r="M25" s="158">
        <v>4.3</v>
      </c>
      <c r="N25" s="158">
        <v>2.4</v>
      </c>
      <c r="O25" s="123">
        <f t="shared" si="2"/>
        <v>2.977350070377649E-2</v>
      </c>
      <c r="P25" s="123">
        <f t="shared" si="3"/>
        <v>3.7998346359950252E-2</v>
      </c>
    </row>
    <row r="26" spans="1:16">
      <c r="A26" s="149">
        <v>23</v>
      </c>
      <c r="B26" s="150" t="s">
        <v>22</v>
      </c>
      <c r="C26" s="15">
        <v>23</v>
      </c>
      <c r="D26" s="157" t="s">
        <v>22</v>
      </c>
      <c r="E26" s="158">
        <v>-0.6</v>
      </c>
      <c r="F26" s="158">
        <v>-1.5</v>
      </c>
      <c r="G26" s="158">
        <v>1.3</v>
      </c>
      <c r="H26" s="158">
        <v>4.5999999999999996</v>
      </c>
      <c r="I26" s="158">
        <v>3.8</v>
      </c>
      <c r="J26" s="158">
        <v>2.6</v>
      </c>
      <c r="K26" s="158">
        <v>5.0999999999999996</v>
      </c>
      <c r="L26" s="158">
        <v>13.8</v>
      </c>
      <c r="M26" s="158">
        <v>10.4</v>
      </c>
      <c r="N26" s="158">
        <v>5.7</v>
      </c>
      <c r="O26" s="123">
        <f t="shared" si="2"/>
        <v>6.5917731595733553E-2</v>
      </c>
      <c r="P26" s="123">
        <f t="shared" si="3"/>
        <v>2.5791204689332936E-2</v>
      </c>
    </row>
    <row r="27" spans="1:16">
      <c r="A27" s="149">
        <v>24</v>
      </c>
      <c r="B27" s="150" t="s">
        <v>23</v>
      </c>
      <c r="C27" s="15">
        <v>24</v>
      </c>
      <c r="D27" s="157" t="s">
        <v>23</v>
      </c>
      <c r="E27" s="158">
        <v>0</v>
      </c>
      <c r="F27" s="158">
        <v>1</v>
      </c>
      <c r="G27" s="158">
        <v>1.8</v>
      </c>
      <c r="H27" s="158">
        <v>2</v>
      </c>
      <c r="I27" s="158">
        <v>1.8</v>
      </c>
      <c r="J27" s="158">
        <v>0.5</v>
      </c>
      <c r="K27" s="158">
        <v>2.2000000000000002</v>
      </c>
      <c r="L27" s="158">
        <v>8.4</v>
      </c>
      <c r="M27" s="158">
        <v>8.5</v>
      </c>
      <c r="N27" s="158">
        <v>2.8</v>
      </c>
      <c r="O27" s="123">
        <f t="shared" si="2"/>
        <v>4.1253042869221046E-2</v>
      </c>
      <c r="P27" s="123">
        <f t="shared" si="3"/>
        <v>6.0335210865221089E-3</v>
      </c>
    </row>
    <row r="28" spans="1:16">
      <c r="A28" s="149">
        <v>25</v>
      </c>
      <c r="B28" s="150" t="s">
        <v>24</v>
      </c>
      <c r="C28" s="15">
        <v>25</v>
      </c>
      <c r="D28" s="157" t="s">
        <v>24</v>
      </c>
      <c r="E28" s="158">
        <v>-1.1000000000000001</v>
      </c>
      <c r="F28" s="158">
        <v>-0.4</v>
      </c>
      <c r="G28" s="158">
        <v>0.5</v>
      </c>
      <c r="H28" s="158">
        <v>0.9</v>
      </c>
      <c r="I28" s="158">
        <v>0.4</v>
      </c>
      <c r="J28" s="158">
        <v>-0.7</v>
      </c>
      <c r="K28" s="158">
        <v>0.6</v>
      </c>
      <c r="L28" s="158">
        <v>2.8</v>
      </c>
      <c r="M28" s="158">
        <v>2.1</v>
      </c>
      <c r="N28" s="158">
        <v>1.1000000000000001</v>
      </c>
      <c r="O28" s="123">
        <f t="shared" si="2"/>
        <v>1.1530988483394511E-2</v>
      </c>
      <c r="P28" s="123">
        <f t="shared" si="3"/>
        <v>3.1831090760549463E-2</v>
      </c>
    </row>
    <row r="29" spans="1:16">
      <c r="A29" s="149">
        <v>26</v>
      </c>
      <c r="B29" s="150" t="s">
        <v>25</v>
      </c>
      <c r="C29" s="15">
        <v>26</v>
      </c>
      <c r="D29" s="157" t="s">
        <v>25</v>
      </c>
      <c r="E29" s="158">
        <v>-0.3</v>
      </c>
      <c r="F29" s="158">
        <v>-0.5</v>
      </c>
      <c r="G29" s="158">
        <v>1.3</v>
      </c>
      <c r="H29" s="158">
        <v>2.5</v>
      </c>
      <c r="I29" s="158">
        <v>2.7</v>
      </c>
      <c r="J29" s="158">
        <v>1.9</v>
      </c>
      <c r="K29" s="158">
        <v>3.1</v>
      </c>
      <c r="L29" s="158">
        <v>12.8</v>
      </c>
      <c r="M29" s="158">
        <v>10.5</v>
      </c>
      <c r="N29" s="158">
        <v>2.8</v>
      </c>
      <c r="O29" s="123">
        <f t="shared" si="2"/>
        <v>5.5651425133061982E-2</v>
      </c>
      <c r="P29" s="123">
        <f t="shared" si="3"/>
        <v>2.1826539257360666E-2</v>
      </c>
    </row>
    <row r="30" spans="1:16">
      <c r="A30" s="149">
        <v>27</v>
      </c>
      <c r="B30" s="150" t="s">
        <v>26</v>
      </c>
      <c r="C30" s="15">
        <v>27</v>
      </c>
      <c r="D30" s="157" t="s">
        <v>26</v>
      </c>
      <c r="E30" s="158">
        <v>-0.5</v>
      </c>
      <c r="F30" s="158">
        <v>-0.1</v>
      </c>
      <c r="G30" s="158">
        <v>1.4</v>
      </c>
      <c r="H30" s="158">
        <v>1.7</v>
      </c>
      <c r="I30" s="158">
        <v>1.6</v>
      </c>
      <c r="J30" s="158">
        <v>-0.1</v>
      </c>
      <c r="K30" s="158">
        <v>1.9</v>
      </c>
      <c r="L30" s="158">
        <v>8.8000000000000007</v>
      </c>
      <c r="M30" s="158">
        <v>7.4</v>
      </c>
      <c r="N30" s="158">
        <v>2</v>
      </c>
      <c r="O30" s="123">
        <f t="shared" si="2"/>
        <v>3.7137289336648172E-2</v>
      </c>
      <c r="P30" s="123">
        <f t="shared" si="3"/>
        <v>1.9413221541562109E-2</v>
      </c>
    </row>
    <row r="31" spans="1:16">
      <c r="A31" s="149">
        <v>28</v>
      </c>
      <c r="B31" s="150" t="s">
        <v>27</v>
      </c>
      <c r="C31" s="15">
        <v>28</v>
      </c>
      <c r="D31" s="157" t="s">
        <v>27</v>
      </c>
      <c r="E31" s="158">
        <v>-0.5</v>
      </c>
      <c r="F31" s="158">
        <v>-0.2</v>
      </c>
      <c r="G31" s="158">
        <v>2</v>
      </c>
      <c r="H31" s="158">
        <v>1.7</v>
      </c>
      <c r="I31" s="158">
        <v>0.7</v>
      </c>
      <c r="J31" s="158">
        <v>-0.3</v>
      </c>
      <c r="K31" s="158">
        <v>3.1</v>
      </c>
      <c r="L31" s="158">
        <v>8.4</v>
      </c>
      <c r="M31" s="158">
        <v>3.5</v>
      </c>
      <c r="N31" s="158">
        <v>2.8</v>
      </c>
      <c r="O31" s="123">
        <f t="shared" si="2"/>
        <v>3.2779415436246184E-2</v>
      </c>
      <c r="P31" s="123">
        <f t="shared" si="3"/>
        <v>3.6848834893233429E-2</v>
      </c>
    </row>
    <row r="32" spans="1:16">
      <c r="A32" s="149">
        <v>29</v>
      </c>
      <c r="B32" s="150" t="s">
        <v>3501</v>
      </c>
      <c r="C32" s="15">
        <v>29</v>
      </c>
      <c r="D32" s="157" t="s">
        <v>3501</v>
      </c>
      <c r="E32" s="158">
        <v>0.3</v>
      </c>
      <c r="F32" s="158">
        <v>0.7</v>
      </c>
      <c r="G32" s="158">
        <v>2.5</v>
      </c>
      <c r="H32" s="158">
        <v>2.1</v>
      </c>
      <c r="I32" s="158">
        <v>2.8</v>
      </c>
      <c r="J32" s="158">
        <v>3.2</v>
      </c>
      <c r="K32" s="158">
        <v>3.8</v>
      </c>
      <c r="L32" s="158">
        <v>15.1</v>
      </c>
      <c r="M32" s="158">
        <v>10.7</v>
      </c>
      <c r="N32" s="158">
        <v>2.4</v>
      </c>
      <c r="O32" s="123">
        <f t="shared" si="2"/>
        <v>6.2173197333575514E-2</v>
      </c>
      <c r="P32" s="123">
        <f t="shared" si="3"/>
        <v>4.3170875405886378E-2</v>
      </c>
    </row>
    <row r="33" spans="1:16">
      <c r="A33" s="149">
        <v>30</v>
      </c>
      <c r="B33" s="150" t="s">
        <v>29</v>
      </c>
      <c r="C33" s="15">
        <v>30</v>
      </c>
      <c r="D33" s="157" t="s">
        <v>29</v>
      </c>
      <c r="E33" s="158">
        <v>-0.1</v>
      </c>
      <c r="F33" s="158">
        <v>0.4</v>
      </c>
      <c r="G33" s="158">
        <v>2.2999999999999998</v>
      </c>
      <c r="H33" s="158">
        <v>2.9</v>
      </c>
      <c r="I33" s="158">
        <v>3.3</v>
      </c>
      <c r="J33" s="158">
        <v>3.3</v>
      </c>
      <c r="K33" s="158">
        <v>5.0999999999999996</v>
      </c>
      <c r="L33" s="158">
        <v>14.6</v>
      </c>
      <c r="M33" s="158">
        <v>17.100000000000001</v>
      </c>
      <c r="N33" s="158">
        <v>3.7</v>
      </c>
      <c r="O33" s="123">
        <f t="shared" si="2"/>
        <v>7.5354798087896357E-2</v>
      </c>
      <c r="P33" s="123">
        <f t="shared" si="3"/>
        <v>1.3366656712912262E-2</v>
      </c>
    </row>
    <row r="34" spans="1:16">
      <c r="A34" s="149">
        <v>31</v>
      </c>
      <c r="B34" s="150" t="s">
        <v>30</v>
      </c>
      <c r="C34" s="15">
        <v>31</v>
      </c>
      <c r="D34" s="157" t="s">
        <v>30</v>
      </c>
      <c r="E34" s="158">
        <v>-2.1</v>
      </c>
      <c r="F34" s="158">
        <v>-1.4</v>
      </c>
      <c r="G34" s="158">
        <v>0.5</v>
      </c>
      <c r="H34" s="158">
        <v>1.4</v>
      </c>
      <c r="I34" s="158">
        <v>0.3</v>
      </c>
      <c r="J34" s="158">
        <v>-0.6</v>
      </c>
      <c r="K34" s="158">
        <v>2.4</v>
      </c>
      <c r="L34" s="158">
        <v>8.4</v>
      </c>
      <c r="M34" s="158">
        <v>3.5</v>
      </c>
      <c r="N34" s="158">
        <v>1.8</v>
      </c>
      <c r="O34" s="123">
        <f t="shared" si="2"/>
        <v>2.9239385530068329E-2</v>
      </c>
    </row>
    <row r="36" spans="1:16">
      <c r="D36" s="155" t="s">
        <v>3732</v>
      </c>
    </row>
  </sheetData>
  <sheetProtection algorithmName="SHA-512" hashValue="F3HVS/oOn+V9uX5maZuBQ6pG3mOnwztC26jMP38YUVaAzzQrXblPsmdclhMwrgDJHGJyZ4z9TIbcE0GxMvSt0A==" saltValue="6Pwp4LsHoTdv00oRZnIspQ==" spinCount="100000" sheet="1" objects="1" scenarios="1"/>
  <autoFilter ref="C3:P31" xr:uid="{845FA817-EF27-4282-BA27-7D6E8854F124}"/>
  <mergeCells count="1">
    <mergeCell ref="O2:P2"/>
  </mergeCells>
  <hyperlinks>
    <hyperlink ref="D1" r:id="rId1" tooltip="Inflation, consumer prices for Sweden (FPCPITOTLZGSWE) | FRED | St. Louis Fed" display="https://fred.stlouisfed.org/series/FPCPITOTLZGSWE" xr:uid="{C75F7B6B-5DBE-41A9-AC36-3C90D85EF310}"/>
    <hyperlink ref="D36" r:id="rId2" tooltip="Table Data - Inflation, consumer prices for Austria | FRED | St. Louis Fed" display="https://fred.stlouisfed.org/data/FPCPITOTLZGAUT.txt" xr:uid="{95CC885F-C001-4A15-8530-160239543E9B}"/>
    <hyperlink ref="B10" location="Frankreich!A1" display="Frankreich" xr:uid="{0F765759-2303-42C0-B2C1-E310A01D624F}"/>
    <hyperlink ref="B4" location="B" display="Belgien" xr:uid="{05F49DDD-F3CC-4BF0-A74D-98F6D33FC6F8}"/>
    <hyperlink ref="B5" location="BG" display="Bulgarien" xr:uid="{CBEC9E83-C9B6-4962-A3CF-F8FBE0EB27C6}"/>
    <hyperlink ref="B6" location="DK" display="Dänemark" xr:uid="{BD0ED256-1EDE-4613-849C-42FA2CEBA157}"/>
    <hyperlink ref="B7" location="D" display="Deutschland" xr:uid="{E02C013C-C392-4BE3-A118-1345DE689600}"/>
    <hyperlink ref="B8" location="EST" display="Estland" xr:uid="{EB306094-356D-40D7-B4F4-430897AF3DFD}"/>
    <hyperlink ref="B9" location="FIN" display="Finnland" xr:uid="{8B555FEB-ED98-4211-85BF-AE0765E7324E}"/>
    <hyperlink ref="B11" location="GR" display="Griechenland" xr:uid="{A52B6185-4437-4AC7-9D4E-7E862FCAE02F}"/>
    <hyperlink ref="B12" location="I" display="Irland" xr:uid="{134F8BF6-ADAD-4D21-A260-4E4912696011}"/>
    <hyperlink ref="B13" location="IS" display="Island" xr:uid="{518364EB-FE87-4209-8E0E-96DCFE1B8831}"/>
    <hyperlink ref="B14" location="I" display="Italien" xr:uid="{F35FA2FE-F131-456D-8F5E-852714EF41A8}"/>
    <hyperlink ref="B15" location="HR" display="Kroatien" xr:uid="{71F60791-9A0C-4CB8-8225-980EF5F612E3}"/>
    <hyperlink ref="B16" location="LV" display="Lettland" xr:uid="{FC96124C-5832-45F6-B6F7-D00508B9D25F}"/>
    <hyperlink ref="B17" location="FL" display="Liechtenstein" xr:uid="{413FC02D-E305-4059-859A-8356D623B017}"/>
    <hyperlink ref="B18" location="LT" display="Litauen" xr:uid="{529047F2-260E-4897-A519-6812C8306940}"/>
    <hyperlink ref="B19" location="L" display="Luxemburg" xr:uid="{9A9EBFC6-380F-4CA4-937B-EBBB91330148}"/>
    <hyperlink ref="B20" location="M" display="Malta" xr:uid="{93B1CFCE-EB0D-4F42-BD14-ACFF844E9764}"/>
    <hyperlink ref="B21" location="NL" display="Niederlande" xr:uid="{3E8995BA-9A53-4625-8229-05867F2D176A}"/>
    <hyperlink ref="B22" location="N" display="Norwegen" xr:uid="{D4540ABD-BD68-4103-AC8E-DA9CD1C73DB6}"/>
    <hyperlink ref="B23" location="A" display="Österreich" xr:uid="{9751FA53-17B4-48F9-B3CA-408D9CC5359E}"/>
    <hyperlink ref="B24" location="PL" display="Polen" xr:uid="{F2C08FB0-6F5C-4B2D-A60A-41D65BE4F825}"/>
    <hyperlink ref="B25" location="P" display="Portugal" xr:uid="{A8A866FC-D4DA-48B8-9A6A-39F9669C376D}"/>
    <hyperlink ref="B26" location="RO" display="Rumänien" xr:uid="{7A0053CC-65AC-405C-AFC1-65B682723B87}"/>
    <hyperlink ref="B28" location="CH" display="Schweiz" xr:uid="{8A261893-B3C2-45E0-BE0B-7F39C94FAD5B}"/>
    <hyperlink ref="B29" location="SK" display="Slowakei" xr:uid="{9A86D32A-DEEC-4369-8F47-91834E41ED7F}"/>
    <hyperlink ref="B30" location="SLO" display="Slowenien" xr:uid="{44FE1F9B-2A4F-428C-B9B7-C34EC3B69DA1}"/>
    <hyperlink ref="B31" location="E" display="Spanien" xr:uid="{456C1D2F-A50D-4D66-A79F-F1FCB74D9456}"/>
    <hyperlink ref="B32" location="CZ" display="Tschechische Republik" xr:uid="{D810A86E-A0BC-4301-A7F9-3D889ECA6E53}"/>
    <hyperlink ref="B33" location="H" display="Ungarn" xr:uid="{4D366610-62F6-476D-9695-1B580367E8DC}"/>
    <hyperlink ref="B34" location="CY" display="Zypern" xr:uid="{BF5EC702-2212-4579-A937-6267C47016A4}"/>
    <hyperlink ref="B27" location="Schwe" display="Schweden" xr:uid="{7CC1ED58-C419-4544-9E8A-696E3CCF4D34}"/>
  </hyperlinks>
  <pageMargins left="0.7" right="0.7" top="0.78740157499999996" bottom="0.78740157499999996" header="0.3" footer="0.3"/>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1C619-E617-464A-888E-1891FFEA3B9D}">
  <sheetPr codeName="Tabelle58"/>
  <dimension ref="A1:D58"/>
  <sheetViews>
    <sheetView workbookViewId="0">
      <pane ySplit="1" topLeftCell="A2" activePane="bottomLeft" state="frozen"/>
      <selection pane="bottomLeft" activeCell="B10" sqref="B10"/>
      <extLst>
        <ext xmlns:xlsdti="http://schemas.microsoft.com/office/spreadsheetml/2023/showDataTypeIcons" uri="{77bfe23e-c014-4d31-8a63-9c772dbf06b6}">
          <xlsdti:showDataTypeIcons visible="0"/>
        </ext>
      </extLst>
    </sheetView>
  </sheetViews>
  <sheetFormatPr baseColWidth="10" defaultColWidth="0" defaultRowHeight="15"/>
  <cols>
    <col min="1" max="1" width="18.5703125" customWidth="1"/>
    <col min="2" max="2" width="40.85546875" customWidth="1"/>
    <col min="3" max="3" width="52.85546875" customWidth="1"/>
    <col min="4" max="4" width="10.85546875" customWidth="1"/>
    <col min="5" max="16384" width="10.85546875" hidden="1"/>
  </cols>
  <sheetData>
    <row r="1" spans="1:3" ht="33.6" customHeight="1">
      <c r="A1" s="171" t="s">
        <v>2883</v>
      </c>
      <c r="B1" s="171" t="s">
        <v>4104</v>
      </c>
      <c r="C1" s="171" t="s">
        <v>4105</v>
      </c>
    </row>
    <row r="2" spans="1:3" ht="30" customHeight="1">
      <c r="A2" s="172" t="s">
        <v>4139</v>
      </c>
      <c r="B2" s="413" t="s">
        <v>4140</v>
      </c>
      <c r="C2" s="172" t="s">
        <v>4141</v>
      </c>
    </row>
    <row r="3" spans="1:3" ht="30" customHeight="1">
      <c r="A3" s="172" t="s">
        <v>2</v>
      </c>
      <c r="B3" s="413" t="s">
        <v>4196</v>
      </c>
      <c r="C3" s="172" t="s">
        <v>4142</v>
      </c>
    </row>
    <row r="4" spans="1:3" ht="30" customHeight="1">
      <c r="A4" s="172" t="s">
        <v>2</v>
      </c>
      <c r="B4" s="413" t="s">
        <v>4197</v>
      </c>
      <c r="C4" s="172" t="s">
        <v>4143</v>
      </c>
    </row>
    <row r="5" spans="1:3" ht="30" customHeight="1">
      <c r="A5" s="172" t="s">
        <v>2</v>
      </c>
      <c r="B5" s="413" t="s">
        <v>4197</v>
      </c>
      <c r="C5" s="172" t="s">
        <v>4144</v>
      </c>
    </row>
    <row r="6" spans="1:3" ht="30" customHeight="1">
      <c r="A6" s="172" t="s">
        <v>6</v>
      </c>
      <c r="B6" s="413" t="s">
        <v>4145</v>
      </c>
      <c r="C6" s="172" t="s">
        <v>4146</v>
      </c>
    </row>
    <row r="7" spans="1:3" ht="30" customHeight="1">
      <c r="A7" s="172" t="s">
        <v>6</v>
      </c>
      <c r="B7" s="413" t="s">
        <v>4145</v>
      </c>
      <c r="C7" s="172" t="s">
        <v>4147</v>
      </c>
    </row>
    <row r="8" spans="1:3" ht="30" customHeight="1">
      <c r="A8" s="172" t="s">
        <v>8</v>
      </c>
      <c r="B8" s="413" t="s">
        <v>4198</v>
      </c>
      <c r="C8" s="172" t="s">
        <v>4148</v>
      </c>
    </row>
    <row r="9" spans="1:3" ht="30" customHeight="1">
      <c r="A9" s="172" t="s">
        <v>10</v>
      </c>
      <c r="B9" s="413" t="s">
        <v>4149</v>
      </c>
      <c r="C9" s="172" t="s">
        <v>4150</v>
      </c>
    </row>
    <row r="10" spans="1:3" ht="30" customHeight="1">
      <c r="A10" s="172" t="s">
        <v>10</v>
      </c>
      <c r="B10" s="413" t="s">
        <v>4151</v>
      </c>
      <c r="C10" s="172" t="s">
        <v>4152</v>
      </c>
    </row>
    <row r="11" spans="1:3" ht="30" customHeight="1">
      <c r="A11" s="172" t="s">
        <v>15</v>
      </c>
      <c r="B11" s="413" t="s">
        <v>4204</v>
      </c>
      <c r="C11" s="172" t="s">
        <v>4153</v>
      </c>
    </row>
    <row r="12" spans="1:3" ht="30" customHeight="1">
      <c r="A12" s="172" t="s">
        <v>15</v>
      </c>
      <c r="B12" s="413" t="s">
        <v>4568</v>
      </c>
      <c r="C12" s="172" t="s">
        <v>4154</v>
      </c>
    </row>
    <row r="13" spans="1:3" ht="30" customHeight="1">
      <c r="A13" s="172" t="s">
        <v>4155</v>
      </c>
      <c r="B13" s="413" t="s">
        <v>4199</v>
      </c>
      <c r="C13" s="172" t="s">
        <v>4156</v>
      </c>
    </row>
    <row r="14" spans="1:3" ht="30" customHeight="1">
      <c r="A14" s="172" t="s">
        <v>4155</v>
      </c>
      <c r="B14" s="413" t="s">
        <v>4203</v>
      </c>
      <c r="C14" s="172" t="s">
        <v>4157</v>
      </c>
    </row>
    <row r="15" spans="1:3" ht="30" customHeight="1">
      <c r="A15" s="172" t="s">
        <v>4155</v>
      </c>
      <c r="B15" s="413" t="s">
        <v>4570</v>
      </c>
      <c r="C15" s="172" t="s">
        <v>4158</v>
      </c>
    </row>
    <row r="16" spans="1:3" ht="30" customHeight="1">
      <c r="A16" s="172" t="s">
        <v>17</v>
      </c>
      <c r="B16" s="413" t="s">
        <v>4159</v>
      </c>
      <c r="C16" s="172" t="s">
        <v>4160</v>
      </c>
    </row>
    <row r="17" spans="1:3" ht="30" customHeight="1">
      <c r="A17" s="172" t="s">
        <v>17</v>
      </c>
      <c r="B17" s="413" t="s">
        <v>4161</v>
      </c>
      <c r="C17" s="172" t="s">
        <v>4162</v>
      </c>
    </row>
    <row r="18" spans="1:3" ht="30" customHeight="1">
      <c r="A18" s="172" t="s">
        <v>19</v>
      </c>
      <c r="B18" s="413" t="s">
        <v>4106</v>
      </c>
      <c r="C18" s="172" t="s">
        <v>4107</v>
      </c>
    </row>
    <row r="19" spans="1:3" ht="30" customHeight="1">
      <c r="A19" s="172" t="s">
        <v>19</v>
      </c>
      <c r="B19" s="413" t="s">
        <v>4106</v>
      </c>
      <c r="C19" s="172" t="s">
        <v>4108</v>
      </c>
    </row>
    <row r="20" spans="1:3" ht="30" customHeight="1">
      <c r="A20" s="172" t="s">
        <v>19</v>
      </c>
      <c r="B20" s="413" t="s">
        <v>4109</v>
      </c>
      <c r="C20" s="172" t="s">
        <v>4110</v>
      </c>
    </row>
    <row r="21" spans="1:3" ht="30" customHeight="1">
      <c r="A21" s="172" t="s">
        <v>19</v>
      </c>
      <c r="B21" s="413" t="s">
        <v>4109</v>
      </c>
      <c r="C21" s="172" t="s">
        <v>4111</v>
      </c>
    </row>
    <row r="22" spans="1:3" ht="30" customHeight="1">
      <c r="A22" s="172" t="s">
        <v>19</v>
      </c>
      <c r="B22" s="413" t="s">
        <v>4112</v>
      </c>
      <c r="C22" s="172" t="s">
        <v>4113</v>
      </c>
    </row>
    <row r="23" spans="1:3" ht="30" customHeight="1">
      <c r="A23" s="172" t="s">
        <v>20</v>
      </c>
      <c r="B23" s="413" t="s">
        <v>4163</v>
      </c>
      <c r="C23" s="172" t="s">
        <v>4164</v>
      </c>
    </row>
    <row r="24" spans="1:3" ht="30">
      <c r="A24" s="172" t="s">
        <v>21</v>
      </c>
      <c r="B24" s="413" t="s">
        <v>4165</v>
      </c>
      <c r="C24" s="172" t="s">
        <v>4166</v>
      </c>
    </row>
    <row r="25" spans="1:3" ht="30">
      <c r="A25" s="172" t="s">
        <v>22</v>
      </c>
      <c r="B25" s="413" t="s">
        <v>4167</v>
      </c>
      <c r="C25" s="172" t="s">
        <v>4168</v>
      </c>
    </row>
    <row r="26" spans="1:3" ht="30">
      <c r="A26" s="172" t="s">
        <v>22</v>
      </c>
      <c r="B26" s="413" t="s">
        <v>4169</v>
      </c>
      <c r="C26" s="172" t="s">
        <v>4170</v>
      </c>
    </row>
    <row r="27" spans="1:3">
      <c r="A27" s="172" t="s">
        <v>24</v>
      </c>
      <c r="B27" s="413" t="s">
        <v>4114</v>
      </c>
      <c r="C27" s="172" t="s">
        <v>4115</v>
      </c>
    </row>
    <row r="28" spans="1:3">
      <c r="A28" s="172" t="s">
        <v>24</v>
      </c>
      <c r="B28" s="413" t="s">
        <v>4116</v>
      </c>
      <c r="C28" s="172" t="s">
        <v>4117</v>
      </c>
    </row>
    <row r="29" spans="1:3" ht="30">
      <c r="A29" s="172" t="s">
        <v>24</v>
      </c>
      <c r="B29" s="413" t="s">
        <v>4569</v>
      </c>
      <c r="C29" s="172" t="s">
        <v>4118</v>
      </c>
    </row>
    <row r="30" spans="1:3" ht="30">
      <c r="A30" s="172" t="s">
        <v>24</v>
      </c>
      <c r="B30" s="413" t="s">
        <v>4569</v>
      </c>
      <c r="C30" s="172" t="s">
        <v>4119</v>
      </c>
    </row>
    <row r="31" spans="1:3">
      <c r="A31" s="172" t="s">
        <v>24</v>
      </c>
      <c r="B31" s="413" t="s">
        <v>4120</v>
      </c>
      <c r="C31" s="172" t="s">
        <v>4121</v>
      </c>
    </row>
    <row r="32" spans="1:3">
      <c r="A32" s="172" t="s">
        <v>24</v>
      </c>
      <c r="B32" s="413" t="s">
        <v>4120</v>
      </c>
      <c r="C32" s="172" t="s">
        <v>4122</v>
      </c>
    </row>
    <row r="33" spans="1:3" ht="30">
      <c r="A33" s="172" t="s">
        <v>24</v>
      </c>
      <c r="B33" s="413" t="s">
        <v>4123</v>
      </c>
      <c r="C33" s="172" t="s">
        <v>4124</v>
      </c>
    </row>
    <row r="34" spans="1:3" ht="30">
      <c r="A34" s="172" t="s">
        <v>24</v>
      </c>
      <c r="B34" s="413" t="s">
        <v>4125</v>
      </c>
      <c r="C34" s="172" t="s">
        <v>4126</v>
      </c>
    </row>
    <row r="35" spans="1:3" ht="30">
      <c r="A35" s="172" t="s">
        <v>24</v>
      </c>
      <c r="B35" s="413" t="s">
        <v>4200</v>
      </c>
      <c r="C35" s="172" t="s">
        <v>4127</v>
      </c>
    </row>
    <row r="36" spans="1:3">
      <c r="A36" s="172" t="s">
        <v>24</v>
      </c>
      <c r="B36" s="413" t="s">
        <v>4200</v>
      </c>
      <c r="C36" s="172" t="s">
        <v>4128</v>
      </c>
    </row>
    <row r="37" spans="1:3" ht="30">
      <c r="A37" s="172" t="s">
        <v>24</v>
      </c>
      <c r="B37" s="413" t="s">
        <v>4129</v>
      </c>
      <c r="C37" s="172" t="s">
        <v>4130</v>
      </c>
    </row>
    <row r="38" spans="1:3" ht="30">
      <c r="A38" s="172" t="s">
        <v>24</v>
      </c>
      <c r="B38" s="413" t="s">
        <v>4131</v>
      </c>
      <c r="C38" s="172" t="s">
        <v>4132</v>
      </c>
    </row>
    <row r="39" spans="1:3" ht="30">
      <c r="A39" s="172" t="s">
        <v>24</v>
      </c>
      <c r="B39" s="413" t="s">
        <v>4131</v>
      </c>
      <c r="C39" s="172" t="s">
        <v>4133</v>
      </c>
    </row>
    <row r="40" spans="1:3">
      <c r="A40" s="172" t="s">
        <v>24</v>
      </c>
      <c r="B40" s="413" t="s">
        <v>4134</v>
      </c>
      <c r="C40" s="172" t="s">
        <v>4135</v>
      </c>
    </row>
    <row r="41" spans="1:3">
      <c r="A41" s="172" t="s">
        <v>24</v>
      </c>
      <c r="B41" s="413" t="s">
        <v>4134</v>
      </c>
      <c r="C41" s="172" t="s">
        <v>4136</v>
      </c>
    </row>
    <row r="42" spans="1:3" ht="30">
      <c r="A42" s="172" t="s">
        <v>24</v>
      </c>
      <c r="B42" s="413" t="s">
        <v>4137</v>
      </c>
      <c r="C42" s="172" t="s">
        <v>4132</v>
      </c>
    </row>
    <row r="43" spans="1:3" ht="30">
      <c r="A43" s="172" t="s">
        <v>24</v>
      </c>
      <c r="B43" s="413" t="s">
        <v>4137</v>
      </c>
      <c r="C43" s="172" t="s">
        <v>4138</v>
      </c>
    </row>
    <row r="44" spans="1:3">
      <c r="A44" s="172" t="s">
        <v>3622</v>
      </c>
      <c r="B44" s="413" t="s">
        <v>4171</v>
      </c>
      <c r="C44" s="172" t="s">
        <v>4172</v>
      </c>
    </row>
    <row r="45" spans="1:3">
      <c r="A45" s="172" t="s">
        <v>3622</v>
      </c>
      <c r="B45" s="413" t="s">
        <v>4171</v>
      </c>
      <c r="C45" s="172" t="s">
        <v>4173</v>
      </c>
    </row>
    <row r="46" spans="1:3">
      <c r="A46" s="172" t="s">
        <v>3622</v>
      </c>
      <c r="B46" s="413" t="s">
        <v>4171</v>
      </c>
      <c r="C46" s="172" t="s">
        <v>4174</v>
      </c>
    </row>
    <row r="47" spans="1:3" ht="30">
      <c r="A47" s="172" t="s">
        <v>27</v>
      </c>
      <c r="B47" s="413" t="s">
        <v>4175</v>
      </c>
      <c r="C47" s="172" t="s">
        <v>4176</v>
      </c>
    </row>
    <row r="48" spans="1:3" ht="45">
      <c r="A48" s="172" t="s">
        <v>3501</v>
      </c>
      <c r="B48" s="413" t="s">
        <v>4177</v>
      </c>
      <c r="C48" s="172" t="s">
        <v>4178</v>
      </c>
    </row>
    <row r="49" spans="1:3" ht="30">
      <c r="A49" s="172" t="s">
        <v>4179</v>
      </c>
      <c r="B49" s="413" t="s">
        <v>4202</v>
      </c>
      <c r="C49" s="172" t="s">
        <v>4180</v>
      </c>
    </row>
    <row r="50" spans="1:3" ht="30">
      <c r="A50" s="172" t="s">
        <v>4179</v>
      </c>
      <c r="B50" s="413" t="s">
        <v>4201</v>
      </c>
      <c r="C50" s="172" t="s">
        <v>4181</v>
      </c>
    </row>
    <row r="51" spans="1:3" ht="30">
      <c r="A51" s="172" t="s">
        <v>4179</v>
      </c>
      <c r="B51" s="413" t="s">
        <v>4182</v>
      </c>
      <c r="C51" s="172" t="s">
        <v>4183</v>
      </c>
    </row>
    <row r="52" spans="1:3">
      <c r="A52" s="172" t="s">
        <v>4179</v>
      </c>
      <c r="B52" s="413" t="s">
        <v>4184</v>
      </c>
      <c r="C52" s="172" t="s">
        <v>4185</v>
      </c>
    </row>
    <row r="53" spans="1:3">
      <c r="A53" s="172" t="s">
        <v>4179</v>
      </c>
      <c r="B53" s="413" t="s">
        <v>4184</v>
      </c>
      <c r="C53" s="172" t="s">
        <v>4186</v>
      </c>
    </row>
    <row r="54" spans="1:3">
      <c r="A54" s="172" t="s">
        <v>4179</v>
      </c>
      <c r="B54" s="413" t="s">
        <v>4184</v>
      </c>
      <c r="C54" s="172" t="s">
        <v>4187</v>
      </c>
    </row>
    <row r="55" spans="1:3" ht="45">
      <c r="A55" s="172" t="s">
        <v>4179</v>
      </c>
      <c r="B55" s="413" t="s">
        <v>4188</v>
      </c>
      <c r="C55" s="172" t="s">
        <v>4189</v>
      </c>
    </row>
    <row r="56" spans="1:3" ht="45">
      <c r="A56" s="172" t="s">
        <v>4179</v>
      </c>
      <c r="B56" s="413" t="s">
        <v>4190</v>
      </c>
      <c r="C56" s="172" t="s">
        <v>4191</v>
      </c>
    </row>
    <row r="57" spans="1:3" ht="30">
      <c r="A57" s="172" t="s">
        <v>3785</v>
      </c>
      <c r="B57" s="413" t="s">
        <v>4192</v>
      </c>
      <c r="C57" s="172" t="s">
        <v>4193</v>
      </c>
    </row>
    <row r="58" spans="1:3" ht="30">
      <c r="A58" s="172" t="s">
        <v>3785</v>
      </c>
      <c r="B58" s="413" t="s">
        <v>4194</v>
      </c>
      <c r="C58" s="172" t="s">
        <v>4195</v>
      </c>
    </row>
  </sheetData>
  <sheetProtection algorithmName="SHA-512" hashValue="fsG+inthEgM/gZLl5WL4FTLn4aG0MjJIaN45PlQFe+HfVON97Mc6Uj3Fm9DqODxdIH4Hn8lCai8hfAZtQgFCFg==" saltValue="Ns/oDGgTKsPkMBWAwpZf3A==" spinCount="100000" sheet="1" objects="1" scenarios="1"/>
  <autoFilter ref="A1:C58" xr:uid="{F511C619-E617-464A-888E-1891FFEA3B9D}">
    <sortState xmlns:xlrd2="http://schemas.microsoft.com/office/spreadsheetml/2017/richdata2" ref="A2:C58">
      <sortCondition ref="A1:A58"/>
    </sortState>
  </autoFilter>
  <hyperlinks>
    <hyperlink ref="B2" r:id="rId1" xr:uid="{118A07D5-802B-4794-B79B-2BC73493CE58}"/>
    <hyperlink ref="B3" r:id="rId2" xr:uid="{81190DF2-B184-4032-A58F-39270ECA0C35}"/>
    <hyperlink ref="B4" r:id="rId3" xr:uid="{683DE5E2-D107-473F-A9A4-0E8FDCCD2C83}"/>
    <hyperlink ref="B5" r:id="rId4" xr:uid="{5623878B-7B1F-4A67-A955-787675888FA2}"/>
    <hyperlink ref="B8" r:id="rId5" xr:uid="{3589853E-4B62-4E8D-88A4-760DDF41532F}"/>
    <hyperlink ref="B9" r:id="rId6" xr:uid="{803DC825-A662-4B26-B475-39FDC51EA9BB}"/>
    <hyperlink ref="B10" r:id="rId7" xr:uid="{C263A437-5E84-4B5D-B334-A10633422B3C}"/>
    <hyperlink ref="B11" r:id="rId8" xr:uid="{D45865E5-FA45-421D-B075-709789E4D57F}"/>
    <hyperlink ref="B13" r:id="rId9" xr:uid="{26F3F6F4-29DE-4061-8308-0F9DF9C3E876}"/>
    <hyperlink ref="B14" r:id="rId10" xr:uid="{2E72AB81-EAF0-4708-ACD2-8A54DDF62B59}"/>
    <hyperlink ref="B16" r:id="rId11" xr:uid="{5F83A14A-DFBC-47BA-8BBD-B9E46914A6DE}"/>
    <hyperlink ref="B17" r:id="rId12" xr:uid="{8C2F3D16-58F5-4A1A-A320-C2CB431BE9F5}"/>
    <hyperlink ref="B20" r:id="rId13" xr:uid="{8AFB01F1-FF63-4FF8-97E9-23A665BAF26D}"/>
    <hyperlink ref="B21" r:id="rId14" xr:uid="{A72F7925-C5B4-4BBF-B32E-71E343D70B6F}"/>
    <hyperlink ref="B22" r:id="rId15" xr:uid="{4437B681-017B-471B-AEFB-C62BFD9E421D}"/>
    <hyperlink ref="B23" r:id="rId16" xr:uid="{A9E1A2D3-69FB-49DB-9DFF-2C39F8B33A07}"/>
    <hyperlink ref="B24" r:id="rId17" xr:uid="{D634FF3E-7EB9-4A70-B82D-761C803E4818}"/>
    <hyperlink ref="B25" r:id="rId18" xr:uid="{5D40F001-B55C-43AA-8C2C-F508D76EC996}"/>
    <hyperlink ref="B26" r:id="rId19" xr:uid="{6342BEDF-B014-44B9-82AF-FB31FD2524B2}"/>
    <hyperlink ref="B27" r:id="rId20" xr:uid="{64015505-24F6-4251-914C-F55B61601642}"/>
    <hyperlink ref="B28" r:id="rId21" xr:uid="{3EDB50D0-FFAA-46B4-9B80-CCE531106711}"/>
    <hyperlink ref="B31" r:id="rId22" xr:uid="{256A7A3A-681B-4933-A90F-B061DC08DA79}"/>
    <hyperlink ref="B32" r:id="rId23" xr:uid="{FB1CBE90-01B8-48BD-9E5A-FBA781DC4CDD}"/>
    <hyperlink ref="B33" r:id="rId24" xr:uid="{ED53978B-3964-4C9F-8A94-9B3DB46C8F6E}"/>
    <hyperlink ref="B34" r:id="rId25" xr:uid="{07E91E50-67B7-4108-95D8-D54DED0FCF65}"/>
    <hyperlink ref="B35" r:id="rId26" xr:uid="{0005C4C2-0F81-41B3-A16B-1ED581DF81B9}"/>
    <hyperlink ref="B36" r:id="rId27" xr:uid="{15EF8272-43E6-4F17-B9FE-C7E633B91C38}"/>
    <hyperlink ref="B37" r:id="rId28" xr:uid="{D6D79D02-7650-4952-92C6-927924AF583F}"/>
    <hyperlink ref="B38" r:id="rId29" xr:uid="{A0BFF7CC-4100-4448-A2C4-F159801C643A}"/>
    <hyperlink ref="B39" r:id="rId30" xr:uid="{D382215D-81E0-4701-9EA7-56629BED4B80}"/>
    <hyperlink ref="B40" r:id="rId31" xr:uid="{862B4086-B52E-43F5-9E7B-725BC71E1D61}"/>
    <hyperlink ref="B41" r:id="rId32" xr:uid="{6FD73928-0C21-430A-B550-37F142C14F82}"/>
    <hyperlink ref="B42" r:id="rId33" xr:uid="{2B461A2D-6C84-42D1-8F10-02F6940C4143}"/>
    <hyperlink ref="B43" r:id="rId34" xr:uid="{C2FE87A3-EE78-4AF8-B7D0-E9F3633D0A8F}"/>
    <hyperlink ref="B44" r:id="rId35" xr:uid="{0F7AF535-9632-4EBE-AFD9-6E4F6F13AF61}"/>
    <hyperlink ref="B45" r:id="rId36" xr:uid="{6502C933-EA1A-4B67-9486-9FF93A3D8F55}"/>
    <hyperlink ref="B46" r:id="rId37" xr:uid="{A466CB5A-C909-4A1E-BF88-D8AB8D59615D}"/>
    <hyperlink ref="B47" r:id="rId38" xr:uid="{B1E22E31-D7DD-4EC1-B922-309DCB9DB089}"/>
    <hyperlink ref="B48" r:id="rId39" xr:uid="{E5D7818F-E16B-4D06-A1AD-4A7F862F1F8C}"/>
    <hyperlink ref="B49" r:id="rId40" xr:uid="{6AB9D56E-A148-47D4-9B32-E336D15A2140}"/>
    <hyperlink ref="B50" r:id="rId41" xr:uid="{26B75720-DF08-42E2-9C59-BB08174D2DED}"/>
    <hyperlink ref="B51" r:id="rId42" xr:uid="{6481369F-69EB-49D5-B66A-1EA89DC2B622}"/>
    <hyperlink ref="B52" r:id="rId43" xr:uid="{37B5C9B7-C0F4-4B29-B9DC-93D579BF02E1}"/>
    <hyperlink ref="B53" r:id="rId44" xr:uid="{DF8CAEE6-E22A-49F2-8B49-0766F6E218E7}"/>
    <hyperlink ref="B54" r:id="rId45" xr:uid="{F7792E06-2D2F-4DD8-A8C3-7F498D687C6A}"/>
    <hyperlink ref="B55" r:id="rId46" xr:uid="{79A46051-C06F-4957-BAFA-58F2F0176B4F}"/>
    <hyperlink ref="B18" r:id="rId47" xr:uid="{1A23E485-7104-46B4-8990-75253E8F1385}"/>
    <hyperlink ref="B19" r:id="rId48" xr:uid="{EB073280-7FE8-4DE0-A513-383FCF3F0107}"/>
    <hyperlink ref="B6" r:id="rId49" xr:uid="{3205D396-802D-40E7-96EF-29F0EA58734C}"/>
    <hyperlink ref="B7" r:id="rId50" xr:uid="{83993B9C-23FF-4FDE-B5FA-9B1A41BE0A4F}"/>
    <hyperlink ref="B12" r:id="rId51" display="OLG Koblenz, 29.05.2015 – 9 UF 386/14" xr:uid="{42919616-7C0D-4EFB-A63C-F4E40A58747C}"/>
    <hyperlink ref="B29" r:id="rId52" display="OLG Karlsruhe, 06.06.2012 – 18 UF 293/10" xr:uid="{AE132890-5FC3-47BA-B44D-3861D529E90C}"/>
    <hyperlink ref="B30" r:id="rId53" display="OLG Karlsruhe, 06.06.2012 – 18 UF 293/10" xr:uid="{42442FF3-4E1F-4D82-BF81-ED179920399C}"/>
    <hyperlink ref="B56" r:id="rId54" xr:uid="{B27387FB-DCE9-4665-B782-BF749F1A5587}"/>
    <hyperlink ref="B57" r:id="rId55" xr:uid="{8EB015FB-20EE-4D5C-BB06-C9B3ED887325}"/>
    <hyperlink ref="B58" r:id="rId56" xr:uid="{FE39119B-2A1A-46A1-A9C0-D28AE138432B}"/>
    <hyperlink ref="B15" r:id="rId57" display="OLG Zweibrücken, 09.04.2014 – 2 WF 80/14" xr:uid="{531D0622-929D-45D6-B53F-E9FACEDA237E}"/>
  </hyperlinks>
  <printOptions gridLines="1"/>
  <pageMargins left="0.70866141732283472" right="0.70866141732283472" top="0.78740157480314965" bottom="0.78740157480314965" header="0.31496062992125984" footer="0.31496062992125984"/>
  <pageSetup paperSize="9" orientation="portrait" r:id="rId58"/>
  <drawing r:id="rId5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EB887-7DF1-41B7-990A-E477F2F74B0D}">
  <sheetPr codeName="Tabelle37"/>
  <dimension ref="A1:DO102"/>
  <sheetViews>
    <sheetView topLeftCell="CR1" workbookViewId="0">
      <selection activeCell="DR28" sqref="DR28"/>
    </sheetView>
  </sheetViews>
  <sheetFormatPr baseColWidth="10" defaultColWidth="12.7109375" defaultRowHeight="15"/>
  <cols>
    <col min="1" max="1" width="3" style="53" customWidth="1"/>
    <col min="2" max="119" width="7" customWidth="1"/>
  </cols>
  <sheetData>
    <row r="1" spans="1:119" s="49" customFormat="1" ht="11.25">
      <c r="A1" s="54"/>
      <c r="B1" s="49">
        <v>1900</v>
      </c>
      <c r="C1" s="49">
        <v>1901</v>
      </c>
      <c r="D1" s="49">
        <v>1902</v>
      </c>
      <c r="E1" s="49">
        <v>1903</v>
      </c>
      <c r="F1" s="49">
        <v>1904</v>
      </c>
      <c r="G1" s="49">
        <v>1905</v>
      </c>
      <c r="H1" s="49">
        <v>1906</v>
      </c>
      <c r="I1" s="49">
        <v>1907</v>
      </c>
      <c r="J1" s="49">
        <v>1908</v>
      </c>
      <c r="K1" s="49">
        <v>1909</v>
      </c>
      <c r="L1" s="49">
        <v>1910</v>
      </c>
      <c r="M1" s="49">
        <v>1911</v>
      </c>
      <c r="N1" s="49">
        <v>1912</v>
      </c>
      <c r="O1" s="49">
        <v>1913</v>
      </c>
      <c r="P1" s="49">
        <v>1914</v>
      </c>
      <c r="Q1" s="49">
        <v>1915</v>
      </c>
      <c r="R1" s="49">
        <v>1916</v>
      </c>
      <c r="S1" s="49">
        <v>1917</v>
      </c>
      <c r="T1" s="49">
        <v>1918</v>
      </c>
      <c r="U1" s="49">
        <v>1919</v>
      </c>
      <c r="V1" s="49">
        <v>1920</v>
      </c>
      <c r="W1" s="49">
        <v>1921</v>
      </c>
      <c r="X1" s="49">
        <v>1922</v>
      </c>
      <c r="Y1" s="49">
        <v>1923</v>
      </c>
      <c r="Z1" s="49">
        <v>1924</v>
      </c>
      <c r="AA1" s="49">
        <v>1925</v>
      </c>
      <c r="AB1" s="49">
        <v>1926</v>
      </c>
      <c r="AC1" s="49">
        <v>1927</v>
      </c>
      <c r="AD1" s="49">
        <v>1928</v>
      </c>
      <c r="AE1" s="49">
        <v>1929</v>
      </c>
      <c r="AF1" s="49">
        <v>1930</v>
      </c>
      <c r="AG1" s="49">
        <v>1931</v>
      </c>
      <c r="AH1" s="49">
        <v>1932</v>
      </c>
      <c r="AI1" s="49">
        <v>1933</v>
      </c>
      <c r="AJ1" s="49">
        <v>1934</v>
      </c>
      <c r="AK1" s="49">
        <v>1935</v>
      </c>
      <c r="AL1" s="49">
        <v>1936</v>
      </c>
      <c r="AM1" s="49">
        <v>1937</v>
      </c>
      <c r="AN1" s="49">
        <v>1938</v>
      </c>
      <c r="AO1" s="49">
        <v>1939</v>
      </c>
      <c r="AP1" s="49">
        <v>1940</v>
      </c>
      <c r="AQ1" s="49">
        <v>1941</v>
      </c>
      <c r="AR1" s="49">
        <v>1942</v>
      </c>
      <c r="AS1" s="49">
        <v>1943</v>
      </c>
      <c r="AT1" s="49">
        <v>1944</v>
      </c>
      <c r="AU1" s="49">
        <v>1945</v>
      </c>
      <c r="AV1" s="49">
        <v>1946</v>
      </c>
      <c r="AW1" s="49">
        <v>1947</v>
      </c>
      <c r="AX1" s="49">
        <v>1948</v>
      </c>
      <c r="AY1" s="49">
        <v>1949</v>
      </c>
      <c r="AZ1" s="49">
        <v>1950</v>
      </c>
      <c r="BA1" s="49">
        <v>1951</v>
      </c>
      <c r="BB1" s="49">
        <v>1952</v>
      </c>
      <c r="BC1" s="49">
        <v>1953</v>
      </c>
      <c r="BD1" s="49">
        <v>1954</v>
      </c>
      <c r="BE1" s="49">
        <v>1955</v>
      </c>
      <c r="BF1" s="49">
        <v>1956</v>
      </c>
      <c r="BG1" s="49">
        <v>1957</v>
      </c>
      <c r="BH1" s="49">
        <v>1958</v>
      </c>
      <c r="BI1" s="49">
        <v>1959</v>
      </c>
      <c r="BJ1" s="49">
        <v>1960</v>
      </c>
      <c r="BK1" s="49">
        <v>1961</v>
      </c>
      <c r="BL1" s="49">
        <v>1962</v>
      </c>
      <c r="BM1" s="49">
        <v>1963</v>
      </c>
      <c r="BN1" s="49">
        <v>1964</v>
      </c>
      <c r="BO1" s="49">
        <v>1965</v>
      </c>
      <c r="BP1" s="49">
        <v>1966</v>
      </c>
      <c r="BQ1" s="49">
        <v>1967</v>
      </c>
      <c r="BR1" s="49">
        <v>1968</v>
      </c>
      <c r="BS1" s="49">
        <v>1969</v>
      </c>
      <c r="BT1" s="49">
        <v>1970</v>
      </c>
      <c r="BU1" s="49">
        <v>1971</v>
      </c>
      <c r="BV1" s="49">
        <v>1972</v>
      </c>
      <c r="BW1" s="49">
        <v>1973</v>
      </c>
      <c r="BX1" s="49">
        <v>1974</v>
      </c>
      <c r="BY1" s="49">
        <v>1975</v>
      </c>
      <c r="BZ1" s="49">
        <v>1976</v>
      </c>
      <c r="CA1" s="49">
        <v>1977</v>
      </c>
      <c r="CB1" s="49">
        <v>1978</v>
      </c>
      <c r="CC1" s="49">
        <v>1979</v>
      </c>
      <c r="CD1" s="49">
        <v>1980</v>
      </c>
      <c r="CE1" s="49">
        <v>1981</v>
      </c>
      <c r="CF1" s="49">
        <v>1982</v>
      </c>
      <c r="CG1" s="49">
        <v>1983</v>
      </c>
      <c r="CH1" s="49">
        <v>1984</v>
      </c>
      <c r="CI1" s="49">
        <v>1985</v>
      </c>
      <c r="CJ1" s="49">
        <v>1986</v>
      </c>
      <c r="CK1" s="49">
        <v>1987</v>
      </c>
      <c r="CL1" s="49">
        <v>1988</v>
      </c>
      <c r="CM1" s="49">
        <v>1989</v>
      </c>
      <c r="CN1" s="49">
        <v>1990</v>
      </c>
      <c r="CO1" s="49">
        <v>1991</v>
      </c>
      <c r="CP1" s="49">
        <v>1992</v>
      </c>
      <c r="CQ1" s="49">
        <v>1993</v>
      </c>
      <c r="CR1" s="49">
        <v>1994</v>
      </c>
      <c r="CS1" s="49">
        <v>1995</v>
      </c>
      <c r="CT1" s="49">
        <v>1996</v>
      </c>
      <c r="CU1" s="49">
        <v>1997</v>
      </c>
      <c r="CV1" s="49">
        <v>1998</v>
      </c>
      <c r="CW1" s="49">
        <v>1999</v>
      </c>
      <c r="CX1" s="49">
        <v>2000</v>
      </c>
      <c r="CY1" s="49">
        <v>2001</v>
      </c>
      <c r="CZ1" s="49">
        <v>2002</v>
      </c>
      <c r="DA1" s="49">
        <v>2003</v>
      </c>
      <c r="DB1" s="49">
        <v>2004</v>
      </c>
      <c r="DC1" s="49">
        <v>2005</v>
      </c>
      <c r="DD1" s="49">
        <v>2006</v>
      </c>
      <c r="DE1" s="49">
        <v>2007</v>
      </c>
      <c r="DF1" s="49">
        <v>2008</v>
      </c>
      <c r="DG1" s="49">
        <v>2009</v>
      </c>
      <c r="DH1" s="49">
        <v>2010</v>
      </c>
      <c r="DI1" s="49">
        <v>2011</v>
      </c>
      <c r="DJ1" s="49">
        <v>2012</v>
      </c>
      <c r="DK1" s="49">
        <v>2013</v>
      </c>
      <c r="DL1" s="49">
        <v>2014</v>
      </c>
      <c r="DM1" s="49">
        <v>2015</v>
      </c>
      <c r="DN1" s="49">
        <v>2016</v>
      </c>
      <c r="DO1" s="49">
        <v>2017</v>
      </c>
    </row>
    <row r="2" spans="1:119">
      <c r="A2" s="52">
        <v>0</v>
      </c>
      <c r="B2" s="55"/>
      <c r="C2" s="55"/>
      <c r="D2" s="55"/>
      <c r="E2" s="55"/>
      <c r="F2" s="55"/>
      <c r="G2" s="55"/>
      <c r="H2" s="55"/>
      <c r="I2" s="55"/>
      <c r="J2" s="55"/>
      <c r="K2" s="55"/>
      <c r="L2" s="55"/>
      <c r="M2" s="55"/>
      <c r="N2" s="55"/>
      <c r="O2" s="55"/>
      <c r="P2" s="55"/>
      <c r="Q2" s="55"/>
      <c r="R2" s="55"/>
      <c r="S2" s="55"/>
      <c r="T2" s="55"/>
      <c r="U2" s="55"/>
      <c r="V2" s="55"/>
      <c r="W2" s="55">
        <v>100000</v>
      </c>
      <c r="X2" s="55">
        <v>100000</v>
      </c>
      <c r="Y2" s="55">
        <v>100000</v>
      </c>
      <c r="Z2" s="55">
        <v>100000</v>
      </c>
      <c r="AA2" s="55">
        <v>100000</v>
      </c>
      <c r="AB2" s="55">
        <v>100000</v>
      </c>
      <c r="AC2" s="55">
        <v>100000</v>
      </c>
      <c r="AD2" s="55">
        <v>100000</v>
      </c>
      <c r="AE2" s="55">
        <v>100000</v>
      </c>
      <c r="AF2" s="55">
        <v>100000</v>
      </c>
      <c r="AG2" s="55">
        <v>100000</v>
      </c>
      <c r="AH2" s="55">
        <v>100000</v>
      </c>
      <c r="AI2" s="55">
        <v>100000</v>
      </c>
      <c r="AJ2" s="55">
        <v>100000</v>
      </c>
      <c r="AK2" s="55">
        <v>100000</v>
      </c>
      <c r="AL2" s="55">
        <v>100000</v>
      </c>
      <c r="AM2" s="55">
        <v>100000</v>
      </c>
      <c r="AN2" s="55">
        <v>100000</v>
      </c>
      <c r="AO2" s="55">
        <v>100000</v>
      </c>
      <c r="AP2" s="55">
        <v>100000</v>
      </c>
      <c r="AQ2" s="55">
        <v>100000</v>
      </c>
      <c r="AR2" s="55">
        <v>100000</v>
      </c>
      <c r="AS2" s="55">
        <v>100000</v>
      </c>
      <c r="AT2" s="55">
        <v>100000</v>
      </c>
      <c r="AU2" s="55">
        <v>100000</v>
      </c>
      <c r="AV2" s="55">
        <v>100000</v>
      </c>
      <c r="AW2" s="55">
        <v>100000</v>
      </c>
      <c r="AX2" s="55">
        <v>100000</v>
      </c>
      <c r="AY2" s="55">
        <v>100000</v>
      </c>
      <c r="AZ2" s="55">
        <v>100000</v>
      </c>
      <c r="BA2" s="55">
        <v>100000</v>
      </c>
      <c r="BB2" s="55">
        <v>100000</v>
      </c>
      <c r="BC2" s="55">
        <v>100000</v>
      </c>
      <c r="BD2" s="55">
        <v>100000</v>
      </c>
      <c r="BE2" s="55">
        <v>100000</v>
      </c>
      <c r="BF2" s="55">
        <v>100000</v>
      </c>
      <c r="BG2" s="55">
        <v>100000</v>
      </c>
      <c r="BH2" s="55">
        <v>100000</v>
      </c>
      <c r="BI2" s="55">
        <v>100000</v>
      </c>
      <c r="BJ2" s="55">
        <v>100000</v>
      </c>
      <c r="BK2" s="55">
        <v>100000</v>
      </c>
      <c r="BL2" s="55">
        <v>100000</v>
      </c>
      <c r="BM2" s="55">
        <v>100000</v>
      </c>
      <c r="BN2" s="55">
        <v>100000</v>
      </c>
      <c r="BO2" s="55">
        <v>100000</v>
      </c>
      <c r="BP2" s="55">
        <v>100000</v>
      </c>
      <c r="BQ2" s="55">
        <v>100000</v>
      </c>
      <c r="BR2" s="55">
        <v>100000</v>
      </c>
      <c r="BS2" s="55">
        <v>100000</v>
      </c>
      <c r="BT2" s="55">
        <v>100000</v>
      </c>
      <c r="BU2" s="55">
        <v>100000</v>
      </c>
      <c r="BV2" s="55">
        <v>100000</v>
      </c>
      <c r="BW2" s="55">
        <v>100000</v>
      </c>
      <c r="BX2" s="55">
        <v>100000</v>
      </c>
      <c r="BY2" s="55">
        <v>100000</v>
      </c>
      <c r="BZ2" s="55">
        <v>100000</v>
      </c>
      <c r="CA2" s="55">
        <v>100000</v>
      </c>
      <c r="CB2" s="55">
        <v>100000</v>
      </c>
      <c r="CC2" s="55">
        <v>100000</v>
      </c>
      <c r="CD2" s="55">
        <v>100000</v>
      </c>
      <c r="CE2" s="55">
        <v>100000</v>
      </c>
      <c r="CF2" s="55">
        <v>100000</v>
      </c>
      <c r="CG2" s="55">
        <v>100000</v>
      </c>
      <c r="CH2" s="55">
        <v>100000</v>
      </c>
      <c r="CI2" s="55">
        <v>100000</v>
      </c>
      <c r="CJ2" s="55">
        <v>100000</v>
      </c>
      <c r="CK2" s="55">
        <v>100000</v>
      </c>
      <c r="CL2" s="55">
        <v>100000</v>
      </c>
      <c r="CM2" s="55">
        <v>100000</v>
      </c>
      <c r="CN2" s="55">
        <v>100000</v>
      </c>
      <c r="CO2" s="55">
        <v>100000</v>
      </c>
      <c r="CP2" s="55">
        <v>100000</v>
      </c>
      <c r="CQ2" s="55">
        <v>100000</v>
      </c>
      <c r="CR2" s="55">
        <v>100000</v>
      </c>
      <c r="CS2" s="55">
        <v>100000</v>
      </c>
      <c r="CT2" s="55">
        <v>100000</v>
      </c>
      <c r="CU2" s="55">
        <v>100000</v>
      </c>
      <c r="CV2" s="55">
        <v>100000</v>
      </c>
      <c r="CW2" s="55">
        <v>100000</v>
      </c>
      <c r="CX2" s="55">
        <v>100000</v>
      </c>
      <c r="CY2" s="55">
        <v>100000</v>
      </c>
      <c r="CZ2" s="55">
        <v>100000</v>
      </c>
      <c r="DA2" s="55">
        <v>100000</v>
      </c>
      <c r="DB2" s="55">
        <v>100000</v>
      </c>
      <c r="DC2" s="55">
        <v>100000</v>
      </c>
      <c r="DD2" s="55">
        <v>100000</v>
      </c>
      <c r="DE2" s="55">
        <v>100000</v>
      </c>
      <c r="DF2" s="55">
        <v>100000</v>
      </c>
      <c r="DG2" s="55">
        <v>100000</v>
      </c>
      <c r="DH2" s="55">
        <v>100000</v>
      </c>
      <c r="DI2" s="55">
        <v>100000</v>
      </c>
      <c r="DJ2" s="55">
        <v>100000</v>
      </c>
      <c r="DK2" s="55">
        <v>100000</v>
      </c>
      <c r="DL2" s="55">
        <v>100000</v>
      </c>
      <c r="DM2" s="55">
        <v>100000</v>
      </c>
      <c r="DN2" s="55">
        <v>100000</v>
      </c>
      <c r="DO2" s="55">
        <v>100000</v>
      </c>
    </row>
    <row r="3" spans="1:119">
      <c r="A3" s="52">
        <v>1</v>
      </c>
      <c r="B3" s="55"/>
      <c r="C3" s="55"/>
      <c r="D3" s="55"/>
      <c r="E3" s="55"/>
      <c r="F3" s="55"/>
      <c r="G3" s="55"/>
      <c r="H3" s="55"/>
      <c r="I3" s="55"/>
      <c r="J3" s="55"/>
      <c r="K3" s="55"/>
      <c r="L3" s="55"/>
      <c r="M3" s="55"/>
      <c r="N3" s="55"/>
      <c r="O3" s="55"/>
      <c r="P3" s="55"/>
      <c r="Q3" s="55"/>
      <c r="R3" s="55"/>
      <c r="S3" s="55"/>
      <c r="T3" s="55"/>
      <c r="U3" s="55"/>
      <c r="V3" s="55"/>
      <c r="W3" s="55">
        <v>86672</v>
      </c>
      <c r="X3" s="55">
        <v>87100</v>
      </c>
      <c r="Y3" s="55">
        <v>86850</v>
      </c>
      <c r="Z3" s="55">
        <v>89150</v>
      </c>
      <c r="AA3" s="55">
        <v>89500</v>
      </c>
      <c r="AB3" s="55">
        <v>89850</v>
      </c>
      <c r="AC3" s="55">
        <v>90350</v>
      </c>
      <c r="AD3" s="55">
        <v>91100</v>
      </c>
      <c r="AE3" s="55">
        <v>90501</v>
      </c>
      <c r="AF3" s="55">
        <v>91585.5</v>
      </c>
      <c r="AG3" s="55">
        <v>91894.5</v>
      </c>
      <c r="AH3" s="55">
        <v>92100</v>
      </c>
      <c r="AI3" s="55">
        <v>92350</v>
      </c>
      <c r="AJ3" s="55">
        <v>93400</v>
      </c>
      <c r="AK3" s="55">
        <v>93189.5</v>
      </c>
      <c r="AL3" s="55">
        <v>93400</v>
      </c>
      <c r="AM3" s="55">
        <v>93574</v>
      </c>
      <c r="AN3" s="55">
        <v>93967.5</v>
      </c>
      <c r="AO3" s="55">
        <v>93841</v>
      </c>
      <c r="AP3" s="55">
        <v>93841</v>
      </c>
      <c r="AQ3" s="55">
        <v>93841</v>
      </c>
      <c r="AR3" s="55">
        <v>93841</v>
      </c>
      <c r="AS3" s="55">
        <v>93225</v>
      </c>
      <c r="AT3" s="55">
        <v>92301.5</v>
      </c>
      <c r="AU3" s="55">
        <v>90762</v>
      </c>
      <c r="AV3" s="55">
        <v>90889</v>
      </c>
      <c r="AW3" s="55">
        <v>90889</v>
      </c>
      <c r="AX3" s="55">
        <v>92673.5</v>
      </c>
      <c r="AY3" s="55">
        <v>94457</v>
      </c>
      <c r="AZ3" s="55">
        <v>94457</v>
      </c>
      <c r="BA3" s="55">
        <v>94457</v>
      </c>
      <c r="BB3" s="55">
        <v>95091.5</v>
      </c>
      <c r="BC3" s="55">
        <v>95283.5</v>
      </c>
      <c r="BD3" s="55">
        <v>95660</v>
      </c>
      <c r="BE3" s="55">
        <v>95710.5</v>
      </c>
      <c r="BF3" s="55">
        <v>96027</v>
      </c>
      <c r="BG3" s="55">
        <v>96092</v>
      </c>
      <c r="BH3" s="55">
        <v>96312</v>
      </c>
      <c r="BI3" s="55">
        <v>96441</v>
      </c>
      <c r="BJ3" s="55">
        <v>96561.5</v>
      </c>
      <c r="BK3" s="55">
        <v>96814</v>
      </c>
      <c r="BL3" s="55">
        <v>97057</v>
      </c>
      <c r="BM3" s="55">
        <v>97247.5</v>
      </c>
      <c r="BN3" s="55">
        <v>97485</v>
      </c>
      <c r="BO3" s="55">
        <v>97620.5</v>
      </c>
      <c r="BP3" s="55">
        <v>97695.5</v>
      </c>
      <c r="BQ3" s="55">
        <v>97746.5</v>
      </c>
      <c r="BR3" s="55">
        <v>97815.5</v>
      </c>
      <c r="BS3" s="55">
        <v>97745.5</v>
      </c>
      <c r="BT3" s="55">
        <v>97773.5</v>
      </c>
      <c r="BU3" s="55">
        <v>97823</v>
      </c>
      <c r="BV3" s="55">
        <v>97879</v>
      </c>
      <c r="BW3" s="55">
        <v>97918</v>
      </c>
      <c r="BX3" s="55">
        <v>98009</v>
      </c>
      <c r="BY3" s="55">
        <v>98124</v>
      </c>
      <c r="BZ3" s="55">
        <v>98370.5</v>
      </c>
      <c r="CA3" s="55">
        <v>98521.5</v>
      </c>
      <c r="CB3" s="55">
        <v>98578.5</v>
      </c>
      <c r="CC3" s="55">
        <v>98688.5</v>
      </c>
      <c r="CD3" s="55">
        <v>98749.5</v>
      </c>
      <c r="CE3" s="55">
        <v>98820</v>
      </c>
      <c r="CF3" s="55">
        <v>98914</v>
      </c>
      <c r="CG3" s="55">
        <v>98979.5</v>
      </c>
      <c r="CH3" s="55">
        <v>99034.5</v>
      </c>
      <c r="CI3" s="55">
        <v>99092</v>
      </c>
      <c r="CJ3" s="55">
        <v>99134</v>
      </c>
      <c r="CK3" s="55">
        <v>99165.5</v>
      </c>
      <c r="CL3" s="55">
        <v>99238.5</v>
      </c>
      <c r="CM3" s="55">
        <v>99254.5</v>
      </c>
      <c r="CN3" s="55">
        <v>99295</v>
      </c>
      <c r="CO3" s="55">
        <v>99346.5</v>
      </c>
      <c r="CP3" s="55">
        <v>99395</v>
      </c>
      <c r="CQ3" s="55">
        <v>99437</v>
      </c>
      <c r="CR3" s="55">
        <v>99450</v>
      </c>
      <c r="CS3" s="55">
        <v>99479</v>
      </c>
      <c r="CT3" s="55">
        <v>99501.5</v>
      </c>
      <c r="CU3" s="55">
        <v>99522.5</v>
      </c>
      <c r="CV3" s="55">
        <v>99538.5</v>
      </c>
      <c r="CW3" s="55">
        <v>99551</v>
      </c>
      <c r="CX3" s="55">
        <v>99574</v>
      </c>
      <c r="CY3" s="55">
        <v>99575.5</v>
      </c>
      <c r="CZ3" s="55">
        <v>99580</v>
      </c>
      <c r="DA3" s="55">
        <v>99574</v>
      </c>
      <c r="DB3" s="55">
        <v>99595</v>
      </c>
      <c r="DC3" s="55">
        <v>99617.5</v>
      </c>
      <c r="DD3" s="55">
        <v>99615</v>
      </c>
      <c r="DE3" s="55">
        <v>99617</v>
      </c>
      <c r="DF3" s="55">
        <v>99650.5</v>
      </c>
      <c r="DG3" s="55">
        <v>99649</v>
      </c>
      <c r="DH3" s="55">
        <v>99654.5</v>
      </c>
      <c r="DI3" s="55">
        <v>99644</v>
      </c>
      <c r="DJ3" s="55">
        <v>99674.5</v>
      </c>
      <c r="DK3" s="55">
        <v>99677.5</v>
      </c>
      <c r="DL3" s="55">
        <v>99674</v>
      </c>
      <c r="DM3" s="55">
        <v>99689</v>
      </c>
      <c r="DN3" s="55">
        <v>99702.5</v>
      </c>
      <c r="DO3" s="55">
        <v>99716.5</v>
      </c>
    </row>
    <row r="4" spans="1:119">
      <c r="A4" s="52">
        <v>2</v>
      </c>
      <c r="B4" s="55"/>
      <c r="C4" s="55"/>
      <c r="D4" s="55"/>
      <c r="E4" s="55"/>
      <c r="F4" s="55"/>
      <c r="G4" s="55"/>
      <c r="H4" s="55"/>
      <c r="I4" s="55"/>
      <c r="J4" s="55"/>
      <c r="K4" s="55"/>
      <c r="L4" s="55"/>
      <c r="M4" s="55"/>
      <c r="N4" s="55"/>
      <c r="O4" s="55"/>
      <c r="P4" s="55"/>
      <c r="Q4" s="55"/>
      <c r="R4" s="55"/>
      <c r="S4" s="55"/>
      <c r="T4" s="55"/>
      <c r="U4" s="55"/>
      <c r="V4" s="55"/>
      <c r="W4" s="55">
        <v>85010.5</v>
      </c>
      <c r="X4" s="55">
        <v>85397</v>
      </c>
      <c r="Y4" s="55">
        <v>85499.5</v>
      </c>
      <c r="Z4" s="55">
        <v>87763.5</v>
      </c>
      <c r="AA4" s="55">
        <v>88108</v>
      </c>
      <c r="AB4" s="55">
        <v>88562</v>
      </c>
      <c r="AC4" s="55">
        <v>89296</v>
      </c>
      <c r="AD4" s="55">
        <v>89965.5</v>
      </c>
      <c r="AE4" s="55">
        <v>89635</v>
      </c>
      <c r="AF4" s="55">
        <v>90741.5</v>
      </c>
      <c r="AG4" s="55">
        <v>91091.5</v>
      </c>
      <c r="AH4" s="55">
        <v>91295</v>
      </c>
      <c r="AI4" s="55">
        <v>91543</v>
      </c>
      <c r="AJ4" s="55">
        <v>92677</v>
      </c>
      <c r="AK4" s="55">
        <v>92490.5</v>
      </c>
      <c r="AL4" s="55">
        <v>92718</v>
      </c>
      <c r="AM4" s="55">
        <v>92933</v>
      </c>
      <c r="AN4" s="55">
        <v>93310</v>
      </c>
      <c r="AO4" s="55">
        <v>93185</v>
      </c>
      <c r="AP4" s="55">
        <v>93185</v>
      </c>
      <c r="AQ4" s="55">
        <v>93185</v>
      </c>
      <c r="AR4" s="55">
        <v>93119</v>
      </c>
      <c r="AS4" s="55">
        <v>92410</v>
      </c>
      <c r="AT4" s="55">
        <v>91333</v>
      </c>
      <c r="AU4" s="55">
        <v>89863</v>
      </c>
      <c r="AV4" s="55">
        <v>89989</v>
      </c>
      <c r="AW4" s="55">
        <v>90165.5</v>
      </c>
      <c r="AX4" s="55">
        <v>92313.5</v>
      </c>
      <c r="AY4" s="55">
        <v>94091</v>
      </c>
      <c r="AZ4" s="55">
        <v>94091</v>
      </c>
      <c r="BA4" s="55">
        <v>94118</v>
      </c>
      <c r="BB4" s="55">
        <v>94770.5</v>
      </c>
      <c r="BC4" s="55">
        <v>94996</v>
      </c>
      <c r="BD4" s="55">
        <v>95360.5</v>
      </c>
      <c r="BE4" s="55">
        <v>95432</v>
      </c>
      <c r="BF4" s="55">
        <v>95746</v>
      </c>
      <c r="BG4" s="55">
        <v>95838.5</v>
      </c>
      <c r="BH4" s="55">
        <v>96055</v>
      </c>
      <c r="BI4" s="55">
        <v>96210</v>
      </c>
      <c r="BJ4" s="55">
        <v>96341</v>
      </c>
      <c r="BK4" s="55">
        <v>96601.5</v>
      </c>
      <c r="BL4" s="55">
        <v>96860</v>
      </c>
      <c r="BM4" s="55">
        <v>97073</v>
      </c>
      <c r="BN4" s="55">
        <v>97307.5</v>
      </c>
      <c r="BO4" s="55">
        <v>97453</v>
      </c>
      <c r="BP4" s="55">
        <v>97532.5</v>
      </c>
      <c r="BQ4" s="55">
        <v>97593.5</v>
      </c>
      <c r="BR4" s="55">
        <v>97648.5</v>
      </c>
      <c r="BS4" s="55">
        <v>97599</v>
      </c>
      <c r="BT4" s="55">
        <v>97639.5</v>
      </c>
      <c r="BU4" s="55">
        <v>97696.5</v>
      </c>
      <c r="BV4" s="55">
        <v>97762.5</v>
      </c>
      <c r="BW4" s="55">
        <v>97801</v>
      </c>
      <c r="BX4" s="55">
        <v>97893.5</v>
      </c>
      <c r="BY4" s="55">
        <v>98020</v>
      </c>
      <c r="BZ4" s="55">
        <v>98269</v>
      </c>
      <c r="CA4" s="55">
        <v>98421.5</v>
      </c>
      <c r="CB4" s="55">
        <v>98483</v>
      </c>
      <c r="CC4" s="55">
        <v>98596.5</v>
      </c>
      <c r="CD4" s="55">
        <v>98660</v>
      </c>
      <c r="CE4" s="55">
        <v>98730.5</v>
      </c>
      <c r="CF4" s="55">
        <v>98830.5</v>
      </c>
      <c r="CG4" s="55">
        <v>98900.5</v>
      </c>
      <c r="CH4" s="55">
        <v>98954.5</v>
      </c>
      <c r="CI4" s="55">
        <v>99023</v>
      </c>
      <c r="CJ4" s="55">
        <v>99061</v>
      </c>
      <c r="CK4" s="55">
        <v>99099</v>
      </c>
      <c r="CL4" s="55">
        <v>99175.5</v>
      </c>
      <c r="CM4" s="55">
        <v>99191</v>
      </c>
      <c r="CN4" s="55">
        <v>99237.5</v>
      </c>
      <c r="CO4" s="55">
        <v>99294.5</v>
      </c>
      <c r="CP4" s="55">
        <v>99342.5</v>
      </c>
      <c r="CQ4" s="55">
        <v>99384.5</v>
      </c>
      <c r="CR4" s="55">
        <v>99401</v>
      </c>
      <c r="CS4" s="55">
        <v>99439</v>
      </c>
      <c r="CT4" s="55">
        <v>99454.5</v>
      </c>
      <c r="CU4" s="55">
        <v>99480.5</v>
      </c>
      <c r="CV4" s="55">
        <v>99500.5</v>
      </c>
      <c r="CW4" s="55">
        <v>99509</v>
      </c>
      <c r="CX4" s="55">
        <v>99535.5</v>
      </c>
      <c r="CY4" s="55">
        <v>99534</v>
      </c>
      <c r="CZ4" s="55">
        <v>99541.5</v>
      </c>
      <c r="DA4" s="55">
        <v>99539</v>
      </c>
      <c r="DB4" s="55">
        <v>99565.5</v>
      </c>
      <c r="DC4" s="55">
        <v>99583.5</v>
      </c>
      <c r="DD4" s="55">
        <v>99584</v>
      </c>
      <c r="DE4" s="55">
        <v>99587.5</v>
      </c>
      <c r="DF4" s="55">
        <v>99622</v>
      </c>
      <c r="DG4" s="55">
        <v>99617</v>
      </c>
      <c r="DH4" s="55">
        <v>99630</v>
      </c>
      <c r="DI4" s="55">
        <v>99617</v>
      </c>
      <c r="DJ4" s="55">
        <v>99648</v>
      </c>
      <c r="DK4" s="55">
        <v>99653</v>
      </c>
      <c r="DL4" s="55">
        <v>99653</v>
      </c>
      <c r="DM4" s="55">
        <v>99669</v>
      </c>
      <c r="DN4" s="55">
        <v>99683.5</v>
      </c>
      <c r="DO4" s="55">
        <v>99698</v>
      </c>
    </row>
    <row r="5" spans="1:119">
      <c r="A5" s="52">
        <v>3</v>
      </c>
      <c r="B5" s="55"/>
      <c r="C5" s="55"/>
      <c r="D5" s="55"/>
      <c r="E5" s="55"/>
      <c r="F5" s="55"/>
      <c r="G5" s="55"/>
      <c r="H5" s="55"/>
      <c r="I5" s="55"/>
      <c r="J5" s="55"/>
      <c r="K5" s="55"/>
      <c r="L5" s="55"/>
      <c r="M5" s="55"/>
      <c r="N5" s="55"/>
      <c r="O5" s="55"/>
      <c r="P5" s="55"/>
      <c r="Q5" s="55"/>
      <c r="R5" s="55"/>
      <c r="S5" s="55"/>
      <c r="T5" s="55"/>
      <c r="U5" s="55"/>
      <c r="V5" s="55"/>
      <c r="W5" s="55">
        <v>84076.5</v>
      </c>
      <c r="X5" s="55">
        <v>84881</v>
      </c>
      <c r="Y5" s="55">
        <v>84983</v>
      </c>
      <c r="Z5" s="55">
        <v>87232.5</v>
      </c>
      <c r="AA5" s="55">
        <v>87542</v>
      </c>
      <c r="AB5" s="55">
        <v>88059</v>
      </c>
      <c r="AC5" s="55">
        <v>88718</v>
      </c>
      <c r="AD5" s="55">
        <v>89486</v>
      </c>
      <c r="AE5" s="55">
        <v>89224</v>
      </c>
      <c r="AF5" s="55">
        <v>90357</v>
      </c>
      <c r="AG5" s="55">
        <v>90705</v>
      </c>
      <c r="AH5" s="55">
        <v>90908.5</v>
      </c>
      <c r="AI5" s="55">
        <v>91091.5</v>
      </c>
      <c r="AJ5" s="55">
        <v>92196.5</v>
      </c>
      <c r="AK5" s="55">
        <v>92061.5</v>
      </c>
      <c r="AL5" s="55">
        <v>92315.5</v>
      </c>
      <c r="AM5" s="55">
        <v>92502.5</v>
      </c>
      <c r="AN5" s="55">
        <v>92877.5</v>
      </c>
      <c r="AO5" s="55">
        <v>92753</v>
      </c>
      <c r="AP5" s="55">
        <v>92753</v>
      </c>
      <c r="AQ5" s="55">
        <v>92709.5</v>
      </c>
      <c r="AR5" s="55">
        <v>92579.5</v>
      </c>
      <c r="AS5" s="55">
        <v>91768</v>
      </c>
      <c r="AT5" s="55">
        <v>90851.5</v>
      </c>
      <c r="AU5" s="55">
        <v>89389</v>
      </c>
      <c r="AV5" s="55">
        <v>89679.5</v>
      </c>
      <c r="AW5" s="55">
        <v>89957.5</v>
      </c>
      <c r="AX5" s="55">
        <v>92101.5</v>
      </c>
      <c r="AY5" s="55">
        <v>93874</v>
      </c>
      <c r="AZ5" s="55">
        <v>93923</v>
      </c>
      <c r="BA5" s="55">
        <v>93957.5</v>
      </c>
      <c r="BB5" s="55">
        <v>94612</v>
      </c>
      <c r="BC5" s="55">
        <v>94840</v>
      </c>
      <c r="BD5" s="55">
        <v>95219</v>
      </c>
      <c r="BE5" s="55">
        <v>95289</v>
      </c>
      <c r="BF5" s="55">
        <v>95617</v>
      </c>
      <c r="BG5" s="55">
        <v>95703</v>
      </c>
      <c r="BH5" s="55">
        <v>95930.5</v>
      </c>
      <c r="BI5" s="55">
        <v>96091</v>
      </c>
      <c r="BJ5" s="55">
        <v>96220</v>
      </c>
      <c r="BK5" s="55">
        <v>96490</v>
      </c>
      <c r="BL5" s="55">
        <v>96758</v>
      </c>
      <c r="BM5" s="55">
        <v>96973.5</v>
      </c>
      <c r="BN5" s="55">
        <v>97207</v>
      </c>
      <c r="BO5" s="55">
        <v>97364</v>
      </c>
      <c r="BP5" s="55">
        <v>97442</v>
      </c>
      <c r="BQ5" s="55">
        <v>97498.5</v>
      </c>
      <c r="BR5" s="55">
        <v>97563.5</v>
      </c>
      <c r="BS5" s="55">
        <v>97514</v>
      </c>
      <c r="BT5" s="55">
        <v>97563</v>
      </c>
      <c r="BU5" s="55">
        <v>97619.5</v>
      </c>
      <c r="BV5" s="55">
        <v>97684</v>
      </c>
      <c r="BW5" s="55">
        <v>97729.5</v>
      </c>
      <c r="BX5" s="55">
        <v>97826.5</v>
      </c>
      <c r="BY5" s="55">
        <v>97955.5</v>
      </c>
      <c r="BZ5" s="55">
        <v>98205</v>
      </c>
      <c r="CA5" s="55">
        <v>98361.5</v>
      </c>
      <c r="CB5" s="55">
        <v>98427</v>
      </c>
      <c r="CC5" s="55">
        <v>98539.5</v>
      </c>
      <c r="CD5" s="55">
        <v>98609.5</v>
      </c>
      <c r="CE5" s="55">
        <v>98683.5</v>
      </c>
      <c r="CF5" s="55">
        <v>98784.5</v>
      </c>
      <c r="CG5" s="55">
        <v>98855</v>
      </c>
      <c r="CH5" s="55">
        <v>98910.5</v>
      </c>
      <c r="CI5" s="55">
        <v>98981</v>
      </c>
      <c r="CJ5" s="55">
        <v>99015</v>
      </c>
      <c r="CK5" s="55">
        <v>99060</v>
      </c>
      <c r="CL5" s="55">
        <v>99137</v>
      </c>
      <c r="CM5" s="55">
        <v>99152.5</v>
      </c>
      <c r="CN5" s="55">
        <v>99207</v>
      </c>
      <c r="CO5" s="55">
        <v>99261.5</v>
      </c>
      <c r="CP5" s="55">
        <v>99308.5</v>
      </c>
      <c r="CQ5" s="55">
        <v>99354.5</v>
      </c>
      <c r="CR5" s="55">
        <v>99375.5</v>
      </c>
      <c r="CS5" s="55">
        <v>99412</v>
      </c>
      <c r="CT5" s="55">
        <v>99427</v>
      </c>
      <c r="CU5" s="55">
        <v>99456</v>
      </c>
      <c r="CV5" s="55">
        <v>99474</v>
      </c>
      <c r="CW5" s="55">
        <v>99486.5</v>
      </c>
      <c r="CX5" s="55">
        <v>99517.5</v>
      </c>
      <c r="CY5" s="55">
        <v>99513</v>
      </c>
      <c r="CZ5" s="55">
        <v>99521.5</v>
      </c>
      <c r="DA5" s="55">
        <v>99520</v>
      </c>
      <c r="DB5" s="55">
        <v>99548.5</v>
      </c>
      <c r="DC5" s="55">
        <v>99563.5</v>
      </c>
      <c r="DD5" s="55">
        <v>99565.5</v>
      </c>
      <c r="DE5" s="55">
        <v>99571</v>
      </c>
      <c r="DF5" s="55">
        <v>99605</v>
      </c>
      <c r="DG5" s="55">
        <v>99601</v>
      </c>
      <c r="DH5" s="55">
        <v>99615</v>
      </c>
      <c r="DI5" s="55">
        <v>99607</v>
      </c>
      <c r="DJ5" s="55">
        <v>99634</v>
      </c>
      <c r="DK5" s="55">
        <v>99637.5</v>
      </c>
      <c r="DL5" s="55">
        <v>99638</v>
      </c>
      <c r="DM5" s="55">
        <v>99654.5</v>
      </c>
      <c r="DN5" s="55">
        <v>99670</v>
      </c>
      <c r="DO5" s="55">
        <v>99684.5</v>
      </c>
    </row>
    <row r="6" spans="1:119">
      <c r="A6" s="52">
        <v>4</v>
      </c>
      <c r="B6" s="55"/>
      <c r="C6" s="55"/>
      <c r="D6" s="55"/>
      <c r="E6" s="55"/>
      <c r="F6" s="55"/>
      <c r="G6" s="55"/>
      <c r="H6" s="55"/>
      <c r="I6" s="55"/>
      <c r="J6" s="55"/>
      <c r="K6" s="55"/>
      <c r="L6" s="55"/>
      <c r="M6" s="55"/>
      <c r="N6" s="55"/>
      <c r="O6" s="55"/>
      <c r="P6" s="55"/>
      <c r="Q6" s="55"/>
      <c r="R6" s="55"/>
      <c r="S6" s="55"/>
      <c r="T6" s="55"/>
      <c r="U6" s="55"/>
      <c r="V6" s="55"/>
      <c r="W6" s="55">
        <v>83755</v>
      </c>
      <c r="X6" s="55">
        <v>84556</v>
      </c>
      <c r="Y6" s="55">
        <v>84657</v>
      </c>
      <c r="Z6" s="55">
        <v>86878</v>
      </c>
      <c r="AA6" s="55">
        <v>87199.5</v>
      </c>
      <c r="AB6" s="55">
        <v>87666</v>
      </c>
      <c r="AC6" s="55">
        <v>88365.5</v>
      </c>
      <c r="AD6" s="55">
        <v>89180</v>
      </c>
      <c r="AE6" s="55">
        <v>88942.5</v>
      </c>
      <c r="AF6" s="55">
        <v>90072</v>
      </c>
      <c r="AG6" s="55">
        <v>90419</v>
      </c>
      <c r="AH6" s="55">
        <v>90574</v>
      </c>
      <c r="AI6" s="55">
        <v>90739.5</v>
      </c>
      <c r="AJ6" s="55">
        <v>91878.5</v>
      </c>
      <c r="AK6" s="55">
        <v>91764.5</v>
      </c>
      <c r="AL6" s="55">
        <v>91997</v>
      </c>
      <c r="AM6" s="55">
        <v>92182</v>
      </c>
      <c r="AN6" s="55">
        <v>92556.5</v>
      </c>
      <c r="AO6" s="55">
        <v>92432.5</v>
      </c>
      <c r="AP6" s="55">
        <v>92400</v>
      </c>
      <c r="AQ6" s="55">
        <v>92309</v>
      </c>
      <c r="AR6" s="55">
        <v>92099.5</v>
      </c>
      <c r="AS6" s="55">
        <v>91414</v>
      </c>
      <c r="AT6" s="55">
        <v>90501</v>
      </c>
      <c r="AU6" s="55">
        <v>89164.5</v>
      </c>
      <c r="AV6" s="55">
        <v>89519</v>
      </c>
      <c r="AW6" s="55">
        <v>89797</v>
      </c>
      <c r="AX6" s="55">
        <v>91936.5</v>
      </c>
      <c r="AY6" s="55">
        <v>93751.5</v>
      </c>
      <c r="AZ6" s="55">
        <v>93805</v>
      </c>
      <c r="BA6" s="55">
        <v>93850.5</v>
      </c>
      <c r="BB6" s="55">
        <v>94505</v>
      </c>
      <c r="BC6" s="55">
        <v>94735</v>
      </c>
      <c r="BD6" s="55">
        <v>95116.5</v>
      </c>
      <c r="BE6" s="55">
        <v>95199</v>
      </c>
      <c r="BF6" s="55">
        <v>95519</v>
      </c>
      <c r="BG6" s="55">
        <v>95609.5</v>
      </c>
      <c r="BH6" s="55">
        <v>95838</v>
      </c>
      <c r="BI6" s="55">
        <v>96007</v>
      </c>
      <c r="BJ6" s="55">
        <v>96139.5</v>
      </c>
      <c r="BK6" s="55">
        <v>96414</v>
      </c>
      <c r="BL6" s="55">
        <v>96681</v>
      </c>
      <c r="BM6" s="55">
        <v>96894.5</v>
      </c>
      <c r="BN6" s="55">
        <v>97132.5</v>
      </c>
      <c r="BO6" s="55">
        <v>97291.5</v>
      </c>
      <c r="BP6" s="55">
        <v>97368</v>
      </c>
      <c r="BQ6" s="55">
        <v>97427</v>
      </c>
      <c r="BR6" s="55">
        <v>97493</v>
      </c>
      <c r="BS6" s="55">
        <v>97445</v>
      </c>
      <c r="BT6" s="55">
        <v>97501</v>
      </c>
      <c r="BU6" s="55">
        <v>97558</v>
      </c>
      <c r="BV6" s="55">
        <v>97626.5</v>
      </c>
      <c r="BW6" s="55">
        <v>97672.5</v>
      </c>
      <c r="BX6" s="55">
        <v>97772.5</v>
      </c>
      <c r="BY6" s="55">
        <v>97903</v>
      </c>
      <c r="BZ6" s="55">
        <v>98155.5</v>
      </c>
      <c r="CA6" s="55">
        <v>98313.5</v>
      </c>
      <c r="CB6" s="55">
        <v>98382</v>
      </c>
      <c r="CC6" s="55">
        <v>98495</v>
      </c>
      <c r="CD6" s="55">
        <v>98572</v>
      </c>
      <c r="CE6" s="55">
        <v>98646.5</v>
      </c>
      <c r="CF6" s="55">
        <v>98751</v>
      </c>
      <c r="CG6" s="55">
        <v>98822.5</v>
      </c>
      <c r="CH6" s="55">
        <v>98879.5</v>
      </c>
      <c r="CI6" s="55">
        <v>98948</v>
      </c>
      <c r="CJ6" s="55">
        <v>98983.5</v>
      </c>
      <c r="CK6" s="55">
        <v>99024</v>
      </c>
      <c r="CL6" s="55">
        <v>99107.5</v>
      </c>
      <c r="CM6" s="55">
        <v>99125</v>
      </c>
      <c r="CN6" s="55">
        <v>99181.5</v>
      </c>
      <c r="CO6" s="55">
        <v>99239</v>
      </c>
      <c r="CP6" s="55">
        <v>99285.5</v>
      </c>
      <c r="CQ6" s="55">
        <v>99333</v>
      </c>
      <c r="CR6" s="55">
        <v>99356</v>
      </c>
      <c r="CS6" s="55">
        <v>99393</v>
      </c>
      <c r="CT6" s="55">
        <v>99409.5</v>
      </c>
      <c r="CU6" s="55">
        <v>99437</v>
      </c>
      <c r="CV6" s="55">
        <v>99455</v>
      </c>
      <c r="CW6" s="55">
        <v>99467</v>
      </c>
      <c r="CX6" s="55">
        <v>99501</v>
      </c>
      <c r="CY6" s="55">
        <v>99497</v>
      </c>
      <c r="CZ6" s="55">
        <v>99507.5</v>
      </c>
      <c r="DA6" s="55">
        <v>99505.5</v>
      </c>
      <c r="DB6" s="55">
        <v>99533.5</v>
      </c>
      <c r="DC6" s="55">
        <v>99549.5</v>
      </c>
      <c r="DD6" s="55">
        <v>99554</v>
      </c>
      <c r="DE6" s="55">
        <v>99557</v>
      </c>
      <c r="DF6" s="55">
        <v>99594.5</v>
      </c>
      <c r="DG6" s="55">
        <v>99587.5</v>
      </c>
      <c r="DH6" s="55">
        <v>99603</v>
      </c>
      <c r="DI6" s="55">
        <v>99594.5</v>
      </c>
      <c r="DJ6" s="55">
        <v>99622</v>
      </c>
      <c r="DK6" s="55">
        <v>99626.5</v>
      </c>
      <c r="DL6" s="55">
        <v>99627</v>
      </c>
      <c r="DM6" s="55">
        <v>99643.5</v>
      </c>
      <c r="DN6" s="55">
        <v>99660</v>
      </c>
      <c r="DO6" s="55">
        <v>99675</v>
      </c>
    </row>
    <row r="7" spans="1:119">
      <c r="A7" s="52">
        <v>5</v>
      </c>
      <c r="B7" s="55"/>
      <c r="C7" s="55"/>
      <c r="D7" s="55"/>
      <c r="E7" s="55"/>
      <c r="F7" s="55"/>
      <c r="G7" s="55"/>
      <c r="H7" s="55"/>
      <c r="I7" s="55"/>
      <c r="J7" s="55"/>
      <c r="K7" s="55"/>
      <c r="L7" s="55"/>
      <c r="M7" s="55"/>
      <c r="N7" s="55"/>
      <c r="O7" s="55"/>
      <c r="P7" s="55"/>
      <c r="Q7" s="55"/>
      <c r="R7" s="55"/>
      <c r="S7" s="55"/>
      <c r="T7" s="55"/>
      <c r="U7" s="55"/>
      <c r="V7" s="55"/>
      <c r="W7" s="55">
        <v>83503</v>
      </c>
      <c r="X7" s="55">
        <v>84301.5</v>
      </c>
      <c r="Y7" s="55">
        <v>84387</v>
      </c>
      <c r="Z7" s="55">
        <v>86604</v>
      </c>
      <c r="AA7" s="55">
        <v>86886</v>
      </c>
      <c r="AB7" s="55">
        <v>87379</v>
      </c>
      <c r="AC7" s="55">
        <v>88116.5</v>
      </c>
      <c r="AD7" s="55">
        <v>88947.5</v>
      </c>
      <c r="AE7" s="55">
        <v>88711</v>
      </c>
      <c r="AF7" s="55">
        <v>89837.5</v>
      </c>
      <c r="AG7" s="55">
        <v>90145</v>
      </c>
      <c r="AH7" s="55">
        <v>90285.5</v>
      </c>
      <c r="AI7" s="55">
        <v>90481.5</v>
      </c>
      <c r="AJ7" s="55">
        <v>91633.5</v>
      </c>
      <c r="AK7" s="55">
        <v>91503</v>
      </c>
      <c r="AL7" s="55">
        <v>91735</v>
      </c>
      <c r="AM7" s="55">
        <v>91920</v>
      </c>
      <c r="AN7" s="55">
        <v>92293</v>
      </c>
      <c r="AO7" s="55">
        <v>92142.5</v>
      </c>
      <c r="AP7" s="55">
        <v>92071.5</v>
      </c>
      <c r="AQ7" s="55">
        <v>91914.5</v>
      </c>
      <c r="AR7" s="55">
        <v>91851</v>
      </c>
      <c r="AS7" s="55">
        <v>91167.5</v>
      </c>
      <c r="AT7" s="55">
        <v>90341.5</v>
      </c>
      <c r="AU7" s="55">
        <v>89039.5</v>
      </c>
      <c r="AV7" s="55">
        <v>89394</v>
      </c>
      <c r="AW7" s="55">
        <v>89671</v>
      </c>
      <c r="AX7" s="55">
        <v>91840</v>
      </c>
      <c r="AY7" s="55">
        <v>93656</v>
      </c>
      <c r="AZ7" s="55">
        <v>93715</v>
      </c>
      <c r="BA7" s="55">
        <v>93770</v>
      </c>
      <c r="BB7" s="55">
        <v>94424</v>
      </c>
      <c r="BC7" s="55">
        <v>94653.5</v>
      </c>
      <c r="BD7" s="55">
        <v>95038.5</v>
      </c>
      <c r="BE7" s="55">
        <v>95123.5</v>
      </c>
      <c r="BF7" s="55">
        <v>95445</v>
      </c>
      <c r="BG7" s="55">
        <v>95536.5</v>
      </c>
      <c r="BH7" s="55">
        <v>95775.5</v>
      </c>
      <c r="BI7" s="55">
        <v>95939.5</v>
      </c>
      <c r="BJ7" s="55">
        <v>96073</v>
      </c>
      <c r="BK7" s="55">
        <v>96347.5</v>
      </c>
      <c r="BL7" s="55">
        <v>96616.5</v>
      </c>
      <c r="BM7" s="55">
        <v>96827.5</v>
      </c>
      <c r="BN7" s="55">
        <v>97068</v>
      </c>
      <c r="BO7" s="55">
        <v>97225</v>
      </c>
      <c r="BP7" s="55">
        <v>97305.5</v>
      </c>
      <c r="BQ7" s="55">
        <v>97368</v>
      </c>
      <c r="BR7" s="55">
        <v>97432.5</v>
      </c>
      <c r="BS7" s="55">
        <v>97393</v>
      </c>
      <c r="BT7" s="55">
        <v>97450</v>
      </c>
      <c r="BU7" s="55">
        <v>97506</v>
      </c>
      <c r="BV7" s="55">
        <v>97579</v>
      </c>
      <c r="BW7" s="55">
        <v>97625.5</v>
      </c>
      <c r="BX7" s="55">
        <v>97728</v>
      </c>
      <c r="BY7" s="55">
        <v>97857.5</v>
      </c>
      <c r="BZ7" s="55">
        <v>98116</v>
      </c>
      <c r="CA7" s="55">
        <v>98277.5</v>
      </c>
      <c r="CB7" s="55">
        <v>98346.5</v>
      </c>
      <c r="CC7" s="55">
        <v>98464</v>
      </c>
      <c r="CD7" s="55">
        <v>98540.5</v>
      </c>
      <c r="CE7" s="55">
        <v>98616</v>
      </c>
      <c r="CF7" s="55">
        <v>98722.5</v>
      </c>
      <c r="CG7" s="55">
        <v>98797</v>
      </c>
      <c r="CH7" s="55">
        <v>98852.5</v>
      </c>
      <c r="CI7" s="55">
        <v>98923</v>
      </c>
      <c r="CJ7" s="55">
        <v>98958.5</v>
      </c>
      <c r="CK7" s="55">
        <v>99000</v>
      </c>
      <c r="CL7" s="55">
        <v>99084.5</v>
      </c>
      <c r="CM7" s="55">
        <v>99103.5</v>
      </c>
      <c r="CN7" s="55">
        <v>99160.5</v>
      </c>
      <c r="CO7" s="55">
        <v>99220</v>
      </c>
      <c r="CP7" s="55">
        <v>99268</v>
      </c>
      <c r="CQ7" s="55">
        <v>99316</v>
      </c>
      <c r="CR7" s="55">
        <v>99340</v>
      </c>
      <c r="CS7" s="55">
        <v>99377.5</v>
      </c>
      <c r="CT7" s="55">
        <v>99394.5</v>
      </c>
      <c r="CU7" s="55">
        <v>99424</v>
      </c>
      <c r="CV7" s="55">
        <v>99441</v>
      </c>
      <c r="CW7" s="55">
        <v>99454</v>
      </c>
      <c r="CX7" s="55">
        <v>99487</v>
      </c>
      <c r="CY7" s="55">
        <v>99485.5</v>
      </c>
      <c r="CZ7" s="55">
        <v>99495</v>
      </c>
      <c r="DA7" s="55">
        <v>99492</v>
      </c>
      <c r="DB7" s="55">
        <v>99521</v>
      </c>
      <c r="DC7" s="55">
        <v>99536.5</v>
      </c>
      <c r="DD7" s="55">
        <v>99541</v>
      </c>
      <c r="DE7" s="55">
        <v>99545.5</v>
      </c>
      <c r="DF7" s="55">
        <v>99584.5</v>
      </c>
      <c r="DG7" s="55">
        <v>99578.5</v>
      </c>
      <c r="DH7" s="55">
        <v>99592.5</v>
      </c>
      <c r="DI7" s="55">
        <v>99585</v>
      </c>
      <c r="DJ7" s="55">
        <v>99612.5</v>
      </c>
      <c r="DK7" s="55">
        <v>99617.5</v>
      </c>
      <c r="DL7" s="55">
        <v>99618.5</v>
      </c>
      <c r="DM7" s="55">
        <v>99635.5</v>
      </c>
      <c r="DN7" s="55">
        <v>99652</v>
      </c>
      <c r="DO7" s="55">
        <v>99668</v>
      </c>
    </row>
    <row r="8" spans="1:119">
      <c r="A8" s="52">
        <v>6</v>
      </c>
      <c r="B8" s="55"/>
      <c r="C8" s="55"/>
      <c r="D8" s="55"/>
      <c r="E8" s="55"/>
      <c r="F8" s="55"/>
      <c r="G8" s="55"/>
      <c r="H8" s="55"/>
      <c r="I8" s="55"/>
      <c r="J8" s="55"/>
      <c r="K8" s="55"/>
      <c r="L8" s="55"/>
      <c r="M8" s="55"/>
      <c r="N8" s="55"/>
      <c r="O8" s="55"/>
      <c r="P8" s="55"/>
      <c r="Q8" s="55"/>
      <c r="R8" s="55"/>
      <c r="S8" s="55"/>
      <c r="T8" s="55"/>
      <c r="U8" s="55"/>
      <c r="V8" s="55"/>
      <c r="W8" s="55">
        <v>83311</v>
      </c>
      <c r="X8" s="55">
        <v>84095</v>
      </c>
      <c r="Y8" s="55">
        <v>84170.5</v>
      </c>
      <c r="Z8" s="55">
        <v>86351.5</v>
      </c>
      <c r="AA8" s="55">
        <v>86642</v>
      </c>
      <c r="AB8" s="55">
        <v>87167.5</v>
      </c>
      <c r="AC8" s="55">
        <v>87919.5</v>
      </c>
      <c r="AD8" s="55">
        <v>88749</v>
      </c>
      <c r="AE8" s="55">
        <v>88513</v>
      </c>
      <c r="AF8" s="55">
        <v>89604</v>
      </c>
      <c r="AG8" s="55">
        <v>89898.5</v>
      </c>
      <c r="AH8" s="55">
        <v>90065</v>
      </c>
      <c r="AI8" s="55">
        <v>90274</v>
      </c>
      <c r="AJ8" s="55">
        <v>91409.5</v>
      </c>
      <c r="AK8" s="55">
        <v>91279.5</v>
      </c>
      <c r="AL8" s="55">
        <v>91510.5</v>
      </c>
      <c r="AM8" s="55">
        <v>91695.5</v>
      </c>
      <c r="AN8" s="55">
        <v>92045.5</v>
      </c>
      <c r="AO8" s="55">
        <v>91861.5</v>
      </c>
      <c r="AP8" s="55">
        <v>91734</v>
      </c>
      <c r="AQ8" s="55">
        <v>91727.5</v>
      </c>
      <c r="AR8" s="55">
        <v>91664</v>
      </c>
      <c r="AS8" s="55">
        <v>91046</v>
      </c>
      <c r="AT8" s="55">
        <v>90242.5</v>
      </c>
      <c r="AU8" s="55">
        <v>88941.5</v>
      </c>
      <c r="AV8" s="55">
        <v>89296</v>
      </c>
      <c r="AW8" s="55">
        <v>89596</v>
      </c>
      <c r="AX8" s="55">
        <v>91766.5</v>
      </c>
      <c r="AY8" s="55">
        <v>93578</v>
      </c>
      <c r="AZ8" s="55">
        <v>93642</v>
      </c>
      <c r="BA8" s="55">
        <v>93699.5</v>
      </c>
      <c r="BB8" s="55">
        <v>94352.5</v>
      </c>
      <c r="BC8" s="55">
        <v>94592.5</v>
      </c>
      <c r="BD8" s="55">
        <v>94976</v>
      </c>
      <c r="BE8" s="55">
        <v>95059</v>
      </c>
      <c r="BF8" s="55">
        <v>95383.5</v>
      </c>
      <c r="BG8" s="55">
        <v>95476.5</v>
      </c>
      <c r="BH8" s="55">
        <v>95717</v>
      </c>
      <c r="BI8" s="55">
        <v>95884.5</v>
      </c>
      <c r="BJ8" s="55">
        <v>96016.5</v>
      </c>
      <c r="BK8" s="55">
        <v>96288</v>
      </c>
      <c r="BL8" s="55">
        <v>96557</v>
      </c>
      <c r="BM8" s="55">
        <v>96772.5</v>
      </c>
      <c r="BN8" s="55">
        <v>97005.5</v>
      </c>
      <c r="BO8" s="55">
        <v>97168</v>
      </c>
      <c r="BP8" s="55">
        <v>97251</v>
      </c>
      <c r="BQ8" s="55">
        <v>97316</v>
      </c>
      <c r="BR8" s="55">
        <v>97383</v>
      </c>
      <c r="BS8" s="55">
        <v>97341.5</v>
      </c>
      <c r="BT8" s="55">
        <v>97403</v>
      </c>
      <c r="BU8" s="55">
        <v>97461</v>
      </c>
      <c r="BV8" s="55">
        <v>97539.5</v>
      </c>
      <c r="BW8" s="55">
        <v>97583</v>
      </c>
      <c r="BX8" s="55">
        <v>97690.5</v>
      </c>
      <c r="BY8" s="55">
        <v>97820</v>
      </c>
      <c r="BZ8" s="55">
        <v>98079</v>
      </c>
      <c r="CA8" s="55">
        <v>98246.5</v>
      </c>
      <c r="CB8" s="55">
        <v>98318</v>
      </c>
      <c r="CC8" s="55">
        <v>98434</v>
      </c>
      <c r="CD8" s="55">
        <v>98516.5</v>
      </c>
      <c r="CE8" s="55">
        <v>98591</v>
      </c>
      <c r="CF8" s="55">
        <v>98696.5</v>
      </c>
      <c r="CG8" s="55">
        <v>98772.5</v>
      </c>
      <c r="CH8" s="55">
        <v>98827.5</v>
      </c>
      <c r="CI8" s="55">
        <v>98899</v>
      </c>
      <c r="CJ8" s="55">
        <v>98935</v>
      </c>
      <c r="CK8" s="55">
        <v>98981.5</v>
      </c>
      <c r="CL8" s="55">
        <v>99068</v>
      </c>
      <c r="CM8" s="55">
        <v>99084</v>
      </c>
      <c r="CN8" s="55">
        <v>99143.5</v>
      </c>
      <c r="CO8" s="55">
        <v>99207.5</v>
      </c>
      <c r="CP8" s="55">
        <v>99254.5</v>
      </c>
      <c r="CQ8" s="55">
        <v>99305</v>
      </c>
      <c r="CR8" s="55">
        <v>99329</v>
      </c>
      <c r="CS8" s="55">
        <v>99365.5</v>
      </c>
      <c r="CT8" s="55">
        <v>99381.5</v>
      </c>
      <c r="CU8" s="55">
        <v>99410.5</v>
      </c>
      <c r="CV8" s="55">
        <v>99427.5</v>
      </c>
      <c r="CW8" s="55">
        <v>99442</v>
      </c>
      <c r="CX8" s="55">
        <v>99477</v>
      </c>
      <c r="CY8" s="55">
        <v>99474</v>
      </c>
      <c r="CZ8" s="55">
        <v>99484.5</v>
      </c>
      <c r="DA8" s="55">
        <v>99482.5</v>
      </c>
      <c r="DB8" s="55">
        <v>99511</v>
      </c>
      <c r="DC8" s="55">
        <v>99525</v>
      </c>
      <c r="DD8" s="55">
        <v>99529.5</v>
      </c>
      <c r="DE8" s="55">
        <v>99535.5</v>
      </c>
      <c r="DF8" s="55">
        <v>99576.5</v>
      </c>
      <c r="DG8" s="55">
        <v>99570.5</v>
      </c>
      <c r="DH8" s="55">
        <v>99584</v>
      </c>
      <c r="DI8" s="55">
        <v>99577</v>
      </c>
      <c r="DJ8" s="55">
        <v>99605.5</v>
      </c>
      <c r="DK8" s="55">
        <v>99610</v>
      </c>
      <c r="DL8" s="55">
        <v>99612</v>
      </c>
      <c r="DM8" s="55">
        <v>99629</v>
      </c>
      <c r="DN8" s="55">
        <v>99646</v>
      </c>
      <c r="DO8" s="55">
        <v>99661.5</v>
      </c>
    </row>
    <row r="9" spans="1:119">
      <c r="A9" s="52">
        <v>7</v>
      </c>
      <c r="B9" s="55"/>
      <c r="C9" s="55"/>
      <c r="D9" s="55"/>
      <c r="E9" s="55"/>
      <c r="F9" s="55"/>
      <c r="G9" s="55"/>
      <c r="H9" s="55"/>
      <c r="I9" s="55"/>
      <c r="J9" s="55"/>
      <c r="K9" s="55"/>
      <c r="L9" s="55"/>
      <c r="M9" s="55"/>
      <c r="N9" s="55"/>
      <c r="O9" s="55"/>
      <c r="P9" s="55"/>
      <c r="Q9" s="55"/>
      <c r="R9" s="55"/>
      <c r="S9" s="55"/>
      <c r="T9" s="55"/>
      <c r="U9" s="55"/>
      <c r="V9" s="55"/>
      <c r="W9" s="55">
        <v>83143</v>
      </c>
      <c r="X9" s="55">
        <v>83908.5</v>
      </c>
      <c r="Y9" s="55">
        <v>83957.5</v>
      </c>
      <c r="Z9" s="55">
        <v>86130</v>
      </c>
      <c r="AA9" s="55">
        <v>86450.5</v>
      </c>
      <c r="AB9" s="55">
        <v>86990</v>
      </c>
      <c r="AC9" s="55">
        <v>87740.5</v>
      </c>
      <c r="AD9" s="55">
        <v>88568.5</v>
      </c>
      <c r="AE9" s="55">
        <v>88302.5</v>
      </c>
      <c r="AF9" s="55">
        <v>89380.5</v>
      </c>
      <c r="AG9" s="55">
        <v>89698</v>
      </c>
      <c r="AH9" s="55">
        <v>89877</v>
      </c>
      <c r="AI9" s="55">
        <v>90073</v>
      </c>
      <c r="AJ9" s="55">
        <v>91206</v>
      </c>
      <c r="AK9" s="55">
        <v>91076</v>
      </c>
      <c r="AL9" s="55">
        <v>91306.5</v>
      </c>
      <c r="AM9" s="55">
        <v>91471</v>
      </c>
      <c r="AN9" s="55">
        <v>91789</v>
      </c>
      <c r="AO9" s="55">
        <v>91554.5</v>
      </c>
      <c r="AP9" s="55">
        <v>91583</v>
      </c>
      <c r="AQ9" s="55">
        <v>91576.5</v>
      </c>
      <c r="AR9" s="55">
        <v>91565.5</v>
      </c>
      <c r="AS9" s="55">
        <v>90962.5</v>
      </c>
      <c r="AT9" s="55">
        <v>90160</v>
      </c>
      <c r="AU9" s="55">
        <v>88860</v>
      </c>
      <c r="AV9" s="55">
        <v>89231.5</v>
      </c>
      <c r="AW9" s="55">
        <v>89534.5</v>
      </c>
      <c r="AX9" s="55">
        <v>91705</v>
      </c>
      <c r="AY9" s="55">
        <v>93517.5</v>
      </c>
      <c r="AZ9" s="55">
        <v>93579.5</v>
      </c>
      <c r="BA9" s="55">
        <v>93642</v>
      </c>
      <c r="BB9" s="55">
        <v>94299.5</v>
      </c>
      <c r="BC9" s="55">
        <v>94540.5</v>
      </c>
      <c r="BD9" s="55">
        <v>94919</v>
      </c>
      <c r="BE9" s="55">
        <v>95003.5</v>
      </c>
      <c r="BF9" s="55">
        <v>95332.5</v>
      </c>
      <c r="BG9" s="55">
        <v>95422.5</v>
      </c>
      <c r="BH9" s="55">
        <v>95666</v>
      </c>
      <c r="BI9" s="55">
        <v>95833</v>
      </c>
      <c r="BJ9" s="55">
        <v>95965</v>
      </c>
      <c r="BK9" s="55">
        <v>96233.5</v>
      </c>
      <c r="BL9" s="55">
        <v>96502</v>
      </c>
      <c r="BM9" s="55">
        <v>96719</v>
      </c>
      <c r="BN9" s="55">
        <v>96953</v>
      </c>
      <c r="BO9" s="55">
        <v>97113</v>
      </c>
      <c r="BP9" s="55">
        <v>97198</v>
      </c>
      <c r="BQ9" s="55">
        <v>97271</v>
      </c>
      <c r="BR9" s="55">
        <v>97338.5</v>
      </c>
      <c r="BS9" s="55">
        <v>97298.5</v>
      </c>
      <c r="BT9" s="55">
        <v>97362</v>
      </c>
      <c r="BU9" s="55">
        <v>97421</v>
      </c>
      <c r="BV9" s="55">
        <v>97501.5</v>
      </c>
      <c r="BW9" s="55">
        <v>97547.5</v>
      </c>
      <c r="BX9" s="55">
        <v>97659</v>
      </c>
      <c r="BY9" s="55">
        <v>97788.5</v>
      </c>
      <c r="BZ9" s="55">
        <v>98049.5</v>
      </c>
      <c r="CA9" s="55">
        <v>98220</v>
      </c>
      <c r="CB9" s="55">
        <v>98293</v>
      </c>
      <c r="CC9" s="55">
        <v>98408.5</v>
      </c>
      <c r="CD9" s="55">
        <v>98494</v>
      </c>
      <c r="CE9" s="55">
        <v>98569.5</v>
      </c>
      <c r="CF9" s="55">
        <v>98672.5</v>
      </c>
      <c r="CG9" s="55">
        <v>98753.5</v>
      </c>
      <c r="CH9" s="55">
        <v>98807</v>
      </c>
      <c r="CI9" s="55">
        <v>98880</v>
      </c>
      <c r="CJ9" s="55">
        <v>98915.5</v>
      </c>
      <c r="CK9" s="55">
        <v>98965.5</v>
      </c>
      <c r="CL9" s="55">
        <v>99052.5</v>
      </c>
      <c r="CM9" s="55">
        <v>99067.5</v>
      </c>
      <c r="CN9" s="55">
        <v>99128.5</v>
      </c>
      <c r="CO9" s="55">
        <v>99194</v>
      </c>
      <c r="CP9" s="55">
        <v>99242.5</v>
      </c>
      <c r="CQ9" s="55">
        <v>99292</v>
      </c>
      <c r="CR9" s="55">
        <v>99314</v>
      </c>
      <c r="CS9" s="55">
        <v>99355</v>
      </c>
      <c r="CT9" s="55">
        <v>99369</v>
      </c>
      <c r="CU9" s="55">
        <v>99401.5</v>
      </c>
      <c r="CV9" s="55">
        <v>99416.5</v>
      </c>
      <c r="CW9" s="55">
        <v>99431</v>
      </c>
      <c r="CX9" s="55">
        <v>99469.5</v>
      </c>
      <c r="CY9" s="55">
        <v>99465</v>
      </c>
      <c r="CZ9" s="55">
        <v>99473.5</v>
      </c>
      <c r="DA9" s="55">
        <v>99474.5</v>
      </c>
      <c r="DB9" s="55">
        <v>99500</v>
      </c>
      <c r="DC9" s="55">
        <v>99517</v>
      </c>
      <c r="DD9" s="55">
        <v>99522</v>
      </c>
      <c r="DE9" s="55">
        <v>99527.5</v>
      </c>
      <c r="DF9" s="55">
        <v>99569</v>
      </c>
      <c r="DG9" s="55">
        <v>99563.5</v>
      </c>
      <c r="DH9" s="55">
        <v>99577</v>
      </c>
      <c r="DI9" s="55">
        <v>99570</v>
      </c>
      <c r="DJ9" s="55">
        <v>99599</v>
      </c>
      <c r="DK9" s="55">
        <v>99604</v>
      </c>
      <c r="DL9" s="55">
        <v>99606</v>
      </c>
      <c r="DM9" s="55">
        <v>99623.5</v>
      </c>
      <c r="DN9" s="55">
        <v>99640</v>
      </c>
      <c r="DO9" s="55">
        <v>99656.5</v>
      </c>
    </row>
    <row r="10" spans="1:119">
      <c r="A10" s="52">
        <v>8</v>
      </c>
      <c r="B10" s="55"/>
      <c r="C10" s="55"/>
      <c r="D10" s="55"/>
      <c r="E10" s="55"/>
      <c r="F10" s="55"/>
      <c r="G10" s="55"/>
      <c r="H10" s="55"/>
      <c r="I10" s="55"/>
      <c r="J10" s="55"/>
      <c r="K10" s="55"/>
      <c r="L10" s="55"/>
      <c r="M10" s="55"/>
      <c r="N10" s="55"/>
      <c r="O10" s="55"/>
      <c r="P10" s="55"/>
      <c r="Q10" s="55"/>
      <c r="R10" s="55"/>
      <c r="S10" s="55"/>
      <c r="T10" s="55"/>
      <c r="U10" s="55"/>
      <c r="V10" s="55"/>
      <c r="W10" s="55">
        <v>82985.5</v>
      </c>
      <c r="X10" s="55">
        <v>83736.5</v>
      </c>
      <c r="Y10" s="55">
        <v>83790</v>
      </c>
      <c r="Z10" s="55">
        <v>85983.5</v>
      </c>
      <c r="AA10" s="55">
        <v>86292</v>
      </c>
      <c r="AB10" s="55">
        <v>86830.5</v>
      </c>
      <c r="AC10" s="55">
        <v>87579.5</v>
      </c>
      <c r="AD10" s="55">
        <v>88373.5</v>
      </c>
      <c r="AE10" s="55">
        <v>88118</v>
      </c>
      <c r="AF10" s="55">
        <v>89211</v>
      </c>
      <c r="AG10" s="55">
        <v>89532.5</v>
      </c>
      <c r="AH10" s="55">
        <v>89701.5</v>
      </c>
      <c r="AI10" s="55">
        <v>89897.5</v>
      </c>
      <c r="AJ10" s="55">
        <v>91028.5</v>
      </c>
      <c r="AK10" s="55">
        <v>90898.5</v>
      </c>
      <c r="AL10" s="55">
        <v>91111.5</v>
      </c>
      <c r="AM10" s="55">
        <v>91248</v>
      </c>
      <c r="AN10" s="55">
        <v>91521</v>
      </c>
      <c r="AO10" s="55">
        <v>91426.5</v>
      </c>
      <c r="AP10" s="55">
        <v>91455</v>
      </c>
      <c r="AQ10" s="55">
        <v>91476</v>
      </c>
      <c r="AR10" s="55">
        <v>91494</v>
      </c>
      <c r="AS10" s="55">
        <v>90891</v>
      </c>
      <c r="AT10" s="55">
        <v>90089</v>
      </c>
      <c r="AU10" s="55">
        <v>88805</v>
      </c>
      <c r="AV10" s="55">
        <v>89177.5</v>
      </c>
      <c r="AW10" s="55">
        <v>89481</v>
      </c>
      <c r="AX10" s="55">
        <v>91654</v>
      </c>
      <c r="AY10" s="55">
        <v>93463.5</v>
      </c>
      <c r="AZ10" s="55">
        <v>93525</v>
      </c>
      <c r="BA10" s="55">
        <v>93592.5</v>
      </c>
      <c r="BB10" s="55">
        <v>94245</v>
      </c>
      <c r="BC10" s="55">
        <v>94494.5</v>
      </c>
      <c r="BD10" s="55">
        <v>94870.5</v>
      </c>
      <c r="BE10" s="55">
        <v>94955.5</v>
      </c>
      <c r="BF10" s="55">
        <v>95284.5</v>
      </c>
      <c r="BG10" s="55">
        <v>95380.5</v>
      </c>
      <c r="BH10" s="55">
        <v>95617.5</v>
      </c>
      <c r="BI10" s="55">
        <v>95785</v>
      </c>
      <c r="BJ10" s="55">
        <v>95915</v>
      </c>
      <c r="BK10" s="55">
        <v>96189.5</v>
      </c>
      <c r="BL10" s="55">
        <v>96454</v>
      </c>
      <c r="BM10" s="55">
        <v>96670</v>
      </c>
      <c r="BN10" s="55">
        <v>96907.5</v>
      </c>
      <c r="BO10" s="55">
        <v>97066</v>
      </c>
      <c r="BP10" s="55">
        <v>97155</v>
      </c>
      <c r="BQ10" s="55">
        <v>97230.5</v>
      </c>
      <c r="BR10" s="55">
        <v>97297</v>
      </c>
      <c r="BS10" s="55">
        <v>97260</v>
      </c>
      <c r="BT10" s="55">
        <v>97324</v>
      </c>
      <c r="BU10" s="55">
        <v>97386</v>
      </c>
      <c r="BV10" s="55">
        <v>97467</v>
      </c>
      <c r="BW10" s="55">
        <v>97515</v>
      </c>
      <c r="BX10" s="55">
        <v>97628</v>
      </c>
      <c r="BY10" s="55">
        <v>97759.5</v>
      </c>
      <c r="BZ10" s="55">
        <v>98025.5</v>
      </c>
      <c r="CA10" s="55">
        <v>98196.5</v>
      </c>
      <c r="CB10" s="55">
        <v>98269.5</v>
      </c>
      <c r="CC10" s="55">
        <v>98386</v>
      </c>
      <c r="CD10" s="55">
        <v>98474</v>
      </c>
      <c r="CE10" s="55">
        <v>98546</v>
      </c>
      <c r="CF10" s="55">
        <v>98652</v>
      </c>
      <c r="CG10" s="55">
        <v>98731.5</v>
      </c>
      <c r="CH10" s="55">
        <v>98791</v>
      </c>
      <c r="CI10" s="55">
        <v>98864.5</v>
      </c>
      <c r="CJ10" s="55">
        <v>98899.5</v>
      </c>
      <c r="CK10" s="55">
        <v>98949.5</v>
      </c>
      <c r="CL10" s="55">
        <v>99037.5</v>
      </c>
      <c r="CM10" s="55">
        <v>99056</v>
      </c>
      <c r="CN10" s="55">
        <v>99116.5</v>
      </c>
      <c r="CO10" s="55">
        <v>99182</v>
      </c>
      <c r="CP10" s="55">
        <v>99229.5</v>
      </c>
      <c r="CQ10" s="55">
        <v>99282</v>
      </c>
      <c r="CR10" s="55">
        <v>99305.5</v>
      </c>
      <c r="CS10" s="55">
        <v>99343.5</v>
      </c>
      <c r="CT10" s="55">
        <v>99358</v>
      </c>
      <c r="CU10" s="55">
        <v>99393.5</v>
      </c>
      <c r="CV10" s="55">
        <v>99406.5</v>
      </c>
      <c r="CW10" s="55">
        <v>99422</v>
      </c>
      <c r="CX10" s="55">
        <v>99460</v>
      </c>
      <c r="CY10" s="55">
        <v>99457.5</v>
      </c>
      <c r="CZ10" s="55">
        <v>99464.5</v>
      </c>
      <c r="DA10" s="55">
        <v>99468</v>
      </c>
      <c r="DB10" s="55">
        <v>99492</v>
      </c>
      <c r="DC10" s="55">
        <v>99506.5</v>
      </c>
      <c r="DD10" s="55">
        <v>99516.5</v>
      </c>
      <c r="DE10" s="55">
        <v>99520.5</v>
      </c>
      <c r="DF10" s="55">
        <v>99563</v>
      </c>
      <c r="DG10" s="55">
        <v>99557</v>
      </c>
      <c r="DH10" s="55">
        <v>99571</v>
      </c>
      <c r="DI10" s="55">
        <v>99564.5</v>
      </c>
      <c r="DJ10" s="55">
        <v>99593</v>
      </c>
      <c r="DK10" s="55">
        <v>99599</v>
      </c>
      <c r="DL10" s="55">
        <v>99600.5</v>
      </c>
      <c r="DM10" s="55">
        <v>99618.5</v>
      </c>
      <c r="DN10" s="55">
        <v>99635.5</v>
      </c>
      <c r="DO10" s="55">
        <v>99651.5</v>
      </c>
    </row>
    <row r="11" spans="1:119">
      <c r="A11" s="52">
        <v>9</v>
      </c>
      <c r="B11" s="55"/>
      <c r="C11" s="55"/>
      <c r="D11" s="55"/>
      <c r="E11" s="55"/>
      <c r="F11" s="55"/>
      <c r="G11" s="55"/>
      <c r="H11" s="55"/>
      <c r="I11" s="55"/>
      <c r="J11" s="55"/>
      <c r="K11" s="55"/>
      <c r="L11" s="55"/>
      <c r="M11" s="55"/>
      <c r="N11" s="55"/>
      <c r="O11" s="55"/>
      <c r="P11" s="55"/>
      <c r="Q11" s="55"/>
      <c r="R11" s="55"/>
      <c r="S11" s="55"/>
      <c r="T11" s="55"/>
      <c r="U11" s="55"/>
      <c r="V11" s="55"/>
      <c r="W11" s="55">
        <v>82835</v>
      </c>
      <c r="X11" s="55">
        <v>83591.5</v>
      </c>
      <c r="Y11" s="55">
        <v>83666</v>
      </c>
      <c r="Z11" s="55">
        <v>85846</v>
      </c>
      <c r="AA11" s="55">
        <v>86154.5</v>
      </c>
      <c r="AB11" s="55">
        <v>86691.5</v>
      </c>
      <c r="AC11" s="55">
        <v>87412</v>
      </c>
      <c r="AD11" s="55">
        <v>88212.5</v>
      </c>
      <c r="AE11" s="55">
        <v>87972</v>
      </c>
      <c r="AF11" s="55">
        <v>89067</v>
      </c>
      <c r="AG11" s="55">
        <v>89380.5</v>
      </c>
      <c r="AH11" s="55">
        <v>89549.5</v>
      </c>
      <c r="AI11" s="55">
        <v>89745.5</v>
      </c>
      <c r="AJ11" s="55">
        <v>90874</v>
      </c>
      <c r="AK11" s="55">
        <v>90729</v>
      </c>
      <c r="AL11" s="55">
        <v>90918</v>
      </c>
      <c r="AM11" s="55">
        <v>91015.5</v>
      </c>
      <c r="AN11" s="55">
        <v>91405.5</v>
      </c>
      <c r="AO11" s="55">
        <v>91311</v>
      </c>
      <c r="AP11" s="55">
        <v>91364.5</v>
      </c>
      <c r="AQ11" s="55">
        <v>91413</v>
      </c>
      <c r="AR11" s="55">
        <v>91431</v>
      </c>
      <c r="AS11" s="55">
        <v>90829</v>
      </c>
      <c r="AT11" s="55">
        <v>90041</v>
      </c>
      <c r="AU11" s="55">
        <v>88759</v>
      </c>
      <c r="AV11" s="55">
        <v>89132</v>
      </c>
      <c r="AW11" s="55">
        <v>89440.5</v>
      </c>
      <c r="AX11" s="55">
        <v>91608.5</v>
      </c>
      <c r="AY11" s="55">
        <v>93417</v>
      </c>
      <c r="AZ11" s="55">
        <v>93483.5</v>
      </c>
      <c r="BA11" s="55">
        <v>93548.5</v>
      </c>
      <c r="BB11" s="55">
        <v>94202.5</v>
      </c>
      <c r="BC11" s="55">
        <v>94448.5</v>
      </c>
      <c r="BD11" s="55">
        <v>94826.5</v>
      </c>
      <c r="BE11" s="55">
        <v>94913</v>
      </c>
      <c r="BF11" s="55">
        <v>95243.5</v>
      </c>
      <c r="BG11" s="55">
        <v>95338</v>
      </c>
      <c r="BH11" s="55">
        <v>95574</v>
      </c>
      <c r="BI11" s="55">
        <v>95740.5</v>
      </c>
      <c r="BJ11" s="55">
        <v>95872</v>
      </c>
      <c r="BK11" s="55">
        <v>96147.5</v>
      </c>
      <c r="BL11" s="55">
        <v>96408</v>
      </c>
      <c r="BM11" s="55">
        <v>96627.5</v>
      </c>
      <c r="BN11" s="55">
        <v>96867</v>
      </c>
      <c r="BO11" s="55">
        <v>97032</v>
      </c>
      <c r="BP11" s="55">
        <v>97119.5</v>
      </c>
      <c r="BQ11" s="55">
        <v>97195</v>
      </c>
      <c r="BR11" s="55">
        <v>97266.5</v>
      </c>
      <c r="BS11" s="55">
        <v>97229</v>
      </c>
      <c r="BT11" s="55">
        <v>97290</v>
      </c>
      <c r="BU11" s="55">
        <v>97356.5</v>
      </c>
      <c r="BV11" s="55">
        <v>97437.5</v>
      </c>
      <c r="BW11" s="55">
        <v>97489</v>
      </c>
      <c r="BX11" s="55">
        <v>97603</v>
      </c>
      <c r="BY11" s="55">
        <v>97736</v>
      </c>
      <c r="BZ11" s="55">
        <v>98003</v>
      </c>
      <c r="CA11" s="55">
        <v>98173</v>
      </c>
      <c r="CB11" s="55">
        <v>98247</v>
      </c>
      <c r="CC11" s="55">
        <v>98368</v>
      </c>
      <c r="CD11" s="55">
        <v>98454.5</v>
      </c>
      <c r="CE11" s="55">
        <v>98520.5</v>
      </c>
      <c r="CF11" s="55">
        <v>98632.5</v>
      </c>
      <c r="CG11" s="55">
        <v>98712.5</v>
      </c>
      <c r="CH11" s="55">
        <v>98776</v>
      </c>
      <c r="CI11" s="55">
        <v>98850</v>
      </c>
      <c r="CJ11" s="55">
        <v>98886.5</v>
      </c>
      <c r="CK11" s="55">
        <v>98936.5</v>
      </c>
      <c r="CL11" s="55">
        <v>99027</v>
      </c>
      <c r="CM11" s="55">
        <v>99044</v>
      </c>
      <c r="CN11" s="55">
        <v>99104.5</v>
      </c>
      <c r="CO11" s="55">
        <v>99169</v>
      </c>
      <c r="CP11" s="55">
        <v>99220.5</v>
      </c>
      <c r="CQ11" s="55">
        <v>99273</v>
      </c>
      <c r="CR11" s="55">
        <v>99295</v>
      </c>
      <c r="CS11" s="55">
        <v>99330</v>
      </c>
      <c r="CT11" s="55">
        <v>99348.5</v>
      </c>
      <c r="CU11" s="55">
        <v>99384.5</v>
      </c>
      <c r="CV11" s="55">
        <v>99398.5</v>
      </c>
      <c r="CW11" s="55">
        <v>99412.5</v>
      </c>
      <c r="CX11" s="55">
        <v>99453.5</v>
      </c>
      <c r="CY11" s="55">
        <v>99450.5</v>
      </c>
      <c r="CZ11" s="55">
        <v>99455</v>
      </c>
      <c r="DA11" s="55">
        <v>99459</v>
      </c>
      <c r="DB11" s="55">
        <v>99484</v>
      </c>
      <c r="DC11" s="55">
        <v>99501</v>
      </c>
      <c r="DD11" s="55">
        <v>99509.5</v>
      </c>
      <c r="DE11" s="55">
        <v>99514</v>
      </c>
      <c r="DF11" s="55">
        <v>99556</v>
      </c>
      <c r="DG11" s="55">
        <v>99551</v>
      </c>
      <c r="DH11" s="55">
        <v>99565.5</v>
      </c>
      <c r="DI11" s="55">
        <v>99559</v>
      </c>
      <c r="DJ11" s="55">
        <v>99588.5</v>
      </c>
      <c r="DK11" s="55">
        <v>99593.5</v>
      </c>
      <c r="DL11" s="55">
        <v>99595.5</v>
      </c>
      <c r="DM11" s="55">
        <v>99614</v>
      </c>
      <c r="DN11" s="55">
        <v>99631.5</v>
      </c>
      <c r="DO11" s="55">
        <v>99647.5</v>
      </c>
    </row>
    <row r="12" spans="1:119">
      <c r="A12" s="52">
        <v>10</v>
      </c>
      <c r="B12" s="55"/>
      <c r="C12" s="55"/>
      <c r="D12" s="55"/>
      <c r="E12" s="55"/>
      <c r="F12" s="55"/>
      <c r="G12" s="55"/>
      <c r="H12" s="55"/>
      <c r="I12" s="55"/>
      <c r="J12" s="55"/>
      <c r="K12" s="55"/>
      <c r="L12" s="55"/>
      <c r="M12" s="55"/>
      <c r="N12" s="55"/>
      <c r="O12" s="55"/>
      <c r="P12" s="55"/>
      <c r="Q12" s="55"/>
      <c r="R12" s="55"/>
      <c r="S12" s="55"/>
      <c r="T12" s="55"/>
      <c r="U12" s="55"/>
      <c r="V12" s="55"/>
      <c r="W12" s="55">
        <v>82709</v>
      </c>
      <c r="X12" s="55">
        <v>83483.5</v>
      </c>
      <c r="Y12" s="55">
        <v>83549.5</v>
      </c>
      <c r="Z12" s="55">
        <v>85727</v>
      </c>
      <c r="AA12" s="55">
        <v>86034.5</v>
      </c>
      <c r="AB12" s="55">
        <v>86547</v>
      </c>
      <c r="AC12" s="55">
        <v>87272.5</v>
      </c>
      <c r="AD12" s="55">
        <v>88085</v>
      </c>
      <c r="AE12" s="55">
        <v>87848.5</v>
      </c>
      <c r="AF12" s="55">
        <v>88935.5</v>
      </c>
      <c r="AG12" s="55">
        <v>89248</v>
      </c>
      <c r="AH12" s="55">
        <v>89417</v>
      </c>
      <c r="AI12" s="55">
        <v>89612.5</v>
      </c>
      <c r="AJ12" s="55">
        <v>90726</v>
      </c>
      <c r="AK12" s="55">
        <v>90561.5</v>
      </c>
      <c r="AL12" s="55">
        <v>90716</v>
      </c>
      <c r="AM12" s="55">
        <v>90906</v>
      </c>
      <c r="AN12" s="55">
        <v>91295</v>
      </c>
      <c r="AO12" s="55">
        <v>91224.5</v>
      </c>
      <c r="AP12" s="55">
        <v>91306.5</v>
      </c>
      <c r="AQ12" s="55">
        <v>91355.5</v>
      </c>
      <c r="AR12" s="55">
        <v>91373</v>
      </c>
      <c r="AS12" s="55">
        <v>90781.5</v>
      </c>
      <c r="AT12" s="55">
        <v>89996.5</v>
      </c>
      <c r="AU12" s="55">
        <v>88718</v>
      </c>
      <c r="AV12" s="55">
        <v>89089.5</v>
      </c>
      <c r="AW12" s="55">
        <v>89398</v>
      </c>
      <c r="AX12" s="55">
        <v>91567</v>
      </c>
      <c r="AY12" s="55">
        <v>93374.5</v>
      </c>
      <c r="AZ12" s="55">
        <v>93442</v>
      </c>
      <c r="BA12" s="55">
        <v>93509.5</v>
      </c>
      <c r="BB12" s="55">
        <v>94161.5</v>
      </c>
      <c r="BC12" s="55">
        <v>94410.5</v>
      </c>
      <c r="BD12" s="55">
        <v>94786.5</v>
      </c>
      <c r="BE12" s="55">
        <v>94874</v>
      </c>
      <c r="BF12" s="55">
        <v>95206</v>
      </c>
      <c r="BG12" s="55">
        <v>95300</v>
      </c>
      <c r="BH12" s="55">
        <v>95535</v>
      </c>
      <c r="BI12" s="55">
        <v>95701.5</v>
      </c>
      <c r="BJ12" s="55">
        <v>95831.5</v>
      </c>
      <c r="BK12" s="55">
        <v>96109</v>
      </c>
      <c r="BL12" s="55">
        <v>96372</v>
      </c>
      <c r="BM12" s="55">
        <v>96591</v>
      </c>
      <c r="BN12" s="55">
        <v>96834</v>
      </c>
      <c r="BO12" s="55">
        <v>97002.5</v>
      </c>
      <c r="BP12" s="55">
        <v>97088.5</v>
      </c>
      <c r="BQ12" s="55">
        <v>97166.5</v>
      </c>
      <c r="BR12" s="55">
        <v>97234.5</v>
      </c>
      <c r="BS12" s="55">
        <v>97200</v>
      </c>
      <c r="BT12" s="55">
        <v>97263</v>
      </c>
      <c r="BU12" s="55">
        <v>97332</v>
      </c>
      <c r="BV12" s="55">
        <v>97414</v>
      </c>
      <c r="BW12" s="55">
        <v>97468</v>
      </c>
      <c r="BX12" s="55">
        <v>97579</v>
      </c>
      <c r="BY12" s="55">
        <v>97714</v>
      </c>
      <c r="BZ12" s="55">
        <v>97985</v>
      </c>
      <c r="CA12" s="55">
        <v>98154</v>
      </c>
      <c r="CB12" s="55">
        <v>98227</v>
      </c>
      <c r="CC12" s="55">
        <v>98348.5</v>
      </c>
      <c r="CD12" s="55">
        <v>98439.5</v>
      </c>
      <c r="CE12" s="55">
        <v>98503</v>
      </c>
      <c r="CF12" s="55">
        <v>98617</v>
      </c>
      <c r="CG12" s="55">
        <v>98699</v>
      </c>
      <c r="CH12" s="55">
        <v>98763.5</v>
      </c>
      <c r="CI12" s="55">
        <v>98835</v>
      </c>
      <c r="CJ12" s="55">
        <v>98874</v>
      </c>
      <c r="CK12" s="55">
        <v>98923.5</v>
      </c>
      <c r="CL12" s="55">
        <v>99017</v>
      </c>
      <c r="CM12" s="55">
        <v>99033.5</v>
      </c>
      <c r="CN12" s="55">
        <v>99093.5</v>
      </c>
      <c r="CO12" s="55">
        <v>99157.5</v>
      </c>
      <c r="CP12" s="55">
        <v>99210.5</v>
      </c>
      <c r="CQ12" s="55">
        <v>99264.5</v>
      </c>
      <c r="CR12" s="55">
        <v>99286</v>
      </c>
      <c r="CS12" s="55">
        <v>99322</v>
      </c>
      <c r="CT12" s="55">
        <v>99340.5</v>
      </c>
      <c r="CU12" s="55">
        <v>99376.5</v>
      </c>
      <c r="CV12" s="55">
        <v>99390.5</v>
      </c>
      <c r="CW12" s="55">
        <v>99405</v>
      </c>
      <c r="CX12" s="55">
        <v>99446.5</v>
      </c>
      <c r="CY12" s="55">
        <v>99442.5</v>
      </c>
      <c r="CZ12" s="55">
        <v>99448</v>
      </c>
      <c r="DA12" s="55">
        <v>99451</v>
      </c>
      <c r="DB12" s="55">
        <v>99475.5</v>
      </c>
      <c r="DC12" s="55">
        <v>99494.5</v>
      </c>
      <c r="DD12" s="55">
        <v>99503.5</v>
      </c>
      <c r="DE12" s="55">
        <v>99508.5</v>
      </c>
      <c r="DF12" s="55">
        <v>99550.5</v>
      </c>
      <c r="DG12" s="55">
        <v>99545.5</v>
      </c>
      <c r="DH12" s="55">
        <v>99560</v>
      </c>
      <c r="DI12" s="55">
        <v>99554</v>
      </c>
      <c r="DJ12" s="55">
        <v>99583</v>
      </c>
      <c r="DK12" s="55">
        <v>99589</v>
      </c>
      <c r="DL12" s="55">
        <v>99591</v>
      </c>
      <c r="DM12" s="55">
        <v>99609.5</v>
      </c>
      <c r="DN12" s="55">
        <v>99627</v>
      </c>
      <c r="DO12" s="55">
        <v>99643.5</v>
      </c>
    </row>
    <row r="13" spans="1:119">
      <c r="A13" s="52">
        <v>11</v>
      </c>
      <c r="B13" s="55"/>
      <c r="C13" s="55"/>
      <c r="D13" s="55"/>
      <c r="E13" s="55"/>
      <c r="F13" s="55"/>
      <c r="G13" s="55"/>
      <c r="H13" s="55"/>
      <c r="I13" s="55"/>
      <c r="J13" s="55"/>
      <c r="K13" s="55"/>
      <c r="L13" s="55"/>
      <c r="M13" s="55"/>
      <c r="N13" s="55"/>
      <c r="O13" s="55"/>
      <c r="P13" s="55"/>
      <c r="Q13" s="55"/>
      <c r="R13" s="55"/>
      <c r="S13" s="55"/>
      <c r="T13" s="55"/>
      <c r="U13" s="55"/>
      <c r="V13" s="55"/>
      <c r="W13" s="55">
        <v>82614.5</v>
      </c>
      <c r="X13" s="55">
        <v>83380.5</v>
      </c>
      <c r="Y13" s="55">
        <v>83446.5</v>
      </c>
      <c r="Z13" s="55">
        <v>85621</v>
      </c>
      <c r="AA13" s="55">
        <v>85907</v>
      </c>
      <c r="AB13" s="55">
        <v>86425</v>
      </c>
      <c r="AC13" s="55">
        <v>87161</v>
      </c>
      <c r="AD13" s="55">
        <v>87975.5</v>
      </c>
      <c r="AE13" s="55">
        <v>87733.5</v>
      </c>
      <c r="AF13" s="55">
        <v>88819</v>
      </c>
      <c r="AG13" s="55">
        <v>89131.5</v>
      </c>
      <c r="AH13" s="55">
        <v>89300</v>
      </c>
      <c r="AI13" s="55">
        <v>89483</v>
      </c>
      <c r="AJ13" s="55">
        <v>90577</v>
      </c>
      <c r="AK13" s="55">
        <v>90383.5</v>
      </c>
      <c r="AL13" s="55">
        <v>90609.5</v>
      </c>
      <c r="AM13" s="55">
        <v>90799</v>
      </c>
      <c r="AN13" s="55">
        <v>91210.5</v>
      </c>
      <c r="AO13" s="55">
        <v>91171</v>
      </c>
      <c r="AP13" s="55">
        <v>91253.5</v>
      </c>
      <c r="AQ13" s="55">
        <v>91302</v>
      </c>
      <c r="AR13" s="55">
        <v>91328.5</v>
      </c>
      <c r="AS13" s="55">
        <v>90741</v>
      </c>
      <c r="AT13" s="55">
        <v>89958.5</v>
      </c>
      <c r="AU13" s="55">
        <v>88681</v>
      </c>
      <c r="AV13" s="55">
        <v>89052</v>
      </c>
      <c r="AW13" s="55">
        <v>89358</v>
      </c>
      <c r="AX13" s="55">
        <v>91532.5</v>
      </c>
      <c r="AY13" s="55">
        <v>93338</v>
      </c>
      <c r="AZ13" s="55">
        <v>93409.5</v>
      </c>
      <c r="BA13" s="55">
        <v>93473.5</v>
      </c>
      <c r="BB13" s="55">
        <v>94128</v>
      </c>
      <c r="BC13" s="55">
        <v>94379</v>
      </c>
      <c r="BD13" s="55">
        <v>94749</v>
      </c>
      <c r="BE13" s="55">
        <v>94838</v>
      </c>
      <c r="BF13" s="55">
        <v>95169</v>
      </c>
      <c r="BG13" s="55">
        <v>95262.5</v>
      </c>
      <c r="BH13" s="55">
        <v>95497</v>
      </c>
      <c r="BI13" s="55">
        <v>95661</v>
      </c>
      <c r="BJ13" s="55">
        <v>95795.5</v>
      </c>
      <c r="BK13" s="55">
        <v>96073</v>
      </c>
      <c r="BL13" s="55">
        <v>96338.5</v>
      </c>
      <c r="BM13" s="55">
        <v>96561.5</v>
      </c>
      <c r="BN13" s="55">
        <v>96807.5</v>
      </c>
      <c r="BO13" s="55">
        <v>96973.5</v>
      </c>
      <c r="BP13" s="55">
        <v>97061.5</v>
      </c>
      <c r="BQ13" s="55">
        <v>97141</v>
      </c>
      <c r="BR13" s="55">
        <v>97210.5</v>
      </c>
      <c r="BS13" s="55">
        <v>97175.5</v>
      </c>
      <c r="BT13" s="55">
        <v>97236.5</v>
      </c>
      <c r="BU13" s="55">
        <v>97311</v>
      </c>
      <c r="BV13" s="55">
        <v>97395</v>
      </c>
      <c r="BW13" s="55">
        <v>97448.5</v>
      </c>
      <c r="BX13" s="55">
        <v>97561.5</v>
      </c>
      <c r="BY13" s="55">
        <v>97696</v>
      </c>
      <c r="BZ13" s="55">
        <v>97965</v>
      </c>
      <c r="CA13" s="55">
        <v>98137.5</v>
      </c>
      <c r="CB13" s="55">
        <v>98212</v>
      </c>
      <c r="CC13" s="55">
        <v>98331</v>
      </c>
      <c r="CD13" s="55">
        <v>98424</v>
      </c>
      <c r="CE13" s="55">
        <v>98488.5</v>
      </c>
      <c r="CF13" s="55">
        <v>98601.5</v>
      </c>
      <c r="CG13" s="55">
        <v>98683.5</v>
      </c>
      <c r="CH13" s="55">
        <v>98751.5</v>
      </c>
      <c r="CI13" s="55">
        <v>98822.5</v>
      </c>
      <c r="CJ13" s="55">
        <v>98863</v>
      </c>
      <c r="CK13" s="55">
        <v>98912</v>
      </c>
      <c r="CL13" s="55">
        <v>99006.5</v>
      </c>
      <c r="CM13" s="55">
        <v>99022.5</v>
      </c>
      <c r="CN13" s="55">
        <v>99083.5</v>
      </c>
      <c r="CO13" s="55">
        <v>99148.5</v>
      </c>
      <c r="CP13" s="55">
        <v>99200.5</v>
      </c>
      <c r="CQ13" s="55">
        <v>99257.5</v>
      </c>
      <c r="CR13" s="55">
        <v>99277</v>
      </c>
      <c r="CS13" s="55">
        <v>99314.5</v>
      </c>
      <c r="CT13" s="55">
        <v>99333.5</v>
      </c>
      <c r="CU13" s="55">
        <v>99367</v>
      </c>
      <c r="CV13" s="55">
        <v>99382.5</v>
      </c>
      <c r="CW13" s="55">
        <v>99397.5</v>
      </c>
      <c r="CX13" s="55">
        <v>99437.5</v>
      </c>
      <c r="CY13" s="55">
        <v>99436</v>
      </c>
      <c r="CZ13" s="55">
        <v>99441.5</v>
      </c>
      <c r="DA13" s="55">
        <v>99445.5</v>
      </c>
      <c r="DB13" s="55">
        <v>99469</v>
      </c>
      <c r="DC13" s="55">
        <v>99488</v>
      </c>
      <c r="DD13" s="55">
        <v>99497</v>
      </c>
      <c r="DE13" s="55">
        <v>99502</v>
      </c>
      <c r="DF13" s="55">
        <v>99545</v>
      </c>
      <c r="DG13" s="55">
        <v>99540</v>
      </c>
      <c r="DH13" s="55">
        <v>99555</v>
      </c>
      <c r="DI13" s="55">
        <v>99548.5</v>
      </c>
      <c r="DJ13" s="55">
        <v>99578.5</v>
      </c>
      <c r="DK13" s="55">
        <v>99584.5</v>
      </c>
      <c r="DL13" s="55">
        <v>99586.5</v>
      </c>
      <c r="DM13" s="55">
        <v>99605</v>
      </c>
      <c r="DN13" s="55">
        <v>99623</v>
      </c>
      <c r="DO13" s="55">
        <v>99639.5</v>
      </c>
    </row>
    <row r="14" spans="1:119">
      <c r="A14" s="52">
        <v>12</v>
      </c>
      <c r="B14" s="55"/>
      <c r="C14" s="55"/>
      <c r="D14" s="55"/>
      <c r="E14" s="55"/>
      <c r="F14" s="55"/>
      <c r="G14" s="55"/>
      <c r="H14" s="55"/>
      <c r="I14" s="55"/>
      <c r="J14" s="55"/>
      <c r="K14" s="55"/>
      <c r="L14" s="55"/>
      <c r="M14" s="55"/>
      <c r="N14" s="55"/>
      <c r="O14" s="55"/>
      <c r="P14" s="55"/>
      <c r="Q14" s="55"/>
      <c r="R14" s="55"/>
      <c r="S14" s="55"/>
      <c r="T14" s="55"/>
      <c r="U14" s="55"/>
      <c r="V14" s="55"/>
      <c r="W14" s="55">
        <v>82521.5</v>
      </c>
      <c r="X14" s="55">
        <v>83286.5</v>
      </c>
      <c r="Y14" s="55">
        <v>83352</v>
      </c>
      <c r="Z14" s="55">
        <v>85505</v>
      </c>
      <c r="AA14" s="55">
        <v>85796.5</v>
      </c>
      <c r="AB14" s="55">
        <v>86324</v>
      </c>
      <c r="AC14" s="55">
        <v>87062.5</v>
      </c>
      <c r="AD14" s="55">
        <v>87870</v>
      </c>
      <c r="AE14" s="55">
        <v>87628</v>
      </c>
      <c r="AF14" s="55">
        <v>88712.5</v>
      </c>
      <c r="AG14" s="55">
        <v>89024.5</v>
      </c>
      <c r="AH14" s="55">
        <v>89182</v>
      </c>
      <c r="AI14" s="55">
        <v>89349</v>
      </c>
      <c r="AJ14" s="55">
        <v>90414.5</v>
      </c>
      <c r="AK14" s="55">
        <v>90279.5</v>
      </c>
      <c r="AL14" s="55">
        <v>90505.5</v>
      </c>
      <c r="AM14" s="55">
        <v>90716.5</v>
      </c>
      <c r="AN14" s="55">
        <v>91158.5</v>
      </c>
      <c r="AO14" s="55">
        <v>91119</v>
      </c>
      <c r="AP14" s="55">
        <v>91200.5</v>
      </c>
      <c r="AQ14" s="55">
        <v>91257.5</v>
      </c>
      <c r="AR14" s="55">
        <v>91290</v>
      </c>
      <c r="AS14" s="55">
        <v>90701.5</v>
      </c>
      <c r="AT14" s="55">
        <v>89919.5</v>
      </c>
      <c r="AU14" s="55">
        <v>88641.5</v>
      </c>
      <c r="AV14" s="55">
        <v>89018</v>
      </c>
      <c r="AW14" s="55">
        <v>89323.5</v>
      </c>
      <c r="AX14" s="55">
        <v>91498</v>
      </c>
      <c r="AY14" s="55">
        <v>93304</v>
      </c>
      <c r="AZ14" s="55">
        <v>93372.5</v>
      </c>
      <c r="BA14" s="55">
        <v>93441</v>
      </c>
      <c r="BB14" s="55">
        <v>94095.5</v>
      </c>
      <c r="BC14" s="55">
        <v>94345</v>
      </c>
      <c r="BD14" s="55">
        <v>94712.5</v>
      </c>
      <c r="BE14" s="55">
        <v>94802.5</v>
      </c>
      <c r="BF14" s="55">
        <v>95132</v>
      </c>
      <c r="BG14" s="55">
        <v>95230.5</v>
      </c>
      <c r="BH14" s="55">
        <v>95464</v>
      </c>
      <c r="BI14" s="55">
        <v>95628</v>
      </c>
      <c r="BJ14" s="55">
        <v>95764.5</v>
      </c>
      <c r="BK14" s="55">
        <v>96041.5</v>
      </c>
      <c r="BL14" s="55">
        <v>96310.5</v>
      </c>
      <c r="BM14" s="55">
        <v>96534</v>
      </c>
      <c r="BN14" s="55">
        <v>96778</v>
      </c>
      <c r="BO14" s="55">
        <v>96944.5</v>
      </c>
      <c r="BP14" s="55">
        <v>97035.5</v>
      </c>
      <c r="BQ14" s="55">
        <v>97115.5</v>
      </c>
      <c r="BR14" s="55">
        <v>97187.5</v>
      </c>
      <c r="BS14" s="55">
        <v>97151</v>
      </c>
      <c r="BT14" s="55">
        <v>97211</v>
      </c>
      <c r="BU14" s="55">
        <v>97290</v>
      </c>
      <c r="BV14" s="55">
        <v>97375.5</v>
      </c>
      <c r="BW14" s="55">
        <v>97432</v>
      </c>
      <c r="BX14" s="55">
        <v>97542.5</v>
      </c>
      <c r="BY14" s="55">
        <v>97681</v>
      </c>
      <c r="BZ14" s="55">
        <v>97944.5</v>
      </c>
      <c r="CA14" s="55">
        <v>98123</v>
      </c>
      <c r="CB14" s="55">
        <v>98193.5</v>
      </c>
      <c r="CC14" s="55">
        <v>98312</v>
      </c>
      <c r="CD14" s="55">
        <v>98408</v>
      </c>
      <c r="CE14" s="55">
        <v>98474</v>
      </c>
      <c r="CF14" s="55">
        <v>98584.5</v>
      </c>
      <c r="CG14" s="55">
        <v>98669</v>
      </c>
      <c r="CH14" s="55">
        <v>98739</v>
      </c>
      <c r="CI14" s="55">
        <v>98811.5</v>
      </c>
      <c r="CJ14" s="55">
        <v>98850.5</v>
      </c>
      <c r="CK14" s="55">
        <v>98899.5</v>
      </c>
      <c r="CL14" s="55">
        <v>98994.5</v>
      </c>
      <c r="CM14" s="55">
        <v>99012</v>
      </c>
      <c r="CN14" s="55">
        <v>99071.5</v>
      </c>
      <c r="CO14" s="55">
        <v>99137</v>
      </c>
      <c r="CP14" s="55">
        <v>99188</v>
      </c>
      <c r="CQ14" s="55">
        <v>99246.5</v>
      </c>
      <c r="CR14" s="55">
        <v>99266.5</v>
      </c>
      <c r="CS14" s="55">
        <v>99307</v>
      </c>
      <c r="CT14" s="55">
        <v>99323.5</v>
      </c>
      <c r="CU14" s="55">
        <v>99359</v>
      </c>
      <c r="CV14" s="55">
        <v>99373.5</v>
      </c>
      <c r="CW14" s="55">
        <v>99390.5</v>
      </c>
      <c r="CX14" s="55">
        <v>99429</v>
      </c>
      <c r="CY14" s="55">
        <v>99429.5</v>
      </c>
      <c r="CZ14" s="55">
        <v>99434.5</v>
      </c>
      <c r="DA14" s="55">
        <v>99437</v>
      </c>
      <c r="DB14" s="55">
        <v>99462.5</v>
      </c>
      <c r="DC14" s="55">
        <v>99481.5</v>
      </c>
      <c r="DD14" s="55">
        <v>99491</v>
      </c>
      <c r="DE14" s="55">
        <v>99496.5</v>
      </c>
      <c r="DF14" s="55">
        <v>99539.5</v>
      </c>
      <c r="DG14" s="55">
        <v>99534.5</v>
      </c>
      <c r="DH14" s="55">
        <v>99549.5</v>
      </c>
      <c r="DI14" s="55">
        <v>99543.5</v>
      </c>
      <c r="DJ14" s="55">
        <v>99573.5</v>
      </c>
      <c r="DK14" s="55">
        <v>99579.5</v>
      </c>
      <c r="DL14" s="55">
        <v>99582.5</v>
      </c>
      <c r="DM14" s="55">
        <v>99600.5</v>
      </c>
      <c r="DN14" s="55">
        <v>99618.5</v>
      </c>
      <c r="DO14" s="55">
        <v>99635.5</v>
      </c>
    </row>
    <row r="15" spans="1:119">
      <c r="A15" s="52">
        <v>13</v>
      </c>
      <c r="B15" s="55"/>
      <c r="C15" s="55"/>
      <c r="D15" s="55"/>
      <c r="E15" s="55"/>
      <c r="F15" s="55"/>
      <c r="G15" s="55"/>
      <c r="H15" s="55"/>
      <c r="I15" s="55"/>
      <c r="J15" s="55"/>
      <c r="K15" s="55"/>
      <c r="L15" s="55"/>
      <c r="M15" s="55"/>
      <c r="N15" s="55"/>
      <c r="O15" s="55"/>
      <c r="P15" s="55"/>
      <c r="Q15" s="55"/>
      <c r="R15" s="55"/>
      <c r="S15" s="55"/>
      <c r="T15" s="55"/>
      <c r="U15" s="55"/>
      <c r="V15" s="55"/>
      <c r="W15" s="55">
        <v>82433</v>
      </c>
      <c r="X15" s="55">
        <v>83197</v>
      </c>
      <c r="Y15" s="55">
        <v>83236</v>
      </c>
      <c r="Z15" s="55">
        <v>85385.5</v>
      </c>
      <c r="AA15" s="55">
        <v>85685</v>
      </c>
      <c r="AB15" s="55">
        <v>86220.5</v>
      </c>
      <c r="AC15" s="55">
        <v>86949</v>
      </c>
      <c r="AD15" s="55">
        <v>87756</v>
      </c>
      <c r="AE15" s="55">
        <v>87514.5</v>
      </c>
      <c r="AF15" s="55">
        <v>88597</v>
      </c>
      <c r="AG15" s="55">
        <v>88897.5</v>
      </c>
      <c r="AH15" s="55">
        <v>89037.5</v>
      </c>
      <c r="AI15" s="55">
        <v>89175.5</v>
      </c>
      <c r="AJ15" s="55">
        <v>90313</v>
      </c>
      <c r="AK15" s="55">
        <v>90178</v>
      </c>
      <c r="AL15" s="55">
        <v>90428.5</v>
      </c>
      <c r="AM15" s="55">
        <v>90663.5</v>
      </c>
      <c r="AN15" s="55">
        <v>91104.5</v>
      </c>
      <c r="AO15" s="55">
        <v>91065.5</v>
      </c>
      <c r="AP15" s="55">
        <v>91158.5</v>
      </c>
      <c r="AQ15" s="55">
        <v>91216</v>
      </c>
      <c r="AR15" s="55">
        <v>91252</v>
      </c>
      <c r="AS15" s="55">
        <v>90663</v>
      </c>
      <c r="AT15" s="55">
        <v>89882</v>
      </c>
      <c r="AU15" s="55">
        <v>88606.5</v>
      </c>
      <c r="AV15" s="55">
        <v>88982.5</v>
      </c>
      <c r="AW15" s="55">
        <v>89288.5</v>
      </c>
      <c r="AX15" s="55">
        <v>91467</v>
      </c>
      <c r="AY15" s="55">
        <v>93268.5</v>
      </c>
      <c r="AZ15" s="55">
        <v>93339.5</v>
      </c>
      <c r="BA15" s="55">
        <v>93405</v>
      </c>
      <c r="BB15" s="55">
        <v>94060</v>
      </c>
      <c r="BC15" s="55">
        <v>94308.5</v>
      </c>
      <c r="BD15" s="55">
        <v>94677.5</v>
      </c>
      <c r="BE15" s="55">
        <v>94768.5</v>
      </c>
      <c r="BF15" s="55">
        <v>95102</v>
      </c>
      <c r="BG15" s="55">
        <v>95196</v>
      </c>
      <c r="BH15" s="55">
        <v>95426</v>
      </c>
      <c r="BI15" s="55">
        <v>95595</v>
      </c>
      <c r="BJ15" s="55">
        <v>95729</v>
      </c>
      <c r="BK15" s="55">
        <v>96013</v>
      </c>
      <c r="BL15" s="55">
        <v>96280.5</v>
      </c>
      <c r="BM15" s="55">
        <v>96503.5</v>
      </c>
      <c r="BN15" s="55">
        <v>96748</v>
      </c>
      <c r="BO15" s="55">
        <v>96916.5</v>
      </c>
      <c r="BP15" s="55">
        <v>97009.5</v>
      </c>
      <c r="BQ15" s="55">
        <v>97091.5</v>
      </c>
      <c r="BR15" s="55">
        <v>97162.5</v>
      </c>
      <c r="BS15" s="55">
        <v>97129.5</v>
      </c>
      <c r="BT15" s="55">
        <v>97189.5</v>
      </c>
      <c r="BU15" s="55">
        <v>97269</v>
      </c>
      <c r="BV15" s="55">
        <v>97357.5</v>
      </c>
      <c r="BW15" s="55">
        <v>97412.5</v>
      </c>
      <c r="BX15" s="55">
        <v>97525</v>
      </c>
      <c r="BY15" s="55">
        <v>97663.5</v>
      </c>
      <c r="BZ15" s="55">
        <v>97928.5</v>
      </c>
      <c r="CA15" s="55">
        <v>98107</v>
      </c>
      <c r="CB15" s="55">
        <v>98177.5</v>
      </c>
      <c r="CC15" s="55">
        <v>98295</v>
      </c>
      <c r="CD15" s="55">
        <v>98391</v>
      </c>
      <c r="CE15" s="55">
        <v>98457.5</v>
      </c>
      <c r="CF15" s="55">
        <v>98571.5</v>
      </c>
      <c r="CG15" s="55">
        <v>98656</v>
      </c>
      <c r="CH15" s="55">
        <v>98724.5</v>
      </c>
      <c r="CI15" s="55">
        <v>98799.5</v>
      </c>
      <c r="CJ15" s="55">
        <v>98837.5</v>
      </c>
      <c r="CK15" s="55">
        <v>98887.5</v>
      </c>
      <c r="CL15" s="55">
        <v>98981</v>
      </c>
      <c r="CM15" s="55">
        <v>98998.5</v>
      </c>
      <c r="CN15" s="55">
        <v>99060.5</v>
      </c>
      <c r="CO15" s="55">
        <v>99128</v>
      </c>
      <c r="CP15" s="55">
        <v>99177</v>
      </c>
      <c r="CQ15" s="55">
        <v>99235.5</v>
      </c>
      <c r="CR15" s="55">
        <v>99256.5</v>
      </c>
      <c r="CS15" s="55">
        <v>99297.5</v>
      </c>
      <c r="CT15" s="55">
        <v>99316</v>
      </c>
      <c r="CU15" s="55">
        <v>99350</v>
      </c>
      <c r="CV15" s="55">
        <v>99364</v>
      </c>
      <c r="CW15" s="55">
        <v>99380.5</v>
      </c>
      <c r="CX15" s="55">
        <v>99421.5</v>
      </c>
      <c r="CY15" s="55">
        <v>99422</v>
      </c>
      <c r="CZ15" s="55">
        <v>99426</v>
      </c>
      <c r="DA15" s="55">
        <v>99429</v>
      </c>
      <c r="DB15" s="55">
        <v>99454.5</v>
      </c>
      <c r="DC15" s="55">
        <v>99474.5</v>
      </c>
      <c r="DD15" s="55">
        <v>99484</v>
      </c>
      <c r="DE15" s="55">
        <v>99489.5</v>
      </c>
      <c r="DF15" s="55">
        <v>99532.5</v>
      </c>
      <c r="DG15" s="55">
        <v>99528.5</v>
      </c>
      <c r="DH15" s="55">
        <v>99543.5</v>
      </c>
      <c r="DI15" s="55">
        <v>99537.5</v>
      </c>
      <c r="DJ15" s="55">
        <v>99568</v>
      </c>
      <c r="DK15" s="55">
        <v>99574</v>
      </c>
      <c r="DL15" s="55">
        <v>99577</v>
      </c>
      <c r="DM15" s="55">
        <v>99596</v>
      </c>
      <c r="DN15" s="55">
        <v>99613.5</v>
      </c>
      <c r="DO15" s="55">
        <v>99631</v>
      </c>
    </row>
    <row r="16" spans="1:119">
      <c r="A16" s="52">
        <v>14</v>
      </c>
      <c r="B16" s="55"/>
      <c r="C16" s="55"/>
      <c r="D16" s="55"/>
      <c r="E16" s="55"/>
      <c r="F16" s="55"/>
      <c r="G16" s="55"/>
      <c r="H16" s="55"/>
      <c r="I16" s="55"/>
      <c r="J16" s="55"/>
      <c r="K16" s="55"/>
      <c r="L16" s="55"/>
      <c r="M16" s="55"/>
      <c r="N16" s="55"/>
      <c r="O16" s="55"/>
      <c r="P16" s="55"/>
      <c r="Q16" s="55"/>
      <c r="R16" s="55"/>
      <c r="S16" s="55"/>
      <c r="T16" s="55"/>
      <c r="U16" s="55"/>
      <c r="V16" s="55"/>
      <c r="W16" s="55">
        <v>82341.5</v>
      </c>
      <c r="X16" s="55">
        <v>83070.5</v>
      </c>
      <c r="Y16" s="55">
        <v>83111</v>
      </c>
      <c r="Z16" s="55">
        <v>85270.5</v>
      </c>
      <c r="AA16" s="55">
        <v>85577</v>
      </c>
      <c r="AB16" s="55">
        <v>86104</v>
      </c>
      <c r="AC16" s="55">
        <v>86831.5</v>
      </c>
      <c r="AD16" s="55">
        <v>87637.5</v>
      </c>
      <c r="AE16" s="55">
        <v>87396</v>
      </c>
      <c r="AF16" s="55">
        <v>88465.5</v>
      </c>
      <c r="AG16" s="55">
        <v>88747</v>
      </c>
      <c r="AH16" s="55">
        <v>88857.5</v>
      </c>
      <c r="AI16" s="55">
        <v>89073</v>
      </c>
      <c r="AJ16" s="55">
        <v>90209</v>
      </c>
      <c r="AK16" s="55">
        <v>90099.5</v>
      </c>
      <c r="AL16" s="55">
        <v>90370</v>
      </c>
      <c r="AM16" s="55">
        <v>90605</v>
      </c>
      <c r="AN16" s="55">
        <v>91045.5</v>
      </c>
      <c r="AO16" s="55">
        <v>91018.5</v>
      </c>
      <c r="AP16" s="55">
        <v>91113</v>
      </c>
      <c r="AQ16" s="55">
        <v>91175.5</v>
      </c>
      <c r="AR16" s="55">
        <v>91211</v>
      </c>
      <c r="AS16" s="55">
        <v>90623.5</v>
      </c>
      <c r="AT16" s="55">
        <v>89844</v>
      </c>
      <c r="AU16" s="55">
        <v>88568</v>
      </c>
      <c r="AV16" s="55">
        <v>88945</v>
      </c>
      <c r="AW16" s="55">
        <v>89251.5</v>
      </c>
      <c r="AX16" s="55">
        <v>91427</v>
      </c>
      <c r="AY16" s="55">
        <v>93234</v>
      </c>
      <c r="AZ16" s="55">
        <v>93304</v>
      </c>
      <c r="BA16" s="55">
        <v>93370</v>
      </c>
      <c r="BB16" s="55">
        <v>94023</v>
      </c>
      <c r="BC16" s="55">
        <v>94271.5</v>
      </c>
      <c r="BD16" s="55">
        <v>94640.5</v>
      </c>
      <c r="BE16" s="55">
        <v>94732.5</v>
      </c>
      <c r="BF16" s="55">
        <v>95065</v>
      </c>
      <c r="BG16" s="55">
        <v>95158.5</v>
      </c>
      <c r="BH16" s="55">
        <v>95390</v>
      </c>
      <c r="BI16" s="55">
        <v>95560.5</v>
      </c>
      <c r="BJ16" s="55">
        <v>95697</v>
      </c>
      <c r="BK16" s="55">
        <v>95981.5</v>
      </c>
      <c r="BL16" s="55">
        <v>96250.5</v>
      </c>
      <c r="BM16" s="55">
        <v>96474</v>
      </c>
      <c r="BN16" s="55">
        <v>96718</v>
      </c>
      <c r="BO16" s="55">
        <v>96889</v>
      </c>
      <c r="BP16" s="55">
        <v>96980.5</v>
      </c>
      <c r="BQ16" s="55">
        <v>97066.5</v>
      </c>
      <c r="BR16" s="55">
        <v>97139</v>
      </c>
      <c r="BS16" s="55">
        <v>97105.5</v>
      </c>
      <c r="BT16" s="55">
        <v>97166</v>
      </c>
      <c r="BU16" s="55">
        <v>97246</v>
      </c>
      <c r="BV16" s="55">
        <v>97336.5</v>
      </c>
      <c r="BW16" s="55">
        <v>97391.5</v>
      </c>
      <c r="BX16" s="55">
        <v>97506.5</v>
      </c>
      <c r="BY16" s="55">
        <v>97644.5</v>
      </c>
      <c r="BZ16" s="55">
        <v>97908</v>
      </c>
      <c r="CA16" s="55">
        <v>98090</v>
      </c>
      <c r="CB16" s="55">
        <v>98160</v>
      </c>
      <c r="CC16" s="55">
        <v>98277.5</v>
      </c>
      <c r="CD16" s="55">
        <v>98373</v>
      </c>
      <c r="CE16" s="55">
        <v>98441.5</v>
      </c>
      <c r="CF16" s="55">
        <v>98555.5</v>
      </c>
      <c r="CG16" s="55">
        <v>98642.5</v>
      </c>
      <c r="CH16" s="55">
        <v>98706</v>
      </c>
      <c r="CI16" s="55">
        <v>98786</v>
      </c>
      <c r="CJ16" s="55">
        <v>98824.5</v>
      </c>
      <c r="CK16" s="55">
        <v>98872.5</v>
      </c>
      <c r="CL16" s="55">
        <v>98965</v>
      </c>
      <c r="CM16" s="55">
        <v>98987</v>
      </c>
      <c r="CN16" s="55">
        <v>99051.5</v>
      </c>
      <c r="CO16" s="55">
        <v>99117</v>
      </c>
      <c r="CP16" s="55">
        <v>99163</v>
      </c>
      <c r="CQ16" s="55">
        <v>99224.5</v>
      </c>
      <c r="CR16" s="55">
        <v>99247</v>
      </c>
      <c r="CS16" s="55">
        <v>99288</v>
      </c>
      <c r="CT16" s="55">
        <v>99306</v>
      </c>
      <c r="CU16" s="55">
        <v>99342</v>
      </c>
      <c r="CV16" s="55">
        <v>99349.5</v>
      </c>
      <c r="CW16" s="55">
        <v>99372.5</v>
      </c>
      <c r="CX16" s="55">
        <v>99413</v>
      </c>
      <c r="CY16" s="55">
        <v>99414</v>
      </c>
      <c r="CZ16" s="55">
        <v>99417.5</v>
      </c>
      <c r="DA16" s="55">
        <v>99420.5</v>
      </c>
      <c r="DB16" s="55">
        <v>99446</v>
      </c>
      <c r="DC16" s="55">
        <v>99466</v>
      </c>
      <c r="DD16" s="55">
        <v>99476</v>
      </c>
      <c r="DE16" s="55">
        <v>99482</v>
      </c>
      <c r="DF16" s="55">
        <v>99525.5</v>
      </c>
      <c r="DG16" s="55">
        <v>99521.5</v>
      </c>
      <c r="DH16" s="55">
        <v>99537</v>
      </c>
      <c r="DI16" s="55">
        <v>99531.5</v>
      </c>
      <c r="DJ16" s="55">
        <v>99562</v>
      </c>
      <c r="DK16" s="55">
        <v>99568</v>
      </c>
      <c r="DL16" s="55">
        <v>99571</v>
      </c>
      <c r="DM16" s="55">
        <v>99590</v>
      </c>
      <c r="DN16" s="55">
        <v>99608.5</v>
      </c>
      <c r="DO16" s="55">
        <v>99626</v>
      </c>
    </row>
    <row r="17" spans="1:119">
      <c r="A17" s="52">
        <v>15</v>
      </c>
      <c r="B17" s="55"/>
      <c r="C17" s="55"/>
      <c r="D17" s="55"/>
      <c r="E17" s="55"/>
      <c r="F17" s="55"/>
      <c r="G17" s="55"/>
      <c r="H17" s="55"/>
      <c r="I17" s="55"/>
      <c r="J17" s="55"/>
      <c r="K17" s="55"/>
      <c r="L17" s="55"/>
      <c r="M17" s="55"/>
      <c r="N17" s="55"/>
      <c r="O17" s="55"/>
      <c r="P17" s="55"/>
      <c r="Q17" s="55"/>
      <c r="R17" s="55"/>
      <c r="S17" s="55"/>
      <c r="T17" s="55"/>
      <c r="U17" s="55"/>
      <c r="V17" s="55"/>
      <c r="W17" s="55">
        <v>82207</v>
      </c>
      <c r="X17" s="55">
        <v>82938</v>
      </c>
      <c r="Y17" s="55">
        <v>82989.5</v>
      </c>
      <c r="Z17" s="55">
        <v>85152.5</v>
      </c>
      <c r="AA17" s="55">
        <v>85451.5</v>
      </c>
      <c r="AB17" s="55">
        <v>85978</v>
      </c>
      <c r="AC17" s="55">
        <v>86704</v>
      </c>
      <c r="AD17" s="55">
        <v>87509</v>
      </c>
      <c r="AE17" s="55">
        <v>87255.5</v>
      </c>
      <c r="AF17" s="55">
        <v>88303.5</v>
      </c>
      <c r="AG17" s="55">
        <v>88552</v>
      </c>
      <c r="AH17" s="55">
        <v>88742</v>
      </c>
      <c r="AI17" s="55">
        <v>88957.5</v>
      </c>
      <c r="AJ17" s="55">
        <v>90120.5</v>
      </c>
      <c r="AK17" s="55">
        <v>90034</v>
      </c>
      <c r="AL17" s="55">
        <v>90303.5</v>
      </c>
      <c r="AM17" s="55">
        <v>90538</v>
      </c>
      <c r="AN17" s="55">
        <v>90992</v>
      </c>
      <c r="AO17" s="55">
        <v>90971</v>
      </c>
      <c r="AP17" s="55">
        <v>91067.5</v>
      </c>
      <c r="AQ17" s="55">
        <v>91129</v>
      </c>
      <c r="AR17" s="55">
        <v>91165.5</v>
      </c>
      <c r="AS17" s="55">
        <v>90575</v>
      </c>
      <c r="AT17" s="55">
        <v>89795.5</v>
      </c>
      <c r="AU17" s="55">
        <v>88528</v>
      </c>
      <c r="AV17" s="55">
        <v>88907</v>
      </c>
      <c r="AW17" s="55">
        <v>89211.5</v>
      </c>
      <c r="AX17" s="55">
        <v>91384.5</v>
      </c>
      <c r="AY17" s="55">
        <v>93194.5</v>
      </c>
      <c r="AZ17" s="55">
        <v>93261</v>
      </c>
      <c r="BA17" s="55">
        <v>93327</v>
      </c>
      <c r="BB17" s="55">
        <v>93979</v>
      </c>
      <c r="BC17" s="55">
        <v>94227.5</v>
      </c>
      <c r="BD17" s="55">
        <v>94600</v>
      </c>
      <c r="BE17" s="55">
        <v>94687</v>
      </c>
      <c r="BF17" s="55">
        <v>95023</v>
      </c>
      <c r="BG17" s="55">
        <v>95115.5</v>
      </c>
      <c r="BH17" s="55">
        <v>95351.5</v>
      </c>
      <c r="BI17" s="55">
        <v>95523.5</v>
      </c>
      <c r="BJ17" s="55">
        <v>95659</v>
      </c>
      <c r="BK17" s="55">
        <v>95941</v>
      </c>
      <c r="BL17" s="55">
        <v>96216</v>
      </c>
      <c r="BM17" s="55">
        <v>96437</v>
      </c>
      <c r="BN17" s="55">
        <v>96684</v>
      </c>
      <c r="BO17" s="55">
        <v>96855.5</v>
      </c>
      <c r="BP17" s="55">
        <v>96948.5</v>
      </c>
      <c r="BQ17" s="55">
        <v>97038.5</v>
      </c>
      <c r="BR17" s="55">
        <v>97109.5</v>
      </c>
      <c r="BS17" s="55">
        <v>97080.5</v>
      </c>
      <c r="BT17" s="55">
        <v>97140.5</v>
      </c>
      <c r="BU17" s="55">
        <v>97221</v>
      </c>
      <c r="BV17" s="55">
        <v>97314</v>
      </c>
      <c r="BW17" s="55">
        <v>97368</v>
      </c>
      <c r="BX17" s="55">
        <v>97485</v>
      </c>
      <c r="BY17" s="55">
        <v>97624.5</v>
      </c>
      <c r="BZ17" s="55">
        <v>97879</v>
      </c>
      <c r="CA17" s="55">
        <v>98071.5</v>
      </c>
      <c r="CB17" s="55">
        <v>98139.5</v>
      </c>
      <c r="CC17" s="55">
        <v>98258</v>
      </c>
      <c r="CD17" s="55">
        <v>98353.5</v>
      </c>
      <c r="CE17" s="55">
        <v>98421</v>
      </c>
      <c r="CF17" s="55">
        <v>98537.5</v>
      </c>
      <c r="CG17" s="55">
        <v>98625</v>
      </c>
      <c r="CH17" s="55">
        <v>98687</v>
      </c>
      <c r="CI17" s="55">
        <v>98769</v>
      </c>
      <c r="CJ17" s="55">
        <v>98806.5</v>
      </c>
      <c r="CK17" s="55">
        <v>98857</v>
      </c>
      <c r="CL17" s="55">
        <v>98949.5</v>
      </c>
      <c r="CM17" s="55">
        <v>98972.5</v>
      </c>
      <c r="CN17" s="55">
        <v>99037.5</v>
      </c>
      <c r="CO17" s="55">
        <v>99103.5</v>
      </c>
      <c r="CP17" s="55">
        <v>99149</v>
      </c>
      <c r="CQ17" s="55">
        <v>99212</v>
      </c>
      <c r="CR17" s="55">
        <v>99231</v>
      </c>
      <c r="CS17" s="55">
        <v>99276</v>
      </c>
      <c r="CT17" s="55">
        <v>99293.5</v>
      </c>
      <c r="CU17" s="55">
        <v>99331.5</v>
      </c>
      <c r="CV17" s="55">
        <v>99340</v>
      </c>
      <c r="CW17" s="55">
        <v>99361.5</v>
      </c>
      <c r="CX17" s="55">
        <v>99401</v>
      </c>
      <c r="CY17" s="55">
        <v>99402.5</v>
      </c>
      <c r="CZ17" s="55">
        <v>99406.5</v>
      </c>
      <c r="DA17" s="55">
        <v>99410.5</v>
      </c>
      <c r="DB17" s="55">
        <v>99436</v>
      </c>
      <c r="DC17" s="55">
        <v>99457</v>
      </c>
      <c r="DD17" s="55">
        <v>99467</v>
      </c>
      <c r="DE17" s="55">
        <v>99473.5</v>
      </c>
      <c r="DF17" s="55">
        <v>99517</v>
      </c>
      <c r="DG17" s="55">
        <v>99513.5</v>
      </c>
      <c r="DH17" s="55">
        <v>99528.5</v>
      </c>
      <c r="DI17" s="55">
        <v>99523.5</v>
      </c>
      <c r="DJ17" s="55">
        <v>99554.5</v>
      </c>
      <c r="DK17" s="55">
        <v>99561</v>
      </c>
      <c r="DL17" s="55">
        <v>99564.5</v>
      </c>
      <c r="DM17" s="55">
        <v>99583.5</v>
      </c>
      <c r="DN17" s="55">
        <v>99602</v>
      </c>
      <c r="DO17" s="55">
        <v>99619.5</v>
      </c>
    </row>
    <row r="18" spans="1:119">
      <c r="A18" s="52">
        <v>16</v>
      </c>
      <c r="B18" s="55"/>
      <c r="C18" s="55"/>
      <c r="D18" s="55"/>
      <c r="E18" s="55"/>
      <c r="F18" s="55"/>
      <c r="G18" s="55"/>
      <c r="H18" s="55"/>
      <c r="I18" s="55"/>
      <c r="J18" s="55"/>
      <c r="K18" s="55"/>
      <c r="L18" s="55"/>
      <c r="M18" s="55"/>
      <c r="N18" s="55"/>
      <c r="O18" s="55"/>
      <c r="P18" s="55"/>
      <c r="Q18" s="55"/>
      <c r="R18" s="55"/>
      <c r="S18" s="55"/>
      <c r="T18" s="55"/>
      <c r="U18" s="55"/>
      <c r="V18" s="55"/>
      <c r="W18" s="55">
        <v>82067.5</v>
      </c>
      <c r="X18" s="55">
        <v>82800.5</v>
      </c>
      <c r="Y18" s="55">
        <v>82858.5</v>
      </c>
      <c r="Z18" s="55">
        <v>85011</v>
      </c>
      <c r="AA18" s="55">
        <v>85309.5</v>
      </c>
      <c r="AB18" s="55">
        <v>85834.5</v>
      </c>
      <c r="AC18" s="55">
        <v>86560</v>
      </c>
      <c r="AD18" s="55">
        <v>87348.5</v>
      </c>
      <c r="AE18" s="55">
        <v>87074</v>
      </c>
      <c r="AF18" s="55">
        <v>88076.5</v>
      </c>
      <c r="AG18" s="55">
        <v>88414.5</v>
      </c>
      <c r="AH18" s="55">
        <v>88604</v>
      </c>
      <c r="AI18" s="55">
        <v>88852.5</v>
      </c>
      <c r="AJ18" s="55">
        <v>90043</v>
      </c>
      <c r="AK18" s="55">
        <v>89956.5</v>
      </c>
      <c r="AL18" s="55">
        <v>90226</v>
      </c>
      <c r="AM18" s="55">
        <v>90475</v>
      </c>
      <c r="AN18" s="55">
        <v>90934.5</v>
      </c>
      <c r="AO18" s="55">
        <v>90911</v>
      </c>
      <c r="AP18" s="55">
        <v>91009</v>
      </c>
      <c r="AQ18" s="55">
        <v>91069</v>
      </c>
      <c r="AR18" s="55">
        <v>91108</v>
      </c>
      <c r="AS18" s="55">
        <v>90520</v>
      </c>
      <c r="AT18" s="55">
        <v>89744</v>
      </c>
      <c r="AU18" s="55">
        <v>88480.5</v>
      </c>
      <c r="AV18" s="55">
        <v>88857</v>
      </c>
      <c r="AW18" s="55">
        <v>89163.5</v>
      </c>
      <c r="AX18" s="55">
        <v>91335.5</v>
      </c>
      <c r="AY18" s="55">
        <v>93147</v>
      </c>
      <c r="AZ18" s="55">
        <v>93212.5</v>
      </c>
      <c r="BA18" s="55">
        <v>93278.5</v>
      </c>
      <c r="BB18" s="55">
        <v>93929.5</v>
      </c>
      <c r="BC18" s="55">
        <v>94176.5</v>
      </c>
      <c r="BD18" s="55">
        <v>94547</v>
      </c>
      <c r="BE18" s="55">
        <v>94630</v>
      </c>
      <c r="BF18" s="55">
        <v>94969</v>
      </c>
      <c r="BG18" s="55">
        <v>95062.5</v>
      </c>
      <c r="BH18" s="55">
        <v>95302.5</v>
      </c>
      <c r="BI18" s="55">
        <v>95473</v>
      </c>
      <c r="BJ18" s="55">
        <v>95607.5</v>
      </c>
      <c r="BK18" s="55">
        <v>95889</v>
      </c>
      <c r="BL18" s="55">
        <v>96163.5</v>
      </c>
      <c r="BM18" s="55">
        <v>96389.5</v>
      </c>
      <c r="BN18" s="55">
        <v>96638</v>
      </c>
      <c r="BO18" s="55">
        <v>96811</v>
      </c>
      <c r="BP18" s="55">
        <v>96905</v>
      </c>
      <c r="BQ18" s="55">
        <v>97000.5</v>
      </c>
      <c r="BR18" s="55">
        <v>97071.5</v>
      </c>
      <c r="BS18" s="55">
        <v>97047</v>
      </c>
      <c r="BT18" s="55">
        <v>97107</v>
      </c>
      <c r="BU18" s="55">
        <v>97189</v>
      </c>
      <c r="BV18" s="55">
        <v>97282</v>
      </c>
      <c r="BW18" s="55">
        <v>97338.5</v>
      </c>
      <c r="BX18" s="55">
        <v>97456.5</v>
      </c>
      <c r="BY18" s="55">
        <v>97593.5</v>
      </c>
      <c r="BZ18" s="55">
        <v>97853.5</v>
      </c>
      <c r="CA18" s="55">
        <v>98042.5</v>
      </c>
      <c r="CB18" s="55">
        <v>98112</v>
      </c>
      <c r="CC18" s="55">
        <v>98230</v>
      </c>
      <c r="CD18" s="55">
        <v>98323.5</v>
      </c>
      <c r="CE18" s="55">
        <v>98398.5</v>
      </c>
      <c r="CF18" s="55">
        <v>98513.5</v>
      </c>
      <c r="CG18" s="55">
        <v>98600</v>
      </c>
      <c r="CH18" s="55">
        <v>98666</v>
      </c>
      <c r="CI18" s="55">
        <v>98749.5</v>
      </c>
      <c r="CJ18" s="55">
        <v>98785</v>
      </c>
      <c r="CK18" s="55">
        <v>98836.5</v>
      </c>
      <c r="CL18" s="55">
        <v>98928</v>
      </c>
      <c r="CM18" s="55">
        <v>98954.5</v>
      </c>
      <c r="CN18" s="55">
        <v>99021</v>
      </c>
      <c r="CO18" s="55">
        <v>99088</v>
      </c>
      <c r="CP18" s="55">
        <v>99132</v>
      </c>
      <c r="CQ18" s="55">
        <v>99194.5</v>
      </c>
      <c r="CR18" s="55">
        <v>99212.5</v>
      </c>
      <c r="CS18" s="55">
        <v>99261.5</v>
      </c>
      <c r="CT18" s="55">
        <v>99282.5</v>
      </c>
      <c r="CU18" s="55">
        <v>99316</v>
      </c>
      <c r="CV18" s="55">
        <v>99325</v>
      </c>
      <c r="CW18" s="55">
        <v>99348.5</v>
      </c>
      <c r="CX18" s="55">
        <v>99387</v>
      </c>
      <c r="CY18" s="55">
        <v>99389.5</v>
      </c>
      <c r="CZ18" s="55">
        <v>99393.5</v>
      </c>
      <c r="DA18" s="55">
        <v>99397.5</v>
      </c>
      <c r="DB18" s="55">
        <v>99424</v>
      </c>
      <c r="DC18" s="55">
        <v>99445.5</v>
      </c>
      <c r="DD18" s="55">
        <v>99455.5</v>
      </c>
      <c r="DE18" s="55">
        <v>99462.5</v>
      </c>
      <c r="DF18" s="55">
        <v>99506.5</v>
      </c>
      <c r="DG18" s="55">
        <v>99503</v>
      </c>
      <c r="DH18" s="55">
        <v>99519</v>
      </c>
      <c r="DI18" s="55">
        <v>99514</v>
      </c>
      <c r="DJ18" s="55">
        <v>99545</v>
      </c>
      <c r="DK18" s="55">
        <v>99552</v>
      </c>
      <c r="DL18" s="55">
        <v>99555.5</v>
      </c>
      <c r="DM18" s="55">
        <v>99575.5</v>
      </c>
      <c r="DN18" s="55">
        <v>99594</v>
      </c>
      <c r="DO18" s="55">
        <v>99611.5</v>
      </c>
    </row>
    <row r="19" spans="1:119">
      <c r="A19" s="52">
        <v>17</v>
      </c>
      <c r="B19" s="55"/>
      <c r="C19" s="55"/>
      <c r="D19" s="55"/>
      <c r="E19" s="55"/>
      <c r="F19" s="55"/>
      <c r="G19" s="55"/>
      <c r="H19" s="55"/>
      <c r="I19" s="55"/>
      <c r="J19" s="55"/>
      <c r="K19" s="55"/>
      <c r="L19" s="55"/>
      <c r="M19" s="55"/>
      <c r="N19" s="55"/>
      <c r="O19" s="55"/>
      <c r="P19" s="55"/>
      <c r="Q19" s="55"/>
      <c r="R19" s="55"/>
      <c r="S19" s="55"/>
      <c r="T19" s="55"/>
      <c r="U19" s="55"/>
      <c r="V19" s="55"/>
      <c r="W19" s="55">
        <v>81912.5</v>
      </c>
      <c r="X19" s="55">
        <v>82651</v>
      </c>
      <c r="Y19" s="55">
        <v>82702</v>
      </c>
      <c r="Z19" s="55">
        <v>84850</v>
      </c>
      <c r="AA19" s="55">
        <v>85148</v>
      </c>
      <c r="AB19" s="55">
        <v>85672.5</v>
      </c>
      <c r="AC19" s="55">
        <v>86379.5</v>
      </c>
      <c r="AD19" s="55">
        <v>87142</v>
      </c>
      <c r="AE19" s="55">
        <v>86813.5</v>
      </c>
      <c r="AF19" s="55">
        <v>87915.5</v>
      </c>
      <c r="AG19" s="55">
        <v>88252.5</v>
      </c>
      <c r="AH19" s="55">
        <v>88481.5</v>
      </c>
      <c r="AI19" s="55">
        <v>88766</v>
      </c>
      <c r="AJ19" s="55">
        <v>89955</v>
      </c>
      <c r="AK19" s="55">
        <v>89868.5</v>
      </c>
      <c r="AL19" s="55">
        <v>90150</v>
      </c>
      <c r="AM19" s="55">
        <v>90405</v>
      </c>
      <c r="AN19" s="55">
        <v>90868</v>
      </c>
      <c r="AO19" s="55">
        <v>90846</v>
      </c>
      <c r="AP19" s="55">
        <v>90944</v>
      </c>
      <c r="AQ19" s="55">
        <v>90998.5</v>
      </c>
      <c r="AR19" s="55">
        <v>91043</v>
      </c>
      <c r="AS19" s="55">
        <v>90452.5</v>
      </c>
      <c r="AT19" s="55">
        <v>89679</v>
      </c>
      <c r="AU19" s="55">
        <v>88419</v>
      </c>
      <c r="AV19" s="55">
        <v>88793</v>
      </c>
      <c r="AW19" s="55">
        <v>89099.5</v>
      </c>
      <c r="AX19" s="55">
        <v>91269</v>
      </c>
      <c r="AY19" s="55">
        <v>93079</v>
      </c>
      <c r="AZ19" s="55">
        <v>93140</v>
      </c>
      <c r="BA19" s="55">
        <v>93203</v>
      </c>
      <c r="BB19" s="55">
        <v>93860.5</v>
      </c>
      <c r="BC19" s="55">
        <v>94096</v>
      </c>
      <c r="BD19" s="55">
        <v>94467</v>
      </c>
      <c r="BE19" s="55">
        <v>94544.5</v>
      </c>
      <c r="BF19" s="55">
        <v>94887.5</v>
      </c>
      <c r="BG19" s="55">
        <v>94986.5</v>
      </c>
      <c r="BH19" s="55">
        <v>95223</v>
      </c>
      <c r="BI19" s="55">
        <v>95396</v>
      </c>
      <c r="BJ19" s="55">
        <v>95529.5</v>
      </c>
      <c r="BK19" s="55">
        <v>95810.5</v>
      </c>
      <c r="BL19" s="55">
        <v>96093.5</v>
      </c>
      <c r="BM19" s="55">
        <v>96319</v>
      </c>
      <c r="BN19" s="55">
        <v>96572.5</v>
      </c>
      <c r="BO19" s="55">
        <v>96752</v>
      </c>
      <c r="BP19" s="55">
        <v>96844.5</v>
      </c>
      <c r="BQ19" s="55">
        <v>96943.5</v>
      </c>
      <c r="BR19" s="55">
        <v>97021.5</v>
      </c>
      <c r="BS19" s="55">
        <v>97003</v>
      </c>
      <c r="BT19" s="55">
        <v>97061.5</v>
      </c>
      <c r="BU19" s="55">
        <v>97147.5</v>
      </c>
      <c r="BV19" s="55">
        <v>97240</v>
      </c>
      <c r="BW19" s="55">
        <v>97301</v>
      </c>
      <c r="BX19" s="55">
        <v>97416.5</v>
      </c>
      <c r="BY19" s="55">
        <v>97551</v>
      </c>
      <c r="BZ19" s="55">
        <v>97816.5</v>
      </c>
      <c r="CA19" s="55">
        <v>98000.5</v>
      </c>
      <c r="CB19" s="55">
        <v>98072</v>
      </c>
      <c r="CC19" s="55">
        <v>98190.5</v>
      </c>
      <c r="CD19" s="55">
        <v>98284</v>
      </c>
      <c r="CE19" s="55">
        <v>98362</v>
      </c>
      <c r="CF19" s="55">
        <v>98483</v>
      </c>
      <c r="CG19" s="55">
        <v>98568.5</v>
      </c>
      <c r="CH19" s="55">
        <v>98634</v>
      </c>
      <c r="CI19" s="55">
        <v>98717</v>
      </c>
      <c r="CJ19" s="55">
        <v>98755</v>
      </c>
      <c r="CK19" s="55">
        <v>98809.5</v>
      </c>
      <c r="CL19" s="55">
        <v>98903.5</v>
      </c>
      <c r="CM19" s="55">
        <v>98931.5</v>
      </c>
      <c r="CN19" s="55">
        <v>98996.5</v>
      </c>
      <c r="CO19" s="55">
        <v>99065</v>
      </c>
      <c r="CP19" s="55">
        <v>99111</v>
      </c>
      <c r="CQ19" s="55">
        <v>99175</v>
      </c>
      <c r="CR19" s="55">
        <v>99191.5</v>
      </c>
      <c r="CS19" s="55">
        <v>99244.5</v>
      </c>
      <c r="CT19" s="55">
        <v>99264.5</v>
      </c>
      <c r="CU19" s="55">
        <v>99295</v>
      </c>
      <c r="CV19" s="55">
        <v>99305.5</v>
      </c>
      <c r="CW19" s="55">
        <v>99331</v>
      </c>
      <c r="CX19" s="55">
        <v>99370.5</v>
      </c>
      <c r="CY19" s="55">
        <v>99373</v>
      </c>
      <c r="CZ19" s="55">
        <v>99377.5</v>
      </c>
      <c r="DA19" s="55">
        <v>99383</v>
      </c>
      <c r="DB19" s="55">
        <v>99409.5</v>
      </c>
      <c r="DC19" s="55">
        <v>99431</v>
      </c>
      <c r="DD19" s="55">
        <v>99442</v>
      </c>
      <c r="DE19" s="55">
        <v>99449.5</v>
      </c>
      <c r="DF19" s="55">
        <v>99494</v>
      </c>
      <c r="DG19" s="55">
        <v>99491</v>
      </c>
      <c r="DH19" s="55">
        <v>99507.5</v>
      </c>
      <c r="DI19" s="55">
        <v>99502.5</v>
      </c>
      <c r="DJ19" s="55">
        <v>99534.5</v>
      </c>
      <c r="DK19" s="55">
        <v>99541.5</v>
      </c>
      <c r="DL19" s="55">
        <v>99545.5</v>
      </c>
      <c r="DM19" s="55">
        <v>99565</v>
      </c>
      <c r="DN19" s="55">
        <v>99584.5</v>
      </c>
      <c r="DO19" s="55">
        <v>99602.5</v>
      </c>
    </row>
    <row r="20" spans="1:119">
      <c r="A20" s="52">
        <v>18</v>
      </c>
      <c r="B20" s="55"/>
      <c r="C20" s="55"/>
      <c r="D20" s="55"/>
      <c r="E20" s="55"/>
      <c r="F20" s="55"/>
      <c r="G20" s="55"/>
      <c r="H20" s="55"/>
      <c r="I20" s="55"/>
      <c r="J20" s="55"/>
      <c r="K20" s="55"/>
      <c r="L20" s="55"/>
      <c r="M20" s="55"/>
      <c r="N20" s="55"/>
      <c r="O20" s="55"/>
      <c r="P20" s="55"/>
      <c r="Q20" s="55"/>
      <c r="R20" s="55"/>
      <c r="S20" s="55"/>
      <c r="T20" s="55"/>
      <c r="U20" s="55"/>
      <c r="V20" s="55"/>
      <c r="W20" s="55">
        <v>81757.5</v>
      </c>
      <c r="X20" s="55">
        <v>82490.5</v>
      </c>
      <c r="Y20" s="55">
        <v>82541</v>
      </c>
      <c r="Z20" s="55">
        <v>84685.5</v>
      </c>
      <c r="AA20" s="55">
        <v>84982.5</v>
      </c>
      <c r="AB20" s="55">
        <v>85489</v>
      </c>
      <c r="AC20" s="55">
        <v>86170</v>
      </c>
      <c r="AD20" s="55">
        <v>86837.5</v>
      </c>
      <c r="AE20" s="55">
        <v>86628.5</v>
      </c>
      <c r="AF20" s="55">
        <v>87728</v>
      </c>
      <c r="AG20" s="55">
        <v>88112</v>
      </c>
      <c r="AH20" s="55">
        <v>88383.5</v>
      </c>
      <c r="AI20" s="55">
        <v>88668</v>
      </c>
      <c r="AJ20" s="55">
        <v>89856</v>
      </c>
      <c r="AK20" s="55">
        <v>89782.5</v>
      </c>
      <c r="AL20" s="55">
        <v>90070.5</v>
      </c>
      <c r="AM20" s="55">
        <v>90331.5</v>
      </c>
      <c r="AN20" s="55">
        <v>90789.5</v>
      </c>
      <c r="AO20" s="55">
        <v>90773</v>
      </c>
      <c r="AP20" s="55">
        <v>90870</v>
      </c>
      <c r="AQ20" s="55">
        <v>90923.5</v>
      </c>
      <c r="AR20" s="55">
        <v>90969.5</v>
      </c>
      <c r="AS20" s="55">
        <v>90377.5</v>
      </c>
      <c r="AT20" s="55">
        <v>89602</v>
      </c>
      <c r="AU20" s="55">
        <v>88351.5</v>
      </c>
      <c r="AV20" s="55">
        <v>88713</v>
      </c>
      <c r="AW20" s="55">
        <v>89030</v>
      </c>
      <c r="AX20" s="55">
        <v>91191.5</v>
      </c>
      <c r="AY20" s="55">
        <v>92996</v>
      </c>
      <c r="AZ20" s="55">
        <v>93057.5</v>
      </c>
      <c r="BA20" s="55">
        <v>93115</v>
      </c>
      <c r="BB20" s="55">
        <v>93768</v>
      </c>
      <c r="BC20" s="55">
        <v>94004</v>
      </c>
      <c r="BD20" s="55">
        <v>94373</v>
      </c>
      <c r="BE20" s="55">
        <v>94452.5</v>
      </c>
      <c r="BF20" s="55">
        <v>94804</v>
      </c>
      <c r="BG20" s="55">
        <v>94899</v>
      </c>
      <c r="BH20" s="55">
        <v>95131.5</v>
      </c>
      <c r="BI20" s="55">
        <v>95304.5</v>
      </c>
      <c r="BJ20" s="55">
        <v>95442.5</v>
      </c>
      <c r="BK20" s="55">
        <v>95731.5</v>
      </c>
      <c r="BL20" s="55">
        <v>96013.5</v>
      </c>
      <c r="BM20" s="55">
        <v>96242</v>
      </c>
      <c r="BN20" s="55">
        <v>96496.5</v>
      </c>
      <c r="BO20" s="55">
        <v>96680.5</v>
      </c>
      <c r="BP20" s="55">
        <v>96780</v>
      </c>
      <c r="BQ20" s="55">
        <v>96883</v>
      </c>
      <c r="BR20" s="55">
        <v>96964</v>
      </c>
      <c r="BS20" s="55">
        <v>96949.5</v>
      </c>
      <c r="BT20" s="55">
        <v>97010</v>
      </c>
      <c r="BU20" s="55">
        <v>97097.5</v>
      </c>
      <c r="BV20" s="55">
        <v>97192</v>
      </c>
      <c r="BW20" s="55">
        <v>97250.5</v>
      </c>
      <c r="BX20" s="55">
        <v>97364.5</v>
      </c>
      <c r="BY20" s="55">
        <v>97502</v>
      </c>
      <c r="BZ20" s="55">
        <v>97771.5</v>
      </c>
      <c r="CA20" s="55">
        <v>97952.5</v>
      </c>
      <c r="CB20" s="55">
        <v>98024.5</v>
      </c>
      <c r="CC20" s="55">
        <v>98148.5</v>
      </c>
      <c r="CD20" s="55">
        <v>98241.5</v>
      </c>
      <c r="CE20" s="55">
        <v>98316.5</v>
      </c>
      <c r="CF20" s="55">
        <v>98439</v>
      </c>
      <c r="CG20" s="55">
        <v>98532.5</v>
      </c>
      <c r="CH20" s="55">
        <v>98597.5</v>
      </c>
      <c r="CI20" s="55">
        <v>98680</v>
      </c>
      <c r="CJ20" s="55">
        <v>98720.5</v>
      </c>
      <c r="CK20" s="55">
        <v>98779</v>
      </c>
      <c r="CL20" s="55">
        <v>98875</v>
      </c>
      <c r="CM20" s="55">
        <v>98904.5</v>
      </c>
      <c r="CN20" s="55">
        <v>98973.5</v>
      </c>
      <c r="CO20" s="55">
        <v>99038.5</v>
      </c>
      <c r="CP20" s="55">
        <v>99085.5</v>
      </c>
      <c r="CQ20" s="55">
        <v>99149</v>
      </c>
      <c r="CR20" s="55">
        <v>99166.5</v>
      </c>
      <c r="CS20" s="55">
        <v>99220.5</v>
      </c>
      <c r="CT20" s="55">
        <v>99242.5</v>
      </c>
      <c r="CU20" s="55">
        <v>99275</v>
      </c>
      <c r="CV20" s="55">
        <v>99284</v>
      </c>
      <c r="CW20" s="55">
        <v>99310</v>
      </c>
      <c r="CX20" s="55">
        <v>99350</v>
      </c>
      <c r="CY20" s="55">
        <v>99354</v>
      </c>
      <c r="CZ20" s="55">
        <v>99359</v>
      </c>
      <c r="DA20" s="55">
        <v>99364</v>
      </c>
      <c r="DB20" s="55">
        <v>99392</v>
      </c>
      <c r="DC20" s="55">
        <v>99414</v>
      </c>
      <c r="DD20" s="55">
        <v>99426</v>
      </c>
      <c r="DE20" s="55">
        <v>99433.5</v>
      </c>
      <c r="DF20" s="55">
        <v>99478</v>
      </c>
      <c r="DG20" s="55">
        <v>99475.5</v>
      </c>
      <c r="DH20" s="55">
        <v>99493</v>
      </c>
      <c r="DI20" s="55">
        <v>99489</v>
      </c>
      <c r="DJ20" s="55">
        <v>99520.5</v>
      </c>
      <c r="DK20" s="55">
        <v>99528.5</v>
      </c>
      <c r="DL20" s="55">
        <v>99533</v>
      </c>
      <c r="DM20" s="55">
        <v>99553.5</v>
      </c>
      <c r="DN20" s="55">
        <v>99573</v>
      </c>
      <c r="DO20" s="55">
        <v>99591</v>
      </c>
    </row>
    <row r="21" spans="1:119">
      <c r="A21" s="52">
        <v>19</v>
      </c>
      <c r="B21" s="55"/>
      <c r="C21" s="55"/>
      <c r="D21" s="55"/>
      <c r="E21" s="55"/>
      <c r="F21" s="55"/>
      <c r="G21" s="55"/>
      <c r="H21" s="55"/>
      <c r="I21" s="55"/>
      <c r="J21" s="55"/>
      <c r="K21" s="55"/>
      <c r="L21" s="55"/>
      <c r="M21" s="55"/>
      <c r="N21" s="55"/>
      <c r="O21" s="55"/>
      <c r="P21" s="55"/>
      <c r="Q21" s="55"/>
      <c r="R21" s="55"/>
      <c r="S21" s="55"/>
      <c r="T21" s="55"/>
      <c r="U21" s="55"/>
      <c r="V21" s="55"/>
      <c r="W21" s="55">
        <v>81579.5</v>
      </c>
      <c r="X21" s="55">
        <v>82311.5</v>
      </c>
      <c r="Y21" s="55">
        <v>82362</v>
      </c>
      <c r="Z21" s="55">
        <v>84501</v>
      </c>
      <c r="AA21" s="55">
        <v>84779</v>
      </c>
      <c r="AB21" s="55">
        <v>85257</v>
      </c>
      <c r="AC21" s="55">
        <v>85832.5</v>
      </c>
      <c r="AD21" s="55">
        <v>86621</v>
      </c>
      <c r="AE21" s="55">
        <v>86412.5</v>
      </c>
      <c r="AF21" s="55">
        <v>87564</v>
      </c>
      <c r="AG21" s="55">
        <v>88001.5</v>
      </c>
      <c r="AH21" s="55">
        <v>88273</v>
      </c>
      <c r="AI21" s="55">
        <v>88557</v>
      </c>
      <c r="AJ21" s="55">
        <v>89759.5</v>
      </c>
      <c r="AK21" s="55">
        <v>89691</v>
      </c>
      <c r="AL21" s="55">
        <v>89976</v>
      </c>
      <c r="AM21" s="55">
        <v>90240</v>
      </c>
      <c r="AN21" s="55">
        <v>90693.5</v>
      </c>
      <c r="AO21" s="55">
        <v>90679</v>
      </c>
      <c r="AP21" s="55">
        <v>90779</v>
      </c>
      <c r="AQ21" s="55">
        <v>90829.5</v>
      </c>
      <c r="AR21" s="55">
        <v>90876.5</v>
      </c>
      <c r="AS21" s="55">
        <v>90285.5</v>
      </c>
      <c r="AT21" s="55">
        <v>89509</v>
      </c>
      <c r="AU21" s="55">
        <v>88263.5</v>
      </c>
      <c r="AV21" s="55">
        <v>88618.5</v>
      </c>
      <c r="AW21" s="55">
        <v>88938.5</v>
      </c>
      <c r="AX21" s="55">
        <v>91092</v>
      </c>
      <c r="AY21" s="55">
        <v>92896</v>
      </c>
      <c r="AZ21" s="55">
        <v>92957</v>
      </c>
      <c r="BA21" s="55">
        <v>92999.5</v>
      </c>
      <c r="BB21" s="55">
        <v>93652</v>
      </c>
      <c r="BC21" s="55">
        <v>93884</v>
      </c>
      <c r="BD21" s="55">
        <v>94258</v>
      </c>
      <c r="BE21" s="55">
        <v>94346.5</v>
      </c>
      <c r="BF21" s="55">
        <v>94693</v>
      </c>
      <c r="BG21" s="55">
        <v>94783.5</v>
      </c>
      <c r="BH21" s="55">
        <v>95015.5</v>
      </c>
      <c r="BI21" s="55">
        <v>95190.5</v>
      </c>
      <c r="BJ21" s="55">
        <v>95333</v>
      </c>
      <c r="BK21" s="55">
        <v>95627.5</v>
      </c>
      <c r="BL21" s="55">
        <v>95915</v>
      </c>
      <c r="BM21" s="55">
        <v>96147.5</v>
      </c>
      <c r="BN21" s="55">
        <v>96402</v>
      </c>
      <c r="BO21" s="55">
        <v>96593</v>
      </c>
      <c r="BP21" s="55">
        <v>96705.5</v>
      </c>
      <c r="BQ21" s="55">
        <v>96810</v>
      </c>
      <c r="BR21" s="55">
        <v>96897.5</v>
      </c>
      <c r="BS21" s="55">
        <v>96878</v>
      </c>
      <c r="BT21" s="55">
        <v>96945.5</v>
      </c>
      <c r="BU21" s="55">
        <v>97028</v>
      </c>
      <c r="BV21" s="55">
        <v>97119</v>
      </c>
      <c r="BW21" s="55">
        <v>97179.5</v>
      </c>
      <c r="BX21" s="55">
        <v>97294.5</v>
      </c>
      <c r="BY21" s="55">
        <v>97430.5</v>
      </c>
      <c r="BZ21" s="55">
        <v>97695.5</v>
      </c>
      <c r="CA21" s="55">
        <v>97878.5</v>
      </c>
      <c r="CB21" s="55">
        <v>97949</v>
      </c>
      <c r="CC21" s="55">
        <v>98075.5</v>
      </c>
      <c r="CD21" s="55">
        <v>98176.5</v>
      </c>
      <c r="CE21" s="55">
        <v>98252</v>
      </c>
      <c r="CF21" s="55">
        <v>98375</v>
      </c>
      <c r="CG21" s="55">
        <v>98473</v>
      </c>
      <c r="CH21" s="55">
        <v>98542</v>
      </c>
      <c r="CI21" s="55">
        <v>98632.5</v>
      </c>
      <c r="CJ21" s="55">
        <v>98676</v>
      </c>
      <c r="CK21" s="55">
        <v>98734</v>
      </c>
      <c r="CL21" s="55">
        <v>98835</v>
      </c>
      <c r="CM21" s="55">
        <v>98867</v>
      </c>
      <c r="CN21" s="55">
        <v>98937.5</v>
      </c>
      <c r="CO21" s="55">
        <v>99001</v>
      </c>
      <c r="CP21" s="55">
        <v>99049.5</v>
      </c>
      <c r="CQ21" s="55">
        <v>99114.5</v>
      </c>
      <c r="CR21" s="55">
        <v>99134</v>
      </c>
      <c r="CS21" s="55">
        <v>99191</v>
      </c>
      <c r="CT21" s="55">
        <v>99216</v>
      </c>
      <c r="CU21" s="55">
        <v>99248.5</v>
      </c>
      <c r="CV21" s="55">
        <v>99258.5</v>
      </c>
      <c r="CW21" s="55">
        <v>99285.5</v>
      </c>
      <c r="CX21" s="55">
        <v>99326</v>
      </c>
      <c r="CY21" s="55">
        <v>99331</v>
      </c>
      <c r="CZ21" s="55">
        <v>99337</v>
      </c>
      <c r="DA21" s="55">
        <v>99343</v>
      </c>
      <c r="DB21" s="55">
        <v>99371</v>
      </c>
      <c r="DC21" s="55">
        <v>99394</v>
      </c>
      <c r="DD21" s="55">
        <v>99406.5</v>
      </c>
      <c r="DE21" s="55">
        <v>99414.5</v>
      </c>
      <c r="DF21" s="55">
        <v>99460.5</v>
      </c>
      <c r="DG21" s="55">
        <v>99459</v>
      </c>
      <c r="DH21" s="55">
        <v>99476.5</v>
      </c>
      <c r="DI21" s="55">
        <v>99473</v>
      </c>
      <c r="DJ21" s="55">
        <v>99505</v>
      </c>
      <c r="DK21" s="55">
        <v>99513</v>
      </c>
      <c r="DL21" s="55">
        <v>99518.5</v>
      </c>
      <c r="DM21" s="55">
        <v>99539</v>
      </c>
      <c r="DN21" s="55">
        <v>99559</v>
      </c>
      <c r="DO21" s="55">
        <v>99578</v>
      </c>
    </row>
    <row r="22" spans="1:119">
      <c r="A22" s="52">
        <v>20</v>
      </c>
      <c r="B22" s="55"/>
      <c r="C22" s="55"/>
      <c r="D22" s="55"/>
      <c r="E22" s="55"/>
      <c r="F22" s="55"/>
      <c r="G22" s="55"/>
      <c r="H22" s="55"/>
      <c r="I22" s="55"/>
      <c r="J22" s="55"/>
      <c r="K22" s="55"/>
      <c r="L22" s="55"/>
      <c r="M22" s="55"/>
      <c r="N22" s="55"/>
      <c r="O22" s="55"/>
      <c r="P22" s="55"/>
      <c r="Q22" s="55"/>
      <c r="R22" s="55"/>
      <c r="S22" s="55"/>
      <c r="T22" s="55"/>
      <c r="U22" s="55"/>
      <c r="V22" s="55"/>
      <c r="W22" s="55">
        <v>81388</v>
      </c>
      <c r="X22" s="55">
        <v>82118</v>
      </c>
      <c r="Y22" s="55">
        <v>82168</v>
      </c>
      <c r="Z22" s="55">
        <v>84282.5</v>
      </c>
      <c r="AA22" s="55">
        <v>84530.5</v>
      </c>
      <c r="AB22" s="55">
        <v>84896</v>
      </c>
      <c r="AC22" s="55">
        <v>85581</v>
      </c>
      <c r="AD22" s="55">
        <v>86366.5</v>
      </c>
      <c r="AE22" s="55">
        <v>86222</v>
      </c>
      <c r="AF22" s="55">
        <v>87442.5</v>
      </c>
      <c r="AG22" s="55">
        <v>87879.5</v>
      </c>
      <c r="AH22" s="55">
        <v>88150</v>
      </c>
      <c r="AI22" s="55">
        <v>88445.5</v>
      </c>
      <c r="AJ22" s="55">
        <v>89652</v>
      </c>
      <c r="AK22" s="55">
        <v>89592</v>
      </c>
      <c r="AL22" s="55">
        <v>89872</v>
      </c>
      <c r="AM22" s="55">
        <v>90130.5</v>
      </c>
      <c r="AN22" s="55">
        <v>90585</v>
      </c>
      <c r="AO22" s="55">
        <v>90574.5</v>
      </c>
      <c r="AP22" s="55">
        <v>90671</v>
      </c>
      <c r="AQ22" s="55">
        <v>90723.5</v>
      </c>
      <c r="AR22" s="55">
        <v>90770.5</v>
      </c>
      <c r="AS22" s="55">
        <v>90181.5</v>
      </c>
      <c r="AT22" s="55">
        <v>89411.5</v>
      </c>
      <c r="AU22" s="55">
        <v>88161.5</v>
      </c>
      <c r="AV22" s="55">
        <v>88514.5</v>
      </c>
      <c r="AW22" s="55">
        <v>88840</v>
      </c>
      <c r="AX22" s="55">
        <v>90992.5</v>
      </c>
      <c r="AY22" s="55">
        <v>92796</v>
      </c>
      <c r="AZ22" s="55">
        <v>92846.5</v>
      </c>
      <c r="BA22" s="55">
        <v>92880</v>
      </c>
      <c r="BB22" s="55">
        <v>93532</v>
      </c>
      <c r="BC22" s="55">
        <v>93766</v>
      </c>
      <c r="BD22" s="55">
        <v>94153</v>
      </c>
      <c r="BE22" s="55">
        <v>94233</v>
      </c>
      <c r="BF22" s="55">
        <v>94579.5</v>
      </c>
      <c r="BG22" s="55">
        <v>94670.5</v>
      </c>
      <c r="BH22" s="55">
        <v>94900</v>
      </c>
      <c r="BI22" s="55">
        <v>95080.5</v>
      </c>
      <c r="BJ22" s="55">
        <v>95231</v>
      </c>
      <c r="BK22" s="55">
        <v>95523.5</v>
      </c>
      <c r="BL22" s="55">
        <v>95813.5</v>
      </c>
      <c r="BM22" s="55">
        <v>96054.5</v>
      </c>
      <c r="BN22" s="55">
        <v>96308.5</v>
      </c>
      <c r="BO22" s="55">
        <v>96516.5</v>
      </c>
      <c r="BP22" s="55">
        <v>96632.5</v>
      </c>
      <c r="BQ22" s="55">
        <v>96735.5</v>
      </c>
      <c r="BR22" s="55">
        <v>96825.5</v>
      </c>
      <c r="BS22" s="55">
        <v>96813</v>
      </c>
      <c r="BT22" s="55">
        <v>96878.5</v>
      </c>
      <c r="BU22" s="55">
        <v>96948</v>
      </c>
      <c r="BV22" s="55">
        <v>97037</v>
      </c>
      <c r="BW22" s="55">
        <v>97103</v>
      </c>
      <c r="BX22" s="55">
        <v>97219</v>
      </c>
      <c r="BY22" s="55">
        <v>97357.5</v>
      </c>
      <c r="BZ22" s="55">
        <v>97625.5</v>
      </c>
      <c r="CA22" s="55">
        <v>97802.5</v>
      </c>
      <c r="CB22" s="55">
        <v>97880</v>
      </c>
      <c r="CC22" s="55">
        <v>98012.5</v>
      </c>
      <c r="CD22" s="55">
        <v>98114.5</v>
      </c>
      <c r="CE22" s="55">
        <v>98187.5</v>
      </c>
      <c r="CF22" s="55">
        <v>98319</v>
      </c>
      <c r="CG22" s="55">
        <v>98416.5</v>
      </c>
      <c r="CH22" s="55">
        <v>98489</v>
      </c>
      <c r="CI22" s="55">
        <v>98588</v>
      </c>
      <c r="CJ22" s="55">
        <v>98634.5</v>
      </c>
      <c r="CK22" s="55">
        <v>98688.5</v>
      </c>
      <c r="CL22" s="55">
        <v>98797</v>
      </c>
      <c r="CM22" s="55">
        <v>98833.5</v>
      </c>
      <c r="CN22" s="55">
        <v>98902.5</v>
      </c>
      <c r="CO22" s="55">
        <v>98964</v>
      </c>
      <c r="CP22" s="55">
        <v>99016.5</v>
      </c>
      <c r="CQ22" s="55">
        <v>99082.5</v>
      </c>
      <c r="CR22" s="55">
        <v>99104</v>
      </c>
      <c r="CS22" s="55">
        <v>99159.5</v>
      </c>
      <c r="CT22" s="55">
        <v>99186</v>
      </c>
      <c r="CU22" s="55">
        <v>99220</v>
      </c>
      <c r="CV22" s="55">
        <v>99231.5</v>
      </c>
      <c r="CW22" s="55">
        <v>99259</v>
      </c>
      <c r="CX22" s="55">
        <v>99300.5</v>
      </c>
      <c r="CY22" s="55">
        <v>99305.5</v>
      </c>
      <c r="CZ22" s="55">
        <v>99312.5</v>
      </c>
      <c r="DA22" s="55">
        <v>99320</v>
      </c>
      <c r="DB22" s="55">
        <v>99348.5</v>
      </c>
      <c r="DC22" s="55">
        <v>99372.5</v>
      </c>
      <c r="DD22" s="55">
        <v>99385</v>
      </c>
      <c r="DE22" s="55">
        <v>99394</v>
      </c>
      <c r="DF22" s="55">
        <v>99441</v>
      </c>
      <c r="DG22" s="55">
        <v>99439</v>
      </c>
      <c r="DH22" s="55">
        <v>99457.5</v>
      </c>
      <c r="DI22" s="55">
        <v>99454.5</v>
      </c>
      <c r="DJ22" s="55">
        <v>99487.5</v>
      </c>
      <c r="DK22" s="55">
        <v>99497</v>
      </c>
      <c r="DL22" s="55">
        <v>99502</v>
      </c>
      <c r="DM22" s="55">
        <v>99523.5</v>
      </c>
      <c r="DN22" s="55">
        <v>99544</v>
      </c>
      <c r="DO22" s="55">
        <v>99563.5</v>
      </c>
    </row>
    <row r="23" spans="1:119">
      <c r="A23" s="52">
        <v>21</v>
      </c>
      <c r="B23" s="55"/>
      <c r="C23" s="55"/>
      <c r="D23" s="55"/>
      <c r="E23" s="55"/>
      <c r="F23" s="55"/>
      <c r="G23" s="55"/>
      <c r="H23" s="55"/>
      <c r="I23" s="55"/>
      <c r="J23" s="55"/>
      <c r="K23" s="55"/>
      <c r="L23" s="55"/>
      <c r="M23" s="55"/>
      <c r="N23" s="55"/>
      <c r="O23" s="55"/>
      <c r="P23" s="55"/>
      <c r="Q23" s="55"/>
      <c r="R23" s="55"/>
      <c r="S23" s="55"/>
      <c r="T23" s="55"/>
      <c r="U23" s="55"/>
      <c r="V23" s="55"/>
      <c r="W23" s="55">
        <v>81184</v>
      </c>
      <c r="X23" s="55">
        <v>81912.5</v>
      </c>
      <c r="Y23" s="55">
        <v>81942</v>
      </c>
      <c r="Z23" s="55">
        <v>84018</v>
      </c>
      <c r="AA23" s="55">
        <v>84148.5</v>
      </c>
      <c r="AB23" s="55">
        <v>84611</v>
      </c>
      <c r="AC23" s="55">
        <v>85294</v>
      </c>
      <c r="AD23" s="55">
        <v>86149.5</v>
      </c>
      <c r="AE23" s="55">
        <v>86092.5</v>
      </c>
      <c r="AF23" s="55">
        <v>87310.5</v>
      </c>
      <c r="AG23" s="55">
        <v>87746.5</v>
      </c>
      <c r="AH23" s="55">
        <v>88032</v>
      </c>
      <c r="AI23" s="55">
        <v>88334</v>
      </c>
      <c r="AJ23" s="55">
        <v>89537.5</v>
      </c>
      <c r="AK23" s="55">
        <v>89480</v>
      </c>
      <c r="AL23" s="55">
        <v>89750.5</v>
      </c>
      <c r="AM23" s="55">
        <v>90016.5</v>
      </c>
      <c r="AN23" s="55">
        <v>90473</v>
      </c>
      <c r="AO23" s="55">
        <v>90459.5</v>
      </c>
      <c r="AP23" s="55">
        <v>90564.5</v>
      </c>
      <c r="AQ23" s="55">
        <v>90611.5</v>
      </c>
      <c r="AR23" s="55">
        <v>90669.5</v>
      </c>
      <c r="AS23" s="55">
        <v>90077</v>
      </c>
      <c r="AT23" s="55">
        <v>89315.5</v>
      </c>
      <c r="AU23" s="55">
        <v>88060</v>
      </c>
      <c r="AV23" s="55">
        <v>88409.5</v>
      </c>
      <c r="AW23" s="55">
        <v>88742</v>
      </c>
      <c r="AX23" s="55">
        <v>90900</v>
      </c>
      <c r="AY23" s="55">
        <v>92689.5</v>
      </c>
      <c r="AZ23" s="55">
        <v>92732.5</v>
      </c>
      <c r="BA23" s="55">
        <v>92760.5</v>
      </c>
      <c r="BB23" s="55">
        <v>93419</v>
      </c>
      <c r="BC23" s="55">
        <v>93662</v>
      </c>
      <c r="BD23" s="55">
        <v>94043</v>
      </c>
      <c r="BE23" s="55">
        <v>94124</v>
      </c>
      <c r="BF23" s="55">
        <v>94466</v>
      </c>
      <c r="BG23" s="55">
        <v>94557</v>
      </c>
      <c r="BH23" s="55">
        <v>94797.5</v>
      </c>
      <c r="BI23" s="55">
        <v>94978</v>
      </c>
      <c r="BJ23" s="55">
        <v>95132.5</v>
      </c>
      <c r="BK23" s="55">
        <v>95434</v>
      </c>
      <c r="BL23" s="55">
        <v>95722</v>
      </c>
      <c r="BM23" s="55">
        <v>95969.5</v>
      </c>
      <c r="BN23" s="55">
        <v>96229</v>
      </c>
      <c r="BO23" s="55">
        <v>96445</v>
      </c>
      <c r="BP23" s="55">
        <v>96561</v>
      </c>
      <c r="BQ23" s="55">
        <v>96662</v>
      </c>
      <c r="BR23" s="55">
        <v>96757</v>
      </c>
      <c r="BS23" s="55">
        <v>96740</v>
      </c>
      <c r="BT23" s="55">
        <v>96803.5</v>
      </c>
      <c r="BU23" s="55">
        <v>96874.5</v>
      </c>
      <c r="BV23" s="55">
        <v>96969</v>
      </c>
      <c r="BW23" s="55">
        <v>97031</v>
      </c>
      <c r="BX23" s="55">
        <v>97155</v>
      </c>
      <c r="BY23" s="55">
        <v>97286.5</v>
      </c>
      <c r="BZ23" s="55">
        <v>97555.5</v>
      </c>
      <c r="CA23" s="55">
        <v>97734.5</v>
      </c>
      <c r="CB23" s="55">
        <v>97816</v>
      </c>
      <c r="CC23" s="55">
        <v>97951</v>
      </c>
      <c r="CD23" s="55">
        <v>98049</v>
      </c>
      <c r="CE23" s="55">
        <v>98128</v>
      </c>
      <c r="CF23" s="55">
        <v>98263.5</v>
      </c>
      <c r="CG23" s="55">
        <v>98365</v>
      </c>
      <c r="CH23" s="55">
        <v>98442</v>
      </c>
      <c r="CI23" s="55">
        <v>98549.5</v>
      </c>
      <c r="CJ23" s="55">
        <v>98592.5</v>
      </c>
      <c r="CK23" s="55">
        <v>98646</v>
      </c>
      <c r="CL23" s="55">
        <v>98760</v>
      </c>
      <c r="CM23" s="55">
        <v>98797</v>
      </c>
      <c r="CN23" s="55">
        <v>98864</v>
      </c>
      <c r="CO23" s="55">
        <v>98927</v>
      </c>
      <c r="CP23" s="55">
        <v>98985.5</v>
      </c>
      <c r="CQ23" s="55">
        <v>99053.5</v>
      </c>
      <c r="CR23" s="55">
        <v>99070</v>
      </c>
      <c r="CS23" s="55">
        <v>99128</v>
      </c>
      <c r="CT23" s="55">
        <v>99155.5</v>
      </c>
      <c r="CU23" s="55">
        <v>99191</v>
      </c>
      <c r="CV23" s="55">
        <v>99202.5</v>
      </c>
      <c r="CW23" s="55">
        <v>99231.5</v>
      </c>
      <c r="CX23" s="55">
        <v>99273.5</v>
      </c>
      <c r="CY23" s="55">
        <v>99280</v>
      </c>
      <c r="CZ23" s="55">
        <v>99287.5</v>
      </c>
      <c r="DA23" s="55">
        <v>99295.5</v>
      </c>
      <c r="DB23" s="55">
        <v>99325</v>
      </c>
      <c r="DC23" s="55">
        <v>99349.5</v>
      </c>
      <c r="DD23" s="55">
        <v>99363</v>
      </c>
      <c r="DE23" s="55">
        <v>99372.5</v>
      </c>
      <c r="DF23" s="55">
        <v>99420</v>
      </c>
      <c r="DG23" s="55">
        <v>99419.5</v>
      </c>
      <c r="DH23" s="55">
        <v>99438.5</v>
      </c>
      <c r="DI23" s="55">
        <v>99436</v>
      </c>
      <c r="DJ23" s="55">
        <v>99469.5</v>
      </c>
      <c r="DK23" s="55">
        <v>99479</v>
      </c>
      <c r="DL23" s="55">
        <v>99485.5</v>
      </c>
      <c r="DM23" s="55">
        <v>99507</v>
      </c>
      <c r="DN23" s="55">
        <v>99528</v>
      </c>
      <c r="DO23" s="55">
        <v>99548</v>
      </c>
    </row>
    <row r="24" spans="1:119">
      <c r="A24" s="52">
        <v>22</v>
      </c>
      <c r="B24" s="55"/>
      <c r="C24" s="55"/>
      <c r="D24" s="55"/>
      <c r="E24" s="55"/>
      <c r="F24" s="55"/>
      <c r="G24" s="55"/>
      <c r="H24" s="55"/>
      <c r="I24" s="55"/>
      <c r="J24" s="55"/>
      <c r="K24" s="55"/>
      <c r="L24" s="55"/>
      <c r="M24" s="55"/>
      <c r="N24" s="55"/>
      <c r="O24" s="55"/>
      <c r="P24" s="55"/>
      <c r="Q24" s="55"/>
      <c r="R24" s="55"/>
      <c r="S24" s="55"/>
      <c r="T24" s="55"/>
      <c r="U24" s="55"/>
      <c r="V24" s="55"/>
      <c r="W24" s="55">
        <v>80971.5</v>
      </c>
      <c r="X24" s="55">
        <v>81675.5</v>
      </c>
      <c r="Y24" s="55">
        <v>81673</v>
      </c>
      <c r="Z24" s="55">
        <v>83621</v>
      </c>
      <c r="AA24" s="55">
        <v>83844</v>
      </c>
      <c r="AB24" s="55">
        <v>84305</v>
      </c>
      <c r="AC24" s="55">
        <v>85062.5</v>
      </c>
      <c r="AD24" s="55">
        <v>86012</v>
      </c>
      <c r="AE24" s="55">
        <v>85954.5</v>
      </c>
      <c r="AF24" s="55">
        <v>87170.5</v>
      </c>
      <c r="AG24" s="55">
        <v>87623</v>
      </c>
      <c r="AH24" s="55">
        <v>87912.5</v>
      </c>
      <c r="AI24" s="55">
        <v>88218.5</v>
      </c>
      <c r="AJ24" s="55">
        <v>89424</v>
      </c>
      <c r="AK24" s="55">
        <v>89354.5</v>
      </c>
      <c r="AL24" s="55">
        <v>89632.5</v>
      </c>
      <c r="AM24" s="55">
        <v>89904.5</v>
      </c>
      <c r="AN24" s="55">
        <v>90364.5</v>
      </c>
      <c r="AO24" s="55">
        <v>90355.5</v>
      </c>
      <c r="AP24" s="55">
        <v>90443</v>
      </c>
      <c r="AQ24" s="55">
        <v>90508</v>
      </c>
      <c r="AR24" s="55">
        <v>90559</v>
      </c>
      <c r="AS24" s="55">
        <v>89977.5</v>
      </c>
      <c r="AT24" s="55">
        <v>89217</v>
      </c>
      <c r="AU24" s="55">
        <v>87961</v>
      </c>
      <c r="AV24" s="55">
        <v>88311</v>
      </c>
      <c r="AW24" s="55">
        <v>88647.5</v>
      </c>
      <c r="AX24" s="55">
        <v>90792.5</v>
      </c>
      <c r="AY24" s="55">
        <v>92581</v>
      </c>
      <c r="AZ24" s="55">
        <v>92619.5</v>
      </c>
      <c r="BA24" s="55">
        <v>92648.5</v>
      </c>
      <c r="BB24" s="55">
        <v>93316.5</v>
      </c>
      <c r="BC24" s="55">
        <v>93558</v>
      </c>
      <c r="BD24" s="55">
        <v>93942.5</v>
      </c>
      <c r="BE24" s="55">
        <v>94013.5</v>
      </c>
      <c r="BF24" s="55">
        <v>94363</v>
      </c>
      <c r="BG24" s="55">
        <v>94454</v>
      </c>
      <c r="BH24" s="55">
        <v>94700</v>
      </c>
      <c r="BI24" s="55">
        <v>94885</v>
      </c>
      <c r="BJ24" s="55">
        <v>95040.5</v>
      </c>
      <c r="BK24" s="55">
        <v>95345.5</v>
      </c>
      <c r="BL24" s="55">
        <v>95637.5</v>
      </c>
      <c r="BM24" s="55">
        <v>95894.5</v>
      </c>
      <c r="BN24" s="55">
        <v>96156</v>
      </c>
      <c r="BO24" s="55">
        <v>96375.5</v>
      </c>
      <c r="BP24" s="55">
        <v>96492.5</v>
      </c>
      <c r="BQ24" s="55">
        <v>96594.5</v>
      </c>
      <c r="BR24" s="55">
        <v>96688</v>
      </c>
      <c r="BS24" s="55">
        <v>96665</v>
      </c>
      <c r="BT24" s="55">
        <v>96731.5</v>
      </c>
      <c r="BU24" s="55">
        <v>96802</v>
      </c>
      <c r="BV24" s="55">
        <v>96903.5</v>
      </c>
      <c r="BW24" s="55">
        <v>96963.5</v>
      </c>
      <c r="BX24" s="55">
        <v>97083</v>
      </c>
      <c r="BY24" s="55">
        <v>97230.5</v>
      </c>
      <c r="BZ24" s="55">
        <v>97491.5</v>
      </c>
      <c r="CA24" s="55">
        <v>97673.5</v>
      </c>
      <c r="CB24" s="55">
        <v>97751</v>
      </c>
      <c r="CC24" s="55">
        <v>97891.5</v>
      </c>
      <c r="CD24" s="55">
        <v>97995.5</v>
      </c>
      <c r="CE24" s="55">
        <v>98075</v>
      </c>
      <c r="CF24" s="55">
        <v>98215.5</v>
      </c>
      <c r="CG24" s="55">
        <v>98319</v>
      </c>
      <c r="CH24" s="55">
        <v>98401.5</v>
      </c>
      <c r="CI24" s="55">
        <v>98508</v>
      </c>
      <c r="CJ24" s="55">
        <v>98552</v>
      </c>
      <c r="CK24" s="55">
        <v>98610.5</v>
      </c>
      <c r="CL24" s="55">
        <v>98722.5</v>
      </c>
      <c r="CM24" s="55">
        <v>98756</v>
      </c>
      <c r="CN24" s="55">
        <v>98829.5</v>
      </c>
      <c r="CO24" s="55">
        <v>98896.5</v>
      </c>
      <c r="CP24" s="55">
        <v>98955.5</v>
      </c>
      <c r="CQ24" s="55">
        <v>99019.5</v>
      </c>
      <c r="CR24" s="55">
        <v>99038</v>
      </c>
      <c r="CS24" s="55">
        <v>99096.5</v>
      </c>
      <c r="CT24" s="55">
        <v>99125.5</v>
      </c>
      <c r="CU24" s="55">
        <v>99161.5</v>
      </c>
      <c r="CV24" s="55">
        <v>99174</v>
      </c>
      <c r="CW24" s="55">
        <v>99204</v>
      </c>
      <c r="CX24" s="55">
        <v>99247</v>
      </c>
      <c r="CY24" s="55">
        <v>99254</v>
      </c>
      <c r="CZ24" s="55">
        <v>99263</v>
      </c>
      <c r="DA24" s="55">
        <v>99271</v>
      </c>
      <c r="DB24" s="55">
        <v>99302</v>
      </c>
      <c r="DC24" s="55">
        <v>99327</v>
      </c>
      <c r="DD24" s="55">
        <v>99341</v>
      </c>
      <c r="DE24" s="55">
        <v>99352</v>
      </c>
      <c r="DF24" s="55">
        <v>99399.5</v>
      </c>
      <c r="DG24" s="55">
        <v>99399.5</v>
      </c>
      <c r="DH24" s="55">
        <v>99419</v>
      </c>
      <c r="DI24" s="55">
        <v>99417</v>
      </c>
      <c r="DJ24" s="55">
        <v>99451.5</v>
      </c>
      <c r="DK24" s="55">
        <v>99461.5</v>
      </c>
      <c r="DL24" s="55">
        <v>99468</v>
      </c>
      <c r="DM24" s="55">
        <v>99490.5</v>
      </c>
      <c r="DN24" s="55">
        <v>99511.5</v>
      </c>
      <c r="DO24" s="55">
        <v>99532</v>
      </c>
    </row>
    <row r="25" spans="1:119">
      <c r="A25" s="52">
        <v>23</v>
      </c>
      <c r="B25" s="55"/>
      <c r="C25" s="55"/>
      <c r="D25" s="55"/>
      <c r="E25" s="55"/>
      <c r="F25" s="55"/>
      <c r="G25" s="55"/>
      <c r="H25" s="55"/>
      <c r="I25" s="55"/>
      <c r="J25" s="55"/>
      <c r="K25" s="55"/>
      <c r="L25" s="55"/>
      <c r="M25" s="55"/>
      <c r="N25" s="55"/>
      <c r="O25" s="55"/>
      <c r="P25" s="55"/>
      <c r="Q25" s="55"/>
      <c r="R25" s="55"/>
      <c r="S25" s="55"/>
      <c r="T25" s="55"/>
      <c r="U25" s="55"/>
      <c r="V25" s="55"/>
      <c r="W25" s="55">
        <v>80740.5</v>
      </c>
      <c r="X25" s="55">
        <v>81411.5</v>
      </c>
      <c r="Y25" s="55">
        <v>81292.5</v>
      </c>
      <c r="Z25" s="55">
        <v>83312.5</v>
      </c>
      <c r="AA25" s="55">
        <v>83535</v>
      </c>
      <c r="AB25" s="55">
        <v>84087.5</v>
      </c>
      <c r="AC25" s="55">
        <v>84921.5</v>
      </c>
      <c r="AD25" s="55">
        <v>85868.5</v>
      </c>
      <c r="AE25" s="55">
        <v>85811.5</v>
      </c>
      <c r="AF25" s="55">
        <v>87041.5</v>
      </c>
      <c r="AG25" s="55">
        <v>87496.5</v>
      </c>
      <c r="AH25" s="55">
        <v>87792</v>
      </c>
      <c r="AI25" s="55">
        <v>88099</v>
      </c>
      <c r="AJ25" s="55">
        <v>89308.5</v>
      </c>
      <c r="AK25" s="55">
        <v>89235</v>
      </c>
      <c r="AL25" s="55">
        <v>89520</v>
      </c>
      <c r="AM25" s="55">
        <v>89791</v>
      </c>
      <c r="AN25" s="55">
        <v>90257.5</v>
      </c>
      <c r="AO25" s="55">
        <v>90247</v>
      </c>
      <c r="AP25" s="55">
        <v>90339.5</v>
      </c>
      <c r="AQ25" s="55">
        <v>90406</v>
      </c>
      <c r="AR25" s="55">
        <v>90456.5</v>
      </c>
      <c r="AS25" s="55">
        <v>89882</v>
      </c>
      <c r="AT25" s="55">
        <v>89116.5</v>
      </c>
      <c r="AU25" s="55">
        <v>87859</v>
      </c>
      <c r="AV25" s="55">
        <v>88214</v>
      </c>
      <c r="AW25" s="55">
        <v>88552</v>
      </c>
      <c r="AX25" s="55">
        <v>90688.5</v>
      </c>
      <c r="AY25" s="55">
        <v>92474.5</v>
      </c>
      <c r="AZ25" s="55">
        <v>92510.5</v>
      </c>
      <c r="BA25" s="55">
        <v>92554.5</v>
      </c>
      <c r="BB25" s="55">
        <v>93223</v>
      </c>
      <c r="BC25" s="55">
        <v>93459.5</v>
      </c>
      <c r="BD25" s="55">
        <v>93843</v>
      </c>
      <c r="BE25" s="55">
        <v>93915</v>
      </c>
      <c r="BF25" s="55">
        <v>94259.5</v>
      </c>
      <c r="BG25" s="55">
        <v>94357</v>
      </c>
      <c r="BH25" s="55">
        <v>94613</v>
      </c>
      <c r="BI25" s="55">
        <v>94804</v>
      </c>
      <c r="BJ25" s="55">
        <v>94956.5</v>
      </c>
      <c r="BK25" s="55">
        <v>95261.5</v>
      </c>
      <c r="BL25" s="55">
        <v>95558.5</v>
      </c>
      <c r="BM25" s="55">
        <v>95823.5</v>
      </c>
      <c r="BN25" s="55">
        <v>96087.5</v>
      </c>
      <c r="BO25" s="55">
        <v>96309</v>
      </c>
      <c r="BP25" s="55">
        <v>96425</v>
      </c>
      <c r="BQ25" s="55">
        <v>96524.5</v>
      </c>
      <c r="BR25" s="55">
        <v>96615.5</v>
      </c>
      <c r="BS25" s="55">
        <v>96593</v>
      </c>
      <c r="BT25" s="55">
        <v>96662.5</v>
      </c>
      <c r="BU25" s="55">
        <v>96734</v>
      </c>
      <c r="BV25" s="55">
        <v>96837.5</v>
      </c>
      <c r="BW25" s="55">
        <v>96900</v>
      </c>
      <c r="BX25" s="55">
        <v>97021</v>
      </c>
      <c r="BY25" s="55">
        <v>97174</v>
      </c>
      <c r="BZ25" s="55">
        <v>97430.5</v>
      </c>
      <c r="CA25" s="55">
        <v>97615</v>
      </c>
      <c r="CB25" s="55">
        <v>97699.5</v>
      </c>
      <c r="CC25" s="55">
        <v>97836.5</v>
      </c>
      <c r="CD25" s="55">
        <v>97946</v>
      </c>
      <c r="CE25" s="55">
        <v>98023.5</v>
      </c>
      <c r="CF25" s="55">
        <v>98172.5</v>
      </c>
      <c r="CG25" s="55">
        <v>98278.5</v>
      </c>
      <c r="CH25" s="55">
        <v>98356</v>
      </c>
      <c r="CI25" s="55">
        <v>98469.5</v>
      </c>
      <c r="CJ25" s="55">
        <v>98515</v>
      </c>
      <c r="CK25" s="55">
        <v>98573</v>
      </c>
      <c r="CL25" s="55">
        <v>98686.5</v>
      </c>
      <c r="CM25" s="55">
        <v>98716.5</v>
      </c>
      <c r="CN25" s="55">
        <v>98797</v>
      </c>
      <c r="CO25" s="55">
        <v>98868.5</v>
      </c>
      <c r="CP25" s="55">
        <v>98927</v>
      </c>
      <c r="CQ25" s="55">
        <v>98987</v>
      </c>
      <c r="CR25" s="55">
        <v>99006.5</v>
      </c>
      <c r="CS25" s="55">
        <v>99066.5</v>
      </c>
      <c r="CT25" s="55">
        <v>99096</v>
      </c>
      <c r="CU25" s="55">
        <v>99133.5</v>
      </c>
      <c r="CV25" s="55">
        <v>99147</v>
      </c>
      <c r="CW25" s="55">
        <v>99177</v>
      </c>
      <c r="CX25" s="55">
        <v>99221</v>
      </c>
      <c r="CY25" s="55">
        <v>99229</v>
      </c>
      <c r="CZ25" s="55">
        <v>99238</v>
      </c>
      <c r="DA25" s="55">
        <v>99247.5</v>
      </c>
      <c r="DB25" s="55">
        <v>99279</v>
      </c>
      <c r="DC25" s="55">
        <v>99304.5</v>
      </c>
      <c r="DD25" s="55">
        <v>99319.5</v>
      </c>
      <c r="DE25" s="55">
        <v>99330.5</v>
      </c>
      <c r="DF25" s="55">
        <v>99379.5</v>
      </c>
      <c r="DG25" s="55">
        <v>99380</v>
      </c>
      <c r="DH25" s="55">
        <v>99400</v>
      </c>
      <c r="DI25" s="55">
        <v>99399</v>
      </c>
      <c r="DJ25" s="55">
        <v>99433.5</v>
      </c>
      <c r="DK25" s="55">
        <v>99444.5</v>
      </c>
      <c r="DL25" s="55">
        <v>99451.5</v>
      </c>
      <c r="DM25" s="55">
        <v>99474.5</v>
      </c>
      <c r="DN25" s="55">
        <v>99496.5</v>
      </c>
      <c r="DO25" s="55">
        <v>99517</v>
      </c>
    </row>
    <row r="26" spans="1:119">
      <c r="A26" s="52">
        <v>24</v>
      </c>
      <c r="B26" s="55"/>
      <c r="C26" s="55"/>
      <c r="D26" s="55"/>
      <c r="E26" s="55"/>
      <c r="F26" s="55"/>
      <c r="G26" s="55"/>
      <c r="H26" s="55"/>
      <c r="I26" s="55"/>
      <c r="J26" s="55"/>
      <c r="K26" s="55"/>
      <c r="L26" s="55"/>
      <c r="M26" s="55"/>
      <c r="N26" s="55"/>
      <c r="O26" s="55"/>
      <c r="P26" s="55"/>
      <c r="Q26" s="55"/>
      <c r="R26" s="55"/>
      <c r="S26" s="55"/>
      <c r="T26" s="55"/>
      <c r="U26" s="55"/>
      <c r="V26" s="55"/>
      <c r="W26" s="55">
        <v>80478</v>
      </c>
      <c r="X26" s="55">
        <v>81030.5</v>
      </c>
      <c r="Y26" s="55">
        <v>80993.5</v>
      </c>
      <c r="Z26" s="55">
        <v>83006</v>
      </c>
      <c r="AA26" s="55">
        <v>83319</v>
      </c>
      <c r="AB26" s="55">
        <v>83943.5</v>
      </c>
      <c r="AC26" s="55">
        <v>84776</v>
      </c>
      <c r="AD26" s="55">
        <v>85722</v>
      </c>
      <c r="AE26" s="55">
        <v>85685</v>
      </c>
      <c r="AF26" s="55">
        <v>86913</v>
      </c>
      <c r="AG26" s="55">
        <v>87376.5</v>
      </c>
      <c r="AH26" s="55">
        <v>87670</v>
      </c>
      <c r="AI26" s="55">
        <v>87979.5</v>
      </c>
      <c r="AJ26" s="55">
        <v>89195</v>
      </c>
      <c r="AK26" s="55">
        <v>89127</v>
      </c>
      <c r="AL26" s="55">
        <v>89415</v>
      </c>
      <c r="AM26" s="55">
        <v>89685.5</v>
      </c>
      <c r="AN26" s="55">
        <v>90147</v>
      </c>
      <c r="AO26" s="55">
        <v>90144.5</v>
      </c>
      <c r="AP26" s="55">
        <v>90237.5</v>
      </c>
      <c r="AQ26" s="55">
        <v>90305.5</v>
      </c>
      <c r="AR26" s="55">
        <v>90356</v>
      </c>
      <c r="AS26" s="55">
        <v>89789</v>
      </c>
      <c r="AT26" s="55">
        <v>89026</v>
      </c>
      <c r="AU26" s="55">
        <v>87767</v>
      </c>
      <c r="AV26" s="55">
        <v>88116</v>
      </c>
      <c r="AW26" s="55">
        <v>88453</v>
      </c>
      <c r="AX26" s="55">
        <v>90587</v>
      </c>
      <c r="AY26" s="55">
        <v>92374.5</v>
      </c>
      <c r="AZ26" s="55">
        <v>92422.5</v>
      </c>
      <c r="BA26" s="55">
        <v>92464</v>
      </c>
      <c r="BB26" s="55">
        <v>93129.5</v>
      </c>
      <c r="BC26" s="55">
        <v>93362.5</v>
      </c>
      <c r="BD26" s="55">
        <v>93745.5</v>
      </c>
      <c r="BE26" s="55">
        <v>93821</v>
      </c>
      <c r="BF26" s="55">
        <v>94168</v>
      </c>
      <c r="BG26" s="55">
        <v>94267.5</v>
      </c>
      <c r="BH26" s="55">
        <v>94528.5</v>
      </c>
      <c r="BI26" s="55">
        <v>94722</v>
      </c>
      <c r="BJ26" s="55">
        <v>94876.5</v>
      </c>
      <c r="BK26" s="55">
        <v>95192</v>
      </c>
      <c r="BL26" s="55">
        <v>95491</v>
      </c>
      <c r="BM26" s="55">
        <v>95759</v>
      </c>
      <c r="BN26" s="55">
        <v>96019.5</v>
      </c>
      <c r="BO26" s="55">
        <v>96240</v>
      </c>
      <c r="BP26" s="55">
        <v>96357.5</v>
      </c>
      <c r="BQ26" s="55">
        <v>96451.5</v>
      </c>
      <c r="BR26" s="55">
        <v>96544.5</v>
      </c>
      <c r="BS26" s="55">
        <v>96526</v>
      </c>
      <c r="BT26" s="55">
        <v>96597</v>
      </c>
      <c r="BU26" s="55">
        <v>96675.5</v>
      </c>
      <c r="BV26" s="55">
        <v>96773.5</v>
      </c>
      <c r="BW26" s="55">
        <v>96835</v>
      </c>
      <c r="BX26" s="55">
        <v>96962.5</v>
      </c>
      <c r="BY26" s="55">
        <v>97120</v>
      </c>
      <c r="BZ26" s="55">
        <v>97373.5</v>
      </c>
      <c r="CA26" s="55">
        <v>97559.5</v>
      </c>
      <c r="CB26" s="55">
        <v>97650.5</v>
      </c>
      <c r="CC26" s="55">
        <v>97782.5</v>
      </c>
      <c r="CD26" s="55">
        <v>97898.5</v>
      </c>
      <c r="CE26" s="55">
        <v>97979.5</v>
      </c>
      <c r="CF26" s="55">
        <v>98130.5</v>
      </c>
      <c r="CG26" s="55">
        <v>98236.5</v>
      </c>
      <c r="CH26" s="55">
        <v>98314.5</v>
      </c>
      <c r="CI26" s="55">
        <v>98433.5</v>
      </c>
      <c r="CJ26" s="55">
        <v>98480</v>
      </c>
      <c r="CK26" s="55">
        <v>98532.5</v>
      </c>
      <c r="CL26" s="55">
        <v>98647</v>
      </c>
      <c r="CM26" s="55">
        <v>98683.5</v>
      </c>
      <c r="CN26" s="55">
        <v>98761.5</v>
      </c>
      <c r="CO26" s="55">
        <v>98832</v>
      </c>
      <c r="CP26" s="55">
        <v>98895.5</v>
      </c>
      <c r="CQ26" s="55">
        <v>98956.5</v>
      </c>
      <c r="CR26" s="55">
        <v>98977</v>
      </c>
      <c r="CS26" s="55">
        <v>99037.5</v>
      </c>
      <c r="CT26" s="55">
        <v>99068.5</v>
      </c>
      <c r="CU26" s="55">
        <v>99106</v>
      </c>
      <c r="CV26" s="55">
        <v>99120.5</v>
      </c>
      <c r="CW26" s="55">
        <v>99151.5</v>
      </c>
      <c r="CX26" s="55">
        <v>99196.5</v>
      </c>
      <c r="CY26" s="55">
        <v>99205</v>
      </c>
      <c r="CZ26" s="55">
        <v>99215</v>
      </c>
      <c r="DA26" s="55">
        <v>99225.5</v>
      </c>
      <c r="DB26" s="55">
        <v>99257</v>
      </c>
      <c r="DC26" s="55">
        <v>99283.5</v>
      </c>
      <c r="DD26" s="55">
        <v>99299.5</v>
      </c>
      <c r="DE26" s="55">
        <v>99311</v>
      </c>
      <c r="DF26" s="55">
        <v>99360</v>
      </c>
      <c r="DG26" s="55">
        <v>99361</v>
      </c>
      <c r="DH26" s="55">
        <v>99382</v>
      </c>
      <c r="DI26" s="55">
        <v>99381</v>
      </c>
      <c r="DJ26" s="55">
        <v>99416.5</v>
      </c>
      <c r="DK26" s="55">
        <v>99427.5</v>
      </c>
      <c r="DL26" s="55">
        <v>99435</v>
      </c>
      <c r="DM26" s="55">
        <v>99458.5</v>
      </c>
      <c r="DN26" s="55">
        <v>99481</v>
      </c>
      <c r="DO26" s="55">
        <v>99502.5</v>
      </c>
    </row>
    <row r="27" spans="1:119">
      <c r="A27" s="52">
        <v>25</v>
      </c>
      <c r="B27" s="55"/>
      <c r="C27" s="55"/>
      <c r="D27" s="55"/>
      <c r="E27" s="55"/>
      <c r="F27" s="55"/>
      <c r="G27" s="55"/>
      <c r="H27" s="55"/>
      <c r="I27" s="55"/>
      <c r="J27" s="55"/>
      <c r="K27" s="55"/>
      <c r="L27" s="55"/>
      <c r="M27" s="55"/>
      <c r="N27" s="55"/>
      <c r="O27" s="55"/>
      <c r="P27" s="55"/>
      <c r="Q27" s="55"/>
      <c r="R27" s="55"/>
      <c r="S27" s="55"/>
      <c r="T27" s="55"/>
      <c r="U27" s="55"/>
      <c r="V27" s="55"/>
      <c r="W27" s="55">
        <v>80098.5</v>
      </c>
      <c r="X27" s="55">
        <v>80736.5</v>
      </c>
      <c r="Y27" s="55">
        <v>80699.5</v>
      </c>
      <c r="Z27" s="55">
        <v>82794</v>
      </c>
      <c r="AA27" s="55">
        <v>83173.5</v>
      </c>
      <c r="AB27" s="55">
        <v>83797</v>
      </c>
      <c r="AC27" s="55">
        <v>84628</v>
      </c>
      <c r="AD27" s="55">
        <v>85601</v>
      </c>
      <c r="AE27" s="55">
        <v>85563</v>
      </c>
      <c r="AF27" s="55">
        <v>86795.5</v>
      </c>
      <c r="AG27" s="55">
        <v>87253</v>
      </c>
      <c r="AH27" s="55">
        <v>87553.5</v>
      </c>
      <c r="AI27" s="55">
        <v>87867.5</v>
      </c>
      <c r="AJ27" s="55">
        <v>89087</v>
      </c>
      <c r="AK27" s="55">
        <v>89015.5</v>
      </c>
      <c r="AL27" s="55">
        <v>89312</v>
      </c>
      <c r="AM27" s="55">
        <v>89581.5</v>
      </c>
      <c r="AN27" s="55">
        <v>90047.5</v>
      </c>
      <c r="AO27" s="55">
        <v>90041.5</v>
      </c>
      <c r="AP27" s="55">
        <v>90137</v>
      </c>
      <c r="AQ27" s="55">
        <v>90209</v>
      </c>
      <c r="AR27" s="55">
        <v>90255.5</v>
      </c>
      <c r="AS27" s="55">
        <v>89693.5</v>
      </c>
      <c r="AT27" s="55">
        <v>88936.5</v>
      </c>
      <c r="AU27" s="55">
        <v>87675</v>
      </c>
      <c r="AV27" s="55">
        <v>88013.5</v>
      </c>
      <c r="AW27" s="55">
        <v>88355</v>
      </c>
      <c r="AX27" s="55">
        <v>90495</v>
      </c>
      <c r="AY27" s="55">
        <v>92286</v>
      </c>
      <c r="AZ27" s="55">
        <v>92338</v>
      </c>
      <c r="BA27" s="55">
        <v>92374.5</v>
      </c>
      <c r="BB27" s="55">
        <v>93039</v>
      </c>
      <c r="BC27" s="55">
        <v>93267.5</v>
      </c>
      <c r="BD27" s="55">
        <v>93654.5</v>
      </c>
      <c r="BE27" s="55">
        <v>93728.5</v>
      </c>
      <c r="BF27" s="55">
        <v>94084.5</v>
      </c>
      <c r="BG27" s="55">
        <v>94185</v>
      </c>
      <c r="BH27" s="55">
        <v>94449.5</v>
      </c>
      <c r="BI27" s="55">
        <v>94645</v>
      </c>
      <c r="BJ27" s="55">
        <v>94803</v>
      </c>
      <c r="BK27" s="55">
        <v>95119.5</v>
      </c>
      <c r="BL27" s="55">
        <v>95421</v>
      </c>
      <c r="BM27" s="55">
        <v>95689</v>
      </c>
      <c r="BN27" s="55">
        <v>95952.5</v>
      </c>
      <c r="BO27" s="55">
        <v>96174</v>
      </c>
      <c r="BP27" s="55">
        <v>96289</v>
      </c>
      <c r="BQ27" s="55">
        <v>96385.5</v>
      </c>
      <c r="BR27" s="55">
        <v>96476.5</v>
      </c>
      <c r="BS27" s="55">
        <v>96459</v>
      </c>
      <c r="BT27" s="55">
        <v>96533.5</v>
      </c>
      <c r="BU27" s="55">
        <v>96609</v>
      </c>
      <c r="BV27" s="55">
        <v>96717</v>
      </c>
      <c r="BW27" s="55">
        <v>96777</v>
      </c>
      <c r="BX27" s="55">
        <v>96907.5</v>
      </c>
      <c r="BY27" s="55">
        <v>97058.5</v>
      </c>
      <c r="BZ27" s="55">
        <v>97320</v>
      </c>
      <c r="CA27" s="55">
        <v>97507.5</v>
      </c>
      <c r="CB27" s="55">
        <v>97604</v>
      </c>
      <c r="CC27" s="55">
        <v>97734</v>
      </c>
      <c r="CD27" s="55">
        <v>97852</v>
      </c>
      <c r="CE27" s="55">
        <v>97940.5</v>
      </c>
      <c r="CF27" s="55">
        <v>98090.5</v>
      </c>
      <c r="CG27" s="55">
        <v>98199.5</v>
      </c>
      <c r="CH27" s="55">
        <v>98275</v>
      </c>
      <c r="CI27" s="55">
        <v>98394.5</v>
      </c>
      <c r="CJ27" s="55">
        <v>98440.5</v>
      </c>
      <c r="CK27" s="55">
        <v>98497</v>
      </c>
      <c r="CL27" s="55">
        <v>98612</v>
      </c>
      <c r="CM27" s="55">
        <v>98651.5</v>
      </c>
      <c r="CN27" s="55">
        <v>98729</v>
      </c>
      <c r="CO27" s="55">
        <v>98800</v>
      </c>
      <c r="CP27" s="55">
        <v>98865</v>
      </c>
      <c r="CQ27" s="55">
        <v>98927</v>
      </c>
      <c r="CR27" s="55">
        <v>98948</v>
      </c>
      <c r="CS27" s="55">
        <v>99009.5</v>
      </c>
      <c r="CT27" s="55">
        <v>99041</v>
      </c>
      <c r="CU27" s="55">
        <v>99079.5</v>
      </c>
      <c r="CV27" s="55">
        <v>99094.5</v>
      </c>
      <c r="CW27" s="55">
        <v>99126.5</v>
      </c>
      <c r="CX27" s="55">
        <v>99172</v>
      </c>
      <c r="CY27" s="55">
        <v>99181.5</v>
      </c>
      <c r="CZ27" s="55">
        <v>99192</v>
      </c>
      <c r="DA27" s="55">
        <v>99203</v>
      </c>
      <c r="DB27" s="55">
        <v>99236</v>
      </c>
      <c r="DC27" s="55">
        <v>99262.5</v>
      </c>
      <c r="DD27" s="55">
        <v>99279</v>
      </c>
      <c r="DE27" s="55">
        <v>99291</v>
      </c>
      <c r="DF27" s="55">
        <v>99340.5</v>
      </c>
      <c r="DG27" s="55">
        <v>99342.5</v>
      </c>
      <c r="DH27" s="55">
        <v>99363.5</v>
      </c>
      <c r="DI27" s="55">
        <v>99363.5</v>
      </c>
      <c r="DJ27" s="55">
        <v>99399.5</v>
      </c>
      <c r="DK27" s="55">
        <v>99411</v>
      </c>
      <c r="DL27" s="55">
        <v>99419</v>
      </c>
      <c r="DM27" s="55">
        <v>99443</v>
      </c>
      <c r="DN27" s="55">
        <v>99466</v>
      </c>
      <c r="DO27" s="55">
        <v>99487.5</v>
      </c>
    </row>
    <row r="28" spans="1:119">
      <c r="A28" s="52">
        <v>26</v>
      </c>
      <c r="B28" s="55"/>
      <c r="C28" s="55"/>
      <c r="D28" s="55"/>
      <c r="E28" s="55"/>
      <c r="F28" s="55"/>
      <c r="G28" s="55"/>
      <c r="H28" s="55"/>
      <c r="I28" s="55"/>
      <c r="J28" s="55"/>
      <c r="K28" s="55"/>
      <c r="L28" s="55"/>
      <c r="M28" s="55"/>
      <c r="N28" s="55"/>
      <c r="O28" s="55"/>
      <c r="P28" s="55"/>
      <c r="Q28" s="55"/>
      <c r="R28" s="55"/>
      <c r="S28" s="55"/>
      <c r="T28" s="55"/>
      <c r="U28" s="55"/>
      <c r="V28" s="55"/>
      <c r="W28" s="55">
        <v>79814.5</v>
      </c>
      <c r="X28" s="55">
        <v>80451</v>
      </c>
      <c r="Y28" s="55">
        <v>80497.5</v>
      </c>
      <c r="Z28" s="55">
        <v>82646.5</v>
      </c>
      <c r="AA28" s="55">
        <v>83025</v>
      </c>
      <c r="AB28" s="55">
        <v>83648</v>
      </c>
      <c r="AC28" s="55">
        <v>84509</v>
      </c>
      <c r="AD28" s="55">
        <v>85481.5</v>
      </c>
      <c r="AE28" s="55">
        <v>85447</v>
      </c>
      <c r="AF28" s="55">
        <v>86677</v>
      </c>
      <c r="AG28" s="55">
        <v>87137</v>
      </c>
      <c r="AH28" s="55">
        <v>87438.5</v>
      </c>
      <c r="AI28" s="55">
        <v>87759</v>
      </c>
      <c r="AJ28" s="55">
        <v>88976</v>
      </c>
      <c r="AK28" s="55">
        <v>88915.5</v>
      </c>
      <c r="AL28" s="55">
        <v>89208</v>
      </c>
      <c r="AM28" s="55">
        <v>89483</v>
      </c>
      <c r="AN28" s="55">
        <v>89950</v>
      </c>
      <c r="AO28" s="55">
        <v>89939.5</v>
      </c>
      <c r="AP28" s="55">
        <v>90035.5</v>
      </c>
      <c r="AQ28" s="55">
        <v>90114.5</v>
      </c>
      <c r="AR28" s="55">
        <v>90153.5</v>
      </c>
      <c r="AS28" s="55">
        <v>89605</v>
      </c>
      <c r="AT28" s="55">
        <v>88845.5</v>
      </c>
      <c r="AU28" s="55">
        <v>87575</v>
      </c>
      <c r="AV28" s="55">
        <v>87920.5</v>
      </c>
      <c r="AW28" s="55">
        <v>88259.5</v>
      </c>
      <c r="AX28" s="55">
        <v>90407.5</v>
      </c>
      <c r="AY28" s="55">
        <v>92202.5</v>
      </c>
      <c r="AZ28" s="55">
        <v>92253</v>
      </c>
      <c r="BA28" s="55">
        <v>92284.5</v>
      </c>
      <c r="BB28" s="55">
        <v>92948.5</v>
      </c>
      <c r="BC28" s="55">
        <v>93177.5</v>
      </c>
      <c r="BD28" s="55">
        <v>93565</v>
      </c>
      <c r="BE28" s="55">
        <v>93642.5</v>
      </c>
      <c r="BF28" s="55">
        <v>94001.5</v>
      </c>
      <c r="BG28" s="55">
        <v>94103</v>
      </c>
      <c r="BH28" s="55">
        <v>94376</v>
      </c>
      <c r="BI28" s="55">
        <v>94573.5</v>
      </c>
      <c r="BJ28" s="55">
        <v>94735</v>
      </c>
      <c r="BK28" s="55">
        <v>95051.5</v>
      </c>
      <c r="BL28" s="55">
        <v>95352</v>
      </c>
      <c r="BM28" s="55">
        <v>95624</v>
      </c>
      <c r="BN28" s="55">
        <v>95885.5</v>
      </c>
      <c r="BO28" s="55">
        <v>96099.5</v>
      </c>
      <c r="BP28" s="55">
        <v>96217</v>
      </c>
      <c r="BQ28" s="55">
        <v>96314</v>
      </c>
      <c r="BR28" s="55">
        <v>96411</v>
      </c>
      <c r="BS28" s="55">
        <v>96398</v>
      </c>
      <c r="BT28" s="55">
        <v>96473</v>
      </c>
      <c r="BU28" s="55">
        <v>96551.5</v>
      </c>
      <c r="BV28" s="55">
        <v>96659</v>
      </c>
      <c r="BW28" s="55">
        <v>96722.5</v>
      </c>
      <c r="BX28" s="55">
        <v>96854</v>
      </c>
      <c r="BY28" s="55">
        <v>97008</v>
      </c>
      <c r="BZ28" s="55">
        <v>97271</v>
      </c>
      <c r="CA28" s="55">
        <v>97456.5</v>
      </c>
      <c r="CB28" s="55">
        <v>97556</v>
      </c>
      <c r="CC28" s="55">
        <v>97694</v>
      </c>
      <c r="CD28" s="55">
        <v>97809</v>
      </c>
      <c r="CE28" s="55">
        <v>97897.5</v>
      </c>
      <c r="CF28" s="55">
        <v>98050.5</v>
      </c>
      <c r="CG28" s="55">
        <v>98160</v>
      </c>
      <c r="CH28" s="55">
        <v>98237</v>
      </c>
      <c r="CI28" s="55">
        <v>98357.5</v>
      </c>
      <c r="CJ28" s="55">
        <v>98401</v>
      </c>
      <c r="CK28" s="55">
        <v>98459.5</v>
      </c>
      <c r="CL28" s="55">
        <v>98576.5</v>
      </c>
      <c r="CM28" s="55">
        <v>98616.5</v>
      </c>
      <c r="CN28" s="55">
        <v>98697.5</v>
      </c>
      <c r="CO28" s="55">
        <v>98769</v>
      </c>
      <c r="CP28" s="55">
        <v>98834</v>
      </c>
      <c r="CQ28" s="55">
        <v>98897.5</v>
      </c>
      <c r="CR28" s="55">
        <v>98919.5</v>
      </c>
      <c r="CS28" s="55">
        <v>98981.5</v>
      </c>
      <c r="CT28" s="55">
        <v>99014</v>
      </c>
      <c r="CU28" s="55">
        <v>99053.5</v>
      </c>
      <c r="CV28" s="55">
        <v>99069</v>
      </c>
      <c r="CW28" s="55">
        <v>99102</v>
      </c>
      <c r="CX28" s="55">
        <v>99148</v>
      </c>
      <c r="CY28" s="55">
        <v>99158</v>
      </c>
      <c r="CZ28" s="55">
        <v>99169.5</v>
      </c>
      <c r="DA28" s="55">
        <v>99180.5</v>
      </c>
      <c r="DB28" s="55">
        <v>99214</v>
      </c>
      <c r="DC28" s="55">
        <v>99242</v>
      </c>
      <c r="DD28" s="55">
        <v>99258.5</v>
      </c>
      <c r="DE28" s="55">
        <v>99271.5</v>
      </c>
      <c r="DF28" s="55">
        <v>99321.5</v>
      </c>
      <c r="DG28" s="55">
        <v>99324</v>
      </c>
      <c r="DH28" s="55">
        <v>99345.5</v>
      </c>
      <c r="DI28" s="55">
        <v>99346</v>
      </c>
      <c r="DJ28" s="55">
        <v>99382</v>
      </c>
      <c r="DK28" s="55">
        <v>99394.5</v>
      </c>
      <c r="DL28" s="55">
        <v>99403.5</v>
      </c>
      <c r="DM28" s="55">
        <v>99427.5</v>
      </c>
      <c r="DN28" s="55">
        <v>99450.5</v>
      </c>
      <c r="DO28" s="55">
        <v>99473</v>
      </c>
    </row>
    <row r="29" spans="1:119">
      <c r="A29" s="52">
        <v>27</v>
      </c>
      <c r="B29" s="55"/>
      <c r="C29" s="55"/>
      <c r="D29" s="55"/>
      <c r="E29" s="55"/>
      <c r="F29" s="55"/>
      <c r="G29" s="55"/>
      <c r="H29" s="55"/>
      <c r="I29" s="55"/>
      <c r="J29" s="55"/>
      <c r="K29" s="55"/>
      <c r="L29" s="55"/>
      <c r="M29" s="55"/>
      <c r="N29" s="55"/>
      <c r="O29" s="55"/>
      <c r="P29" s="55"/>
      <c r="Q29" s="55"/>
      <c r="R29" s="55"/>
      <c r="S29" s="55"/>
      <c r="T29" s="55"/>
      <c r="U29" s="55"/>
      <c r="V29" s="55"/>
      <c r="W29" s="55">
        <v>79538.5</v>
      </c>
      <c r="X29" s="55">
        <v>80254</v>
      </c>
      <c r="Y29" s="55">
        <v>80352</v>
      </c>
      <c r="Z29" s="55">
        <v>82496</v>
      </c>
      <c r="AA29" s="55">
        <v>82874.5</v>
      </c>
      <c r="AB29" s="55">
        <v>83528.5</v>
      </c>
      <c r="AC29" s="55">
        <v>84384.5</v>
      </c>
      <c r="AD29" s="55">
        <v>85354.5</v>
      </c>
      <c r="AE29" s="55">
        <v>85329</v>
      </c>
      <c r="AF29" s="55">
        <v>86557</v>
      </c>
      <c r="AG29" s="55">
        <v>87019.5</v>
      </c>
      <c r="AH29" s="55">
        <v>87328.5</v>
      </c>
      <c r="AI29" s="55">
        <v>87648.5</v>
      </c>
      <c r="AJ29" s="55">
        <v>88865.5</v>
      </c>
      <c r="AK29" s="55">
        <v>88807.5</v>
      </c>
      <c r="AL29" s="55">
        <v>89109</v>
      </c>
      <c r="AM29" s="55">
        <v>89383.5</v>
      </c>
      <c r="AN29" s="55">
        <v>89853.5</v>
      </c>
      <c r="AO29" s="55">
        <v>89839</v>
      </c>
      <c r="AP29" s="55">
        <v>89939</v>
      </c>
      <c r="AQ29" s="55">
        <v>90019.5</v>
      </c>
      <c r="AR29" s="55">
        <v>90061</v>
      </c>
      <c r="AS29" s="55">
        <v>89510</v>
      </c>
      <c r="AT29" s="55">
        <v>88748.5</v>
      </c>
      <c r="AU29" s="55">
        <v>87476.5</v>
      </c>
      <c r="AV29" s="55">
        <v>87824</v>
      </c>
      <c r="AW29" s="55">
        <v>88180</v>
      </c>
      <c r="AX29" s="55">
        <v>90323.5</v>
      </c>
      <c r="AY29" s="55">
        <v>92116.5</v>
      </c>
      <c r="AZ29" s="55">
        <v>92163.5</v>
      </c>
      <c r="BA29" s="55">
        <v>92193</v>
      </c>
      <c r="BB29" s="55">
        <v>92860</v>
      </c>
      <c r="BC29" s="55">
        <v>93093</v>
      </c>
      <c r="BD29" s="55">
        <v>93479</v>
      </c>
      <c r="BE29" s="55">
        <v>93558.5</v>
      </c>
      <c r="BF29" s="55">
        <v>93919</v>
      </c>
      <c r="BG29" s="55">
        <v>94027</v>
      </c>
      <c r="BH29" s="55">
        <v>94302</v>
      </c>
      <c r="BI29" s="55">
        <v>94502.5</v>
      </c>
      <c r="BJ29" s="55">
        <v>94665</v>
      </c>
      <c r="BK29" s="55">
        <v>94982.5</v>
      </c>
      <c r="BL29" s="55">
        <v>95284</v>
      </c>
      <c r="BM29" s="55">
        <v>95557.5</v>
      </c>
      <c r="BN29" s="55">
        <v>95813.5</v>
      </c>
      <c r="BO29" s="55">
        <v>96024</v>
      </c>
      <c r="BP29" s="55">
        <v>96148.5</v>
      </c>
      <c r="BQ29" s="55">
        <v>96250.5</v>
      </c>
      <c r="BR29" s="55">
        <v>96349.5</v>
      </c>
      <c r="BS29" s="55">
        <v>96339.5</v>
      </c>
      <c r="BT29" s="55">
        <v>96415.5</v>
      </c>
      <c r="BU29" s="55">
        <v>96498</v>
      </c>
      <c r="BV29" s="55">
        <v>96601</v>
      </c>
      <c r="BW29" s="55">
        <v>96668.5</v>
      </c>
      <c r="BX29" s="55">
        <v>96805</v>
      </c>
      <c r="BY29" s="55">
        <v>96957.5</v>
      </c>
      <c r="BZ29" s="55">
        <v>97223</v>
      </c>
      <c r="CA29" s="55">
        <v>97407</v>
      </c>
      <c r="CB29" s="55">
        <v>97510</v>
      </c>
      <c r="CC29" s="55">
        <v>97652</v>
      </c>
      <c r="CD29" s="55">
        <v>97764.5</v>
      </c>
      <c r="CE29" s="55">
        <v>97855.5</v>
      </c>
      <c r="CF29" s="55">
        <v>98007.5</v>
      </c>
      <c r="CG29" s="55">
        <v>98116</v>
      </c>
      <c r="CH29" s="55">
        <v>98197.5</v>
      </c>
      <c r="CI29" s="55">
        <v>98319.5</v>
      </c>
      <c r="CJ29" s="55">
        <v>98363.5</v>
      </c>
      <c r="CK29" s="55">
        <v>98425</v>
      </c>
      <c r="CL29" s="55">
        <v>98545.5</v>
      </c>
      <c r="CM29" s="55">
        <v>98583.5</v>
      </c>
      <c r="CN29" s="55">
        <v>98664.5</v>
      </c>
      <c r="CO29" s="55">
        <v>98737</v>
      </c>
      <c r="CP29" s="55">
        <v>98803.5</v>
      </c>
      <c r="CQ29" s="55">
        <v>98867</v>
      </c>
      <c r="CR29" s="55">
        <v>98890.5</v>
      </c>
      <c r="CS29" s="55">
        <v>98953</v>
      </c>
      <c r="CT29" s="55">
        <v>98986</v>
      </c>
      <c r="CU29" s="55">
        <v>99026.5</v>
      </c>
      <c r="CV29" s="55">
        <v>99043</v>
      </c>
      <c r="CW29" s="55">
        <v>99076.5</v>
      </c>
      <c r="CX29" s="55">
        <v>99123</v>
      </c>
      <c r="CY29" s="55">
        <v>99134</v>
      </c>
      <c r="CZ29" s="55">
        <v>99146</v>
      </c>
      <c r="DA29" s="55">
        <v>99158.5</v>
      </c>
      <c r="DB29" s="55">
        <v>99192</v>
      </c>
      <c r="DC29" s="55">
        <v>99220.5</v>
      </c>
      <c r="DD29" s="55">
        <v>99237.5</v>
      </c>
      <c r="DE29" s="55">
        <v>99251.5</v>
      </c>
      <c r="DF29" s="55">
        <v>99301.5</v>
      </c>
      <c r="DG29" s="55">
        <v>99304.5</v>
      </c>
      <c r="DH29" s="55">
        <v>99327</v>
      </c>
      <c r="DI29" s="55">
        <v>99328</v>
      </c>
      <c r="DJ29" s="55">
        <v>99365</v>
      </c>
      <c r="DK29" s="55">
        <v>99377.5</v>
      </c>
      <c r="DL29" s="55">
        <v>99386.5</v>
      </c>
      <c r="DM29" s="55">
        <v>99411</v>
      </c>
      <c r="DN29" s="55">
        <v>99434.5</v>
      </c>
      <c r="DO29" s="55">
        <v>99457.5</v>
      </c>
    </row>
    <row r="30" spans="1:119">
      <c r="A30" s="52">
        <v>28</v>
      </c>
      <c r="B30" s="55"/>
      <c r="C30" s="55"/>
      <c r="D30" s="55"/>
      <c r="E30" s="55"/>
      <c r="F30" s="55"/>
      <c r="G30" s="55"/>
      <c r="H30" s="55"/>
      <c r="I30" s="55"/>
      <c r="J30" s="55"/>
      <c r="K30" s="55"/>
      <c r="L30" s="55"/>
      <c r="M30" s="55"/>
      <c r="N30" s="55"/>
      <c r="O30" s="55"/>
      <c r="P30" s="55"/>
      <c r="Q30" s="55"/>
      <c r="R30" s="55"/>
      <c r="S30" s="55"/>
      <c r="T30" s="55"/>
      <c r="U30" s="55"/>
      <c r="V30" s="55"/>
      <c r="W30" s="55">
        <v>79329.5</v>
      </c>
      <c r="X30" s="55">
        <v>80107</v>
      </c>
      <c r="Y30" s="55">
        <v>80204</v>
      </c>
      <c r="Z30" s="55">
        <v>82344.5</v>
      </c>
      <c r="AA30" s="55">
        <v>82750.5</v>
      </c>
      <c r="AB30" s="55">
        <v>83408</v>
      </c>
      <c r="AC30" s="55">
        <v>84266.5</v>
      </c>
      <c r="AD30" s="55">
        <v>85235</v>
      </c>
      <c r="AE30" s="55">
        <v>85206.5</v>
      </c>
      <c r="AF30" s="55">
        <v>86445.5</v>
      </c>
      <c r="AG30" s="55">
        <v>86903.5</v>
      </c>
      <c r="AH30" s="55">
        <v>87210.5</v>
      </c>
      <c r="AI30" s="55">
        <v>87537.5</v>
      </c>
      <c r="AJ30" s="55">
        <v>88761</v>
      </c>
      <c r="AK30" s="55">
        <v>88704.5</v>
      </c>
      <c r="AL30" s="55">
        <v>89010.5</v>
      </c>
      <c r="AM30" s="55">
        <v>89285</v>
      </c>
      <c r="AN30" s="55">
        <v>89753.5</v>
      </c>
      <c r="AO30" s="55">
        <v>89734</v>
      </c>
      <c r="AP30" s="55">
        <v>89844</v>
      </c>
      <c r="AQ30" s="55">
        <v>89923</v>
      </c>
      <c r="AR30" s="55">
        <v>89958</v>
      </c>
      <c r="AS30" s="55">
        <v>89407.5</v>
      </c>
      <c r="AT30" s="55">
        <v>88654</v>
      </c>
      <c r="AU30" s="55">
        <v>87385</v>
      </c>
      <c r="AV30" s="55">
        <v>87737</v>
      </c>
      <c r="AW30" s="55">
        <v>88096</v>
      </c>
      <c r="AX30" s="55">
        <v>90240.5</v>
      </c>
      <c r="AY30" s="55">
        <v>92031</v>
      </c>
      <c r="AZ30" s="55">
        <v>92063</v>
      </c>
      <c r="BA30" s="55">
        <v>92104</v>
      </c>
      <c r="BB30" s="55">
        <v>92773</v>
      </c>
      <c r="BC30" s="55">
        <v>93012.5</v>
      </c>
      <c r="BD30" s="55">
        <v>93397</v>
      </c>
      <c r="BE30" s="55">
        <v>93474.5</v>
      </c>
      <c r="BF30" s="55">
        <v>93839.5</v>
      </c>
      <c r="BG30" s="55">
        <v>93950</v>
      </c>
      <c r="BH30" s="55">
        <v>94231.5</v>
      </c>
      <c r="BI30" s="55">
        <v>94428</v>
      </c>
      <c r="BJ30" s="55">
        <v>94595.5</v>
      </c>
      <c r="BK30" s="55">
        <v>94915.5</v>
      </c>
      <c r="BL30" s="55">
        <v>95216.5</v>
      </c>
      <c r="BM30" s="55">
        <v>95484</v>
      </c>
      <c r="BN30" s="55">
        <v>95738.5</v>
      </c>
      <c r="BO30" s="55">
        <v>95957</v>
      </c>
      <c r="BP30" s="55">
        <v>96082.5</v>
      </c>
      <c r="BQ30" s="55">
        <v>96185</v>
      </c>
      <c r="BR30" s="55">
        <v>96284.5</v>
      </c>
      <c r="BS30" s="55">
        <v>96278</v>
      </c>
      <c r="BT30" s="55">
        <v>96357.5</v>
      </c>
      <c r="BU30" s="55">
        <v>96446.5</v>
      </c>
      <c r="BV30" s="55">
        <v>96545</v>
      </c>
      <c r="BW30" s="55">
        <v>96610.5</v>
      </c>
      <c r="BX30" s="55">
        <v>96755</v>
      </c>
      <c r="BY30" s="55">
        <v>96909</v>
      </c>
      <c r="BZ30" s="55">
        <v>97175</v>
      </c>
      <c r="CA30" s="55">
        <v>97359</v>
      </c>
      <c r="CB30" s="55">
        <v>97467</v>
      </c>
      <c r="CC30" s="55">
        <v>97610</v>
      </c>
      <c r="CD30" s="55">
        <v>97722</v>
      </c>
      <c r="CE30" s="55">
        <v>97813.5</v>
      </c>
      <c r="CF30" s="55">
        <v>97961.5</v>
      </c>
      <c r="CG30" s="55">
        <v>98069.5</v>
      </c>
      <c r="CH30" s="55">
        <v>98157</v>
      </c>
      <c r="CI30" s="55">
        <v>98284.5</v>
      </c>
      <c r="CJ30" s="55">
        <v>98327</v>
      </c>
      <c r="CK30" s="55">
        <v>98387.5</v>
      </c>
      <c r="CL30" s="55">
        <v>98510</v>
      </c>
      <c r="CM30" s="55">
        <v>98549</v>
      </c>
      <c r="CN30" s="55">
        <v>98630.5</v>
      </c>
      <c r="CO30" s="55">
        <v>98704</v>
      </c>
      <c r="CP30" s="55">
        <v>98771.5</v>
      </c>
      <c r="CQ30" s="55">
        <v>98836</v>
      </c>
      <c r="CR30" s="55">
        <v>98859.5</v>
      </c>
      <c r="CS30" s="55">
        <v>98924</v>
      </c>
      <c r="CT30" s="55">
        <v>98957.5</v>
      </c>
      <c r="CU30" s="55">
        <v>98998.5</v>
      </c>
      <c r="CV30" s="55">
        <v>99016</v>
      </c>
      <c r="CW30" s="55">
        <v>99050</v>
      </c>
      <c r="CX30" s="55">
        <v>99097.5</v>
      </c>
      <c r="CY30" s="55">
        <v>99109.5</v>
      </c>
      <c r="CZ30" s="55">
        <v>99122</v>
      </c>
      <c r="DA30" s="55">
        <v>99134.5</v>
      </c>
      <c r="DB30" s="55">
        <v>99169</v>
      </c>
      <c r="DC30" s="55">
        <v>99198</v>
      </c>
      <c r="DD30" s="55">
        <v>99216</v>
      </c>
      <c r="DE30" s="55">
        <v>99230</v>
      </c>
      <c r="DF30" s="55">
        <v>99281.5</v>
      </c>
      <c r="DG30" s="55">
        <v>99284.5</v>
      </c>
      <c r="DH30" s="55">
        <v>99307.5</v>
      </c>
      <c r="DI30" s="55">
        <v>99309</v>
      </c>
      <c r="DJ30" s="55">
        <v>99346.5</v>
      </c>
      <c r="DK30" s="55">
        <v>99359.5</v>
      </c>
      <c r="DL30" s="55">
        <v>99369</v>
      </c>
      <c r="DM30" s="55">
        <v>99394</v>
      </c>
      <c r="DN30" s="55">
        <v>99418.5</v>
      </c>
      <c r="DO30" s="55">
        <v>99441.5</v>
      </c>
    </row>
    <row r="31" spans="1:119">
      <c r="A31" s="52">
        <v>29</v>
      </c>
      <c r="B31" s="55"/>
      <c r="C31" s="55"/>
      <c r="D31" s="55"/>
      <c r="E31" s="55"/>
      <c r="F31" s="55"/>
      <c r="G31" s="55"/>
      <c r="H31" s="55"/>
      <c r="I31" s="55"/>
      <c r="J31" s="55"/>
      <c r="K31" s="55"/>
      <c r="L31" s="55"/>
      <c r="M31" s="55"/>
      <c r="N31" s="55"/>
      <c r="O31" s="55"/>
      <c r="P31" s="55"/>
      <c r="Q31" s="55"/>
      <c r="R31" s="55"/>
      <c r="S31" s="55"/>
      <c r="T31" s="55"/>
      <c r="U31" s="55"/>
      <c r="V31" s="55"/>
      <c r="W31" s="55">
        <v>79181</v>
      </c>
      <c r="X31" s="55">
        <v>79957</v>
      </c>
      <c r="Y31" s="55">
        <v>80054</v>
      </c>
      <c r="Z31" s="55">
        <v>82224</v>
      </c>
      <c r="AA31" s="55">
        <v>82636</v>
      </c>
      <c r="AB31" s="55">
        <v>83288</v>
      </c>
      <c r="AC31" s="55">
        <v>84148</v>
      </c>
      <c r="AD31" s="55">
        <v>85119</v>
      </c>
      <c r="AE31" s="55">
        <v>85083.5</v>
      </c>
      <c r="AF31" s="55">
        <v>86332</v>
      </c>
      <c r="AG31" s="55">
        <v>86782.5</v>
      </c>
      <c r="AH31" s="55">
        <v>87092.5</v>
      </c>
      <c r="AI31" s="55">
        <v>87428</v>
      </c>
      <c r="AJ31" s="55">
        <v>88660.5</v>
      </c>
      <c r="AK31" s="55">
        <v>88596.5</v>
      </c>
      <c r="AL31" s="55">
        <v>88914.5</v>
      </c>
      <c r="AM31" s="55">
        <v>89186.5</v>
      </c>
      <c r="AN31" s="55">
        <v>89655</v>
      </c>
      <c r="AO31" s="55">
        <v>89633</v>
      </c>
      <c r="AP31" s="55">
        <v>89747</v>
      </c>
      <c r="AQ31" s="55">
        <v>89823</v>
      </c>
      <c r="AR31" s="55">
        <v>89857.5</v>
      </c>
      <c r="AS31" s="55">
        <v>89313.5</v>
      </c>
      <c r="AT31" s="55">
        <v>88558.5</v>
      </c>
      <c r="AU31" s="55">
        <v>87291.5</v>
      </c>
      <c r="AV31" s="55">
        <v>87650</v>
      </c>
      <c r="AW31" s="55">
        <v>88005.5</v>
      </c>
      <c r="AX31" s="55">
        <v>90155</v>
      </c>
      <c r="AY31" s="55">
        <v>91935.5</v>
      </c>
      <c r="AZ31" s="55">
        <v>91978.5</v>
      </c>
      <c r="BA31" s="55">
        <v>92013.5</v>
      </c>
      <c r="BB31" s="55">
        <v>92686.5</v>
      </c>
      <c r="BC31" s="55">
        <v>92924</v>
      </c>
      <c r="BD31" s="55">
        <v>93311.5</v>
      </c>
      <c r="BE31" s="55">
        <v>93389</v>
      </c>
      <c r="BF31" s="55">
        <v>93764</v>
      </c>
      <c r="BG31" s="55">
        <v>93872.5</v>
      </c>
      <c r="BH31" s="55">
        <v>94160.5</v>
      </c>
      <c r="BI31" s="55">
        <v>94357</v>
      </c>
      <c r="BJ31" s="55">
        <v>94523.5</v>
      </c>
      <c r="BK31" s="55">
        <v>94842</v>
      </c>
      <c r="BL31" s="55">
        <v>95144</v>
      </c>
      <c r="BM31" s="55">
        <v>95404</v>
      </c>
      <c r="BN31" s="55">
        <v>95666</v>
      </c>
      <c r="BO31" s="55">
        <v>95887</v>
      </c>
      <c r="BP31" s="55">
        <v>96013.5</v>
      </c>
      <c r="BQ31" s="55">
        <v>96116.5</v>
      </c>
      <c r="BR31" s="55">
        <v>96216</v>
      </c>
      <c r="BS31" s="55">
        <v>96216.5</v>
      </c>
      <c r="BT31" s="55">
        <v>96301.5</v>
      </c>
      <c r="BU31" s="55">
        <v>96386</v>
      </c>
      <c r="BV31" s="55">
        <v>96491</v>
      </c>
      <c r="BW31" s="55">
        <v>96563</v>
      </c>
      <c r="BX31" s="55">
        <v>96704</v>
      </c>
      <c r="BY31" s="55">
        <v>96857.5</v>
      </c>
      <c r="BZ31" s="55">
        <v>97131</v>
      </c>
      <c r="CA31" s="55">
        <v>97317</v>
      </c>
      <c r="CB31" s="55">
        <v>97424</v>
      </c>
      <c r="CC31" s="55">
        <v>97568</v>
      </c>
      <c r="CD31" s="55">
        <v>97679.5</v>
      </c>
      <c r="CE31" s="55">
        <v>97773</v>
      </c>
      <c r="CF31" s="55">
        <v>97918.5</v>
      </c>
      <c r="CG31" s="55">
        <v>98030</v>
      </c>
      <c r="CH31" s="55">
        <v>98116.5</v>
      </c>
      <c r="CI31" s="55">
        <v>98244</v>
      </c>
      <c r="CJ31" s="55">
        <v>98287</v>
      </c>
      <c r="CK31" s="55">
        <v>98349</v>
      </c>
      <c r="CL31" s="55">
        <v>98473</v>
      </c>
      <c r="CM31" s="55">
        <v>98512</v>
      </c>
      <c r="CN31" s="55">
        <v>98595.5</v>
      </c>
      <c r="CO31" s="55">
        <v>98669.5</v>
      </c>
      <c r="CP31" s="55">
        <v>98738</v>
      </c>
      <c r="CQ31" s="55">
        <v>98803.5</v>
      </c>
      <c r="CR31" s="55">
        <v>98828</v>
      </c>
      <c r="CS31" s="55">
        <v>98893</v>
      </c>
      <c r="CT31" s="55">
        <v>98927</v>
      </c>
      <c r="CU31" s="55">
        <v>98969.5</v>
      </c>
      <c r="CV31" s="55">
        <v>98987</v>
      </c>
      <c r="CW31" s="55">
        <v>99022.5</v>
      </c>
      <c r="CX31" s="55">
        <v>99070.5</v>
      </c>
      <c r="CY31" s="55">
        <v>99083</v>
      </c>
      <c r="CZ31" s="55">
        <v>99096.5</v>
      </c>
      <c r="DA31" s="55">
        <v>99109.5</v>
      </c>
      <c r="DB31" s="55">
        <v>99145</v>
      </c>
      <c r="DC31" s="55">
        <v>99174.5</v>
      </c>
      <c r="DD31" s="55">
        <v>99193.5</v>
      </c>
      <c r="DE31" s="55">
        <v>99208</v>
      </c>
      <c r="DF31" s="55">
        <v>99259.5</v>
      </c>
      <c r="DG31" s="55">
        <v>99263.5</v>
      </c>
      <c r="DH31" s="55">
        <v>99287</v>
      </c>
      <c r="DI31" s="55">
        <v>99289.5</v>
      </c>
      <c r="DJ31" s="55">
        <v>99327</v>
      </c>
      <c r="DK31" s="55">
        <v>99341</v>
      </c>
      <c r="DL31" s="55">
        <v>99351</v>
      </c>
      <c r="DM31" s="55">
        <v>99376</v>
      </c>
      <c r="DN31" s="55">
        <v>99401</v>
      </c>
      <c r="DO31" s="55">
        <v>99425</v>
      </c>
    </row>
    <row r="32" spans="1:119">
      <c r="A32" s="52">
        <v>30</v>
      </c>
      <c r="B32" s="55"/>
      <c r="C32" s="55"/>
      <c r="D32" s="55"/>
      <c r="E32" s="55"/>
      <c r="F32" s="55"/>
      <c r="G32" s="55"/>
      <c r="H32" s="55"/>
      <c r="I32" s="55"/>
      <c r="J32" s="55"/>
      <c r="K32" s="55"/>
      <c r="L32" s="55"/>
      <c r="M32" s="55"/>
      <c r="N32" s="55"/>
      <c r="O32" s="55"/>
      <c r="P32" s="55"/>
      <c r="Q32" s="55"/>
      <c r="R32" s="55"/>
      <c r="S32" s="55"/>
      <c r="T32" s="55"/>
      <c r="U32" s="55"/>
      <c r="V32" s="55"/>
      <c r="W32" s="55">
        <v>79030</v>
      </c>
      <c r="X32" s="55">
        <v>79804.5</v>
      </c>
      <c r="Y32" s="55">
        <v>79931.5</v>
      </c>
      <c r="Z32" s="55">
        <v>82095</v>
      </c>
      <c r="AA32" s="55">
        <v>82515</v>
      </c>
      <c r="AB32" s="55">
        <v>83162.5</v>
      </c>
      <c r="AC32" s="55">
        <v>84024.5</v>
      </c>
      <c r="AD32" s="55">
        <v>85001</v>
      </c>
      <c r="AE32" s="55">
        <v>84968</v>
      </c>
      <c r="AF32" s="55">
        <v>86210</v>
      </c>
      <c r="AG32" s="55">
        <v>86664</v>
      </c>
      <c r="AH32" s="55">
        <v>86978</v>
      </c>
      <c r="AI32" s="55">
        <v>87320</v>
      </c>
      <c r="AJ32" s="55">
        <v>88549</v>
      </c>
      <c r="AK32" s="55">
        <v>88490.5</v>
      </c>
      <c r="AL32" s="55">
        <v>88814.5</v>
      </c>
      <c r="AM32" s="55">
        <v>89082</v>
      </c>
      <c r="AN32" s="55">
        <v>89544</v>
      </c>
      <c r="AO32" s="55">
        <v>89533.5</v>
      </c>
      <c r="AP32" s="55">
        <v>89641.5</v>
      </c>
      <c r="AQ32" s="55">
        <v>89716</v>
      </c>
      <c r="AR32" s="55">
        <v>89750</v>
      </c>
      <c r="AS32" s="55">
        <v>89213.5</v>
      </c>
      <c r="AT32" s="55">
        <v>88466</v>
      </c>
      <c r="AU32" s="55">
        <v>87197.5</v>
      </c>
      <c r="AV32" s="55">
        <v>87554</v>
      </c>
      <c r="AW32" s="55">
        <v>87919.5</v>
      </c>
      <c r="AX32" s="55">
        <v>90065.5</v>
      </c>
      <c r="AY32" s="55">
        <v>91839.5</v>
      </c>
      <c r="AZ32" s="55">
        <v>91883.5</v>
      </c>
      <c r="BA32" s="55">
        <v>91922.5</v>
      </c>
      <c r="BB32" s="55">
        <v>92594.5</v>
      </c>
      <c r="BC32" s="55">
        <v>92834</v>
      </c>
      <c r="BD32" s="55">
        <v>93228.5</v>
      </c>
      <c r="BE32" s="55">
        <v>93306.5</v>
      </c>
      <c r="BF32" s="55">
        <v>93684.5</v>
      </c>
      <c r="BG32" s="55">
        <v>93802.5</v>
      </c>
      <c r="BH32" s="55">
        <v>94078.5</v>
      </c>
      <c r="BI32" s="55">
        <v>94276</v>
      </c>
      <c r="BJ32" s="55">
        <v>94443.5</v>
      </c>
      <c r="BK32" s="55">
        <v>94758.5</v>
      </c>
      <c r="BL32" s="55">
        <v>95058</v>
      </c>
      <c r="BM32" s="55">
        <v>95327</v>
      </c>
      <c r="BN32" s="55">
        <v>95592</v>
      </c>
      <c r="BO32" s="55">
        <v>95817</v>
      </c>
      <c r="BP32" s="55">
        <v>95941</v>
      </c>
      <c r="BQ32" s="55">
        <v>96052</v>
      </c>
      <c r="BR32" s="55">
        <v>96156</v>
      </c>
      <c r="BS32" s="55">
        <v>96157.5</v>
      </c>
      <c r="BT32" s="55">
        <v>96243</v>
      </c>
      <c r="BU32" s="55">
        <v>96331.5</v>
      </c>
      <c r="BV32" s="55">
        <v>96439</v>
      </c>
      <c r="BW32" s="55">
        <v>96514</v>
      </c>
      <c r="BX32" s="55">
        <v>96657.5</v>
      </c>
      <c r="BY32" s="55">
        <v>96810.5</v>
      </c>
      <c r="BZ32" s="55">
        <v>97087</v>
      </c>
      <c r="CA32" s="55">
        <v>97271.5</v>
      </c>
      <c r="CB32" s="55">
        <v>97377.5</v>
      </c>
      <c r="CC32" s="55">
        <v>97524</v>
      </c>
      <c r="CD32" s="55">
        <v>97632.5</v>
      </c>
      <c r="CE32" s="55">
        <v>97725</v>
      </c>
      <c r="CF32" s="55">
        <v>97876.5</v>
      </c>
      <c r="CG32" s="55">
        <v>97986.5</v>
      </c>
      <c r="CH32" s="55">
        <v>98075</v>
      </c>
      <c r="CI32" s="55">
        <v>98206</v>
      </c>
      <c r="CJ32" s="55">
        <v>98246</v>
      </c>
      <c r="CK32" s="55">
        <v>98309</v>
      </c>
      <c r="CL32" s="55">
        <v>98434</v>
      </c>
      <c r="CM32" s="55">
        <v>98474.5</v>
      </c>
      <c r="CN32" s="55">
        <v>98558.5</v>
      </c>
      <c r="CO32" s="55">
        <v>98634</v>
      </c>
      <c r="CP32" s="55">
        <v>98702.5</v>
      </c>
      <c r="CQ32" s="55">
        <v>98769.5</v>
      </c>
      <c r="CR32" s="55">
        <v>98795</v>
      </c>
      <c r="CS32" s="55">
        <v>98860.5</v>
      </c>
      <c r="CT32" s="55">
        <v>98896</v>
      </c>
      <c r="CU32" s="55">
        <v>98938.5</v>
      </c>
      <c r="CV32" s="55">
        <v>98957.5</v>
      </c>
      <c r="CW32" s="55">
        <v>98993</v>
      </c>
      <c r="CX32" s="55">
        <v>99042</v>
      </c>
      <c r="CY32" s="55">
        <v>99055</v>
      </c>
      <c r="CZ32" s="55">
        <v>99069.5</v>
      </c>
      <c r="DA32" s="55">
        <v>99083.5</v>
      </c>
      <c r="DB32" s="55">
        <v>99119.5</v>
      </c>
      <c r="DC32" s="55">
        <v>99149.5</v>
      </c>
      <c r="DD32" s="55">
        <v>99169</v>
      </c>
      <c r="DE32" s="55">
        <v>99184</v>
      </c>
      <c r="DF32" s="55">
        <v>99236.5</v>
      </c>
      <c r="DG32" s="55">
        <v>99241.5</v>
      </c>
      <c r="DH32" s="55">
        <v>99265.5</v>
      </c>
      <c r="DI32" s="55">
        <v>99268</v>
      </c>
      <c r="DJ32" s="55">
        <v>99306.5</v>
      </c>
      <c r="DK32" s="55">
        <v>99320.5</v>
      </c>
      <c r="DL32" s="55">
        <v>99331.5</v>
      </c>
      <c r="DM32" s="55">
        <v>99357</v>
      </c>
      <c r="DN32" s="55">
        <v>99382.5</v>
      </c>
      <c r="DO32" s="55">
        <v>99406.5</v>
      </c>
    </row>
    <row r="33" spans="1:119">
      <c r="A33" s="52">
        <v>31</v>
      </c>
      <c r="B33" s="55"/>
      <c r="C33" s="55"/>
      <c r="D33" s="55"/>
      <c r="E33" s="55"/>
      <c r="F33" s="55"/>
      <c r="G33" s="55"/>
      <c r="H33" s="55"/>
      <c r="I33" s="55"/>
      <c r="J33" s="55"/>
      <c r="K33" s="55"/>
      <c r="L33" s="55"/>
      <c r="M33" s="55"/>
      <c r="N33" s="55"/>
      <c r="O33" s="55"/>
      <c r="P33" s="55"/>
      <c r="Q33" s="55"/>
      <c r="R33" s="55"/>
      <c r="S33" s="55"/>
      <c r="T33" s="55"/>
      <c r="U33" s="55"/>
      <c r="V33" s="55"/>
      <c r="W33" s="55">
        <v>78875.5</v>
      </c>
      <c r="X33" s="55">
        <v>79679</v>
      </c>
      <c r="Y33" s="55">
        <v>79809.5</v>
      </c>
      <c r="Z33" s="55">
        <v>81969</v>
      </c>
      <c r="AA33" s="55">
        <v>82396.5</v>
      </c>
      <c r="AB33" s="55">
        <v>83041</v>
      </c>
      <c r="AC33" s="55">
        <v>83900</v>
      </c>
      <c r="AD33" s="55">
        <v>84880.5</v>
      </c>
      <c r="AE33" s="55">
        <v>84847.5</v>
      </c>
      <c r="AF33" s="55">
        <v>86096.5</v>
      </c>
      <c r="AG33" s="55">
        <v>86548.5</v>
      </c>
      <c r="AH33" s="55">
        <v>86867.5</v>
      </c>
      <c r="AI33" s="55">
        <v>87206</v>
      </c>
      <c r="AJ33" s="55">
        <v>88440.5</v>
      </c>
      <c r="AK33" s="55">
        <v>88381</v>
      </c>
      <c r="AL33" s="55">
        <v>88702</v>
      </c>
      <c r="AM33" s="55">
        <v>88975.5</v>
      </c>
      <c r="AN33" s="55">
        <v>89438.5</v>
      </c>
      <c r="AO33" s="55">
        <v>89424.5</v>
      </c>
      <c r="AP33" s="55">
        <v>89533.5</v>
      </c>
      <c r="AQ33" s="55">
        <v>89605</v>
      </c>
      <c r="AR33" s="55">
        <v>89647.5</v>
      </c>
      <c r="AS33" s="55">
        <v>89114.5</v>
      </c>
      <c r="AT33" s="55">
        <v>88367</v>
      </c>
      <c r="AU33" s="55">
        <v>87098.5</v>
      </c>
      <c r="AV33" s="55">
        <v>87456</v>
      </c>
      <c r="AW33" s="55">
        <v>87823</v>
      </c>
      <c r="AX33" s="55">
        <v>89972.5</v>
      </c>
      <c r="AY33" s="55">
        <v>91752.5</v>
      </c>
      <c r="AZ33" s="55">
        <v>91790.5</v>
      </c>
      <c r="BA33" s="55">
        <v>91830.5</v>
      </c>
      <c r="BB33" s="55">
        <v>92501</v>
      </c>
      <c r="BC33" s="55">
        <v>92751.5</v>
      </c>
      <c r="BD33" s="55">
        <v>93145</v>
      </c>
      <c r="BE33" s="55">
        <v>93224.5</v>
      </c>
      <c r="BF33" s="55">
        <v>93602.5</v>
      </c>
      <c r="BG33" s="55">
        <v>93719</v>
      </c>
      <c r="BH33" s="55">
        <v>93998.5</v>
      </c>
      <c r="BI33" s="55">
        <v>94192</v>
      </c>
      <c r="BJ33" s="55">
        <v>94356.5</v>
      </c>
      <c r="BK33" s="55">
        <v>94666</v>
      </c>
      <c r="BL33" s="55">
        <v>94976.5</v>
      </c>
      <c r="BM33" s="55">
        <v>95246.5</v>
      </c>
      <c r="BN33" s="55">
        <v>95512</v>
      </c>
      <c r="BO33" s="55">
        <v>95743.5</v>
      </c>
      <c r="BP33" s="55">
        <v>95873</v>
      </c>
      <c r="BQ33" s="55">
        <v>95988.5</v>
      </c>
      <c r="BR33" s="55">
        <v>96096</v>
      </c>
      <c r="BS33" s="55">
        <v>96097.5</v>
      </c>
      <c r="BT33" s="55">
        <v>96189.5</v>
      </c>
      <c r="BU33" s="55">
        <v>96276</v>
      </c>
      <c r="BV33" s="55">
        <v>96389</v>
      </c>
      <c r="BW33" s="55">
        <v>96464</v>
      </c>
      <c r="BX33" s="55">
        <v>96608</v>
      </c>
      <c r="BY33" s="55">
        <v>96764</v>
      </c>
      <c r="BZ33" s="55">
        <v>97042.5</v>
      </c>
      <c r="CA33" s="55">
        <v>97228</v>
      </c>
      <c r="CB33" s="55">
        <v>97329</v>
      </c>
      <c r="CC33" s="55">
        <v>97479.5</v>
      </c>
      <c r="CD33" s="55">
        <v>97586</v>
      </c>
      <c r="CE33" s="55">
        <v>97682</v>
      </c>
      <c r="CF33" s="55">
        <v>97830</v>
      </c>
      <c r="CG33" s="55">
        <v>97944.5</v>
      </c>
      <c r="CH33" s="55">
        <v>98031</v>
      </c>
      <c r="CI33" s="55">
        <v>98162</v>
      </c>
      <c r="CJ33" s="55">
        <v>98203</v>
      </c>
      <c r="CK33" s="55">
        <v>98267</v>
      </c>
      <c r="CL33" s="55">
        <v>98393</v>
      </c>
      <c r="CM33" s="55">
        <v>98434.5</v>
      </c>
      <c r="CN33" s="55">
        <v>98520</v>
      </c>
      <c r="CO33" s="55">
        <v>98596</v>
      </c>
      <c r="CP33" s="55">
        <v>98666</v>
      </c>
      <c r="CQ33" s="55">
        <v>98733.5</v>
      </c>
      <c r="CR33" s="55">
        <v>98760</v>
      </c>
      <c r="CS33" s="55">
        <v>98826.5</v>
      </c>
      <c r="CT33" s="55">
        <v>98863</v>
      </c>
      <c r="CU33" s="55">
        <v>98906</v>
      </c>
      <c r="CV33" s="55">
        <v>98926</v>
      </c>
      <c r="CW33" s="55">
        <v>98962.5</v>
      </c>
      <c r="CX33" s="55">
        <v>99012</v>
      </c>
      <c r="CY33" s="55">
        <v>99026.5</v>
      </c>
      <c r="CZ33" s="55">
        <v>99041</v>
      </c>
      <c r="DA33" s="55">
        <v>99056</v>
      </c>
      <c r="DB33" s="55">
        <v>99092.5</v>
      </c>
      <c r="DC33" s="55">
        <v>99123.5</v>
      </c>
      <c r="DD33" s="55">
        <v>99143.5</v>
      </c>
      <c r="DE33" s="55">
        <v>99159</v>
      </c>
      <c r="DF33" s="55">
        <v>99212.5</v>
      </c>
      <c r="DG33" s="55">
        <v>99217.5</v>
      </c>
      <c r="DH33" s="55">
        <v>99242</v>
      </c>
      <c r="DI33" s="55">
        <v>99245.5</v>
      </c>
      <c r="DJ33" s="55">
        <v>99284.5</v>
      </c>
      <c r="DK33" s="55">
        <v>99299.5</v>
      </c>
      <c r="DL33" s="55">
        <v>99310</v>
      </c>
      <c r="DM33" s="55">
        <v>99337</v>
      </c>
      <c r="DN33" s="55">
        <v>99363</v>
      </c>
      <c r="DO33" s="55">
        <v>99387.5</v>
      </c>
    </row>
    <row r="34" spans="1:119">
      <c r="A34" s="52">
        <v>32</v>
      </c>
      <c r="B34" s="55"/>
      <c r="C34" s="55"/>
      <c r="D34" s="55"/>
      <c r="E34" s="55"/>
      <c r="F34" s="55"/>
      <c r="G34" s="55"/>
      <c r="H34" s="55"/>
      <c r="I34" s="55"/>
      <c r="J34" s="55"/>
      <c r="K34" s="55"/>
      <c r="L34" s="55"/>
      <c r="M34" s="55"/>
      <c r="N34" s="55"/>
      <c r="O34" s="55"/>
      <c r="P34" s="55"/>
      <c r="Q34" s="55"/>
      <c r="R34" s="55"/>
      <c r="S34" s="55"/>
      <c r="T34" s="55"/>
      <c r="U34" s="55"/>
      <c r="V34" s="55"/>
      <c r="W34" s="55">
        <v>78746.5</v>
      </c>
      <c r="X34" s="55">
        <v>79555</v>
      </c>
      <c r="Y34" s="55">
        <v>79682</v>
      </c>
      <c r="Z34" s="55">
        <v>81843</v>
      </c>
      <c r="AA34" s="55">
        <v>82272</v>
      </c>
      <c r="AB34" s="55">
        <v>82916.5</v>
      </c>
      <c r="AC34" s="55">
        <v>83778</v>
      </c>
      <c r="AD34" s="55">
        <v>84755.5</v>
      </c>
      <c r="AE34" s="55">
        <v>84726.5</v>
      </c>
      <c r="AF34" s="55">
        <v>85979</v>
      </c>
      <c r="AG34" s="55">
        <v>86429</v>
      </c>
      <c r="AH34" s="55">
        <v>86752</v>
      </c>
      <c r="AI34" s="55">
        <v>87090</v>
      </c>
      <c r="AJ34" s="55">
        <v>88319</v>
      </c>
      <c r="AK34" s="55">
        <v>88271</v>
      </c>
      <c r="AL34" s="55">
        <v>88592</v>
      </c>
      <c r="AM34" s="55">
        <v>88867</v>
      </c>
      <c r="AN34" s="55">
        <v>89325</v>
      </c>
      <c r="AO34" s="55">
        <v>89311.5</v>
      </c>
      <c r="AP34" s="55">
        <v>89421</v>
      </c>
      <c r="AQ34" s="55">
        <v>89493.5</v>
      </c>
      <c r="AR34" s="55">
        <v>89543</v>
      </c>
      <c r="AS34" s="55">
        <v>89006</v>
      </c>
      <c r="AT34" s="55">
        <v>88261</v>
      </c>
      <c r="AU34" s="55">
        <v>86994</v>
      </c>
      <c r="AV34" s="55">
        <v>87352.5</v>
      </c>
      <c r="AW34" s="55">
        <v>87727.5</v>
      </c>
      <c r="AX34" s="55">
        <v>89877</v>
      </c>
      <c r="AY34" s="55">
        <v>91659.5</v>
      </c>
      <c r="AZ34" s="55">
        <v>91691.5</v>
      </c>
      <c r="BA34" s="55">
        <v>91734</v>
      </c>
      <c r="BB34" s="55">
        <v>92409.5</v>
      </c>
      <c r="BC34" s="55">
        <v>92665</v>
      </c>
      <c r="BD34" s="55">
        <v>93057</v>
      </c>
      <c r="BE34" s="55">
        <v>93138.5</v>
      </c>
      <c r="BF34" s="55">
        <v>93514.5</v>
      </c>
      <c r="BG34" s="55">
        <v>93633</v>
      </c>
      <c r="BH34" s="55">
        <v>93912</v>
      </c>
      <c r="BI34" s="55">
        <v>94099.5</v>
      </c>
      <c r="BJ34" s="55">
        <v>94264.5</v>
      </c>
      <c r="BK34" s="55">
        <v>94579</v>
      </c>
      <c r="BL34" s="55">
        <v>94897.5</v>
      </c>
      <c r="BM34" s="55">
        <v>95165.5</v>
      </c>
      <c r="BN34" s="55">
        <v>95432</v>
      </c>
      <c r="BO34" s="55">
        <v>95668.5</v>
      </c>
      <c r="BP34" s="55">
        <v>95804.5</v>
      </c>
      <c r="BQ34" s="55">
        <v>95926</v>
      </c>
      <c r="BR34" s="55">
        <v>96035.5</v>
      </c>
      <c r="BS34" s="55">
        <v>96037</v>
      </c>
      <c r="BT34" s="55">
        <v>96135.5</v>
      </c>
      <c r="BU34" s="55">
        <v>96219</v>
      </c>
      <c r="BV34" s="55">
        <v>96334</v>
      </c>
      <c r="BW34" s="55">
        <v>96411</v>
      </c>
      <c r="BX34" s="55">
        <v>96557</v>
      </c>
      <c r="BY34" s="55">
        <v>96714.5</v>
      </c>
      <c r="BZ34" s="55">
        <v>96991</v>
      </c>
      <c r="CA34" s="55">
        <v>97177.5</v>
      </c>
      <c r="CB34" s="55">
        <v>97279.5</v>
      </c>
      <c r="CC34" s="55">
        <v>97429.5</v>
      </c>
      <c r="CD34" s="55">
        <v>97540</v>
      </c>
      <c r="CE34" s="55">
        <v>97636</v>
      </c>
      <c r="CF34" s="55">
        <v>97784.5</v>
      </c>
      <c r="CG34" s="55">
        <v>97891</v>
      </c>
      <c r="CH34" s="55">
        <v>97984</v>
      </c>
      <c r="CI34" s="55">
        <v>98116</v>
      </c>
      <c r="CJ34" s="55">
        <v>98158.5</v>
      </c>
      <c r="CK34" s="55">
        <v>98223.5</v>
      </c>
      <c r="CL34" s="55">
        <v>98350.5</v>
      </c>
      <c r="CM34" s="55">
        <v>98393.5</v>
      </c>
      <c r="CN34" s="55">
        <v>98479.5</v>
      </c>
      <c r="CO34" s="55">
        <v>98556.5</v>
      </c>
      <c r="CP34" s="55">
        <v>98627.5</v>
      </c>
      <c r="CQ34" s="55">
        <v>98696</v>
      </c>
      <c r="CR34" s="55">
        <v>98723.5</v>
      </c>
      <c r="CS34" s="55">
        <v>98791</v>
      </c>
      <c r="CT34" s="55">
        <v>98828</v>
      </c>
      <c r="CU34" s="55">
        <v>98872.5</v>
      </c>
      <c r="CV34" s="55">
        <v>98893</v>
      </c>
      <c r="CW34" s="55">
        <v>98930.5</v>
      </c>
      <c r="CX34" s="55">
        <v>98981</v>
      </c>
      <c r="CY34" s="55">
        <v>98995.5</v>
      </c>
      <c r="CZ34" s="55">
        <v>99011.5</v>
      </c>
      <c r="DA34" s="55">
        <v>99027</v>
      </c>
      <c r="DB34" s="55">
        <v>99064.5</v>
      </c>
      <c r="DC34" s="55">
        <v>99096</v>
      </c>
      <c r="DD34" s="55">
        <v>99116.5</v>
      </c>
      <c r="DE34" s="55">
        <v>99133.5</v>
      </c>
      <c r="DF34" s="55">
        <v>99187</v>
      </c>
      <c r="DG34" s="55">
        <v>99193</v>
      </c>
      <c r="DH34" s="55">
        <v>99218.5</v>
      </c>
      <c r="DI34" s="55">
        <v>99222</v>
      </c>
      <c r="DJ34" s="55">
        <v>99261.5</v>
      </c>
      <c r="DK34" s="55">
        <v>99277</v>
      </c>
      <c r="DL34" s="55">
        <v>99288.5</v>
      </c>
      <c r="DM34" s="55">
        <v>99316</v>
      </c>
      <c r="DN34" s="55">
        <v>99342</v>
      </c>
      <c r="DO34" s="55">
        <v>99367</v>
      </c>
    </row>
    <row r="35" spans="1:119">
      <c r="A35" s="52">
        <v>33</v>
      </c>
      <c r="B35" s="55"/>
      <c r="C35" s="55"/>
      <c r="D35" s="55"/>
      <c r="E35" s="55"/>
      <c r="F35" s="55"/>
      <c r="G35" s="55"/>
      <c r="H35" s="55"/>
      <c r="I35" s="55"/>
      <c r="J35" s="55"/>
      <c r="K35" s="55"/>
      <c r="L35" s="55"/>
      <c r="M35" s="55"/>
      <c r="N35" s="55"/>
      <c r="O35" s="55"/>
      <c r="P35" s="55"/>
      <c r="Q35" s="55"/>
      <c r="R35" s="55"/>
      <c r="S35" s="55"/>
      <c r="T35" s="55"/>
      <c r="U35" s="55"/>
      <c r="V35" s="55"/>
      <c r="W35" s="55">
        <v>78616</v>
      </c>
      <c r="X35" s="55">
        <v>79422</v>
      </c>
      <c r="Y35" s="55">
        <v>79548.5</v>
      </c>
      <c r="Z35" s="55">
        <v>81711.5</v>
      </c>
      <c r="AA35" s="55">
        <v>82136.5</v>
      </c>
      <c r="AB35" s="55">
        <v>82790</v>
      </c>
      <c r="AC35" s="55">
        <v>83652</v>
      </c>
      <c r="AD35" s="55">
        <v>84635</v>
      </c>
      <c r="AE35" s="55">
        <v>84600</v>
      </c>
      <c r="AF35" s="55">
        <v>85856</v>
      </c>
      <c r="AG35" s="55">
        <v>86305</v>
      </c>
      <c r="AH35" s="55">
        <v>86626</v>
      </c>
      <c r="AI35" s="55">
        <v>86970.5</v>
      </c>
      <c r="AJ35" s="55">
        <v>88201</v>
      </c>
      <c r="AK35" s="55">
        <v>88155.5</v>
      </c>
      <c r="AL35" s="55">
        <v>88479.5</v>
      </c>
      <c r="AM35" s="55">
        <v>88751</v>
      </c>
      <c r="AN35" s="55">
        <v>89207</v>
      </c>
      <c r="AO35" s="55">
        <v>89195</v>
      </c>
      <c r="AP35" s="55">
        <v>89305</v>
      </c>
      <c r="AQ35" s="55">
        <v>89382.5</v>
      </c>
      <c r="AR35" s="55">
        <v>89429</v>
      </c>
      <c r="AS35" s="55">
        <v>88893</v>
      </c>
      <c r="AT35" s="55">
        <v>88153</v>
      </c>
      <c r="AU35" s="55">
        <v>86887</v>
      </c>
      <c r="AV35" s="55">
        <v>87248</v>
      </c>
      <c r="AW35" s="55">
        <v>87626.5</v>
      </c>
      <c r="AX35" s="55">
        <v>89778</v>
      </c>
      <c r="AY35" s="55">
        <v>91560.5</v>
      </c>
      <c r="AZ35" s="55">
        <v>91590.5</v>
      </c>
      <c r="BA35" s="55">
        <v>91641</v>
      </c>
      <c r="BB35" s="55">
        <v>92317.5</v>
      </c>
      <c r="BC35" s="55">
        <v>92573</v>
      </c>
      <c r="BD35" s="55">
        <v>92968</v>
      </c>
      <c r="BE35" s="55">
        <v>93040</v>
      </c>
      <c r="BF35" s="55">
        <v>93420</v>
      </c>
      <c r="BG35" s="55">
        <v>93534.5</v>
      </c>
      <c r="BH35" s="55">
        <v>93816.5</v>
      </c>
      <c r="BI35" s="55">
        <v>93998.5</v>
      </c>
      <c r="BJ35" s="55">
        <v>94175</v>
      </c>
      <c r="BK35" s="55">
        <v>94488.5</v>
      </c>
      <c r="BL35" s="55">
        <v>94808.5</v>
      </c>
      <c r="BM35" s="55">
        <v>95083.5</v>
      </c>
      <c r="BN35" s="55">
        <v>95352</v>
      </c>
      <c r="BO35" s="55">
        <v>95597.5</v>
      </c>
      <c r="BP35" s="55">
        <v>95738</v>
      </c>
      <c r="BQ35" s="55">
        <v>95858</v>
      </c>
      <c r="BR35" s="55">
        <v>95972</v>
      </c>
      <c r="BS35" s="55">
        <v>95978</v>
      </c>
      <c r="BT35" s="55">
        <v>96079.5</v>
      </c>
      <c r="BU35" s="55">
        <v>96165.5</v>
      </c>
      <c r="BV35" s="55">
        <v>96276.5</v>
      </c>
      <c r="BW35" s="55">
        <v>96361</v>
      </c>
      <c r="BX35" s="55">
        <v>96505.5</v>
      </c>
      <c r="BY35" s="55">
        <v>96662.5</v>
      </c>
      <c r="BZ35" s="55">
        <v>96938.5</v>
      </c>
      <c r="CA35" s="55">
        <v>97125</v>
      </c>
      <c r="CB35" s="55">
        <v>97225</v>
      </c>
      <c r="CC35" s="55">
        <v>97375.5</v>
      </c>
      <c r="CD35" s="55">
        <v>97493</v>
      </c>
      <c r="CE35" s="55">
        <v>97585</v>
      </c>
      <c r="CF35" s="55">
        <v>97732.5</v>
      </c>
      <c r="CG35" s="55">
        <v>97841.5</v>
      </c>
      <c r="CH35" s="55">
        <v>97935.5</v>
      </c>
      <c r="CI35" s="55">
        <v>98069</v>
      </c>
      <c r="CJ35" s="55">
        <v>98112</v>
      </c>
      <c r="CK35" s="55">
        <v>98178.5</v>
      </c>
      <c r="CL35" s="55">
        <v>98306.5</v>
      </c>
      <c r="CM35" s="55">
        <v>98350</v>
      </c>
      <c r="CN35" s="55">
        <v>98437.5</v>
      </c>
      <c r="CO35" s="55">
        <v>98515.5</v>
      </c>
      <c r="CP35" s="55">
        <v>98588</v>
      </c>
      <c r="CQ35" s="55">
        <v>98657</v>
      </c>
      <c r="CR35" s="55">
        <v>98685.5</v>
      </c>
      <c r="CS35" s="55">
        <v>98753.5</v>
      </c>
      <c r="CT35" s="55">
        <v>98792</v>
      </c>
      <c r="CU35" s="55">
        <v>98837</v>
      </c>
      <c r="CV35" s="55">
        <v>98859</v>
      </c>
      <c r="CW35" s="55">
        <v>98897</v>
      </c>
      <c r="CX35" s="55">
        <v>98948.5</v>
      </c>
      <c r="CY35" s="55">
        <v>98964</v>
      </c>
      <c r="CZ35" s="55">
        <v>98980.5</v>
      </c>
      <c r="DA35" s="55">
        <v>98997</v>
      </c>
      <c r="DB35" s="55">
        <v>99035</v>
      </c>
      <c r="DC35" s="55">
        <v>99067</v>
      </c>
      <c r="DD35" s="55">
        <v>99088.5</v>
      </c>
      <c r="DE35" s="55">
        <v>99106</v>
      </c>
      <c r="DF35" s="55">
        <v>99160.5</v>
      </c>
      <c r="DG35" s="55">
        <v>99167</v>
      </c>
      <c r="DH35" s="55">
        <v>99192.5</v>
      </c>
      <c r="DI35" s="55">
        <v>99197.5</v>
      </c>
      <c r="DJ35" s="55">
        <v>99237</v>
      </c>
      <c r="DK35" s="55">
        <v>99253.5</v>
      </c>
      <c r="DL35" s="55">
        <v>99265.5</v>
      </c>
      <c r="DM35" s="55">
        <v>99293.5</v>
      </c>
      <c r="DN35" s="55">
        <v>99320.5</v>
      </c>
      <c r="DO35" s="55">
        <v>99346</v>
      </c>
    </row>
    <row r="36" spans="1:119">
      <c r="A36" s="52">
        <v>34</v>
      </c>
      <c r="B36" s="55"/>
      <c r="C36" s="55"/>
      <c r="D36" s="55"/>
      <c r="E36" s="55"/>
      <c r="F36" s="55"/>
      <c r="G36" s="55"/>
      <c r="H36" s="55"/>
      <c r="I36" s="55"/>
      <c r="J36" s="55"/>
      <c r="K36" s="55"/>
      <c r="L36" s="55"/>
      <c r="M36" s="55"/>
      <c r="N36" s="55"/>
      <c r="O36" s="55"/>
      <c r="P36" s="55"/>
      <c r="Q36" s="55"/>
      <c r="R36" s="55"/>
      <c r="S36" s="55"/>
      <c r="T36" s="55"/>
      <c r="U36" s="55"/>
      <c r="V36" s="55"/>
      <c r="W36" s="55">
        <v>78484.5</v>
      </c>
      <c r="X36" s="55">
        <v>79284</v>
      </c>
      <c r="Y36" s="55">
        <v>79421.5</v>
      </c>
      <c r="Z36" s="55">
        <v>81582</v>
      </c>
      <c r="AA36" s="55">
        <v>82007.5</v>
      </c>
      <c r="AB36" s="55">
        <v>82658.5</v>
      </c>
      <c r="AC36" s="55">
        <v>83522.5</v>
      </c>
      <c r="AD36" s="55">
        <v>84505</v>
      </c>
      <c r="AE36" s="55">
        <v>84472.5</v>
      </c>
      <c r="AF36" s="55">
        <v>85728</v>
      </c>
      <c r="AG36" s="55">
        <v>86179</v>
      </c>
      <c r="AH36" s="55">
        <v>86500.5</v>
      </c>
      <c r="AI36" s="55">
        <v>86835.5</v>
      </c>
      <c r="AJ36" s="55">
        <v>88080.5</v>
      </c>
      <c r="AK36" s="55">
        <v>88037</v>
      </c>
      <c r="AL36" s="55">
        <v>88357.5</v>
      </c>
      <c r="AM36" s="55">
        <v>88622.5</v>
      </c>
      <c r="AN36" s="55">
        <v>89087.5</v>
      </c>
      <c r="AO36" s="55">
        <v>89069</v>
      </c>
      <c r="AP36" s="55">
        <v>89187.5</v>
      </c>
      <c r="AQ36" s="55">
        <v>89263.5</v>
      </c>
      <c r="AR36" s="55">
        <v>89310</v>
      </c>
      <c r="AS36" s="55">
        <v>88774</v>
      </c>
      <c r="AT36" s="55">
        <v>88036</v>
      </c>
      <c r="AU36" s="55">
        <v>86771.5</v>
      </c>
      <c r="AV36" s="55">
        <v>87135</v>
      </c>
      <c r="AW36" s="55">
        <v>87524.5</v>
      </c>
      <c r="AX36" s="55">
        <v>89679.5</v>
      </c>
      <c r="AY36" s="55">
        <v>91458</v>
      </c>
      <c r="AZ36" s="55">
        <v>91493</v>
      </c>
      <c r="BA36" s="55">
        <v>91544.5</v>
      </c>
      <c r="BB36" s="55">
        <v>92223.5</v>
      </c>
      <c r="BC36" s="55">
        <v>92479.5</v>
      </c>
      <c r="BD36" s="55">
        <v>92874.5</v>
      </c>
      <c r="BE36" s="55">
        <v>92942</v>
      </c>
      <c r="BF36" s="55">
        <v>93319.5</v>
      </c>
      <c r="BG36" s="55">
        <v>93426.5</v>
      </c>
      <c r="BH36" s="55">
        <v>93710.5</v>
      </c>
      <c r="BI36" s="55">
        <v>93896</v>
      </c>
      <c r="BJ36" s="55">
        <v>94068</v>
      </c>
      <c r="BK36" s="55">
        <v>94394</v>
      </c>
      <c r="BL36" s="55">
        <v>94716.5</v>
      </c>
      <c r="BM36" s="55">
        <v>94999.5</v>
      </c>
      <c r="BN36" s="55">
        <v>95273</v>
      </c>
      <c r="BO36" s="55">
        <v>95528.5</v>
      </c>
      <c r="BP36" s="55">
        <v>95666</v>
      </c>
      <c r="BQ36" s="55">
        <v>95792</v>
      </c>
      <c r="BR36" s="55">
        <v>95909.5</v>
      </c>
      <c r="BS36" s="55">
        <v>95915.5</v>
      </c>
      <c r="BT36" s="55">
        <v>96020</v>
      </c>
      <c r="BU36" s="55">
        <v>96104.5</v>
      </c>
      <c r="BV36" s="55">
        <v>96220</v>
      </c>
      <c r="BW36" s="55">
        <v>96306.5</v>
      </c>
      <c r="BX36" s="55">
        <v>96452</v>
      </c>
      <c r="BY36" s="55">
        <v>96608.5</v>
      </c>
      <c r="BZ36" s="55">
        <v>96887</v>
      </c>
      <c r="CA36" s="55">
        <v>97065.5</v>
      </c>
      <c r="CB36" s="55">
        <v>97171</v>
      </c>
      <c r="CC36" s="55">
        <v>97322.5</v>
      </c>
      <c r="CD36" s="55">
        <v>97438.5</v>
      </c>
      <c r="CE36" s="55">
        <v>97533</v>
      </c>
      <c r="CF36" s="55">
        <v>97679.5</v>
      </c>
      <c r="CG36" s="55">
        <v>97790</v>
      </c>
      <c r="CH36" s="55">
        <v>97885</v>
      </c>
      <c r="CI36" s="55">
        <v>98020</v>
      </c>
      <c r="CJ36" s="55">
        <v>98064.5</v>
      </c>
      <c r="CK36" s="55">
        <v>98132</v>
      </c>
      <c r="CL36" s="55">
        <v>98261</v>
      </c>
      <c r="CM36" s="55">
        <v>98306</v>
      </c>
      <c r="CN36" s="55">
        <v>98394</v>
      </c>
      <c r="CO36" s="55">
        <v>98473</v>
      </c>
      <c r="CP36" s="55">
        <v>98546</v>
      </c>
      <c r="CQ36" s="55">
        <v>98616.5</v>
      </c>
      <c r="CR36" s="55">
        <v>98646</v>
      </c>
      <c r="CS36" s="55">
        <v>98715.5</v>
      </c>
      <c r="CT36" s="55">
        <v>98754.5</v>
      </c>
      <c r="CU36" s="55">
        <v>98800.5</v>
      </c>
      <c r="CV36" s="55">
        <v>98823</v>
      </c>
      <c r="CW36" s="55">
        <v>98862</v>
      </c>
      <c r="CX36" s="55">
        <v>98914.5</v>
      </c>
      <c r="CY36" s="55">
        <v>98930.5</v>
      </c>
      <c r="CZ36" s="55">
        <v>98948</v>
      </c>
      <c r="DA36" s="55">
        <v>98965.5</v>
      </c>
      <c r="DB36" s="55">
        <v>99004</v>
      </c>
      <c r="DC36" s="55">
        <v>99037</v>
      </c>
      <c r="DD36" s="55">
        <v>99059.5</v>
      </c>
      <c r="DE36" s="55">
        <v>99077.5</v>
      </c>
      <c r="DF36" s="55">
        <v>99133</v>
      </c>
      <c r="DG36" s="55">
        <v>99139.5</v>
      </c>
      <c r="DH36" s="55">
        <v>99166.5</v>
      </c>
      <c r="DI36" s="55">
        <v>99171.5</v>
      </c>
      <c r="DJ36" s="55">
        <v>99212.5</v>
      </c>
      <c r="DK36" s="55">
        <v>99229</v>
      </c>
      <c r="DL36" s="55">
        <v>99242</v>
      </c>
      <c r="DM36" s="55">
        <v>99270.5</v>
      </c>
      <c r="DN36" s="55">
        <v>99297.5</v>
      </c>
      <c r="DO36" s="55">
        <v>99324</v>
      </c>
    </row>
    <row r="37" spans="1:119">
      <c r="A37" s="52">
        <v>35</v>
      </c>
      <c r="B37" s="55"/>
      <c r="C37" s="55"/>
      <c r="D37" s="55"/>
      <c r="E37" s="55"/>
      <c r="F37" s="55"/>
      <c r="G37" s="55"/>
      <c r="H37" s="55"/>
      <c r="I37" s="55"/>
      <c r="J37" s="55"/>
      <c r="K37" s="55"/>
      <c r="L37" s="55"/>
      <c r="M37" s="55"/>
      <c r="N37" s="55"/>
      <c r="O37" s="55"/>
      <c r="P37" s="55"/>
      <c r="Q37" s="55"/>
      <c r="R37" s="55"/>
      <c r="S37" s="55"/>
      <c r="T37" s="55"/>
      <c r="U37" s="55"/>
      <c r="V37" s="55"/>
      <c r="W37" s="55">
        <v>78346</v>
      </c>
      <c r="X37" s="55">
        <v>79146</v>
      </c>
      <c r="Y37" s="55">
        <v>79283.5</v>
      </c>
      <c r="Z37" s="55">
        <v>81445</v>
      </c>
      <c r="AA37" s="55">
        <v>81873.5</v>
      </c>
      <c r="AB37" s="55">
        <v>82521</v>
      </c>
      <c r="AC37" s="55">
        <v>83392</v>
      </c>
      <c r="AD37" s="55">
        <v>84374</v>
      </c>
      <c r="AE37" s="55">
        <v>84336</v>
      </c>
      <c r="AF37" s="55">
        <v>85597.5</v>
      </c>
      <c r="AG37" s="55">
        <v>86048.5</v>
      </c>
      <c r="AH37" s="55">
        <v>86363.5</v>
      </c>
      <c r="AI37" s="55">
        <v>86701.5</v>
      </c>
      <c r="AJ37" s="55">
        <v>87958</v>
      </c>
      <c r="AK37" s="55">
        <v>87897.5</v>
      </c>
      <c r="AL37" s="55">
        <v>88229</v>
      </c>
      <c r="AM37" s="55">
        <v>88495.5</v>
      </c>
      <c r="AN37" s="55">
        <v>88960.5</v>
      </c>
      <c r="AO37" s="55">
        <v>88941.5</v>
      </c>
      <c r="AP37" s="55">
        <v>89058</v>
      </c>
      <c r="AQ37" s="55">
        <v>89137.5</v>
      </c>
      <c r="AR37" s="55">
        <v>89192.5</v>
      </c>
      <c r="AS37" s="55">
        <v>88647</v>
      </c>
      <c r="AT37" s="55">
        <v>87914</v>
      </c>
      <c r="AU37" s="55">
        <v>86663.5</v>
      </c>
      <c r="AV37" s="55">
        <v>87022.5</v>
      </c>
      <c r="AW37" s="55">
        <v>87421</v>
      </c>
      <c r="AX37" s="55">
        <v>89576</v>
      </c>
      <c r="AY37" s="55">
        <v>91349</v>
      </c>
      <c r="AZ37" s="55">
        <v>91391.5</v>
      </c>
      <c r="BA37" s="55">
        <v>91438</v>
      </c>
      <c r="BB37" s="55">
        <v>92122</v>
      </c>
      <c r="BC37" s="55">
        <v>92379.5</v>
      </c>
      <c r="BD37" s="55">
        <v>92771</v>
      </c>
      <c r="BE37" s="55">
        <v>92830.5</v>
      </c>
      <c r="BF37" s="55">
        <v>93204.5</v>
      </c>
      <c r="BG37" s="55">
        <v>93311.5</v>
      </c>
      <c r="BH37" s="55">
        <v>93601</v>
      </c>
      <c r="BI37" s="55">
        <v>93787</v>
      </c>
      <c r="BJ37" s="55">
        <v>93961</v>
      </c>
      <c r="BK37" s="55">
        <v>94297</v>
      </c>
      <c r="BL37" s="55">
        <v>94625</v>
      </c>
      <c r="BM37" s="55">
        <v>94914</v>
      </c>
      <c r="BN37" s="55">
        <v>95197</v>
      </c>
      <c r="BO37" s="55">
        <v>95447.5</v>
      </c>
      <c r="BP37" s="55">
        <v>95595.5</v>
      </c>
      <c r="BQ37" s="55">
        <v>95723</v>
      </c>
      <c r="BR37" s="55">
        <v>95840</v>
      </c>
      <c r="BS37" s="55">
        <v>95848</v>
      </c>
      <c r="BT37" s="55">
        <v>95959.5</v>
      </c>
      <c r="BU37" s="55">
        <v>96043.5</v>
      </c>
      <c r="BV37" s="55">
        <v>96160</v>
      </c>
      <c r="BW37" s="55">
        <v>96250.5</v>
      </c>
      <c r="BX37" s="55">
        <v>96395.5</v>
      </c>
      <c r="BY37" s="55">
        <v>96546</v>
      </c>
      <c r="BZ37" s="55">
        <v>96827.5</v>
      </c>
      <c r="CA37" s="55">
        <v>97008.5</v>
      </c>
      <c r="CB37" s="55">
        <v>97114</v>
      </c>
      <c r="CC37" s="55">
        <v>97264.5</v>
      </c>
      <c r="CD37" s="55">
        <v>97380.5</v>
      </c>
      <c r="CE37" s="55">
        <v>97477</v>
      </c>
      <c r="CF37" s="55">
        <v>97625.5</v>
      </c>
      <c r="CG37" s="55">
        <v>97737</v>
      </c>
      <c r="CH37" s="55">
        <v>97833</v>
      </c>
      <c r="CI37" s="55">
        <v>97969</v>
      </c>
      <c r="CJ37" s="55">
        <v>98014.5</v>
      </c>
      <c r="CK37" s="55">
        <v>98083</v>
      </c>
      <c r="CL37" s="55">
        <v>98213.5</v>
      </c>
      <c r="CM37" s="55">
        <v>98259.5</v>
      </c>
      <c r="CN37" s="55">
        <v>98348.5</v>
      </c>
      <c r="CO37" s="55">
        <v>98429.5</v>
      </c>
      <c r="CP37" s="55">
        <v>98503.5</v>
      </c>
      <c r="CQ37" s="55">
        <v>98575</v>
      </c>
      <c r="CR37" s="55">
        <v>98605</v>
      </c>
      <c r="CS37" s="55">
        <v>98675</v>
      </c>
      <c r="CT37" s="55">
        <v>98715.5</v>
      </c>
      <c r="CU37" s="55">
        <v>98762.5</v>
      </c>
      <c r="CV37" s="55">
        <v>98786</v>
      </c>
      <c r="CW37" s="55">
        <v>98825.5</v>
      </c>
      <c r="CX37" s="55">
        <v>98879</v>
      </c>
      <c r="CY37" s="55">
        <v>98896</v>
      </c>
      <c r="CZ37" s="55">
        <v>98914.5</v>
      </c>
      <c r="DA37" s="55">
        <v>98932.5</v>
      </c>
      <c r="DB37" s="55">
        <v>98972</v>
      </c>
      <c r="DC37" s="55">
        <v>99005.5</v>
      </c>
      <c r="DD37" s="55">
        <v>99028.5</v>
      </c>
      <c r="DE37" s="55">
        <v>99047.5</v>
      </c>
      <c r="DF37" s="55">
        <v>99103.5</v>
      </c>
      <c r="DG37" s="55">
        <v>99111</v>
      </c>
      <c r="DH37" s="55">
        <v>99138.5</v>
      </c>
      <c r="DI37" s="55">
        <v>99144.5</v>
      </c>
      <c r="DJ37" s="55">
        <v>99185.5</v>
      </c>
      <c r="DK37" s="55">
        <v>99203</v>
      </c>
      <c r="DL37" s="55">
        <v>99216.5</v>
      </c>
      <c r="DM37" s="55">
        <v>99245.5</v>
      </c>
      <c r="DN37" s="55">
        <v>99273.5</v>
      </c>
      <c r="DO37" s="55">
        <v>99300.5</v>
      </c>
    </row>
    <row r="38" spans="1:119">
      <c r="A38" s="52">
        <v>36</v>
      </c>
      <c r="B38" s="55"/>
      <c r="C38" s="55"/>
      <c r="D38" s="55"/>
      <c r="E38" s="55"/>
      <c r="F38" s="55"/>
      <c r="G38" s="55"/>
      <c r="H38" s="55"/>
      <c r="I38" s="55"/>
      <c r="J38" s="55"/>
      <c r="K38" s="55"/>
      <c r="L38" s="55"/>
      <c r="M38" s="55"/>
      <c r="N38" s="55"/>
      <c r="O38" s="55"/>
      <c r="P38" s="55"/>
      <c r="Q38" s="55"/>
      <c r="R38" s="55"/>
      <c r="S38" s="55"/>
      <c r="T38" s="55"/>
      <c r="U38" s="55"/>
      <c r="V38" s="55"/>
      <c r="W38" s="55">
        <v>78197</v>
      </c>
      <c r="X38" s="55">
        <v>79001.5</v>
      </c>
      <c r="Y38" s="55">
        <v>79140.5</v>
      </c>
      <c r="Z38" s="55">
        <v>81295.5</v>
      </c>
      <c r="AA38" s="55">
        <v>81729</v>
      </c>
      <c r="AB38" s="55">
        <v>82380</v>
      </c>
      <c r="AC38" s="55">
        <v>83252</v>
      </c>
      <c r="AD38" s="55">
        <v>84227</v>
      </c>
      <c r="AE38" s="55">
        <v>84195.5</v>
      </c>
      <c r="AF38" s="55">
        <v>85456</v>
      </c>
      <c r="AG38" s="55">
        <v>85912.5</v>
      </c>
      <c r="AH38" s="55">
        <v>86225.5</v>
      </c>
      <c r="AI38" s="55">
        <v>86562</v>
      </c>
      <c r="AJ38" s="55">
        <v>87812</v>
      </c>
      <c r="AK38" s="55">
        <v>87754</v>
      </c>
      <c r="AL38" s="55">
        <v>88088</v>
      </c>
      <c r="AM38" s="55">
        <v>88362</v>
      </c>
      <c r="AN38" s="55">
        <v>88830</v>
      </c>
      <c r="AO38" s="55">
        <v>88809.5</v>
      </c>
      <c r="AP38" s="55">
        <v>88929</v>
      </c>
      <c r="AQ38" s="55">
        <v>89008.5</v>
      </c>
      <c r="AR38" s="55">
        <v>89058</v>
      </c>
      <c r="AS38" s="55">
        <v>88517</v>
      </c>
      <c r="AT38" s="55">
        <v>87793</v>
      </c>
      <c r="AU38" s="55">
        <v>86547</v>
      </c>
      <c r="AV38" s="55">
        <v>86903.5</v>
      </c>
      <c r="AW38" s="55">
        <v>87308.5</v>
      </c>
      <c r="AX38" s="55">
        <v>89464</v>
      </c>
      <c r="AY38" s="55">
        <v>91237.5</v>
      </c>
      <c r="AZ38" s="55">
        <v>91287</v>
      </c>
      <c r="BA38" s="55">
        <v>91328</v>
      </c>
      <c r="BB38" s="55">
        <v>92009.5</v>
      </c>
      <c r="BC38" s="55">
        <v>92270.5</v>
      </c>
      <c r="BD38" s="55">
        <v>92655</v>
      </c>
      <c r="BE38" s="55">
        <v>92709.5</v>
      </c>
      <c r="BF38" s="55">
        <v>93081.5</v>
      </c>
      <c r="BG38" s="55">
        <v>93194.5</v>
      </c>
      <c r="BH38" s="55">
        <v>93490</v>
      </c>
      <c r="BI38" s="55">
        <v>93675.5</v>
      </c>
      <c r="BJ38" s="55">
        <v>93855</v>
      </c>
      <c r="BK38" s="55">
        <v>94194</v>
      </c>
      <c r="BL38" s="55">
        <v>94528</v>
      </c>
      <c r="BM38" s="55">
        <v>94831</v>
      </c>
      <c r="BN38" s="55">
        <v>95117.5</v>
      </c>
      <c r="BO38" s="55">
        <v>95365.5</v>
      </c>
      <c r="BP38" s="55">
        <v>95518</v>
      </c>
      <c r="BQ38" s="55">
        <v>95644.5</v>
      </c>
      <c r="BR38" s="55">
        <v>95767</v>
      </c>
      <c r="BS38" s="55">
        <v>95779</v>
      </c>
      <c r="BT38" s="55">
        <v>95895</v>
      </c>
      <c r="BU38" s="55">
        <v>95978</v>
      </c>
      <c r="BV38" s="55">
        <v>96099.5</v>
      </c>
      <c r="BW38" s="55">
        <v>96186</v>
      </c>
      <c r="BX38" s="55">
        <v>96332</v>
      </c>
      <c r="BY38" s="55">
        <v>96490.5</v>
      </c>
      <c r="BZ38" s="55">
        <v>96768</v>
      </c>
      <c r="CA38" s="55">
        <v>96945.5</v>
      </c>
      <c r="CB38" s="55">
        <v>97054.5</v>
      </c>
      <c r="CC38" s="55">
        <v>97202</v>
      </c>
      <c r="CD38" s="55">
        <v>97321.5</v>
      </c>
      <c r="CE38" s="55">
        <v>97419</v>
      </c>
      <c r="CF38" s="55">
        <v>97569</v>
      </c>
      <c r="CG38" s="55">
        <v>97681</v>
      </c>
      <c r="CH38" s="55">
        <v>97779.5</v>
      </c>
      <c r="CI38" s="55">
        <v>97916</v>
      </c>
      <c r="CJ38" s="55">
        <v>97963.5</v>
      </c>
      <c r="CK38" s="55">
        <v>98033</v>
      </c>
      <c r="CL38" s="55">
        <v>98164</v>
      </c>
      <c r="CM38" s="55">
        <v>98211.5</v>
      </c>
      <c r="CN38" s="55">
        <v>98302</v>
      </c>
      <c r="CO38" s="55">
        <v>98383.5</v>
      </c>
      <c r="CP38" s="55">
        <v>98458.5</v>
      </c>
      <c r="CQ38" s="55">
        <v>98530.5</v>
      </c>
      <c r="CR38" s="55">
        <v>98562</v>
      </c>
      <c r="CS38" s="55">
        <v>98633.5</v>
      </c>
      <c r="CT38" s="55">
        <v>98674.5</v>
      </c>
      <c r="CU38" s="55">
        <v>98722.5</v>
      </c>
      <c r="CV38" s="55">
        <v>98746.5</v>
      </c>
      <c r="CW38" s="55">
        <v>98788</v>
      </c>
      <c r="CX38" s="55">
        <v>98842</v>
      </c>
      <c r="CY38" s="55">
        <v>98860</v>
      </c>
      <c r="CZ38" s="55">
        <v>98878.5</v>
      </c>
      <c r="DA38" s="55">
        <v>98898</v>
      </c>
      <c r="DB38" s="55">
        <v>98938</v>
      </c>
      <c r="DC38" s="55">
        <v>98972.5</v>
      </c>
      <c r="DD38" s="55">
        <v>98997</v>
      </c>
      <c r="DE38" s="55">
        <v>99016</v>
      </c>
      <c r="DF38" s="55">
        <v>99073</v>
      </c>
      <c r="DG38" s="55">
        <v>99081.5</v>
      </c>
      <c r="DH38" s="55">
        <v>99109.5</v>
      </c>
      <c r="DI38" s="55">
        <v>99116</v>
      </c>
      <c r="DJ38" s="55">
        <v>99158</v>
      </c>
      <c r="DK38" s="55">
        <v>99175.5</v>
      </c>
      <c r="DL38" s="55">
        <v>99190</v>
      </c>
      <c r="DM38" s="55">
        <v>99219.5</v>
      </c>
      <c r="DN38" s="55">
        <v>99248</v>
      </c>
      <c r="DO38" s="55">
        <v>99276</v>
      </c>
    </row>
    <row r="39" spans="1:119">
      <c r="A39" s="52">
        <v>37</v>
      </c>
      <c r="B39" s="55"/>
      <c r="C39" s="55"/>
      <c r="D39" s="55"/>
      <c r="E39" s="55"/>
      <c r="F39" s="55"/>
      <c r="G39" s="55"/>
      <c r="H39" s="55"/>
      <c r="I39" s="55"/>
      <c r="J39" s="55"/>
      <c r="K39" s="55"/>
      <c r="L39" s="55"/>
      <c r="M39" s="55"/>
      <c r="N39" s="55"/>
      <c r="O39" s="55"/>
      <c r="P39" s="55"/>
      <c r="Q39" s="55"/>
      <c r="R39" s="55"/>
      <c r="S39" s="55"/>
      <c r="T39" s="55"/>
      <c r="U39" s="55"/>
      <c r="V39" s="55"/>
      <c r="W39" s="55">
        <v>78043.5</v>
      </c>
      <c r="X39" s="55">
        <v>78853</v>
      </c>
      <c r="Y39" s="55">
        <v>78984</v>
      </c>
      <c r="Z39" s="55">
        <v>81144.5</v>
      </c>
      <c r="AA39" s="55">
        <v>81577.5</v>
      </c>
      <c r="AB39" s="55">
        <v>82239</v>
      </c>
      <c r="AC39" s="55">
        <v>83106</v>
      </c>
      <c r="AD39" s="55">
        <v>84080</v>
      </c>
      <c r="AE39" s="55">
        <v>84054</v>
      </c>
      <c r="AF39" s="55">
        <v>85302.5</v>
      </c>
      <c r="AG39" s="55">
        <v>85761</v>
      </c>
      <c r="AH39" s="55">
        <v>86079</v>
      </c>
      <c r="AI39" s="55">
        <v>86413</v>
      </c>
      <c r="AJ39" s="55">
        <v>87662</v>
      </c>
      <c r="AK39" s="55">
        <v>87608</v>
      </c>
      <c r="AL39" s="55">
        <v>87936</v>
      </c>
      <c r="AM39" s="55">
        <v>88222.5</v>
      </c>
      <c r="AN39" s="55">
        <v>88684</v>
      </c>
      <c r="AO39" s="55">
        <v>88659.5</v>
      </c>
      <c r="AP39" s="55">
        <v>88788.5</v>
      </c>
      <c r="AQ39" s="55">
        <v>88868.5</v>
      </c>
      <c r="AR39" s="55">
        <v>88922.5</v>
      </c>
      <c r="AS39" s="55">
        <v>88385</v>
      </c>
      <c r="AT39" s="55">
        <v>87666</v>
      </c>
      <c r="AU39" s="55">
        <v>86421.5</v>
      </c>
      <c r="AV39" s="55">
        <v>86780</v>
      </c>
      <c r="AW39" s="55">
        <v>87189</v>
      </c>
      <c r="AX39" s="55">
        <v>89350.5</v>
      </c>
      <c r="AY39" s="55">
        <v>91121.5</v>
      </c>
      <c r="AZ39" s="55">
        <v>91172.5</v>
      </c>
      <c r="BA39" s="55">
        <v>91211.5</v>
      </c>
      <c r="BB39" s="55">
        <v>91887</v>
      </c>
      <c r="BC39" s="55">
        <v>92144.5</v>
      </c>
      <c r="BD39" s="55">
        <v>92523.5</v>
      </c>
      <c r="BE39" s="55">
        <v>92577.5</v>
      </c>
      <c r="BF39" s="55">
        <v>92960</v>
      </c>
      <c r="BG39" s="55">
        <v>93066.5</v>
      </c>
      <c r="BH39" s="55">
        <v>93367</v>
      </c>
      <c r="BI39" s="55">
        <v>93559</v>
      </c>
      <c r="BJ39" s="55">
        <v>93748.5</v>
      </c>
      <c r="BK39" s="55">
        <v>94087.5</v>
      </c>
      <c r="BL39" s="55">
        <v>94430.5</v>
      </c>
      <c r="BM39" s="55">
        <v>94737.5</v>
      </c>
      <c r="BN39" s="55">
        <v>95029.5</v>
      </c>
      <c r="BO39" s="55">
        <v>95280.5</v>
      </c>
      <c r="BP39" s="55">
        <v>95432.5</v>
      </c>
      <c r="BQ39" s="55">
        <v>95567</v>
      </c>
      <c r="BR39" s="55">
        <v>95691</v>
      </c>
      <c r="BS39" s="55">
        <v>95708</v>
      </c>
      <c r="BT39" s="55">
        <v>95826.5</v>
      </c>
      <c r="BU39" s="55">
        <v>95912</v>
      </c>
      <c r="BV39" s="55">
        <v>96034</v>
      </c>
      <c r="BW39" s="55">
        <v>96118</v>
      </c>
      <c r="BX39" s="55">
        <v>96267.5</v>
      </c>
      <c r="BY39" s="55">
        <v>96426.5</v>
      </c>
      <c r="BZ39" s="55">
        <v>96703.5</v>
      </c>
      <c r="CA39" s="55">
        <v>96881.5</v>
      </c>
      <c r="CB39" s="55">
        <v>96987.5</v>
      </c>
      <c r="CC39" s="55">
        <v>97138.5</v>
      </c>
      <c r="CD39" s="55">
        <v>97259</v>
      </c>
      <c r="CE39" s="55">
        <v>97358.5</v>
      </c>
      <c r="CF39" s="55">
        <v>97509.5</v>
      </c>
      <c r="CG39" s="55">
        <v>97623.5</v>
      </c>
      <c r="CH39" s="55">
        <v>97722.5</v>
      </c>
      <c r="CI39" s="55">
        <v>97860.5</v>
      </c>
      <c r="CJ39" s="55">
        <v>97909</v>
      </c>
      <c r="CK39" s="55">
        <v>97980</v>
      </c>
      <c r="CL39" s="55">
        <v>98112.5</v>
      </c>
      <c r="CM39" s="55">
        <v>98160.5</v>
      </c>
      <c r="CN39" s="55">
        <v>98252.5</v>
      </c>
      <c r="CO39" s="55">
        <v>98335</v>
      </c>
      <c r="CP39" s="55">
        <v>98411.5</v>
      </c>
      <c r="CQ39" s="55">
        <v>98484.5</v>
      </c>
      <c r="CR39" s="55">
        <v>98517.5</v>
      </c>
      <c r="CS39" s="55">
        <v>98589.5</v>
      </c>
      <c r="CT39" s="55">
        <v>98631.5</v>
      </c>
      <c r="CU39" s="55">
        <v>98680.5</v>
      </c>
      <c r="CV39" s="55">
        <v>98706</v>
      </c>
      <c r="CW39" s="55">
        <v>98748</v>
      </c>
      <c r="CX39" s="55">
        <v>98802.5</v>
      </c>
      <c r="CY39" s="55">
        <v>98821.5</v>
      </c>
      <c r="CZ39" s="55">
        <v>98841.5</v>
      </c>
      <c r="DA39" s="55">
        <v>98861</v>
      </c>
      <c r="DB39" s="55">
        <v>98902.5</v>
      </c>
      <c r="DC39" s="55">
        <v>98938</v>
      </c>
      <c r="DD39" s="55">
        <v>98962.5</v>
      </c>
      <c r="DE39" s="55">
        <v>98983</v>
      </c>
      <c r="DF39" s="55">
        <v>99040.5</v>
      </c>
      <c r="DG39" s="55">
        <v>99050</v>
      </c>
      <c r="DH39" s="55">
        <v>99078.5</v>
      </c>
      <c r="DI39" s="55">
        <v>99085.5</v>
      </c>
      <c r="DJ39" s="55">
        <v>99128.5</v>
      </c>
      <c r="DK39" s="55">
        <v>99147</v>
      </c>
      <c r="DL39" s="55">
        <v>99162</v>
      </c>
      <c r="DM39" s="55">
        <v>99192.5</v>
      </c>
      <c r="DN39" s="55">
        <v>99221.5</v>
      </c>
      <c r="DO39" s="55">
        <v>99249.5</v>
      </c>
    </row>
    <row r="40" spans="1:119">
      <c r="A40" s="52">
        <v>38</v>
      </c>
      <c r="B40" s="55"/>
      <c r="C40" s="55"/>
      <c r="D40" s="55"/>
      <c r="E40" s="55"/>
      <c r="F40" s="55"/>
      <c r="G40" s="55"/>
      <c r="H40" s="55"/>
      <c r="I40" s="55"/>
      <c r="J40" s="55"/>
      <c r="K40" s="55"/>
      <c r="L40" s="55"/>
      <c r="M40" s="55"/>
      <c r="N40" s="55"/>
      <c r="O40" s="55"/>
      <c r="P40" s="55"/>
      <c r="Q40" s="55"/>
      <c r="R40" s="55"/>
      <c r="S40" s="55"/>
      <c r="T40" s="55"/>
      <c r="U40" s="55"/>
      <c r="V40" s="55"/>
      <c r="W40" s="55">
        <v>77882</v>
      </c>
      <c r="X40" s="55">
        <v>78695</v>
      </c>
      <c r="Y40" s="55">
        <v>78825.5</v>
      </c>
      <c r="Z40" s="55">
        <v>80988</v>
      </c>
      <c r="AA40" s="55">
        <v>81415.5</v>
      </c>
      <c r="AB40" s="55">
        <v>82081</v>
      </c>
      <c r="AC40" s="55">
        <v>82947.5</v>
      </c>
      <c r="AD40" s="55">
        <v>83911.5</v>
      </c>
      <c r="AE40" s="55">
        <v>83890.5</v>
      </c>
      <c r="AF40" s="55">
        <v>85145</v>
      </c>
      <c r="AG40" s="55">
        <v>85600.5</v>
      </c>
      <c r="AH40" s="55">
        <v>85910</v>
      </c>
      <c r="AI40" s="55">
        <v>86244.5</v>
      </c>
      <c r="AJ40" s="55">
        <v>87490.5</v>
      </c>
      <c r="AK40" s="55">
        <v>87444</v>
      </c>
      <c r="AL40" s="55">
        <v>87781.5</v>
      </c>
      <c r="AM40" s="55">
        <v>88067.5</v>
      </c>
      <c r="AN40" s="55">
        <v>88533.5</v>
      </c>
      <c r="AO40" s="55">
        <v>88505.5</v>
      </c>
      <c r="AP40" s="55">
        <v>88634</v>
      </c>
      <c r="AQ40" s="55">
        <v>88717</v>
      </c>
      <c r="AR40" s="55">
        <v>88777</v>
      </c>
      <c r="AS40" s="55">
        <v>88241.5</v>
      </c>
      <c r="AT40" s="55">
        <v>87521.5</v>
      </c>
      <c r="AU40" s="55">
        <v>86288</v>
      </c>
      <c r="AV40" s="55">
        <v>86649</v>
      </c>
      <c r="AW40" s="55">
        <v>87061.5</v>
      </c>
      <c r="AX40" s="55">
        <v>89228.5</v>
      </c>
      <c r="AY40" s="55">
        <v>90994.5</v>
      </c>
      <c r="AZ40" s="55">
        <v>91045.5</v>
      </c>
      <c r="BA40" s="55">
        <v>91087</v>
      </c>
      <c r="BB40" s="55">
        <v>91753.5</v>
      </c>
      <c r="BC40" s="55">
        <v>91996.5</v>
      </c>
      <c r="BD40" s="55">
        <v>92382.5</v>
      </c>
      <c r="BE40" s="55">
        <v>92439</v>
      </c>
      <c r="BF40" s="55">
        <v>92824.5</v>
      </c>
      <c r="BG40" s="55">
        <v>92932</v>
      </c>
      <c r="BH40" s="55">
        <v>93242</v>
      </c>
      <c r="BI40" s="55">
        <v>93436.5</v>
      </c>
      <c r="BJ40" s="55">
        <v>93638</v>
      </c>
      <c r="BK40" s="55">
        <v>93978</v>
      </c>
      <c r="BL40" s="55">
        <v>94330</v>
      </c>
      <c r="BM40" s="55">
        <v>94640</v>
      </c>
      <c r="BN40" s="55">
        <v>94934.5</v>
      </c>
      <c r="BO40" s="55">
        <v>95191.5</v>
      </c>
      <c r="BP40" s="55">
        <v>95348</v>
      </c>
      <c r="BQ40" s="55">
        <v>95485.5</v>
      </c>
      <c r="BR40" s="55">
        <v>95615.5</v>
      </c>
      <c r="BS40" s="55">
        <v>95632.5</v>
      </c>
      <c r="BT40" s="55">
        <v>95755.5</v>
      </c>
      <c r="BU40" s="55">
        <v>95838</v>
      </c>
      <c r="BV40" s="55">
        <v>95965</v>
      </c>
      <c r="BW40" s="55">
        <v>96043</v>
      </c>
      <c r="BX40" s="55">
        <v>96198</v>
      </c>
      <c r="BY40" s="55">
        <v>96359.5</v>
      </c>
      <c r="BZ40" s="55">
        <v>96640</v>
      </c>
      <c r="CA40" s="55">
        <v>96817</v>
      </c>
      <c r="CB40" s="55">
        <v>96919.5</v>
      </c>
      <c r="CC40" s="55">
        <v>97071.5</v>
      </c>
      <c r="CD40" s="55">
        <v>97193.5</v>
      </c>
      <c r="CE40" s="55">
        <v>97294.5</v>
      </c>
      <c r="CF40" s="55">
        <v>97446.5</v>
      </c>
      <c r="CG40" s="55">
        <v>97562</v>
      </c>
      <c r="CH40" s="55">
        <v>97662.5</v>
      </c>
      <c r="CI40" s="55">
        <v>97802</v>
      </c>
      <c r="CJ40" s="55">
        <v>97851.5</v>
      </c>
      <c r="CK40" s="55">
        <v>97924</v>
      </c>
      <c r="CL40" s="55">
        <v>98058</v>
      </c>
      <c r="CM40" s="55">
        <v>98107.5</v>
      </c>
      <c r="CN40" s="55">
        <v>98200</v>
      </c>
      <c r="CO40" s="55">
        <v>98283.5</v>
      </c>
      <c r="CP40" s="55">
        <v>98361</v>
      </c>
      <c r="CQ40" s="55">
        <v>98435.5</v>
      </c>
      <c r="CR40" s="55">
        <v>98469.5</v>
      </c>
      <c r="CS40" s="55">
        <v>98543</v>
      </c>
      <c r="CT40" s="55">
        <v>98585.5</v>
      </c>
      <c r="CU40" s="55">
        <v>98636</v>
      </c>
      <c r="CV40" s="55">
        <v>98662</v>
      </c>
      <c r="CW40" s="55">
        <v>98705</v>
      </c>
      <c r="CX40" s="55">
        <v>98761</v>
      </c>
      <c r="CY40" s="55">
        <v>98780.5</v>
      </c>
      <c r="CZ40" s="55">
        <v>98802</v>
      </c>
      <c r="DA40" s="55">
        <v>98822.5</v>
      </c>
      <c r="DB40" s="55">
        <v>98864.5</v>
      </c>
      <c r="DC40" s="55">
        <v>98900.5</v>
      </c>
      <c r="DD40" s="55">
        <v>98926.5</v>
      </c>
      <c r="DE40" s="55">
        <v>98947.5</v>
      </c>
      <c r="DF40" s="55">
        <v>99005.5</v>
      </c>
      <c r="DG40" s="55">
        <v>99016</v>
      </c>
      <c r="DH40" s="55">
        <v>99045</v>
      </c>
      <c r="DI40" s="55">
        <v>99053</v>
      </c>
      <c r="DJ40" s="55">
        <v>99096.5</v>
      </c>
      <c r="DK40" s="55">
        <v>99116</v>
      </c>
      <c r="DL40" s="55">
        <v>99132</v>
      </c>
      <c r="DM40" s="55">
        <v>99162.5</v>
      </c>
      <c r="DN40" s="55">
        <v>99192.5</v>
      </c>
      <c r="DO40" s="55">
        <v>99221.5</v>
      </c>
    </row>
    <row r="41" spans="1:119">
      <c r="A41" s="52">
        <v>39</v>
      </c>
      <c r="B41" s="55"/>
      <c r="C41" s="55"/>
      <c r="D41" s="55"/>
      <c r="E41" s="55"/>
      <c r="F41" s="55"/>
      <c r="G41" s="55"/>
      <c r="H41" s="55"/>
      <c r="I41" s="55"/>
      <c r="J41" s="55"/>
      <c r="K41" s="55"/>
      <c r="L41" s="55"/>
      <c r="M41" s="55"/>
      <c r="N41" s="55"/>
      <c r="O41" s="55"/>
      <c r="P41" s="55"/>
      <c r="Q41" s="55"/>
      <c r="R41" s="55"/>
      <c r="S41" s="55"/>
      <c r="T41" s="55"/>
      <c r="U41" s="55"/>
      <c r="V41" s="55"/>
      <c r="W41" s="55">
        <v>77715</v>
      </c>
      <c r="X41" s="55">
        <v>78528</v>
      </c>
      <c r="Y41" s="55">
        <v>78665</v>
      </c>
      <c r="Z41" s="55">
        <v>80821</v>
      </c>
      <c r="AA41" s="55">
        <v>81248.5</v>
      </c>
      <c r="AB41" s="55">
        <v>81919.5</v>
      </c>
      <c r="AC41" s="55">
        <v>82784.5</v>
      </c>
      <c r="AD41" s="55">
        <v>83736</v>
      </c>
      <c r="AE41" s="55">
        <v>83718.5</v>
      </c>
      <c r="AF41" s="55">
        <v>84968</v>
      </c>
      <c r="AG41" s="55">
        <v>85415.5</v>
      </c>
      <c r="AH41" s="55">
        <v>85729</v>
      </c>
      <c r="AI41" s="55">
        <v>86066</v>
      </c>
      <c r="AJ41" s="55">
        <v>87309.5</v>
      </c>
      <c r="AK41" s="55">
        <v>87274</v>
      </c>
      <c r="AL41" s="55">
        <v>87612</v>
      </c>
      <c r="AM41" s="55">
        <v>87892.5</v>
      </c>
      <c r="AN41" s="55">
        <v>88368.5</v>
      </c>
      <c r="AO41" s="55">
        <v>88343.5</v>
      </c>
      <c r="AP41" s="55">
        <v>88475</v>
      </c>
      <c r="AQ41" s="55">
        <v>88559</v>
      </c>
      <c r="AR41" s="55">
        <v>88624</v>
      </c>
      <c r="AS41" s="55">
        <v>88087.5</v>
      </c>
      <c r="AT41" s="55">
        <v>87378</v>
      </c>
      <c r="AU41" s="55">
        <v>86138</v>
      </c>
      <c r="AV41" s="55">
        <v>86508.5</v>
      </c>
      <c r="AW41" s="55">
        <v>86921</v>
      </c>
      <c r="AX41" s="55">
        <v>89097</v>
      </c>
      <c r="AY41" s="55">
        <v>90860</v>
      </c>
      <c r="AZ41" s="55">
        <v>90904</v>
      </c>
      <c r="BA41" s="55">
        <v>90948</v>
      </c>
      <c r="BB41" s="55">
        <v>91603</v>
      </c>
      <c r="BC41" s="55">
        <v>91841</v>
      </c>
      <c r="BD41" s="55">
        <v>92230.5</v>
      </c>
      <c r="BE41" s="55">
        <v>92300.5</v>
      </c>
      <c r="BF41" s="55">
        <v>92687.5</v>
      </c>
      <c r="BG41" s="55">
        <v>92789.5</v>
      </c>
      <c r="BH41" s="55">
        <v>93112</v>
      </c>
      <c r="BI41" s="55">
        <v>93315</v>
      </c>
      <c r="BJ41" s="55">
        <v>93527.5</v>
      </c>
      <c r="BK41" s="55">
        <v>93861.5</v>
      </c>
      <c r="BL41" s="55">
        <v>94218.5</v>
      </c>
      <c r="BM41" s="55">
        <v>94537.5</v>
      </c>
      <c r="BN41" s="55">
        <v>94833.5</v>
      </c>
      <c r="BO41" s="55">
        <v>95096.5</v>
      </c>
      <c r="BP41" s="55">
        <v>95257</v>
      </c>
      <c r="BQ41" s="55">
        <v>95401.5</v>
      </c>
      <c r="BR41" s="55">
        <v>95534</v>
      </c>
      <c r="BS41" s="55">
        <v>95553</v>
      </c>
      <c r="BT41" s="55">
        <v>95674.5</v>
      </c>
      <c r="BU41" s="55">
        <v>95757</v>
      </c>
      <c r="BV41" s="55">
        <v>95881</v>
      </c>
      <c r="BW41" s="55">
        <v>95970.5</v>
      </c>
      <c r="BX41" s="55">
        <v>96121.5</v>
      </c>
      <c r="BY41" s="55">
        <v>96279.5</v>
      </c>
      <c r="BZ41" s="55">
        <v>96563</v>
      </c>
      <c r="CA41" s="55">
        <v>96742.5</v>
      </c>
      <c r="CB41" s="55">
        <v>96847</v>
      </c>
      <c r="CC41" s="55">
        <v>97000.5</v>
      </c>
      <c r="CD41" s="55">
        <v>97124.5</v>
      </c>
      <c r="CE41" s="55">
        <v>97226.5</v>
      </c>
      <c r="CF41" s="55">
        <v>97380</v>
      </c>
      <c r="CG41" s="55">
        <v>97497</v>
      </c>
      <c r="CH41" s="55">
        <v>97599</v>
      </c>
      <c r="CI41" s="55">
        <v>97739.5</v>
      </c>
      <c r="CJ41" s="55">
        <v>97790.5</v>
      </c>
      <c r="CK41" s="55">
        <v>97864.5</v>
      </c>
      <c r="CL41" s="55">
        <v>97999</v>
      </c>
      <c r="CM41" s="55">
        <v>98050</v>
      </c>
      <c r="CN41" s="55">
        <v>98144</v>
      </c>
      <c r="CO41" s="55">
        <v>98229</v>
      </c>
      <c r="CP41" s="55">
        <v>98308</v>
      </c>
      <c r="CQ41" s="55">
        <v>98383</v>
      </c>
      <c r="CR41" s="55">
        <v>98418.5</v>
      </c>
      <c r="CS41" s="55">
        <v>98492.5</v>
      </c>
      <c r="CT41" s="55">
        <v>98536.5</v>
      </c>
      <c r="CU41" s="55">
        <v>98588</v>
      </c>
      <c r="CV41" s="55">
        <v>98615.5</v>
      </c>
      <c r="CW41" s="55">
        <v>98659.5</v>
      </c>
      <c r="CX41" s="55">
        <v>98716</v>
      </c>
      <c r="CY41" s="55">
        <v>98737</v>
      </c>
      <c r="CZ41" s="55">
        <v>98758.5</v>
      </c>
      <c r="DA41" s="55">
        <v>98780.5</v>
      </c>
      <c r="DB41" s="55">
        <v>98823.5</v>
      </c>
      <c r="DC41" s="55">
        <v>98861</v>
      </c>
      <c r="DD41" s="55">
        <v>98887</v>
      </c>
      <c r="DE41" s="55">
        <v>98909.5</v>
      </c>
      <c r="DF41" s="55">
        <v>98968</v>
      </c>
      <c r="DG41" s="55">
        <v>98979.5</v>
      </c>
      <c r="DH41" s="55">
        <v>99010</v>
      </c>
      <c r="DI41" s="55">
        <v>99018.5</v>
      </c>
      <c r="DJ41" s="55">
        <v>99063</v>
      </c>
      <c r="DK41" s="55">
        <v>99083</v>
      </c>
      <c r="DL41" s="55">
        <v>99099</v>
      </c>
      <c r="DM41" s="55">
        <v>99131</v>
      </c>
      <c r="DN41" s="55">
        <v>99161.5</v>
      </c>
      <c r="DO41" s="55">
        <v>99191</v>
      </c>
    </row>
    <row r="42" spans="1:119">
      <c r="A42" s="52">
        <v>40</v>
      </c>
      <c r="B42" s="55"/>
      <c r="C42" s="55"/>
      <c r="D42" s="55"/>
      <c r="E42" s="55"/>
      <c r="F42" s="55"/>
      <c r="G42" s="55"/>
      <c r="H42" s="55"/>
      <c r="I42" s="55"/>
      <c r="J42" s="55"/>
      <c r="K42" s="55"/>
      <c r="L42" s="55"/>
      <c r="M42" s="55"/>
      <c r="N42" s="55"/>
      <c r="O42" s="55"/>
      <c r="P42" s="55"/>
      <c r="Q42" s="55"/>
      <c r="R42" s="55"/>
      <c r="S42" s="55"/>
      <c r="T42" s="55"/>
      <c r="U42" s="55"/>
      <c r="V42" s="55"/>
      <c r="W42" s="55">
        <v>77532.5</v>
      </c>
      <c r="X42" s="55">
        <v>78347</v>
      </c>
      <c r="Y42" s="55">
        <v>78491.5</v>
      </c>
      <c r="Z42" s="55">
        <v>80644.5</v>
      </c>
      <c r="AA42" s="55">
        <v>81066.5</v>
      </c>
      <c r="AB42" s="55">
        <v>81739.5</v>
      </c>
      <c r="AC42" s="55">
        <v>82595.5</v>
      </c>
      <c r="AD42" s="55">
        <v>83553</v>
      </c>
      <c r="AE42" s="55">
        <v>83532</v>
      </c>
      <c r="AF42" s="55">
        <v>84772.5</v>
      </c>
      <c r="AG42" s="55">
        <v>85225</v>
      </c>
      <c r="AH42" s="55">
        <v>85536.5</v>
      </c>
      <c r="AI42" s="55">
        <v>85880</v>
      </c>
      <c r="AJ42" s="55">
        <v>87122.5</v>
      </c>
      <c r="AK42" s="55">
        <v>87088.5</v>
      </c>
      <c r="AL42" s="55">
        <v>87428</v>
      </c>
      <c r="AM42" s="55">
        <v>87716</v>
      </c>
      <c r="AN42" s="55">
        <v>88187</v>
      </c>
      <c r="AO42" s="55">
        <v>88170</v>
      </c>
      <c r="AP42" s="55">
        <v>88299</v>
      </c>
      <c r="AQ42" s="55">
        <v>88385</v>
      </c>
      <c r="AR42" s="55">
        <v>88456.5</v>
      </c>
      <c r="AS42" s="55">
        <v>87920</v>
      </c>
      <c r="AT42" s="55">
        <v>87223.5</v>
      </c>
      <c r="AU42" s="55">
        <v>85995</v>
      </c>
      <c r="AV42" s="55">
        <v>86362.5</v>
      </c>
      <c r="AW42" s="55">
        <v>86779.5</v>
      </c>
      <c r="AX42" s="55">
        <v>88948.5</v>
      </c>
      <c r="AY42" s="55">
        <v>90716.5</v>
      </c>
      <c r="AZ42" s="55">
        <v>90747.5</v>
      </c>
      <c r="BA42" s="55">
        <v>90795</v>
      </c>
      <c r="BB42" s="55">
        <v>91441.5</v>
      </c>
      <c r="BC42" s="55">
        <v>91678.5</v>
      </c>
      <c r="BD42" s="55">
        <v>92073.5</v>
      </c>
      <c r="BE42" s="55">
        <v>92142</v>
      </c>
      <c r="BF42" s="55">
        <v>92542</v>
      </c>
      <c r="BG42" s="55">
        <v>92650</v>
      </c>
      <c r="BH42" s="55">
        <v>92977</v>
      </c>
      <c r="BI42" s="55">
        <v>93184</v>
      </c>
      <c r="BJ42" s="55">
        <v>93399</v>
      </c>
      <c r="BK42" s="55">
        <v>93742.5</v>
      </c>
      <c r="BL42" s="55">
        <v>94102</v>
      </c>
      <c r="BM42" s="55">
        <v>94424</v>
      </c>
      <c r="BN42" s="55">
        <v>94724.5</v>
      </c>
      <c r="BO42" s="55">
        <v>94996.5</v>
      </c>
      <c r="BP42" s="55">
        <v>95155.5</v>
      </c>
      <c r="BQ42" s="55">
        <v>95307</v>
      </c>
      <c r="BR42" s="55">
        <v>95446.5</v>
      </c>
      <c r="BS42" s="55">
        <v>95464.5</v>
      </c>
      <c r="BT42" s="55">
        <v>95588.5</v>
      </c>
      <c r="BU42" s="55">
        <v>95667</v>
      </c>
      <c r="BV42" s="55">
        <v>95798.5</v>
      </c>
      <c r="BW42" s="55">
        <v>95882</v>
      </c>
      <c r="BX42" s="55">
        <v>96040.5</v>
      </c>
      <c r="BY42" s="55">
        <v>96199.5</v>
      </c>
      <c r="BZ42" s="55">
        <v>96482.5</v>
      </c>
      <c r="CA42" s="55">
        <v>96663</v>
      </c>
      <c r="CB42" s="55">
        <v>96769</v>
      </c>
      <c r="CC42" s="55">
        <v>96924.5</v>
      </c>
      <c r="CD42" s="55">
        <v>97050</v>
      </c>
      <c r="CE42" s="55">
        <v>97153.5</v>
      </c>
      <c r="CF42" s="55">
        <v>97308.5</v>
      </c>
      <c r="CG42" s="55">
        <v>97427</v>
      </c>
      <c r="CH42" s="55">
        <v>97530</v>
      </c>
      <c r="CI42" s="55">
        <v>97673</v>
      </c>
      <c r="CJ42" s="55">
        <v>97725</v>
      </c>
      <c r="CK42" s="55">
        <v>97800</v>
      </c>
      <c r="CL42" s="55">
        <v>97936.5</v>
      </c>
      <c r="CM42" s="55">
        <v>97989</v>
      </c>
      <c r="CN42" s="55">
        <v>98084</v>
      </c>
      <c r="CO42" s="55">
        <v>98170.5</v>
      </c>
      <c r="CP42" s="55">
        <v>98250</v>
      </c>
      <c r="CQ42" s="55">
        <v>98327</v>
      </c>
      <c r="CR42" s="55">
        <v>98363.5</v>
      </c>
      <c r="CS42" s="55">
        <v>98439</v>
      </c>
      <c r="CT42" s="55">
        <v>98484</v>
      </c>
      <c r="CU42" s="55">
        <v>98536.5</v>
      </c>
      <c r="CV42" s="55">
        <v>98565</v>
      </c>
      <c r="CW42" s="55">
        <v>98610</v>
      </c>
      <c r="CX42" s="55">
        <v>98668</v>
      </c>
      <c r="CY42" s="55">
        <v>98690</v>
      </c>
      <c r="CZ42" s="55">
        <v>98713</v>
      </c>
      <c r="DA42" s="55">
        <v>98735.5</v>
      </c>
      <c r="DB42" s="55">
        <v>98779.5</v>
      </c>
      <c r="DC42" s="55">
        <v>98817.5</v>
      </c>
      <c r="DD42" s="55">
        <v>98845</v>
      </c>
      <c r="DE42" s="55">
        <v>98868.5</v>
      </c>
      <c r="DF42" s="55">
        <v>98928.5</v>
      </c>
      <c r="DG42" s="55">
        <v>98940.5</v>
      </c>
      <c r="DH42" s="55">
        <v>98971</v>
      </c>
      <c r="DI42" s="55">
        <v>98981</v>
      </c>
      <c r="DJ42" s="55">
        <v>99026</v>
      </c>
      <c r="DK42" s="55">
        <v>99047</v>
      </c>
      <c r="DL42" s="55">
        <v>99064</v>
      </c>
      <c r="DM42" s="55">
        <v>99096.5</v>
      </c>
      <c r="DN42" s="55">
        <v>99128</v>
      </c>
      <c r="DO42" s="55">
        <v>99158</v>
      </c>
    </row>
    <row r="43" spans="1:119">
      <c r="A43" s="52">
        <v>41</v>
      </c>
      <c r="B43" s="55"/>
      <c r="C43" s="55"/>
      <c r="D43" s="55"/>
      <c r="E43" s="55"/>
      <c r="F43" s="55"/>
      <c r="G43" s="55"/>
      <c r="H43" s="55"/>
      <c r="I43" s="55"/>
      <c r="J43" s="55"/>
      <c r="K43" s="55"/>
      <c r="L43" s="55"/>
      <c r="M43" s="55"/>
      <c r="N43" s="55"/>
      <c r="O43" s="55"/>
      <c r="P43" s="55"/>
      <c r="Q43" s="55"/>
      <c r="R43" s="55"/>
      <c r="S43" s="55"/>
      <c r="T43" s="55"/>
      <c r="U43" s="55"/>
      <c r="V43" s="55"/>
      <c r="W43" s="55">
        <v>77346.5</v>
      </c>
      <c r="X43" s="55">
        <v>78156.5</v>
      </c>
      <c r="Y43" s="55">
        <v>78300</v>
      </c>
      <c r="Z43" s="55">
        <v>80452</v>
      </c>
      <c r="AA43" s="55">
        <v>80876.5</v>
      </c>
      <c r="AB43" s="55">
        <v>81541.5</v>
      </c>
      <c r="AC43" s="55">
        <v>82403</v>
      </c>
      <c r="AD43" s="55">
        <v>83358</v>
      </c>
      <c r="AE43" s="55">
        <v>83318</v>
      </c>
      <c r="AF43" s="55">
        <v>84564.5</v>
      </c>
      <c r="AG43" s="55">
        <v>85020.5</v>
      </c>
      <c r="AH43" s="55">
        <v>85339</v>
      </c>
      <c r="AI43" s="55">
        <v>85679</v>
      </c>
      <c r="AJ43" s="55">
        <v>86926</v>
      </c>
      <c r="AK43" s="55">
        <v>86881</v>
      </c>
      <c r="AL43" s="55">
        <v>87226.5</v>
      </c>
      <c r="AM43" s="55">
        <v>87522.5</v>
      </c>
      <c r="AN43" s="55">
        <v>87991</v>
      </c>
      <c r="AO43" s="55">
        <v>87976</v>
      </c>
      <c r="AP43" s="55">
        <v>88114</v>
      </c>
      <c r="AQ43" s="55">
        <v>88200</v>
      </c>
      <c r="AR43" s="55">
        <v>88275</v>
      </c>
      <c r="AS43" s="55">
        <v>87746</v>
      </c>
      <c r="AT43" s="55">
        <v>87058.5</v>
      </c>
      <c r="AU43" s="55">
        <v>85837</v>
      </c>
      <c r="AV43" s="55">
        <v>86208</v>
      </c>
      <c r="AW43" s="55">
        <v>86629.5</v>
      </c>
      <c r="AX43" s="55">
        <v>88790.5</v>
      </c>
      <c r="AY43" s="55">
        <v>90549</v>
      </c>
      <c r="AZ43" s="55">
        <v>90570.5</v>
      </c>
      <c r="BA43" s="55">
        <v>90619.5</v>
      </c>
      <c r="BB43" s="55">
        <v>91271.5</v>
      </c>
      <c r="BC43" s="55">
        <v>91505.5</v>
      </c>
      <c r="BD43" s="55">
        <v>91900.5</v>
      </c>
      <c r="BE43" s="55">
        <v>91980</v>
      </c>
      <c r="BF43" s="55">
        <v>92390</v>
      </c>
      <c r="BG43" s="55">
        <v>92498.5</v>
      </c>
      <c r="BH43" s="55">
        <v>92832.5</v>
      </c>
      <c r="BI43" s="55">
        <v>93045.5</v>
      </c>
      <c r="BJ43" s="55">
        <v>93265</v>
      </c>
      <c r="BK43" s="55">
        <v>93606.5</v>
      </c>
      <c r="BL43" s="55">
        <v>93980.5</v>
      </c>
      <c r="BM43" s="55">
        <v>94308</v>
      </c>
      <c r="BN43" s="55">
        <v>94610.5</v>
      </c>
      <c r="BO43" s="55">
        <v>94884</v>
      </c>
      <c r="BP43" s="55">
        <v>95051</v>
      </c>
      <c r="BQ43" s="55">
        <v>95209.5</v>
      </c>
      <c r="BR43" s="55">
        <v>95347</v>
      </c>
      <c r="BS43" s="55">
        <v>95367</v>
      </c>
      <c r="BT43" s="55">
        <v>95495.5</v>
      </c>
      <c r="BU43" s="55">
        <v>95569.5</v>
      </c>
      <c r="BV43" s="55">
        <v>95709.5</v>
      </c>
      <c r="BW43" s="55">
        <v>95793.5</v>
      </c>
      <c r="BX43" s="55">
        <v>95950.5</v>
      </c>
      <c r="BY43" s="55">
        <v>96110.5</v>
      </c>
      <c r="BZ43" s="55">
        <v>96395</v>
      </c>
      <c r="CA43" s="55">
        <v>96578</v>
      </c>
      <c r="CB43" s="55">
        <v>96686</v>
      </c>
      <c r="CC43" s="55">
        <v>96842.5</v>
      </c>
      <c r="CD43" s="55">
        <v>96969.5</v>
      </c>
      <c r="CE43" s="55">
        <v>97075</v>
      </c>
      <c r="CF43" s="55">
        <v>97232</v>
      </c>
      <c r="CG43" s="55">
        <v>97351.5</v>
      </c>
      <c r="CH43" s="55">
        <v>97457</v>
      </c>
      <c r="CI43" s="55">
        <v>97600.5</v>
      </c>
      <c r="CJ43" s="55">
        <v>97654</v>
      </c>
      <c r="CK43" s="55">
        <v>97731</v>
      </c>
      <c r="CL43" s="55">
        <v>97868.5</v>
      </c>
      <c r="CM43" s="55">
        <v>97922.5</v>
      </c>
      <c r="CN43" s="55">
        <v>98019.5</v>
      </c>
      <c r="CO43" s="55">
        <v>98107</v>
      </c>
      <c r="CP43" s="55">
        <v>98187.5</v>
      </c>
      <c r="CQ43" s="55">
        <v>98266</v>
      </c>
      <c r="CR43" s="55">
        <v>98303.5</v>
      </c>
      <c r="CS43" s="55">
        <v>98380.5</v>
      </c>
      <c r="CT43" s="55">
        <v>98427</v>
      </c>
      <c r="CU43" s="55">
        <v>98481</v>
      </c>
      <c r="CV43" s="55">
        <v>98510.5</v>
      </c>
      <c r="CW43" s="55">
        <v>98557</v>
      </c>
      <c r="CX43" s="55">
        <v>98615.5</v>
      </c>
      <c r="CY43" s="55">
        <v>98639</v>
      </c>
      <c r="CZ43" s="55">
        <v>98663</v>
      </c>
      <c r="DA43" s="55">
        <v>98687</v>
      </c>
      <c r="DB43" s="55">
        <v>98732</v>
      </c>
      <c r="DC43" s="55">
        <v>98771</v>
      </c>
      <c r="DD43" s="55">
        <v>98799.5</v>
      </c>
      <c r="DE43" s="55">
        <v>98823.5</v>
      </c>
      <c r="DF43" s="55">
        <v>98884</v>
      </c>
      <c r="DG43" s="55">
        <v>98897.5</v>
      </c>
      <c r="DH43" s="55">
        <v>98929.5</v>
      </c>
      <c r="DI43" s="55">
        <v>98940</v>
      </c>
      <c r="DJ43" s="55">
        <v>98985.5</v>
      </c>
      <c r="DK43" s="55">
        <v>99008</v>
      </c>
      <c r="DL43" s="55">
        <v>99025.5</v>
      </c>
      <c r="DM43" s="55">
        <v>99059</v>
      </c>
      <c r="DN43" s="55">
        <v>99091</v>
      </c>
      <c r="DO43" s="55">
        <v>99122</v>
      </c>
    </row>
    <row r="44" spans="1:119">
      <c r="A44" s="52">
        <v>42</v>
      </c>
      <c r="B44" s="55"/>
      <c r="C44" s="55"/>
      <c r="D44" s="55"/>
      <c r="E44" s="55"/>
      <c r="F44" s="55"/>
      <c r="G44" s="55"/>
      <c r="H44" s="55"/>
      <c r="I44" s="55"/>
      <c r="J44" s="55"/>
      <c r="K44" s="55"/>
      <c r="L44" s="55"/>
      <c r="M44" s="55"/>
      <c r="N44" s="55"/>
      <c r="O44" s="55"/>
      <c r="P44" s="55"/>
      <c r="Q44" s="55"/>
      <c r="R44" s="55"/>
      <c r="S44" s="55"/>
      <c r="T44" s="55"/>
      <c r="U44" s="55"/>
      <c r="V44" s="55"/>
      <c r="W44" s="55">
        <v>77148</v>
      </c>
      <c r="X44" s="55">
        <v>77948</v>
      </c>
      <c r="Y44" s="55">
        <v>78105</v>
      </c>
      <c r="Z44" s="55">
        <v>80243.5</v>
      </c>
      <c r="AA44" s="55">
        <v>80667.5</v>
      </c>
      <c r="AB44" s="55">
        <v>81335</v>
      </c>
      <c r="AC44" s="55">
        <v>82194</v>
      </c>
      <c r="AD44" s="55">
        <v>83133.5</v>
      </c>
      <c r="AE44" s="55">
        <v>83096</v>
      </c>
      <c r="AF44" s="55">
        <v>84333</v>
      </c>
      <c r="AG44" s="55">
        <v>84795.5</v>
      </c>
      <c r="AH44" s="55">
        <v>85126</v>
      </c>
      <c r="AI44" s="55">
        <v>85460</v>
      </c>
      <c r="AJ44" s="55">
        <v>86699.5</v>
      </c>
      <c r="AK44" s="55">
        <v>86660</v>
      </c>
      <c r="AL44" s="55">
        <v>87009.5</v>
      </c>
      <c r="AM44" s="55">
        <v>87318.5</v>
      </c>
      <c r="AN44" s="55">
        <v>87784.5</v>
      </c>
      <c r="AO44" s="55">
        <v>87778.5</v>
      </c>
      <c r="AP44" s="55">
        <v>87907.5</v>
      </c>
      <c r="AQ44" s="55">
        <v>88004</v>
      </c>
      <c r="AR44" s="55">
        <v>88088.5</v>
      </c>
      <c r="AS44" s="55">
        <v>87563</v>
      </c>
      <c r="AT44" s="55">
        <v>86885</v>
      </c>
      <c r="AU44" s="55">
        <v>85662</v>
      </c>
      <c r="AV44" s="55">
        <v>86041.5</v>
      </c>
      <c r="AW44" s="55">
        <v>86465.5</v>
      </c>
      <c r="AX44" s="55">
        <v>88616.5</v>
      </c>
      <c r="AY44" s="55">
        <v>90370.5</v>
      </c>
      <c r="AZ44" s="55">
        <v>90378.5</v>
      </c>
      <c r="BA44" s="55">
        <v>90430</v>
      </c>
      <c r="BB44" s="55">
        <v>91087</v>
      </c>
      <c r="BC44" s="55">
        <v>91317.5</v>
      </c>
      <c r="BD44" s="55">
        <v>91721</v>
      </c>
      <c r="BE44" s="55">
        <v>91809</v>
      </c>
      <c r="BF44" s="55">
        <v>92223.5</v>
      </c>
      <c r="BG44" s="55">
        <v>92338</v>
      </c>
      <c r="BH44" s="55">
        <v>92676</v>
      </c>
      <c r="BI44" s="55">
        <v>92897.5</v>
      </c>
      <c r="BJ44" s="55">
        <v>93124.5</v>
      </c>
      <c r="BK44" s="55">
        <v>93466</v>
      </c>
      <c r="BL44" s="55">
        <v>93846</v>
      </c>
      <c r="BM44" s="55">
        <v>94184.5</v>
      </c>
      <c r="BN44" s="55">
        <v>94493.5</v>
      </c>
      <c r="BO44" s="55">
        <v>94763.5</v>
      </c>
      <c r="BP44" s="55">
        <v>94941</v>
      </c>
      <c r="BQ44" s="55">
        <v>95104</v>
      </c>
      <c r="BR44" s="55">
        <v>95238.5</v>
      </c>
      <c r="BS44" s="55">
        <v>95263.5</v>
      </c>
      <c r="BT44" s="55">
        <v>95393</v>
      </c>
      <c r="BU44" s="55">
        <v>95469</v>
      </c>
      <c r="BV44" s="55">
        <v>95612</v>
      </c>
      <c r="BW44" s="55">
        <v>95693</v>
      </c>
      <c r="BX44" s="55">
        <v>95853</v>
      </c>
      <c r="BY44" s="55">
        <v>96015</v>
      </c>
      <c r="BZ44" s="55">
        <v>96301</v>
      </c>
      <c r="CA44" s="55">
        <v>96486</v>
      </c>
      <c r="CB44" s="55">
        <v>96595.5</v>
      </c>
      <c r="CC44" s="55">
        <v>96754</v>
      </c>
      <c r="CD44" s="55">
        <v>96883</v>
      </c>
      <c r="CE44" s="55">
        <v>96990</v>
      </c>
      <c r="CF44" s="55">
        <v>97148.5</v>
      </c>
      <c r="CG44" s="55">
        <v>97270.5</v>
      </c>
      <c r="CH44" s="55">
        <v>97376.5</v>
      </c>
      <c r="CI44" s="55">
        <v>97522.5</v>
      </c>
      <c r="CJ44" s="55">
        <v>97577.5</v>
      </c>
      <c r="CK44" s="55">
        <v>97656</v>
      </c>
      <c r="CL44" s="55">
        <v>97795.5</v>
      </c>
      <c r="CM44" s="55">
        <v>97851</v>
      </c>
      <c r="CN44" s="55">
        <v>97948.5</v>
      </c>
      <c r="CO44" s="55">
        <v>98038</v>
      </c>
      <c r="CP44" s="55">
        <v>98120.5</v>
      </c>
      <c r="CQ44" s="55">
        <v>98200</v>
      </c>
      <c r="CR44" s="55">
        <v>98239</v>
      </c>
      <c r="CS44" s="55">
        <v>98317.5</v>
      </c>
      <c r="CT44" s="55">
        <v>98365.5</v>
      </c>
      <c r="CU44" s="55">
        <v>98420</v>
      </c>
      <c r="CV44" s="55">
        <v>98451</v>
      </c>
      <c r="CW44" s="55">
        <v>98498.5</v>
      </c>
      <c r="CX44" s="55">
        <v>98559.5</v>
      </c>
      <c r="CY44" s="55">
        <v>98583.5</v>
      </c>
      <c r="CZ44" s="55">
        <v>98608</v>
      </c>
      <c r="DA44" s="55">
        <v>98633</v>
      </c>
      <c r="DB44" s="55">
        <v>98679.5</v>
      </c>
      <c r="DC44" s="55">
        <v>98720</v>
      </c>
      <c r="DD44" s="55">
        <v>98749.5</v>
      </c>
      <c r="DE44" s="55">
        <v>98774.5</v>
      </c>
      <c r="DF44" s="55">
        <v>98836</v>
      </c>
      <c r="DG44" s="55">
        <v>98850.5</v>
      </c>
      <c r="DH44" s="55">
        <v>98883.5</v>
      </c>
      <c r="DI44" s="55">
        <v>98895</v>
      </c>
      <c r="DJ44" s="55">
        <v>98942</v>
      </c>
      <c r="DK44" s="55">
        <v>98965</v>
      </c>
      <c r="DL44" s="55">
        <v>98983.5</v>
      </c>
      <c r="DM44" s="55">
        <v>99018</v>
      </c>
      <c r="DN44" s="55">
        <v>99051</v>
      </c>
      <c r="DO44" s="55">
        <v>99083</v>
      </c>
    </row>
    <row r="45" spans="1:119">
      <c r="A45" s="52">
        <v>43</v>
      </c>
      <c r="B45" s="55"/>
      <c r="C45" s="55"/>
      <c r="D45" s="55"/>
      <c r="E45" s="55"/>
      <c r="F45" s="55"/>
      <c r="G45" s="55"/>
      <c r="H45" s="55"/>
      <c r="I45" s="55"/>
      <c r="J45" s="55"/>
      <c r="K45" s="55"/>
      <c r="L45" s="55"/>
      <c r="M45" s="55"/>
      <c r="N45" s="55"/>
      <c r="O45" s="55"/>
      <c r="P45" s="55"/>
      <c r="Q45" s="55"/>
      <c r="R45" s="55"/>
      <c r="S45" s="55"/>
      <c r="T45" s="55"/>
      <c r="U45" s="55"/>
      <c r="V45" s="55"/>
      <c r="W45" s="55">
        <v>76926</v>
      </c>
      <c r="X45" s="55">
        <v>77732</v>
      </c>
      <c r="Y45" s="55">
        <v>77881</v>
      </c>
      <c r="Z45" s="55">
        <v>80010</v>
      </c>
      <c r="AA45" s="55">
        <v>80443.5</v>
      </c>
      <c r="AB45" s="55">
        <v>81115.5</v>
      </c>
      <c r="AC45" s="55">
        <v>81948</v>
      </c>
      <c r="AD45" s="55">
        <v>82890</v>
      </c>
      <c r="AE45" s="55">
        <v>82847.5</v>
      </c>
      <c r="AF45" s="55">
        <v>84089.5</v>
      </c>
      <c r="AG45" s="55">
        <v>84556.5</v>
      </c>
      <c r="AH45" s="55">
        <v>84884.5</v>
      </c>
      <c r="AI45" s="55">
        <v>85221</v>
      </c>
      <c r="AJ45" s="55">
        <v>86454</v>
      </c>
      <c r="AK45" s="55">
        <v>86434</v>
      </c>
      <c r="AL45" s="55">
        <v>86787</v>
      </c>
      <c r="AM45" s="55">
        <v>87091.5</v>
      </c>
      <c r="AN45" s="55">
        <v>87564.5</v>
      </c>
      <c r="AO45" s="55">
        <v>87554.5</v>
      </c>
      <c r="AP45" s="55">
        <v>87693</v>
      </c>
      <c r="AQ45" s="55">
        <v>87799</v>
      </c>
      <c r="AR45" s="55">
        <v>87896.5</v>
      </c>
      <c r="AS45" s="55">
        <v>87371.5</v>
      </c>
      <c r="AT45" s="55">
        <v>86689</v>
      </c>
      <c r="AU45" s="55">
        <v>85480.5</v>
      </c>
      <c r="AV45" s="55">
        <v>85851</v>
      </c>
      <c r="AW45" s="55">
        <v>86276</v>
      </c>
      <c r="AX45" s="55">
        <v>88425</v>
      </c>
      <c r="AY45" s="55">
        <v>90173.5</v>
      </c>
      <c r="AZ45" s="55">
        <v>90183</v>
      </c>
      <c r="BA45" s="55">
        <v>90229.5</v>
      </c>
      <c r="BB45" s="55">
        <v>90890</v>
      </c>
      <c r="BC45" s="55">
        <v>91110</v>
      </c>
      <c r="BD45" s="55">
        <v>91532.5</v>
      </c>
      <c r="BE45" s="55">
        <v>91627.5</v>
      </c>
      <c r="BF45" s="55">
        <v>92045</v>
      </c>
      <c r="BG45" s="55">
        <v>92161.5</v>
      </c>
      <c r="BH45" s="55">
        <v>92510.5</v>
      </c>
      <c r="BI45" s="55">
        <v>92737.5</v>
      </c>
      <c r="BJ45" s="55">
        <v>92964</v>
      </c>
      <c r="BK45" s="55">
        <v>93316.5</v>
      </c>
      <c r="BL45" s="55">
        <v>93702</v>
      </c>
      <c r="BM45" s="55">
        <v>94047</v>
      </c>
      <c r="BN45" s="55">
        <v>94362</v>
      </c>
      <c r="BO45" s="55">
        <v>94635</v>
      </c>
      <c r="BP45" s="55">
        <v>94824.5</v>
      </c>
      <c r="BQ45" s="55">
        <v>94990.5</v>
      </c>
      <c r="BR45" s="55">
        <v>95120</v>
      </c>
      <c r="BS45" s="55">
        <v>95150.5</v>
      </c>
      <c r="BT45" s="55">
        <v>95280.5</v>
      </c>
      <c r="BU45" s="55">
        <v>95358</v>
      </c>
      <c r="BV45" s="55">
        <v>95497.5</v>
      </c>
      <c r="BW45" s="55">
        <v>95584.5</v>
      </c>
      <c r="BX45" s="55">
        <v>95747</v>
      </c>
      <c r="BY45" s="55">
        <v>95911</v>
      </c>
      <c r="BZ45" s="55">
        <v>96199</v>
      </c>
      <c r="CA45" s="55">
        <v>96386</v>
      </c>
      <c r="CB45" s="55">
        <v>96497.5</v>
      </c>
      <c r="CC45" s="55">
        <v>96658</v>
      </c>
      <c r="CD45" s="55">
        <v>96788.5</v>
      </c>
      <c r="CE45" s="55">
        <v>96898</v>
      </c>
      <c r="CF45" s="55">
        <v>97058</v>
      </c>
      <c r="CG45" s="55">
        <v>97182</v>
      </c>
      <c r="CH45" s="55">
        <v>97290</v>
      </c>
      <c r="CI45" s="55">
        <v>97437.5</v>
      </c>
      <c r="CJ45" s="55">
        <v>97494.5</v>
      </c>
      <c r="CK45" s="55">
        <v>97574.5</v>
      </c>
      <c r="CL45" s="55">
        <v>97715.5</v>
      </c>
      <c r="CM45" s="55">
        <v>97772</v>
      </c>
      <c r="CN45" s="55">
        <v>97872</v>
      </c>
      <c r="CO45" s="55">
        <v>97962.5</v>
      </c>
      <c r="CP45" s="55">
        <v>98047</v>
      </c>
      <c r="CQ45" s="55">
        <v>98127.5</v>
      </c>
      <c r="CR45" s="55">
        <v>98168.5</v>
      </c>
      <c r="CS45" s="55">
        <v>98248.5</v>
      </c>
      <c r="CT45" s="55">
        <v>98297.5</v>
      </c>
      <c r="CU45" s="55">
        <v>98354</v>
      </c>
      <c r="CV45" s="55">
        <v>98386</v>
      </c>
      <c r="CW45" s="55">
        <v>98435</v>
      </c>
      <c r="CX45" s="55">
        <v>98497</v>
      </c>
      <c r="CY45" s="55">
        <v>98522.5</v>
      </c>
      <c r="CZ45" s="55">
        <v>98548.5</v>
      </c>
      <c r="DA45" s="55">
        <v>98575</v>
      </c>
      <c r="DB45" s="55">
        <v>98622.5</v>
      </c>
      <c r="DC45" s="55">
        <v>98664</v>
      </c>
      <c r="DD45" s="55">
        <v>98694.5</v>
      </c>
      <c r="DE45" s="55">
        <v>98721</v>
      </c>
      <c r="DF45" s="55">
        <v>98783.5</v>
      </c>
      <c r="DG45" s="55">
        <v>98799</v>
      </c>
      <c r="DH45" s="55">
        <v>98833</v>
      </c>
      <c r="DI45" s="55">
        <v>98846</v>
      </c>
      <c r="DJ45" s="55">
        <v>98894</v>
      </c>
      <c r="DK45" s="55">
        <v>98917.5</v>
      </c>
      <c r="DL45" s="55">
        <v>98937.5</v>
      </c>
      <c r="DM45" s="55">
        <v>98972.5</v>
      </c>
      <c r="DN45" s="55">
        <v>99006.5</v>
      </c>
      <c r="DO45" s="55">
        <v>99039.5</v>
      </c>
    </row>
    <row r="46" spans="1:119">
      <c r="A46" s="52">
        <v>44</v>
      </c>
      <c r="B46" s="55"/>
      <c r="C46" s="55"/>
      <c r="D46" s="55"/>
      <c r="E46" s="55"/>
      <c r="F46" s="55"/>
      <c r="G46" s="55"/>
      <c r="H46" s="55"/>
      <c r="I46" s="55"/>
      <c r="J46" s="55"/>
      <c r="K46" s="55"/>
      <c r="L46" s="55"/>
      <c r="M46" s="55"/>
      <c r="N46" s="55"/>
      <c r="O46" s="55"/>
      <c r="P46" s="55"/>
      <c r="Q46" s="55"/>
      <c r="R46" s="55"/>
      <c r="S46" s="55"/>
      <c r="T46" s="55"/>
      <c r="U46" s="55"/>
      <c r="V46" s="55"/>
      <c r="W46" s="55">
        <v>76689</v>
      </c>
      <c r="X46" s="55">
        <v>77495.5</v>
      </c>
      <c r="Y46" s="55">
        <v>77634.5</v>
      </c>
      <c r="Z46" s="55">
        <v>79758.5</v>
      </c>
      <c r="AA46" s="55">
        <v>80193.5</v>
      </c>
      <c r="AB46" s="55">
        <v>80854.5</v>
      </c>
      <c r="AC46" s="55">
        <v>81690.5</v>
      </c>
      <c r="AD46" s="55">
        <v>82630.5</v>
      </c>
      <c r="AE46" s="55">
        <v>82590</v>
      </c>
      <c r="AF46" s="55">
        <v>83829.5</v>
      </c>
      <c r="AG46" s="55">
        <v>84278</v>
      </c>
      <c r="AH46" s="55">
        <v>84616</v>
      </c>
      <c r="AI46" s="55">
        <v>84963.5</v>
      </c>
      <c r="AJ46" s="55">
        <v>86194</v>
      </c>
      <c r="AK46" s="55">
        <v>86176.5</v>
      </c>
      <c r="AL46" s="55">
        <v>86537</v>
      </c>
      <c r="AM46" s="55">
        <v>86849</v>
      </c>
      <c r="AN46" s="55">
        <v>87328</v>
      </c>
      <c r="AO46" s="55">
        <v>87324.5</v>
      </c>
      <c r="AP46" s="55">
        <v>87474.5</v>
      </c>
      <c r="AQ46" s="55">
        <v>87580.5</v>
      </c>
      <c r="AR46" s="55">
        <v>87679</v>
      </c>
      <c r="AS46" s="55">
        <v>87164.5</v>
      </c>
      <c r="AT46" s="55">
        <v>86483.5</v>
      </c>
      <c r="AU46" s="55">
        <v>85286.5</v>
      </c>
      <c r="AV46" s="55">
        <v>85646.5</v>
      </c>
      <c r="AW46" s="55">
        <v>86070.5</v>
      </c>
      <c r="AX46" s="55">
        <v>88212.5</v>
      </c>
      <c r="AY46" s="55">
        <v>89956.5</v>
      </c>
      <c r="AZ46" s="55">
        <v>89973.5</v>
      </c>
      <c r="BA46" s="55">
        <v>90016.5</v>
      </c>
      <c r="BB46" s="55">
        <v>90680.5</v>
      </c>
      <c r="BC46" s="55">
        <v>90901</v>
      </c>
      <c r="BD46" s="55">
        <v>91329.5</v>
      </c>
      <c r="BE46" s="55">
        <v>91427.5</v>
      </c>
      <c r="BF46" s="55">
        <v>91854.5</v>
      </c>
      <c r="BG46" s="55">
        <v>91977.5</v>
      </c>
      <c r="BH46" s="55">
        <v>92331.5</v>
      </c>
      <c r="BI46" s="55">
        <v>92555.5</v>
      </c>
      <c r="BJ46" s="55">
        <v>92795.5</v>
      </c>
      <c r="BK46" s="55">
        <v>93155.5</v>
      </c>
      <c r="BL46" s="55">
        <v>93543.5</v>
      </c>
      <c r="BM46" s="55">
        <v>93898.5</v>
      </c>
      <c r="BN46" s="55">
        <v>94220</v>
      </c>
      <c r="BO46" s="55">
        <v>94498</v>
      </c>
      <c r="BP46" s="55">
        <v>94689</v>
      </c>
      <c r="BQ46" s="55">
        <v>94858.5</v>
      </c>
      <c r="BR46" s="55">
        <v>94991</v>
      </c>
      <c r="BS46" s="55">
        <v>95028.5</v>
      </c>
      <c r="BT46" s="55">
        <v>95157.5</v>
      </c>
      <c r="BU46" s="55">
        <v>95232.5</v>
      </c>
      <c r="BV46" s="55">
        <v>95378</v>
      </c>
      <c r="BW46" s="55">
        <v>95467.5</v>
      </c>
      <c r="BX46" s="55">
        <v>95631.5</v>
      </c>
      <c r="BY46" s="55">
        <v>95798</v>
      </c>
      <c r="BZ46" s="55">
        <v>96088.5</v>
      </c>
      <c r="CA46" s="55">
        <v>96277</v>
      </c>
      <c r="CB46" s="55">
        <v>96391</v>
      </c>
      <c r="CC46" s="55">
        <v>96553.5</v>
      </c>
      <c r="CD46" s="55">
        <v>96686.5</v>
      </c>
      <c r="CE46" s="55">
        <v>96797.5</v>
      </c>
      <c r="CF46" s="55">
        <v>96960</v>
      </c>
      <c r="CG46" s="55">
        <v>97085</v>
      </c>
      <c r="CH46" s="55">
        <v>97195</v>
      </c>
      <c r="CI46" s="55">
        <v>97344.5</v>
      </c>
      <c r="CJ46" s="55">
        <v>97403.5</v>
      </c>
      <c r="CK46" s="55">
        <v>97485.5</v>
      </c>
      <c r="CL46" s="55">
        <v>97628</v>
      </c>
      <c r="CM46" s="55">
        <v>97686.5</v>
      </c>
      <c r="CN46" s="55">
        <v>97788</v>
      </c>
      <c r="CO46" s="55">
        <v>97881</v>
      </c>
      <c r="CP46" s="55">
        <v>97966.5</v>
      </c>
      <c r="CQ46" s="55">
        <v>98049</v>
      </c>
      <c r="CR46" s="55">
        <v>98091</v>
      </c>
      <c r="CS46" s="55">
        <v>98172.5</v>
      </c>
      <c r="CT46" s="55">
        <v>98223.5</v>
      </c>
      <c r="CU46" s="55">
        <v>98281.5</v>
      </c>
      <c r="CV46" s="55">
        <v>98315.5</v>
      </c>
      <c r="CW46" s="55">
        <v>98365.5</v>
      </c>
      <c r="CX46" s="55">
        <v>98428.5</v>
      </c>
      <c r="CY46" s="55">
        <v>98456</v>
      </c>
      <c r="CZ46" s="55">
        <v>98483.5</v>
      </c>
      <c r="DA46" s="55">
        <v>98511</v>
      </c>
      <c r="DB46" s="55">
        <v>98559.5</v>
      </c>
      <c r="DC46" s="55">
        <v>98603</v>
      </c>
      <c r="DD46" s="55">
        <v>98634.5</v>
      </c>
      <c r="DE46" s="55">
        <v>98662.5</v>
      </c>
      <c r="DF46" s="55">
        <v>98726.5</v>
      </c>
      <c r="DG46" s="55">
        <v>98743</v>
      </c>
      <c r="DH46" s="55">
        <v>98778</v>
      </c>
      <c r="DI46" s="55">
        <v>98791.5</v>
      </c>
      <c r="DJ46" s="55">
        <v>98841</v>
      </c>
      <c r="DK46" s="55">
        <v>98866</v>
      </c>
      <c r="DL46" s="55">
        <v>98886.5</v>
      </c>
      <c r="DM46" s="55">
        <v>98923</v>
      </c>
      <c r="DN46" s="55">
        <v>98957.5</v>
      </c>
      <c r="DO46" s="55">
        <v>98991.5</v>
      </c>
    </row>
    <row r="47" spans="1:119">
      <c r="A47" s="52">
        <v>45</v>
      </c>
      <c r="B47" s="55"/>
      <c r="C47" s="55"/>
      <c r="D47" s="55"/>
      <c r="E47" s="55"/>
      <c r="F47" s="55"/>
      <c r="G47" s="55"/>
      <c r="H47" s="55"/>
      <c r="I47" s="55"/>
      <c r="J47" s="55"/>
      <c r="K47" s="55"/>
      <c r="L47" s="55"/>
      <c r="M47" s="55"/>
      <c r="N47" s="55"/>
      <c r="O47" s="55"/>
      <c r="P47" s="55"/>
      <c r="Q47" s="55"/>
      <c r="R47" s="55"/>
      <c r="S47" s="55"/>
      <c r="T47" s="55"/>
      <c r="U47" s="55"/>
      <c r="V47" s="55"/>
      <c r="W47" s="55">
        <v>76433</v>
      </c>
      <c r="X47" s="55">
        <v>77232.5</v>
      </c>
      <c r="Y47" s="55">
        <v>77371</v>
      </c>
      <c r="Z47" s="55">
        <v>79489</v>
      </c>
      <c r="AA47" s="55">
        <v>79912.5</v>
      </c>
      <c r="AB47" s="55">
        <v>80581.5</v>
      </c>
      <c r="AC47" s="55">
        <v>81414</v>
      </c>
      <c r="AD47" s="55">
        <v>82346</v>
      </c>
      <c r="AE47" s="55">
        <v>82304.5</v>
      </c>
      <c r="AF47" s="55">
        <v>83549.5</v>
      </c>
      <c r="AG47" s="55">
        <v>83987</v>
      </c>
      <c r="AH47" s="55">
        <v>84331.5</v>
      </c>
      <c r="AI47" s="55">
        <v>84687.5</v>
      </c>
      <c r="AJ47" s="55">
        <v>85907.5</v>
      </c>
      <c r="AK47" s="55">
        <v>85906.5</v>
      </c>
      <c r="AL47" s="55">
        <v>86267.5</v>
      </c>
      <c r="AM47" s="55">
        <v>86588.5</v>
      </c>
      <c r="AN47" s="55">
        <v>87069</v>
      </c>
      <c r="AO47" s="55">
        <v>87079</v>
      </c>
      <c r="AP47" s="55">
        <v>87243</v>
      </c>
      <c r="AQ47" s="55">
        <v>87349.5</v>
      </c>
      <c r="AR47" s="55">
        <v>87452.5</v>
      </c>
      <c r="AS47" s="55">
        <v>86936.5</v>
      </c>
      <c r="AT47" s="55">
        <v>86258.5</v>
      </c>
      <c r="AU47" s="55">
        <v>85063.5</v>
      </c>
      <c r="AV47" s="55">
        <v>85425</v>
      </c>
      <c r="AW47" s="55">
        <v>85847.5</v>
      </c>
      <c r="AX47" s="55">
        <v>87987.5</v>
      </c>
      <c r="AY47" s="55">
        <v>89722.5</v>
      </c>
      <c r="AZ47" s="55">
        <v>89741.5</v>
      </c>
      <c r="BA47" s="55">
        <v>89781</v>
      </c>
      <c r="BB47" s="55">
        <v>90459.5</v>
      </c>
      <c r="BC47" s="55">
        <v>90684.5</v>
      </c>
      <c r="BD47" s="55">
        <v>91123.5</v>
      </c>
      <c r="BE47" s="55">
        <v>91221</v>
      </c>
      <c r="BF47" s="55">
        <v>91650</v>
      </c>
      <c r="BG47" s="55">
        <v>91785</v>
      </c>
      <c r="BH47" s="55">
        <v>92136</v>
      </c>
      <c r="BI47" s="55">
        <v>92376</v>
      </c>
      <c r="BJ47" s="55">
        <v>92614.5</v>
      </c>
      <c r="BK47" s="55">
        <v>92984.5</v>
      </c>
      <c r="BL47" s="55">
        <v>93378</v>
      </c>
      <c r="BM47" s="55">
        <v>93747.5</v>
      </c>
      <c r="BN47" s="55">
        <v>94068.5</v>
      </c>
      <c r="BO47" s="55">
        <v>94347.5</v>
      </c>
      <c r="BP47" s="55">
        <v>94544.5</v>
      </c>
      <c r="BQ47" s="55">
        <v>94713</v>
      </c>
      <c r="BR47" s="55">
        <v>94853</v>
      </c>
      <c r="BS47" s="55">
        <v>94894.5</v>
      </c>
      <c r="BT47" s="55">
        <v>95026</v>
      </c>
      <c r="BU47" s="55">
        <v>95099.5</v>
      </c>
      <c r="BV47" s="55">
        <v>95247.5</v>
      </c>
      <c r="BW47" s="55">
        <v>95339.5</v>
      </c>
      <c r="BX47" s="55">
        <v>95506.5</v>
      </c>
      <c r="BY47" s="55">
        <v>95675.5</v>
      </c>
      <c r="BZ47" s="55">
        <v>95967.5</v>
      </c>
      <c r="CA47" s="55">
        <v>96158.5</v>
      </c>
      <c r="CB47" s="55">
        <v>96274.5</v>
      </c>
      <c r="CC47" s="55">
        <v>96439.5</v>
      </c>
      <c r="CD47" s="55">
        <v>96574.5</v>
      </c>
      <c r="CE47" s="55">
        <v>96687.5</v>
      </c>
      <c r="CF47" s="55">
        <v>96852</v>
      </c>
      <c r="CG47" s="55">
        <v>96979.5</v>
      </c>
      <c r="CH47" s="55">
        <v>97092</v>
      </c>
      <c r="CI47" s="55">
        <v>97243</v>
      </c>
      <c r="CJ47" s="55">
        <v>97304</v>
      </c>
      <c r="CK47" s="55">
        <v>97388</v>
      </c>
      <c r="CL47" s="55">
        <v>97532</v>
      </c>
      <c r="CM47" s="55">
        <v>97593</v>
      </c>
      <c r="CN47" s="55">
        <v>97696.5</v>
      </c>
      <c r="CO47" s="55">
        <v>97790.5</v>
      </c>
      <c r="CP47" s="55">
        <v>97878.5</v>
      </c>
      <c r="CQ47" s="55">
        <v>97963</v>
      </c>
      <c r="CR47" s="55">
        <v>98007</v>
      </c>
      <c r="CS47" s="55">
        <v>98089.5</v>
      </c>
      <c r="CT47" s="55">
        <v>98142</v>
      </c>
      <c r="CU47" s="55">
        <v>98202</v>
      </c>
      <c r="CV47" s="55">
        <v>98237</v>
      </c>
      <c r="CW47" s="55">
        <v>98289</v>
      </c>
      <c r="CX47" s="55">
        <v>98354</v>
      </c>
      <c r="CY47" s="55">
        <v>98382</v>
      </c>
      <c r="CZ47" s="55">
        <v>98411.5</v>
      </c>
      <c r="DA47" s="55">
        <v>98441</v>
      </c>
      <c r="DB47" s="55">
        <v>98491</v>
      </c>
      <c r="DC47" s="55">
        <v>98535.5</v>
      </c>
      <c r="DD47" s="55">
        <v>98568.5</v>
      </c>
      <c r="DE47" s="55">
        <v>98597.5</v>
      </c>
      <c r="DF47" s="55">
        <v>98662.5</v>
      </c>
      <c r="DG47" s="55">
        <v>98680.5</v>
      </c>
      <c r="DH47" s="55">
        <v>98717</v>
      </c>
      <c r="DI47" s="55">
        <v>98732</v>
      </c>
      <c r="DJ47" s="55">
        <v>98782.5</v>
      </c>
      <c r="DK47" s="55">
        <v>98808.5</v>
      </c>
      <c r="DL47" s="55">
        <v>98830.5</v>
      </c>
      <c r="DM47" s="55">
        <v>98868</v>
      </c>
      <c r="DN47" s="55">
        <v>98904</v>
      </c>
      <c r="DO47" s="55">
        <v>98939</v>
      </c>
    </row>
    <row r="48" spans="1:119">
      <c r="A48" s="52">
        <v>46</v>
      </c>
      <c r="B48" s="55"/>
      <c r="C48" s="55"/>
      <c r="D48" s="55"/>
      <c r="E48" s="55"/>
      <c r="F48" s="55"/>
      <c r="G48" s="55"/>
      <c r="H48" s="55"/>
      <c r="I48" s="55"/>
      <c r="J48" s="55"/>
      <c r="K48" s="55"/>
      <c r="L48" s="55"/>
      <c r="M48" s="55"/>
      <c r="N48" s="55"/>
      <c r="O48" s="55"/>
      <c r="P48" s="55"/>
      <c r="Q48" s="55"/>
      <c r="R48" s="55"/>
      <c r="S48" s="55"/>
      <c r="T48" s="55"/>
      <c r="U48" s="55"/>
      <c r="V48" s="55"/>
      <c r="W48" s="55">
        <v>76155.5</v>
      </c>
      <c r="X48" s="55">
        <v>76944.5</v>
      </c>
      <c r="Y48" s="55">
        <v>77085.5</v>
      </c>
      <c r="Z48" s="55">
        <v>79184.5</v>
      </c>
      <c r="AA48" s="55">
        <v>79622</v>
      </c>
      <c r="AB48" s="55">
        <v>80284</v>
      </c>
      <c r="AC48" s="55">
        <v>81113</v>
      </c>
      <c r="AD48" s="55">
        <v>82042</v>
      </c>
      <c r="AE48" s="55">
        <v>81991.5</v>
      </c>
      <c r="AF48" s="55">
        <v>83236</v>
      </c>
      <c r="AG48" s="55">
        <v>83678.5</v>
      </c>
      <c r="AH48" s="55">
        <v>84022.5</v>
      </c>
      <c r="AI48" s="55">
        <v>84374</v>
      </c>
      <c r="AJ48" s="55">
        <v>85605</v>
      </c>
      <c r="AK48" s="55">
        <v>85607</v>
      </c>
      <c r="AL48" s="55">
        <v>85979</v>
      </c>
      <c r="AM48" s="55">
        <v>86313</v>
      </c>
      <c r="AN48" s="55">
        <v>86800</v>
      </c>
      <c r="AO48" s="55">
        <v>86810</v>
      </c>
      <c r="AP48" s="55">
        <v>86983</v>
      </c>
      <c r="AQ48" s="55">
        <v>87096</v>
      </c>
      <c r="AR48" s="55">
        <v>87204.5</v>
      </c>
      <c r="AS48" s="55">
        <v>86689</v>
      </c>
      <c r="AT48" s="55">
        <v>86014</v>
      </c>
      <c r="AU48" s="55">
        <v>84808</v>
      </c>
      <c r="AV48" s="55">
        <v>85174</v>
      </c>
      <c r="AW48" s="55">
        <v>85611</v>
      </c>
      <c r="AX48" s="55">
        <v>87739</v>
      </c>
      <c r="AY48" s="55">
        <v>89478</v>
      </c>
      <c r="AZ48" s="55">
        <v>89496</v>
      </c>
      <c r="BA48" s="55">
        <v>89534.5</v>
      </c>
      <c r="BB48" s="55">
        <v>90222.5</v>
      </c>
      <c r="BC48" s="55">
        <v>90454</v>
      </c>
      <c r="BD48" s="55">
        <v>90892</v>
      </c>
      <c r="BE48" s="55">
        <v>91000</v>
      </c>
      <c r="BF48" s="55">
        <v>91426.5</v>
      </c>
      <c r="BG48" s="55">
        <v>91561</v>
      </c>
      <c r="BH48" s="55">
        <v>91932.5</v>
      </c>
      <c r="BI48" s="55">
        <v>92176.5</v>
      </c>
      <c r="BJ48" s="55">
        <v>92424.5</v>
      </c>
      <c r="BK48" s="55">
        <v>92796.5</v>
      </c>
      <c r="BL48" s="55">
        <v>93200</v>
      </c>
      <c r="BM48" s="55">
        <v>93574.5</v>
      </c>
      <c r="BN48" s="55">
        <v>93902.5</v>
      </c>
      <c r="BO48" s="55">
        <v>94185</v>
      </c>
      <c r="BP48" s="55">
        <v>94388</v>
      </c>
      <c r="BQ48" s="55">
        <v>94555</v>
      </c>
      <c r="BR48" s="55">
        <v>94703.5</v>
      </c>
      <c r="BS48" s="55">
        <v>94745</v>
      </c>
      <c r="BT48" s="55">
        <v>94878</v>
      </c>
      <c r="BU48" s="55">
        <v>94954.5</v>
      </c>
      <c r="BV48" s="55">
        <v>95104.5</v>
      </c>
      <c r="BW48" s="55">
        <v>95200</v>
      </c>
      <c r="BX48" s="55">
        <v>95369.5</v>
      </c>
      <c r="BY48" s="55">
        <v>95540.5</v>
      </c>
      <c r="BZ48" s="55">
        <v>95835</v>
      </c>
      <c r="CA48" s="55">
        <v>96028.5</v>
      </c>
      <c r="CB48" s="55">
        <v>96147.5</v>
      </c>
      <c r="CC48" s="55">
        <v>96314.5</v>
      </c>
      <c r="CD48" s="55">
        <v>96451.5</v>
      </c>
      <c r="CE48" s="55">
        <v>96568</v>
      </c>
      <c r="CF48" s="55">
        <v>96734</v>
      </c>
      <c r="CG48" s="55">
        <v>96864</v>
      </c>
      <c r="CH48" s="55">
        <v>96978.5</v>
      </c>
      <c r="CI48" s="55">
        <v>97132</v>
      </c>
      <c r="CJ48" s="55">
        <v>97195</v>
      </c>
      <c r="CK48" s="55">
        <v>97281</v>
      </c>
      <c r="CL48" s="55">
        <v>97427.5</v>
      </c>
      <c r="CM48" s="55">
        <v>97490.5</v>
      </c>
      <c r="CN48" s="55">
        <v>97595.5</v>
      </c>
      <c r="CO48" s="55">
        <v>97692</v>
      </c>
      <c r="CP48" s="55">
        <v>97781</v>
      </c>
      <c r="CQ48" s="55">
        <v>97868</v>
      </c>
      <c r="CR48" s="55">
        <v>97913.5</v>
      </c>
      <c r="CS48" s="55">
        <v>97998.5</v>
      </c>
      <c r="CT48" s="55">
        <v>98053</v>
      </c>
      <c r="CU48" s="55">
        <v>98114</v>
      </c>
      <c r="CV48" s="55">
        <v>98151.5</v>
      </c>
      <c r="CW48" s="55">
        <v>98205</v>
      </c>
      <c r="CX48" s="55">
        <v>98271.5</v>
      </c>
      <c r="CY48" s="55">
        <v>98302</v>
      </c>
      <c r="CZ48" s="55">
        <v>98332.5</v>
      </c>
      <c r="DA48" s="55">
        <v>98363</v>
      </c>
      <c r="DB48" s="55">
        <v>98415</v>
      </c>
      <c r="DC48" s="55">
        <v>98460.5</v>
      </c>
      <c r="DD48" s="55">
        <v>98496</v>
      </c>
      <c r="DE48" s="55">
        <v>98525.5</v>
      </c>
      <c r="DF48" s="55">
        <v>98592.5</v>
      </c>
      <c r="DG48" s="55">
        <v>98611.5</v>
      </c>
      <c r="DH48" s="55">
        <v>98650</v>
      </c>
      <c r="DI48" s="55">
        <v>98666.5</v>
      </c>
      <c r="DJ48" s="55">
        <v>98717.5</v>
      </c>
      <c r="DK48" s="55">
        <v>98745.5</v>
      </c>
      <c r="DL48" s="55">
        <v>98768.5</v>
      </c>
      <c r="DM48" s="55">
        <v>98807</v>
      </c>
      <c r="DN48" s="55">
        <v>98845</v>
      </c>
      <c r="DO48" s="55">
        <v>98881</v>
      </c>
    </row>
    <row r="49" spans="1:119">
      <c r="A49" s="52">
        <v>47</v>
      </c>
      <c r="B49" s="55"/>
      <c r="C49" s="55"/>
      <c r="D49" s="55"/>
      <c r="E49" s="55"/>
      <c r="F49" s="55"/>
      <c r="G49" s="55"/>
      <c r="H49" s="55"/>
      <c r="I49" s="55"/>
      <c r="J49" s="55"/>
      <c r="K49" s="55"/>
      <c r="L49" s="55"/>
      <c r="M49" s="55"/>
      <c r="N49" s="55"/>
      <c r="O49" s="55"/>
      <c r="P49" s="55"/>
      <c r="Q49" s="55"/>
      <c r="R49" s="55"/>
      <c r="S49" s="55"/>
      <c r="T49" s="55"/>
      <c r="U49" s="55"/>
      <c r="V49" s="55"/>
      <c r="W49" s="55">
        <v>75848</v>
      </c>
      <c r="X49" s="55">
        <v>76632.5</v>
      </c>
      <c r="Y49" s="55">
        <v>76754</v>
      </c>
      <c r="Z49" s="55">
        <v>78859.5</v>
      </c>
      <c r="AA49" s="55">
        <v>79290</v>
      </c>
      <c r="AB49" s="55">
        <v>79961.5</v>
      </c>
      <c r="AC49" s="55">
        <v>80784.5</v>
      </c>
      <c r="AD49" s="55">
        <v>81708.5</v>
      </c>
      <c r="AE49" s="55">
        <v>81659</v>
      </c>
      <c r="AF49" s="55">
        <v>82900</v>
      </c>
      <c r="AG49" s="55">
        <v>83339.5</v>
      </c>
      <c r="AH49" s="55">
        <v>83697</v>
      </c>
      <c r="AI49" s="55">
        <v>84049</v>
      </c>
      <c r="AJ49" s="55">
        <v>85285.5</v>
      </c>
      <c r="AK49" s="55">
        <v>85291</v>
      </c>
      <c r="AL49" s="55">
        <v>85677.5</v>
      </c>
      <c r="AM49" s="55">
        <v>86024.5</v>
      </c>
      <c r="AN49" s="55">
        <v>86507.5</v>
      </c>
      <c r="AO49" s="55">
        <v>86527.5</v>
      </c>
      <c r="AP49" s="55">
        <v>86704</v>
      </c>
      <c r="AQ49" s="55">
        <v>86819.5</v>
      </c>
      <c r="AR49" s="55">
        <v>86925.5</v>
      </c>
      <c r="AS49" s="55">
        <v>86420</v>
      </c>
      <c r="AT49" s="55">
        <v>85735</v>
      </c>
      <c r="AU49" s="55">
        <v>84534</v>
      </c>
      <c r="AV49" s="55">
        <v>84907.5</v>
      </c>
      <c r="AW49" s="55">
        <v>85355</v>
      </c>
      <c r="AX49" s="55">
        <v>87481</v>
      </c>
      <c r="AY49" s="55">
        <v>89219</v>
      </c>
      <c r="AZ49" s="55">
        <v>89235.5</v>
      </c>
      <c r="BA49" s="55">
        <v>89280</v>
      </c>
      <c r="BB49" s="55">
        <v>89974</v>
      </c>
      <c r="BC49" s="55">
        <v>90207</v>
      </c>
      <c r="BD49" s="55">
        <v>90644.5</v>
      </c>
      <c r="BE49" s="55">
        <v>90764.5</v>
      </c>
      <c r="BF49" s="55">
        <v>91181.5</v>
      </c>
      <c r="BG49" s="55">
        <v>91326.5</v>
      </c>
      <c r="BH49" s="55">
        <v>91711.5</v>
      </c>
      <c r="BI49" s="55">
        <v>91961.5</v>
      </c>
      <c r="BJ49" s="55">
        <v>92221</v>
      </c>
      <c r="BK49" s="55">
        <v>92594</v>
      </c>
      <c r="BL49" s="55">
        <v>93001</v>
      </c>
      <c r="BM49" s="55">
        <v>93388.5</v>
      </c>
      <c r="BN49" s="55">
        <v>93724.5</v>
      </c>
      <c r="BO49" s="55">
        <v>94008</v>
      </c>
      <c r="BP49" s="55">
        <v>94211.5</v>
      </c>
      <c r="BQ49" s="55">
        <v>94390.5</v>
      </c>
      <c r="BR49" s="55">
        <v>94535.5</v>
      </c>
      <c r="BS49" s="55">
        <v>94579.5</v>
      </c>
      <c r="BT49" s="55">
        <v>94716</v>
      </c>
      <c r="BU49" s="55">
        <v>94795.5</v>
      </c>
      <c r="BV49" s="55">
        <v>94948.5</v>
      </c>
      <c r="BW49" s="55">
        <v>95047</v>
      </c>
      <c r="BX49" s="55">
        <v>95219</v>
      </c>
      <c r="BY49" s="55">
        <v>95393.5</v>
      </c>
      <c r="BZ49" s="55">
        <v>95690</v>
      </c>
      <c r="CA49" s="55">
        <v>95886.5</v>
      </c>
      <c r="CB49" s="55">
        <v>96008</v>
      </c>
      <c r="CC49" s="55">
        <v>96177.5</v>
      </c>
      <c r="CD49" s="55">
        <v>96317.5</v>
      </c>
      <c r="CE49" s="55">
        <v>96436</v>
      </c>
      <c r="CF49" s="55">
        <v>96605</v>
      </c>
      <c r="CG49" s="55">
        <v>96737.5</v>
      </c>
      <c r="CH49" s="55">
        <v>96854</v>
      </c>
      <c r="CI49" s="55">
        <v>97009.5</v>
      </c>
      <c r="CJ49" s="55">
        <v>97075.5</v>
      </c>
      <c r="CK49" s="55">
        <v>97164</v>
      </c>
      <c r="CL49" s="55">
        <v>97312.5</v>
      </c>
      <c r="CM49" s="55">
        <v>97377.5</v>
      </c>
      <c r="CN49" s="55">
        <v>97485</v>
      </c>
      <c r="CO49" s="55">
        <v>97583</v>
      </c>
      <c r="CP49" s="55">
        <v>97675</v>
      </c>
      <c r="CQ49" s="55">
        <v>97763.5</v>
      </c>
      <c r="CR49" s="55">
        <v>97811</v>
      </c>
      <c r="CS49" s="55">
        <v>97898</v>
      </c>
      <c r="CT49" s="55">
        <v>97954</v>
      </c>
      <c r="CU49" s="55">
        <v>98017.5</v>
      </c>
      <c r="CV49" s="55">
        <v>98057</v>
      </c>
      <c r="CW49" s="55">
        <v>98112</v>
      </c>
      <c r="CX49" s="55">
        <v>98180.5</v>
      </c>
      <c r="CY49" s="55">
        <v>98213</v>
      </c>
      <c r="CZ49" s="55">
        <v>98245.5</v>
      </c>
      <c r="DA49" s="55">
        <v>98278</v>
      </c>
      <c r="DB49" s="55">
        <v>98331.5</v>
      </c>
      <c r="DC49" s="55">
        <v>98378.5</v>
      </c>
      <c r="DD49" s="55">
        <v>98415</v>
      </c>
      <c r="DE49" s="55">
        <v>98447</v>
      </c>
      <c r="DF49" s="55">
        <v>98515.5</v>
      </c>
      <c r="DG49" s="55">
        <v>98536</v>
      </c>
      <c r="DH49" s="55">
        <v>98575.5</v>
      </c>
      <c r="DI49" s="55">
        <v>98593.5</v>
      </c>
      <c r="DJ49" s="55">
        <v>98646.5</v>
      </c>
      <c r="DK49" s="55">
        <v>98675.5</v>
      </c>
      <c r="DL49" s="55">
        <v>98700</v>
      </c>
      <c r="DM49" s="55">
        <v>98740</v>
      </c>
      <c r="DN49" s="55">
        <v>98779</v>
      </c>
      <c r="DO49" s="55">
        <v>98816.5</v>
      </c>
    </row>
    <row r="50" spans="1:119">
      <c r="A50" s="52">
        <v>48</v>
      </c>
      <c r="B50" s="55"/>
      <c r="C50" s="55"/>
      <c r="D50" s="55"/>
      <c r="E50" s="55"/>
      <c r="F50" s="55"/>
      <c r="G50" s="55"/>
      <c r="H50" s="55"/>
      <c r="I50" s="55"/>
      <c r="J50" s="55"/>
      <c r="K50" s="55"/>
      <c r="L50" s="55"/>
      <c r="M50" s="55"/>
      <c r="N50" s="55"/>
      <c r="O50" s="55"/>
      <c r="P50" s="55"/>
      <c r="Q50" s="55"/>
      <c r="R50" s="55"/>
      <c r="S50" s="55"/>
      <c r="T50" s="55"/>
      <c r="U50" s="55"/>
      <c r="V50" s="55"/>
      <c r="W50" s="55">
        <v>75510.5</v>
      </c>
      <c r="X50" s="55">
        <v>76278.5</v>
      </c>
      <c r="Y50" s="55">
        <v>76415</v>
      </c>
      <c r="Z50" s="55">
        <v>78519.5</v>
      </c>
      <c r="AA50" s="55">
        <v>78945.5</v>
      </c>
      <c r="AB50" s="55">
        <v>79605</v>
      </c>
      <c r="AC50" s="55">
        <v>80430.5</v>
      </c>
      <c r="AD50" s="55">
        <v>81342.5</v>
      </c>
      <c r="AE50" s="55">
        <v>81296.5</v>
      </c>
      <c r="AF50" s="55">
        <v>82532</v>
      </c>
      <c r="AG50" s="55">
        <v>82972.5</v>
      </c>
      <c r="AH50" s="55">
        <v>83335.5</v>
      </c>
      <c r="AI50" s="55">
        <v>83699</v>
      </c>
      <c r="AJ50" s="55">
        <v>84939</v>
      </c>
      <c r="AK50" s="55">
        <v>84958.5</v>
      </c>
      <c r="AL50" s="55">
        <v>85351.5</v>
      </c>
      <c r="AM50" s="55">
        <v>85709</v>
      </c>
      <c r="AN50" s="55">
        <v>86199.5</v>
      </c>
      <c r="AO50" s="55">
        <v>86222.5</v>
      </c>
      <c r="AP50" s="55">
        <v>86401.5</v>
      </c>
      <c r="AQ50" s="55">
        <v>86518</v>
      </c>
      <c r="AR50" s="55">
        <v>86633</v>
      </c>
      <c r="AS50" s="55">
        <v>86122</v>
      </c>
      <c r="AT50" s="55">
        <v>85440.5</v>
      </c>
      <c r="AU50" s="55">
        <v>84244.5</v>
      </c>
      <c r="AV50" s="55">
        <v>84624.5</v>
      </c>
      <c r="AW50" s="55">
        <v>85067.5</v>
      </c>
      <c r="AX50" s="55">
        <v>87197</v>
      </c>
      <c r="AY50" s="55">
        <v>88942</v>
      </c>
      <c r="AZ50" s="55">
        <v>88963.5</v>
      </c>
      <c r="BA50" s="55">
        <v>89018.5</v>
      </c>
      <c r="BB50" s="55">
        <v>89703.5</v>
      </c>
      <c r="BC50" s="55">
        <v>89946.5</v>
      </c>
      <c r="BD50" s="55">
        <v>90378</v>
      </c>
      <c r="BE50" s="55">
        <v>90499</v>
      </c>
      <c r="BF50" s="55">
        <v>90932.5</v>
      </c>
      <c r="BG50" s="55">
        <v>91079</v>
      </c>
      <c r="BH50" s="55">
        <v>91474</v>
      </c>
      <c r="BI50" s="55">
        <v>91730</v>
      </c>
      <c r="BJ50" s="55">
        <v>91994.5</v>
      </c>
      <c r="BK50" s="55">
        <v>92376</v>
      </c>
      <c r="BL50" s="55">
        <v>92789.5</v>
      </c>
      <c r="BM50" s="55">
        <v>93178.5</v>
      </c>
      <c r="BN50" s="55">
        <v>93524.5</v>
      </c>
      <c r="BO50" s="55">
        <v>93809.5</v>
      </c>
      <c r="BP50" s="55">
        <v>94030.5</v>
      </c>
      <c r="BQ50" s="55">
        <v>94198.5</v>
      </c>
      <c r="BR50" s="55">
        <v>94351.5</v>
      </c>
      <c r="BS50" s="55">
        <v>94398.5</v>
      </c>
      <c r="BT50" s="55">
        <v>94538.5</v>
      </c>
      <c r="BU50" s="55">
        <v>94622</v>
      </c>
      <c r="BV50" s="55">
        <v>94778</v>
      </c>
      <c r="BW50" s="55">
        <v>94879.5</v>
      </c>
      <c r="BX50" s="55">
        <v>95055</v>
      </c>
      <c r="BY50" s="55">
        <v>95232</v>
      </c>
      <c r="BZ50" s="55">
        <v>95531.5</v>
      </c>
      <c r="CA50" s="55">
        <v>95730.5</v>
      </c>
      <c r="CB50" s="55">
        <v>95855</v>
      </c>
      <c r="CC50" s="55">
        <v>96028</v>
      </c>
      <c r="CD50" s="55">
        <v>96170.5</v>
      </c>
      <c r="CE50" s="55">
        <v>96291.5</v>
      </c>
      <c r="CF50" s="55">
        <v>96463</v>
      </c>
      <c r="CG50" s="55">
        <v>96598</v>
      </c>
      <c r="CH50" s="55">
        <v>96717.5</v>
      </c>
      <c r="CI50" s="55">
        <v>96875.5</v>
      </c>
      <c r="CJ50" s="55">
        <v>96944</v>
      </c>
      <c r="CK50" s="55">
        <v>97035</v>
      </c>
      <c r="CL50" s="55">
        <v>97186</v>
      </c>
      <c r="CM50" s="55">
        <v>97253.5</v>
      </c>
      <c r="CN50" s="55">
        <v>97363</v>
      </c>
      <c r="CO50" s="55">
        <v>97463.5</v>
      </c>
      <c r="CP50" s="55">
        <v>97557.5</v>
      </c>
      <c r="CQ50" s="55">
        <v>97648.5</v>
      </c>
      <c r="CR50" s="55">
        <v>97698.5</v>
      </c>
      <c r="CS50" s="55">
        <v>97787.5</v>
      </c>
      <c r="CT50" s="55">
        <v>97846</v>
      </c>
      <c r="CU50" s="55">
        <v>97911</v>
      </c>
      <c r="CV50" s="55">
        <v>97952.5</v>
      </c>
      <c r="CW50" s="55">
        <v>98010</v>
      </c>
      <c r="CX50" s="55">
        <v>98080</v>
      </c>
      <c r="CY50" s="55">
        <v>98114.5</v>
      </c>
      <c r="CZ50" s="55">
        <v>98149</v>
      </c>
      <c r="DA50" s="55">
        <v>98183.5</v>
      </c>
      <c r="DB50" s="55">
        <v>98238.5</v>
      </c>
      <c r="DC50" s="55">
        <v>98287.5</v>
      </c>
      <c r="DD50" s="55">
        <v>98326</v>
      </c>
      <c r="DE50" s="55">
        <v>98359.5</v>
      </c>
      <c r="DF50" s="55">
        <v>98429.5</v>
      </c>
      <c r="DG50" s="55">
        <v>98452.5</v>
      </c>
      <c r="DH50" s="55">
        <v>98493</v>
      </c>
      <c r="DI50" s="55">
        <v>98513</v>
      </c>
      <c r="DJ50" s="55">
        <v>98567</v>
      </c>
      <c r="DK50" s="55">
        <v>98598</v>
      </c>
      <c r="DL50" s="55">
        <v>98624</v>
      </c>
      <c r="DM50" s="55">
        <v>98666</v>
      </c>
      <c r="DN50" s="55">
        <v>98706</v>
      </c>
      <c r="DO50" s="55">
        <v>98744.5</v>
      </c>
    </row>
    <row r="51" spans="1:119">
      <c r="A51" s="52">
        <v>49</v>
      </c>
      <c r="B51" s="55"/>
      <c r="C51" s="55"/>
      <c r="D51" s="55"/>
      <c r="E51" s="55"/>
      <c r="F51" s="55"/>
      <c r="G51" s="55"/>
      <c r="H51" s="55"/>
      <c r="I51" s="55"/>
      <c r="J51" s="55"/>
      <c r="K51" s="55"/>
      <c r="L51" s="55"/>
      <c r="M51" s="55"/>
      <c r="N51" s="55"/>
      <c r="O51" s="55"/>
      <c r="P51" s="55"/>
      <c r="Q51" s="55"/>
      <c r="R51" s="55"/>
      <c r="S51" s="55"/>
      <c r="T51" s="55"/>
      <c r="U51" s="55"/>
      <c r="V51" s="55"/>
      <c r="W51" s="55">
        <v>75121.5</v>
      </c>
      <c r="X51" s="55">
        <v>75907</v>
      </c>
      <c r="Y51" s="55">
        <v>76038.5</v>
      </c>
      <c r="Z51" s="55">
        <v>78137.5</v>
      </c>
      <c r="AA51" s="55">
        <v>78568</v>
      </c>
      <c r="AB51" s="55">
        <v>79215.5</v>
      </c>
      <c r="AC51" s="55">
        <v>80049</v>
      </c>
      <c r="AD51" s="55">
        <v>80958.5</v>
      </c>
      <c r="AE51" s="55">
        <v>80905.5</v>
      </c>
      <c r="AF51" s="55">
        <v>82131</v>
      </c>
      <c r="AG51" s="55">
        <v>82589</v>
      </c>
      <c r="AH51" s="55">
        <v>82944.5</v>
      </c>
      <c r="AI51" s="55">
        <v>83325.5</v>
      </c>
      <c r="AJ51" s="55">
        <v>84581.5</v>
      </c>
      <c r="AK51" s="55">
        <v>84605.5</v>
      </c>
      <c r="AL51" s="55">
        <v>85001</v>
      </c>
      <c r="AM51" s="55">
        <v>85369</v>
      </c>
      <c r="AN51" s="55">
        <v>85861</v>
      </c>
      <c r="AO51" s="55">
        <v>85891.5</v>
      </c>
      <c r="AP51" s="55">
        <v>86082.5</v>
      </c>
      <c r="AQ51" s="55">
        <v>86190</v>
      </c>
      <c r="AR51" s="55">
        <v>86309</v>
      </c>
      <c r="AS51" s="55">
        <v>85797.5</v>
      </c>
      <c r="AT51" s="55">
        <v>85113.5</v>
      </c>
      <c r="AU51" s="55">
        <v>83931</v>
      </c>
      <c r="AV51" s="55">
        <v>84321.5</v>
      </c>
      <c r="AW51" s="55">
        <v>84769</v>
      </c>
      <c r="AX51" s="55">
        <v>86904.5</v>
      </c>
      <c r="AY51" s="55">
        <v>88648.5</v>
      </c>
      <c r="AZ51" s="55">
        <v>88668</v>
      </c>
      <c r="BA51" s="55">
        <v>88733</v>
      </c>
      <c r="BB51" s="55">
        <v>89412</v>
      </c>
      <c r="BC51" s="55">
        <v>89661.5</v>
      </c>
      <c r="BD51" s="55">
        <v>90095</v>
      </c>
      <c r="BE51" s="55">
        <v>90221</v>
      </c>
      <c r="BF51" s="55">
        <v>90668.5</v>
      </c>
      <c r="BG51" s="55">
        <v>90814.5</v>
      </c>
      <c r="BH51" s="55">
        <v>91225</v>
      </c>
      <c r="BI51" s="55">
        <v>91480</v>
      </c>
      <c r="BJ51" s="55">
        <v>91756</v>
      </c>
      <c r="BK51" s="55">
        <v>92138.5</v>
      </c>
      <c r="BL51" s="55">
        <v>92559</v>
      </c>
      <c r="BM51" s="55">
        <v>92961.5</v>
      </c>
      <c r="BN51" s="55">
        <v>93312</v>
      </c>
      <c r="BO51" s="55">
        <v>93601</v>
      </c>
      <c r="BP51" s="55">
        <v>93824</v>
      </c>
      <c r="BQ51" s="55">
        <v>93992.5</v>
      </c>
      <c r="BR51" s="55">
        <v>94149.5</v>
      </c>
      <c r="BS51" s="55">
        <v>94201</v>
      </c>
      <c r="BT51" s="55">
        <v>94344.5</v>
      </c>
      <c r="BU51" s="55">
        <v>94431</v>
      </c>
      <c r="BV51" s="55">
        <v>94591</v>
      </c>
      <c r="BW51" s="55">
        <v>94696</v>
      </c>
      <c r="BX51" s="55">
        <v>94874.5</v>
      </c>
      <c r="BY51" s="55">
        <v>95055</v>
      </c>
      <c r="BZ51" s="55">
        <v>95357.5</v>
      </c>
      <c r="CA51" s="55">
        <v>95559.5</v>
      </c>
      <c r="CB51" s="55">
        <v>95687</v>
      </c>
      <c r="CC51" s="55">
        <v>95863</v>
      </c>
      <c r="CD51" s="55">
        <v>96008.5</v>
      </c>
      <c r="CE51" s="55">
        <v>96132.5</v>
      </c>
      <c r="CF51" s="55">
        <v>96307</v>
      </c>
      <c r="CG51" s="55">
        <v>96445</v>
      </c>
      <c r="CH51" s="55">
        <v>96567</v>
      </c>
      <c r="CI51" s="55">
        <v>96728</v>
      </c>
      <c r="CJ51" s="55">
        <v>96799</v>
      </c>
      <c r="CK51" s="55">
        <v>96893</v>
      </c>
      <c r="CL51" s="55">
        <v>97046.5</v>
      </c>
      <c r="CM51" s="55">
        <v>97116.5</v>
      </c>
      <c r="CN51" s="55">
        <v>97229</v>
      </c>
      <c r="CO51" s="55">
        <v>97332</v>
      </c>
      <c r="CP51" s="55">
        <v>97428.5</v>
      </c>
      <c r="CQ51" s="55">
        <v>97521.5</v>
      </c>
      <c r="CR51" s="55">
        <v>97574</v>
      </c>
      <c r="CS51" s="55">
        <v>97665.5</v>
      </c>
      <c r="CT51" s="55">
        <v>97726.5</v>
      </c>
      <c r="CU51" s="55">
        <v>97793.5</v>
      </c>
      <c r="CV51" s="55">
        <v>97837.5</v>
      </c>
      <c r="CW51" s="55">
        <v>97897</v>
      </c>
      <c r="CX51" s="55">
        <v>97970</v>
      </c>
      <c r="CY51" s="55">
        <v>98006</v>
      </c>
      <c r="CZ51" s="55">
        <v>98042.5</v>
      </c>
      <c r="DA51" s="55">
        <v>98078.5</v>
      </c>
      <c r="DB51" s="55">
        <v>98136</v>
      </c>
      <c r="DC51" s="55">
        <v>98187.5</v>
      </c>
      <c r="DD51" s="55">
        <v>98227.5</v>
      </c>
      <c r="DE51" s="55">
        <v>98263</v>
      </c>
      <c r="DF51" s="55">
        <v>98335</v>
      </c>
      <c r="DG51" s="55">
        <v>98359.5</v>
      </c>
      <c r="DH51" s="55">
        <v>98402.5</v>
      </c>
      <c r="DI51" s="55">
        <v>98423.5</v>
      </c>
      <c r="DJ51" s="55">
        <v>98480</v>
      </c>
      <c r="DK51" s="55">
        <v>98512</v>
      </c>
      <c r="DL51" s="55">
        <v>98540.5</v>
      </c>
      <c r="DM51" s="55">
        <v>98583</v>
      </c>
      <c r="DN51" s="55">
        <v>98625</v>
      </c>
      <c r="DO51" s="55">
        <v>98665.5</v>
      </c>
    </row>
    <row r="52" spans="1:119">
      <c r="A52" s="52">
        <v>50</v>
      </c>
      <c r="B52" s="55"/>
      <c r="C52" s="55"/>
      <c r="D52" s="55"/>
      <c r="E52" s="55"/>
      <c r="F52" s="55"/>
      <c r="G52" s="55"/>
      <c r="H52" s="55"/>
      <c r="I52" s="55"/>
      <c r="J52" s="55"/>
      <c r="K52" s="55"/>
      <c r="L52" s="55"/>
      <c r="M52" s="55"/>
      <c r="N52" s="55"/>
      <c r="O52" s="55"/>
      <c r="P52" s="55"/>
      <c r="Q52" s="55"/>
      <c r="R52" s="55"/>
      <c r="S52" s="55"/>
      <c r="T52" s="55"/>
      <c r="U52" s="55"/>
      <c r="V52" s="55"/>
      <c r="W52" s="55">
        <v>74718</v>
      </c>
      <c r="X52" s="55">
        <v>75507.5</v>
      </c>
      <c r="Y52" s="55">
        <v>75633.5</v>
      </c>
      <c r="Z52" s="55">
        <v>77729.5</v>
      </c>
      <c r="AA52" s="55">
        <v>78152.5</v>
      </c>
      <c r="AB52" s="55">
        <v>78803</v>
      </c>
      <c r="AC52" s="55">
        <v>79641</v>
      </c>
      <c r="AD52" s="55">
        <v>80540.5</v>
      </c>
      <c r="AE52" s="55">
        <v>80476</v>
      </c>
      <c r="AF52" s="55">
        <v>81707.5</v>
      </c>
      <c r="AG52" s="55">
        <v>82166.5</v>
      </c>
      <c r="AH52" s="55">
        <v>82531</v>
      </c>
      <c r="AI52" s="55">
        <v>82926</v>
      </c>
      <c r="AJ52" s="55">
        <v>84194</v>
      </c>
      <c r="AK52" s="55">
        <v>84228.5</v>
      </c>
      <c r="AL52" s="55">
        <v>84627.5</v>
      </c>
      <c r="AM52" s="55">
        <v>85008.5</v>
      </c>
      <c r="AN52" s="55">
        <v>85508</v>
      </c>
      <c r="AO52" s="55">
        <v>85541.5</v>
      </c>
      <c r="AP52" s="55">
        <v>85732</v>
      </c>
      <c r="AQ52" s="55">
        <v>85827.5</v>
      </c>
      <c r="AR52" s="55">
        <v>85967</v>
      </c>
      <c r="AS52" s="55">
        <v>85448</v>
      </c>
      <c r="AT52" s="55">
        <v>84777</v>
      </c>
      <c r="AU52" s="55">
        <v>83594</v>
      </c>
      <c r="AV52" s="55">
        <v>83986</v>
      </c>
      <c r="AW52" s="55">
        <v>84455.5</v>
      </c>
      <c r="AX52" s="55">
        <v>86596.5</v>
      </c>
      <c r="AY52" s="55">
        <v>88342.5</v>
      </c>
      <c r="AZ52" s="55">
        <v>88354.5</v>
      </c>
      <c r="BA52" s="55">
        <v>88425.5</v>
      </c>
      <c r="BB52" s="55">
        <v>89103.5</v>
      </c>
      <c r="BC52" s="55">
        <v>89348</v>
      </c>
      <c r="BD52" s="55">
        <v>89788</v>
      </c>
      <c r="BE52" s="55">
        <v>89927</v>
      </c>
      <c r="BF52" s="55">
        <v>90377</v>
      </c>
      <c r="BG52" s="55">
        <v>90533.5</v>
      </c>
      <c r="BH52" s="55">
        <v>90954.5</v>
      </c>
      <c r="BI52" s="55">
        <v>91209</v>
      </c>
      <c r="BJ52" s="55">
        <v>91494.5</v>
      </c>
      <c r="BK52" s="55">
        <v>91878</v>
      </c>
      <c r="BL52" s="55">
        <v>92309</v>
      </c>
      <c r="BM52" s="55">
        <v>92720.5</v>
      </c>
      <c r="BN52" s="55">
        <v>93078</v>
      </c>
      <c r="BO52" s="55">
        <v>93366.5</v>
      </c>
      <c r="BP52" s="55">
        <v>93594.5</v>
      </c>
      <c r="BQ52" s="55">
        <v>93767.5</v>
      </c>
      <c r="BR52" s="55">
        <v>93928.5</v>
      </c>
      <c r="BS52" s="55">
        <v>93984</v>
      </c>
      <c r="BT52" s="55">
        <v>94131.5</v>
      </c>
      <c r="BU52" s="55">
        <v>94222</v>
      </c>
      <c r="BV52" s="55">
        <v>94385.5</v>
      </c>
      <c r="BW52" s="55">
        <v>94494.5</v>
      </c>
      <c r="BX52" s="55">
        <v>94676.5</v>
      </c>
      <c r="BY52" s="55">
        <v>94860.5</v>
      </c>
      <c r="BZ52" s="55">
        <v>95166.5</v>
      </c>
      <c r="CA52" s="55">
        <v>95371.5</v>
      </c>
      <c r="CB52" s="55">
        <v>95503</v>
      </c>
      <c r="CC52" s="55">
        <v>95681.5</v>
      </c>
      <c r="CD52" s="55">
        <v>95830.5</v>
      </c>
      <c r="CE52" s="55">
        <v>95958</v>
      </c>
      <c r="CF52" s="55">
        <v>96135.5</v>
      </c>
      <c r="CG52" s="55">
        <v>96276.5</v>
      </c>
      <c r="CH52" s="55">
        <v>96402</v>
      </c>
      <c r="CI52" s="55">
        <v>96565.5</v>
      </c>
      <c r="CJ52" s="55">
        <v>96640</v>
      </c>
      <c r="CK52" s="55">
        <v>96736.5</v>
      </c>
      <c r="CL52" s="55">
        <v>96893</v>
      </c>
      <c r="CM52" s="55">
        <v>96966</v>
      </c>
      <c r="CN52" s="55">
        <v>97081.5</v>
      </c>
      <c r="CO52" s="55">
        <v>97187</v>
      </c>
      <c r="CP52" s="55">
        <v>97286.5</v>
      </c>
      <c r="CQ52" s="55">
        <v>97382</v>
      </c>
      <c r="CR52" s="55">
        <v>97437</v>
      </c>
      <c r="CS52" s="55">
        <v>97531</v>
      </c>
      <c r="CT52" s="55">
        <v>97595</v>
      </c>
      <c r="CU52" s="55">
        <v>97664.5</v>
      </c>
      <c r="CV52" s="55">
        <v>97710.5</v>
      </c>
      <c r="CW52" s="55">
        <v>97772.5</v>
      </c>
      <c r="CX52" s="55">
        <v>97847.5</v>
      </c>
      <c r="CY52" s="55">
        <v>97886</v>
      </c>
      <c r="CZ52" s="55">
        <v>97925</v>
      </c>
      <c r="DA52" s="55">
        <v>97963.5</v>
      </c>
      <c r="DB52" s="55">
        <v>98023.5</v>
      </c>
      <c r="DC52" s="55">
        <v>98077</v>
      </c>
      <c r="DD52" s="55">
        <v>98119</v>
      </c>
      <c r="DE52" s="55">
        <v>98157</v>
      </c>
      <c r="DF52" s="55">
        <v>98230.5</v>
      </c>
      <c r="DG52" s="55">
        <v>98257</v>
      </c>
      <c r="DH52" s="55">
        <v>98301.5</v>
      </c>
      <c r="DI52" s="55">
        <v>98325</v>
      </c>
      <c r="DJ52" s="55">
        <v>98383.5</v>
      </c>
      <c r="DK52" s="55">
        <v>98417.5</v>
      </c>
      <c r="DL52" s="55">
        <v>98447.5</v>
      </c>
      <c r="DM52" s="55">
        <v>98492.5</v>
      </c>
      <c r="DN52" s="55">
        <v>98535.5</v>
      </c>
      <c r="DO52" s="55">
        <v>98577.5</v>
      </c>
    </row>
    <row r="53" spans="1:119">
      <c r="A53" s="52">
        <v>51</v>
      </c>
      <c r="B53" s="55"/>
      <c r="C53" s="55"/>
      <c r="D53" s="55"/>
      <c r="E53" s="55"/>
      <c r="F53" s="55"/>
      <c r="G53" s="55"/>
      <c r="H53" s="55"/>
      <c r="I53" s="55"/>
      <c r="J53" s="55"/>
      <c r="K53" s="55"/>
      <c r="L53" s="55"/>
      <c r="M53" s="55"/>
      <c r="N53" s="55"/>
      <c r="O53" s="55"/>
      <c r="P53" s="55"/>
      <c r="Q53" s="55"/>
      <c r="R53" s="55"/>
      <c r="S53" s="55"/>
      <c r="T53" s="55"/>
      <c r="U53" s="55"/>
      <c r="V53" s="55"/>
      <c r="W53" s="55">
        <v>74269.5</v>
      </c>
      <c r="X53" s="55">
        <v>75072.5</v>
      </c>
      <c r="Y53" s="55">
        <v>75208</v>
      </c>
      <c r="Z53" s="55">
        <v>77288.5</v>
      </c>
      <c r="AA53" s="55">
        <v>77705.5</v>
      </c>
      <c r="AB53" s="55">
        <v>78358</v>
      </c>
      <c r="AC53" s="55">
        <v>79190</v>
      </c>
      <c r="AD53" s="55">
        <v>80090.5</v>
      </c>
      <c r="AE53" s="55">
        <v>80023</v>
      </c>
      <c r="AF53" s="55">
        <v>81257</v>
      </c>
      <c r="AG53" s="55">
        <v>81721.5</v>
      </c>
      <c r="AH53" s="55">
        <v>82084.5</v>
      </c>
      <c r="AI53" s="55">
        <v>82482</v>
      </c>
      <c r="AJ53" s="55">
        <v>83770.5</v>
      </c>
      <c r="AK53" s="55">
        <v>83818.5</v>
      </c>
      <c r="AL53" s="55">
        <v>84216.5</v>
      </c>
      <c r="AM53" s="55">
        <v>84618</v>
      </c>
      <c r="AN53" s="55">
        <v>85116</v>
      </c>
      <c r="AO53" s="55">
        <v>85156.5</v>
      </c>
      <c r="AP53" s="55">
        <v>85337.5</v>
      </c>
      <c r="AQ53" s="55">
        <v>85439.5</v>
      </c>
      <c r="AR53" s="55">
        <v>85593.5</v>
      </c>
      <c r="AS53" s="55">
        <v>85067.5</v>
      </c>
      <c r="AT53" s="55">
        <v>84409.5</v>
      </c>
      <c r="AU53" s="55">
        <v>83231</v>
      </c>
      <c r="AV53" s="55">
        <v>83643</v>
      </c>
      <c r="AW53" s="55">
        <v>84119.5</v>
      </c>
      <c r="AX53" s="55">
        <v>86267.5</v>
      </c>
      <c r="AY53" s="55">
        <v>88004</v>
      </c>
      <c r="AZ53" s="55">
        <v>88029</v>
      </c>
      <c r="BA53" s="55">
        <v>88091.5</v>
      </c>
      <c r="BB53" s="55">
        <v>88773</v>
      </c>
      <c r="BC53" s="55">
        <v>89016</v>
      </c>
      <c r="BD53" s="55">
        <v>89471</v>
      </c>
      <c r="BE53" s="55">
        <v>89616.5</v>
      </c>
      <c r="BF53" s="55">
        <v>90068</v>
      </c>
      <c r="BG53" s="55">
        <v>90233.5</v>
      </c>
      <c r="BH53" s="55">
        <v>90660</v>
      </c>
      <c r="BI53" s="55">
        <v>90923.5</v>
      </c>
      <c r="BJ53" s="55">
        <v>91213</v>
      </c>
      <c r="BK53" s="55">
        <v>91596.5</v>
      </c>
      <c r="BL53" s="55">
        <v>92040.5</v>
      </c>
      <c r="BM53" s="55">
        <v>92465</v>
      </c>
      <c r="BN53" s="55">
        <v>92820.5</v>
      </c>
      <c r="BO53" s="55">
        <v>93111.5</v>
      </c>
      <c r="BP53" s="55">
        <v>93344</v>
      </c>
      <c r="BQ53" s="55">
        <v>93521</v>
      </c>
      <c r="BR53" s="55">
        <v>93686.5</v>
      </c>
      <c r="BS53" s="55">
        <v>93746.5</v>
      </c>
      <c r="BT53" s="55">
        <v>93898</v>
      </c>
      <c r="BU53" s="55">
        <v>93993</v>
      </c>
      <c r="BV53" s="55">
        <v>94161</v>
      </c>
      <c r="BW53" s="55">
        <v>94274</v>
      </c>
      <c r="BX53" s="55">
        <v>94459.5</v>
      </c>
      <c r="BY53" s="55">
        <v>94647.5</v>
      </c>
      <c r="BZ53" s="55">
        <v>94956.5</v>
      </c>
      <c r="CA53" s="55">
        <v>95165.5</v>
      </c>
      <c r="CB53" s="55">
        <v>95300.5</v>
      </c>
      <c r="CC53" s="55">
        <v>95483.5</v>
      </c>
      <c r="CD53" s="55">
        <v>95635.5</v>
      </c>
      <c r="CE53" s="55">
        <v>95766.5</v>
      </c>
      <c r="CF53" s="55">
        <v>95947.5</v>
      </c>
      <c r="CG53" s="55">
        <v>96091.5</v>
      </c>
      <c r="CH53" s="55">
        <v>96220.5</v>
      </c>
      <c r="CI53" s="55">
        <v>96387.5</v>
      </c>
      <c r="CJ53" s="55">
        <v>96465</v>
      </c>
      <c r="CK53" s="55">
        <v>96565</v>
      </c>
      <c r="CL53" s="55">
        <v>96724</v>
      </c>
      <c r="CM53" s="55">
        <v>96800.5</v>
      </c>
      <c r="CN53" s="55">
        <v>96919</v>
      </c>
      <c r="CO53" s="55">
        <v>97027.5</v>
      </c>
      <c r="CP53" s="55">
        <v>97129.5</v>
      </c>
      <c r="CQ53" s="55">
        <v>97228.5</v>
      </c>
      <c r="CR53" s="55">
        <v>97286.5</v>
      </c>
      <c r="CS53" s="55">
        <v>97383</v>
      </c>
      <c r="CT53" s="55">
        <v>97449.5</v>
      </c>
      <c r="CU53" s="55">
        <v>97522</v>
      </c>
      <c r="CV53" s="55">
        <v>97571</v>
      </c>
      <c r="CW53" s="55">
        <v>97635.5</v>
      </c>
      <c r="CX53" s="55">
        <v>97713</v>
      </c>
      <c r="CY53" s="55">
        <v>97754.5</v>
      </c>
      <c r="CZ53" s="55">
        <v>97795.5</v>
      </c>
      <c r="DA53" s="55">
        <v>97837</v>
      </c>
      <c r="DB53" s="55">
        <v>97899</v>
      </c>
      <c r="DC53" s="55">
        <v>97954.5</v>
      </c>
      <c r="DD53" s="55">
        <v>97999</v>
      </c>
      <c r="DE53" s="55">
        <v>98039.5</v>
      </c>
      <c r="DF53" s="55">
        <v>98115</v>
      </c>
      <c r="DG53" s="55">
        <v>98143.5</v>
      </c>
      <c r="DH53" s="55">
        <v>98190.5</v>
      </c>
      <c r="DI53" s="55">
        <v>98216.5</v>
      </c>
      <c r="DJ53" s="55">
        <v>98276.5</v>
      </c>
      <c r="DK53" s="55">
        <v>98312.5</v>
      </c>
      <c r="DL53" s="55">
        <v>98344.5</v>
      </c>
      <c r="DM53" s="55">
        <v>98391.5</v>
      </c>
      <c r="DN53" s="55">
        <v>98436.5</v>
      </c>
      <c r="DO53" s="55">
        <v>98480.5</v>
      </c>
    </row>
    <row r="54" spans="1:119">
      <c r="A54" s="52">
        <v>52</v>
      </c>
      <c r="B54" s="55"/>
      <c r="C54" s="55"/>
      <c r="D54" s="55"/>
      <c r="E54" s="55"/>
      <c r="F54" s="55"/>
      <c r="G54" s="55"/>
      <c r="H54" s="55"/>
      <c r="I54" s="55"/>
      <c r="J54" s="55"/>
      <c r="K54" s="55"/>
      <c r="L54" s="55"/>
      <c r="M54" s="55"/>
      <c r="N54" s="55"/>
      <c r="O54" s="55"/>
      <c r="P54" s="55"/>
      <c r="Q54" s="55"/>
      <c r="R54" s="55"/>
      <c r="S54" s="55"/>
      <c r="T54" s="55"/>
      <c r="U54" s="55"/>
      <c r="V54" s="55"/>
      <c r="W54" s="55">
        <v>73795.5</v>
      </c>
      <c r="X54" s="55">
        <v>74601.5</v>
      </c>
      <c r="Y54" s="55">
        <v>74710.5</v>
      </c>
      <c r="Z54" s="55">
        <v>76805</v>
      </c>
      <c r="AA54" s="55">
        <v>77231</v>
      </c>
      <c r="AB54" s="55">
        <v>77883.5</v>
      </c>
      <c r="AC54" s="55">
        <v>78720</v>
      </c>
      <c r="AD54" s="55">
        <v>79606</v>
      </c>
      <c r="AE54" s="55">
        <v>79546.5</v>
      </c>
      <c r="AF54" s="55">
        <v>80762.5</v>
      </c>
      <c r="AG54" s="55">
        <v>81248.5</v>
      </c>
      <c r="AH54" s="55">
        <v>81628</v>
      </c>
      <c r="AI54" s="55">
        <v>82028.5</v>
      </c>
      <c r="AJ54" s="55">
        <v>83313</v>
      </c>
      <c r="AK54" s="55">
        <v>83374.5</v>
      </c>
      <c r="AL54" s="55">
        <v>83798</v>
      </c>
      <c r="AM54" s="55">
        <v>84204.5</v>
      </c>
      <c r="AN54" s="55">
        <v>84701.5</v>
      </c>
      <c r="AO54" s="55">
        <v>84728.5</v>
      </c>
      <c r="AP54" s="55">
        <v>84923</v>
      </c>
      <c r="AQ54" s="55">
        <v>85037.5</v>
      </c>
      <c r="AR54" s="55">
        <v>85200</v>
      </c>
      <c r="AS54" s="55">
        <v>84666.5</v>
      </c>
      <c r="AT54" s="55">
        <v>84010</v>
      </c>
      <c r="AU54" s="55">
        <v>82866.5</v>
      </c>
      <c r="AV54" s="55">
        <v>83273.5</v>
      </c>
      <c r="AW54" s="55">
        <v>83770</v>
      </c>
      <c r="AX54" s="55">
        <v>85909</v>
      </c>
      <c r="AY54" s="55">
        <v>87653.5</v>
      </c>
      <c r="AZ54" s="55">
        <v>87667</v>
      </c>
      <c r="BA54" s="55">
        <v>87739.5</v>
      </c>
      <c r="BB54" s="55">
        <v>88428.5</v>
      </c>
      <c r="BC54" s="55">
        <v>88679</v>
      </c>
      <c r="BD54" s="55">
        <v>89125.5</v>
      </c>
      <c r="BE54" s="55">
        <v>89277</v>
      </c>
      <c r="BF54" s="55">
        <v>89740.5</v>
      </c>
      <c r="BG54" s="55">
        <v>89909</v>
      </c>
      <c r="BH54" s="55">
        <v>90339</v>
      </c>
      <c r="BI54" s="55">
        <v>90594.5</v>
      </c>
      <c r="BJ54" s="55">
        <v>90906</v>
      </c>
      <c r="BK54" s="55">
        <v>91295.5</v>
      </c>
      <c r="BL54" s="55">
        <v>91744.5</v>
      </c>
      <c r="BM54" s="55">
        <v>92179.5</v>
      </c>
      <c r="BN54" s="55">
        <v>92536</v>
      </c>
      <c r="BO54" s="55">
        <v>92832</v>
      </c>
      <c r="BP54" s="55">
        <v>93069.5</v>
      </c>
      <c r="BQ54" s="55">
        <v>93251</v>
      </c>
      <c r="BR54" s="55">
        <v>93421.5</v>
      </c>
      <c r="BS54" s="55">
        <v>93486.5</v>
      </c>
      <c r="BT54" s="55">
        <v>93642.5</v>
      </c>
      <c r="BU54" s="55">
        <v>93742.5</v>
      </c>
      <c r="BV54" s="55">
        <v>93914.5</v>
      </c>
      <c r="BW54" s="55">
        <v>94032</v>
      </c>
      <c r="BX54" s="55">
        <v>94222</v>
      </c>
      <c r="BY54" s="55">
        <v>94414</v>
      </c>
      <c r="BZ54" s="55">
        <v>94727</v>
      </c>
      <c r="CA54" s="55">
        <v>94940</v>
      </c>
      <c r="CB54" s="55">
        <v>95079</v>
      </c>
      <c r="CC54" s="55">
        <v>95265</v>
      </c>
      <c r="CD54" s="55">
        <v>95421.5</v>
      </c>
      <c r="CE54" s="55">
        <v>95556.5</v>
      </c>
      <c r="CF54" s="55">
        <v>95741</v>
      </c>
      <c r="CG54" s="55">
        <v>95888.5</v>
      </c>
      <c r="CH54" s="55">
        <v>96021</v>
      </c>
      <c r="CI54" s="55">
        <v>96191.5</v>
      </c>
      <c r="CJ54" s="55">
        <v>96273</v>
      </c>
      <c r="CK54" s="55">
        <v>96376</v>
      </c>
      <c r="CL54" s="55">
        <v>96539</v>
      </c>
      <c r="CM54" s="55">
        <v>96619</v>
      </c>
      <c r="CN54" s="55">
        <v>96740.5</v>
      </c>
      <c r="CO54" s="55">
        <v>96852.5</v>
      </c>
      <c r="CP54" s="55">
        <v>96957.5</v>
      </c>
      <c r="CQ54" s="55">
        <v>97059.5</v>
      </c>
      <c r="CR54" s="55">
        <v>97120.5</v>
      </c>
      <c r="CS54" s="55">
        <v>97220.5</v>
      </c>
      <c r="CT54" s="55">
        <v>97289.5</v>
      </c>
      <c r="CU54" s="55">
        <v>97365.5</v>
      </c>
      <c r="CV54" s="55">
        <v>97417</v>
      </c>
      <c r="CW54" s="55">
        <v>97484.5</v>
      </c>
      <c r="CX54" s="55">
        <v>97564.5</v>
      </c>
      <c r="CY54" s="55">
        <v>97609</v>
      </c>
      <c r="CZ54" s="55">
        <v>97653</v>
      </c>
      <c r="DA54" s="55">
        <v>97697</v>
      </c>
      <c r="DB54" s="55">
        <v>97761.5</v>
      </c>
      <c r="DC54" s="55">
        <v>97819.5</v>
      </c>
      <c r="DD54" s="55">
        <v>97867</v>
      </c>
      <c r="DE54" s="55">
        <v>97909.5</v>
      </c>
      <c r="DF54" s="55">
        <v>97988.5</v>
      </c>
      <c r="DG54" s="55">
        <v>98019</v>
      </c>
      <c r="DH54" s="55">
        <v>98068.5</v>
      </c>
      <c r="DI54" s="55">
        <v>98096</v>
      </c>
      <c r="DJ54" s="55">
        <v>98159</v>
      </c>
      <c r="DK54" s="55">
        <v>98197</v>
      </c>
      <c r="DL54" s="55">
        <v>98231</v>
      </c>
      <c r="DM54" s="55">
        <v>98280</v>
      </c>
      <c r="DN54" s="55">
        <v>98328</v>
      </c>
      <c r="DO54" s="55">
        <v>98373.5</v>
      </c>
    </row>
    <row r="55" spans="1:119">
      <c r="A55" s="52">
        <v>53</v>
      </c>
      <c r="B55" s="55"/>
      <c r="C55" s="55"/>
      <c r="D55" s="55"/>
      <c r="E55" s="55"/>
      <c r="F55" s="55"/>
      <c r="G55" s="55"/>
      <c r="H55" s="55"/>
      <c r="I55" s="55"/>
      <c r="J55" s="55"/>
      <c r="K55" s="55"/>
      <c r="L55" s="55"/>
      <c r="M55" s="55"/>
      <c r="N55" s="55"/>
      <c r="O55" s="55"/>
      <c r="P55" s="55"/>
      <c r="Q55" s="55"/>
      <c r="R55" s="55"/>
      <c r="S55" s="55"/>
      <c r="T55" s="55"/>
      <c r="U55" s="55"/>
      <c r="V55" s="55"/>
      <c r="W55" s="55">
        <v>73291.5</v>
      </c>
      <c r="X55" s="55">
        <v>74090</v>
      </c>
      <c r="Y55" s="55">
        <v>74197.5</v>
      </c>
      <c r="Z55" s="55">
        <v>76295.5</v>
      </c>
      <c r="AA55" s="55">
        <v>76724</v>
      </c>
      <c r="AB55" s="55">
        <v>77380.5</v>
      </c>
      <c r="AC55" s="55">
        <v>78196</v>
      </c>
      <c r="AD55" s="55">
        <v>79080.5</v>
      </c>
      <c r="AE55" s="55">
        <v>79027</v>
      </c>
      <c r="AF55" s="55">
        <v>80252</v>
      </c>
      <c r="AG55" s="55">
        <v>80747</v>
      </c>
      <c r="AH55" s="55">
        <v>81133</v>
      </c>
      <c r="AI55" s="55">
        <v>81536.5</v>
      </c>
      <c r="AJ55" s="55">
        <v>82834</v>
      </c>
      <c r="AK55" s="55">
        <v>82899</v>
      </c>
      <c r="AL55" s="55">
        <v>83347.5</v>
      </c>
      <c r="AM55" s="55">
        <v>83763.5</v>
      </c>
      <c r="AN55" s="55">
        <v>84244.5</v>
      </c>
      <c r="AO55" s="55">
        <v>84286</v>
      </c>
      <c r="AP55" s="55">
        <v>84483</v>
      </c>
      <c r="AQ55" s="55">
        <v>84595.5</v>
      </c>
      <c r="AR55" s="55">
        <v>84768.5</v>
      </c>
      <c r="AS55" s="55">
        <v>84246</v>
      </c>
      <c r="AT55" s="55">
        <v>83591.5</v>
      </c>
      <c r="AU55" s="55">
        <v>82472.5</v>
      </c>
      <c r="AV55" s="55">
        <v>82896.5</v>
      </c>
      <c r="AW55" s="55">
        <v>83388</v>
      </c>
      <c r="AX55" s="55">
        <v>85535</v>
      </c>
      <c r="AY55" s="55">
        <v>87263</v>
      </c>
      <c r="AZ55" s="55">
        <v>87279.5</v>
      </c>
      <c r="BA55" s="55">
        <v>87357.5</v>
      </c>
      <c r="BB55" s="55">
        <v>88049.5</v>
      </c>
      <c r="BC55" s="55">
        <v>88305</v>
      </c>
      <c r="BD55" s="55">
        <v>88763</v>
      </c>
      <c r="BE55" s="55">
        <v>88915</v>
      </c>
      <c r="BF55" s="55">
        <v>89386.5</v>
      </c>
      <c r="BG55" s="55">
        <v>89558</v>
      </c>
      <c r="BH55" s="55">
        <v>89990.5</v>
      </c>
      <c r="BI55" s="55">
        <v>90252</v>
      </c>
      <c r="BJ55" s="55">
        <v>90566.5</v>
      </c>
      <c r="BK55" s="55">
        <v>90972</v>
      </c>
      <c r="BL55" s="55">
        <v>91426.5</v>
      </c>
      <c r="BM55" s="55">
        <v>91864.5</v>
      </c>
      <c r="BN55" s="55">
        <v>92226.5</v>
      </c>
      <c r="BO55" s="55">
        <v>92527</v>
      </c>
      <c r="BP55" s="55">
        <v>92769.5</v>
      </c>
      <c r="BQ55" s="55">
        <v>92956.5</v>
      </c>
      <c r="BR55" s="55">
        <v>93131.5</v>
      </c>
      <c r="BS55" s="55">
        <v>93202.5</v>
      </c>
      <c r="BT55" s="55">
        <v>93363.5</v>
      </c>
      <c r="BU55" s="55">
        <v>93468.5</v>
      </c>
      <c r="BV55" s="55">
        <v>93645</v>
      </c>
      <c r="BW55" s="55">
        <v>93767.5</v>
      </c>
      <c r="BX55" s="55">
        <v>93962</v>
      </c>
      <c r="BY55" s="55">
        <v>94158</v>
      </c>
      <c r="BZ55" s="55">
        <v>94475.5</v>
      </c>
      <c r="CA55" s="55">
        <v>94693</v>
      </c>
      <c r="CB55" s="55">
        <v>94836</v>
      </c>
      <c r="CC55" s="55">
        <v>95026.5</v>
      </c>
      <c r="CD55" s="55">
        <v>95187.5</v>
      </c>
      <c r="CE55" s="55">
        <v>95326</v>
      </c>
      <c r="CF55" s="55">
        <v>95514.5</v>
      </c>
      <c r="CG55" s="55">
        <v>95666.5</v>
      </c>
      <c r="CH55" s="55">
        <v>95803</v>
      </c>
      <c r="CI55" s="55">
        <v>95977.5</v>
      </c>
      <c r="CJ55" s="55">
        <v>96062.5</v>
      </c>
      <c r="CK55" s="55">
        <v>96169.5</v>
      </c>
      <c r="CL55" s="55">
        <v>96336</v>
      </c>
      <c r="CM55" s="55">
        <v>96419.5</v>
      </c>
      <c r="CN55" s="55">
        <v>96545</v>
      </c>
      <c r="CO55" s="55">
        <v>96660</v>
      </c>
      <c r="CP55" s="55">
        <v>96769</v>
      </c>
      <c r="CQ55" s="55">
        <v>96874</v>
      </c>
      <c r="CR55" s="55">
        <v>96939</v>
      </c>
      <c r="CS55" s="55">
        <v>97042</v>
      </c>
      <c r="CT55" s="55">
        <v>97114.5</v>
      </c>
      <c r="CU55" s="55">
        <v>97193.5</v>
      </c>
      <c r="CV55" s="55">
        <v>97248</v>
      </c>
      <c r="CW55" s="55">
        <v>97319</v>
      </c>
      <c r="CX55" s="55">
        <v>97402</v>
      </c>
      <c r="CY55" s="55">
        <v>97449.5</v>
      </c>
      <c r="CZ55" s="55">
        <v>97496.5</v>
      </c>
      <c r="DA55" s="55">
        <v>97543</v>
      </c>
      <c r="DB55" s="55">
        <v>97610.5</v>
      </c>
      <c r="DC55" s="55">
        <v>97672</v>
      </c>
      <c r="DD55" s="55">
        <v>97721.5</v>
      </c>
      <c r="DE55" s="55">
        <v>97767</v>
      </c>
      <c r="DF55" s="55">
        <v>97848.5</v>
      </c>
      <c r="DG55" s="55">
        <v>97882</v>
      </c>
      <c r="DH55" s="55">
        <v>97933.5</v>
      </c>
      <c r="DI55" s="55">
        <v>97964</v>
      </c>
      <c r="DJ55" s="55">
        <v>98029</v>
      </c>
      <c r="DK55" s="55">
        <v>98070</v>
      </c>
      <c r="DL55" s="55">
        <v>98106.5</v>
      </c>
      <c r="DM55" s="55">
        <v>98157.5</v>
      </c>
      <c r="DN55" s="55">
        <v>98207.5</v>
      </c>
      <c r="DO55" s="55">
        <v>98256</v>
      </c>
    </row>
    <row r="56" spans="1:119">
      <c r="A56" s="52">
        <v>54</v>
      </c>
      <c r="B56" s="55"/>
      <c r="C56" s="55"/>
      <c r="D56" s="55"/>
      <c r="E56" s="55"/>
      <c r="F56" s="55"/>
      <c r="G56" s="55"/>
      <c r="H56" s="55"/>
      <c r="I56" s="55"/>
      <c r="J56" s="55"/>
      <c r="K56" s="55"/>
      <c r="L56" s="55"/>
      <c r="M56" s="55"/>
      <c r="N56" s="55"/>
      <c r="O56" s="55"/>
      <c r="P56" s="55"/>
      <c r="Q56" s="55"/>
      <c r="R56" s="55"/>
      <c r="S56" s="55"/>
      <c r="T56" s="55"/>
      <c r="U56" s="55"/>
      <c r="V56" s="55"/>
      <c r="W56" s="55">
        <v>72739</v>
      </c>
      <c r="X56" s="55">
        <v>73539.5</v>
      </c>
      <c r="Y56" s="55">
        <v>73653.5</v>
      </c>
      <c r="Z56" s="55">
        <v>75746.5</v>
      </c>
      <c r="AA56" s="55">
        <v>76183.5</v>
      </c>
      <c r="AB56" s="55">
        <v>76834.5</v>
      </c>
      <c r="AC56" s="55">
        <v>77655</v>
      </c>
      <c r="AD56" s="55">
        <v>78518.5</v>
      </c>
      <c r="AE56" s="55">
        <v>78475</v>
      </c>
      <c r="AF56" s="55">
        <v>79698.5</v>
      </c>
      <c r="AG56" s="55">
        <v>80212</v>
      </c>
      <c r="AH56" s="55">
        <v>80605</v>
      </c>
      <c r="AI56" s="55">
        <v>81024</v>
      </c>
      <c r="AJ56" s="55">
        <v>82312.5</v>
      </c>
      <c r="AK56" s="55">
        <v>82391</v>
      </c>
      <c r="AL56" s="55">
        <v>82849.5</v>
      </c>
      <c r="AM56" s="55">
        <v>83258</v>
      </c>
      <c r="AN56" s="55">
        <v>83763</v>
      </c>
      <c r="AO56" s="55">
        <v>83808</v>
      </c>
      <c r="AP56" s="55">
        <v>84032</v>
      </c>
      <c r="AQ56" s="55">
        <v>84140</v>
      </c>
      <c r="AR56" s="55">
        <v>84313</v>
      </c>
      <c r="AS56" s="55">
        <v>83806</v>
      </c>
      <c r="AT56" s="55">
        <v>83153.5</v>
      </c>
      <c r="AU56" s="55">
        <v>82065.5</v>
      </c>
      <c r="AV56" s="55">
        <v>82474</v>
      </c>
      <c r="AW56" s="55">
        <v>82995</v>
      </c>
      <c r="AX56" s="55">
        <v>85135</v>
      </c>
      <c r="AY56" s="55">
        <v>86848.5</v>
      </c>
      <c r="AZ56" s="55">
        <v>86875.5</v>
      </c>
      <c r="BA56" s="55">
        <v>86955.5</v>
      </c>
      <c r="BB56" s="55">
        <v>87659</v>
      </c>
      <c r="BC56" s="55">
        <v>87917.5</v>
      </c>
      <c r="BD56" s="55">
        <v>88370.5</v>
      </c>
      <c r="BE56" s="55">
        <v>88534</v>
      </c>
      <c r="BF56" s="55">
        <v>89005</v>
      </c>
      <c r="BG56" s="55">
        <v>89170.5</v>
      </c>
      <c r="BH56" s="55">
        <v>89625</v>
      </c>
      <c r="BI56" s="55">
        <v>89885.5</v>
      </c>
      <c r="BJ56" s="55">
        <v>90203</v>
      </c>
      <c r="BK56" s="55">
        <v>90611.5</v>
      </c>
      <c r="BL56" s="55">
        <v>91078.5</v>
      </c>
      <c r="BM56" s="55">
        <v>91521.5</v>
      </c>
      <c r="BN56" s="55">
        <v>91888.5</v>
      </c>
      <c r="BO56" s="55">
        <v>92194.5</v>
      </c>
      <c r="BP56" s="55">
        <v>92443</v>
      </c>
      <c r="BQ56" s="55">
        <v>92635</v>
      </c>
      <c r="BR56" s="55">
        <v>92816</v>
      </c>
      <c r="BS56" s="55">
        <v>92892.5</v>
      </c>
      <c r="BT56" s="55">
        <v>93059</v>
      </c>
      <c r="BU56" s="55">
        <v>93169.5</v>
      </c>
      <c r="BV56" s="55">
        <v>93351.5</v>
      </c>
      <c r="BW56" s="55">
        <v>93478.5</v>
      </c>
      <c r="BX56" s="55">
        <v>93678.5</v>
      </c>
      <c r="BY56" s="55">
        <v>93879.5</v>
      </c>
      <c r="BZ56" s="55">
        <v>94201</v>
      </c>
      <c r="CA56" s="55">
        <v>94423.5</v>
      </c>
      <c r="CB56" s="55">
        <v>94571.5</v>
      </c>
      <c r="CC56" s="55">
        <v>94766</v>
      </c>
      <c r="CD56" s="55">
        <v>94931.5</v>
      </c>
      <c r="CE56" s="55">
        <v>95075</v>
      </c>
      <c r="CF56" s="55">
        <v>95267.5</v>
      </c>
      <c r="CG56" s="55">
        <v>95423.5</v>
      </c>
      <c r="CH56" s="55">
        <v>95564.5</v>
      </c>
      <c r="CI56" s="55">
        <v>95742.5</v>
      </c>
      <c r="CJ56" s="55">
        <v>95832.5</v>
      </c>
      <c r="CK56" s="55">
        <v>95943.5</v>
      </c>
      <c r="CL56" s="55">
        <v>96114</v>
      </c>
      <c r="CM56" s="55">
        <v>96202</v>
      </c>
      <c r="CN56" s="55">
        <v>96330.5</v>
      </c>
      <c r="CO56" s="55">
        <v>96449.5</v>
      </c>
      <c r="CP56" s="55">
        <v>96562.5</v>
      </c>
      <c r="CQ56" s="55">
        <v>96671.5</v>
      </c>
      <c r="CR56" s="55">
        <v>96739.5</v>
      </c>
      <c r="CS56" s="55">
        <v>96846.5</v>
      </c>
      <c r="CT56" s="55">
        <v>96923</v>
      </c>
      <c r="CU56" s="55">
        <v>97005.5</v>
      </c>
      <c r="CV56" s="55">
        <v>97063.5</v>
      </c>
      <c r="CW56" s="55">
        <v>97138</v>
      </c>
      <c r="CX56" s="55">
        <v>97224.5</v>
      </c>
      <c r="CY56" s="55">
        <v>97274.5</v>
      </c>
      <c r="CZ56" s="55">
        <v>97325</v>
      </c>
      <c r="DA56" s="55">
        <v>97375</v>
      </c>
      <c r="DB56" s="55">
        <v>97445.5</v>
      </c>
      <c r="DC56" s="55">
        <v>97510</v>
      </c>
      <c r="DD56" s="55">
        <v>97563</v>
      </c>
      <c r="DE56" s="55">
        <v>97611</v>
      </c>
      <c r="DF56" s="55">
        <v>97695.5</v>
      </c>
      <c r="DG56" s="55">
        <v>97731.5</v>
      </c>
      <c r="DH56" s="55">
        <v>97786.5</v>
      </c>
      <c r="DI56" s="55">
        <v>97819.5</v>
      </c>
      <c r="DJ56" s="55">
        <v>97887</v>
      </c>
      <c r="DK56" s="55">
        <v>97930.5</v>
      </c>
      <c r="DL56" s="55">
        <v>97969.5</v>
      </c>
      <c r="DM56" s="55">
        <v>98023.5</v>
      </c>
      <c r="DN56" s="55">
        <v>98075.5</v>
      </c>
      <c r="DO56" s="55">
        <v>98126.5</v>
      </c>
    </row>
    <row r="57" spans="1:119">
      <c r="A57" s="52">
        <v>55</v>
      </c>
      <c r="B57" s="55"/>
      <c r="C57" s="55"/>
      <c r="D57" s="55"/>
      <c r="E57" s="55"/>
      <c r="F57" s="55"/>
      <c r="G57" s="55"/>
      <c r="H57" s="55"/>
      <c r="I57" s="55"/>
      <c r="J57" s="55"/>
      <c r="K57" s="55"/>
      <c r="L57" s="55"/>
      <c r="M57" s="55"/>
      <c r="N57" s="55"/>
      <c r="O57" s="55"/>
      <c r="P57" s="55"/>
      <c r="Q57" s="55"/>
      <c r="R57" s="55"/>
      <c r="S57" s="55"/>
      <c r="T57" s="55"/>
      <c r="U57" s="55"/>
      <c r="V57" s="55"/>
      <c r="W57" s="55">
        <v>72145</v>
      </c>
      <c r="X57" s="55">
        <v>72956.5</v>
      </c>
      <c r="Y57" s="55">
        <v>73087</v>
      </c>
      <c r="Z57" s="55">
        <v>75161.5</v>
      </c>
      <c r="AA57" s="55">
        <v>75603</v>
      </c>
      <c r="AB57" s="55">
        <v>76244.5</v>
      </c>
      <c r="AC57" s="55">
        <v>77068.5</v>
      </c>
      <c r="AD57" s="55">
        <v>77927</v>
      </c>
      <c r="AE57" s="55">
        <v>77897</v>
      </c>
      <c r="AF57" s="55">
        <v>79112</v>
      </c>
      <c r="AG57" s="55">
        <v>79628</v>
      </c>
      <c r="AH57" s="55">
        <v>80038.5</v>
      </c>
      <c r="AI57" s="55">
        <v>80449</v>
      </c>
      <c r="AJ57" s="55">
        <v>81760.5</v>
      </c>
      <c r="AK57" s="55">
        <v>81837</v>
      </c>
      <c r="AL57" s="55">
        <v>82316</v>
      </c>
      <c r="AM57" s="55">
        <v>82724</v>
      </c>
      <c r="AN57" s="55">
        <v>83248.5</v>
      </c>
      <c r="AO57" s="55">
        <v>83305</v>
      </c>
      <c r="AP57" s="55">
        <v>83528</v>
      </c>
      <c r="AQ57" s="55">
        <v>83648</v>
      </c>
      <c r="AR57" s="55">
        <v>83845.5</v>
      </c>
      <c r="AS57" s="55">
        <v>83351</v>
      </c>
      <c r="AT57" s="55">
        <v>82698.5</v>
      </c>
      <c r="AU57" s="55">
        <v>81612</v>
      </c>
      <c r="AV57" s="55">
        <v>82037</v>
      </c>
      <c r="AW57" s="55">
        <v>82565</v>
      </c>
      <c r="AX57" s="55">
        <v>84690.5</v>
      </c>
      <c r="AY57" s="55">
        <v>86419</v>
      </c>
      <c r="AZ57" s="55">
        <v>86439</v>
      </c>
      <c r="BA57" s="55">
        <v>86525.5</v>
      </c>
      <c r="BB57" s="55">
        <v>87243.5</v>
      </c>
      <c r="BC57" s="55">
        <v>87501.5</v>
      </c>
      <c r="BD57" s="55">
        <v>87951.5</v>
      </c>
      <c r="BE57" s="55">
        <v>88112.5</v>
      </c>
      <c r="BF57" s="55">
        <v>88581</v>
      </c>
      <c r="BG57" s="55">
        <v>88768</v>
      </c>
      <c r="BH57" s="55">
        <v>89216</v>
      </c>
      <c r="BI57" s="55">
        <v>89497.5</v>
      </c>
      <c r="BJ57" s="55">
        <v>89807.5</v>
      </c>
      <c r="BK57" s="55">
        <v>90228</v>
      </c>
      <c r="BL57" s="55">
        <v>90700</v>
      </c>
      <c r="BM57" s="55">
        <v>91148.5</v>
      </c>
      <c r="BN57" s="55">
        <v>91521</v>
      </c>
      <c r="BO57" s="55">
        <v>91833</v>
      </c>
      <c r="BP57" s="55">
        <v>92087</v>
      </c>
      <c r="BQ57" s="55">
        <v>92285.5</v>
      </c>
      <c r="BR57" s="55">
        <v>92472</v>
      </c>
      <c r="BS57" s="55">
        <v>92555</v>
      </c>
      <c r="BT57" s="55">
        <v>92727.5</v>
      </c>
      <c r="BU57" s="55">
        <v>92843.5</v>
      </c>
      <c r="BV57" s="55">
        <v>93031</v>
      </c>
      <c r="BW57" s="55">
        <v>93164.5</v>
      </c>
      <c r="BX57" s="55">
        <v>93369.5</v>
      </c>
      <c r="BY57" s="55">
        <v>93575.5</v>
      </c>
      <c r="BZ57" s="55">
        <v>93902</v>
      </c>
      <c r="CA57" s="55">
        <v>94129.5</v>
      </c>
      <c r="CB57" s="55">
        <v>94282.5</v>
      </c>
      <c r="CC57" s="55">
        <v>94482</v>
      </c>
      <c r="CD57" s="55">
        <v>94652.5</v>
      </c>
      <c r="CE57" s="55">
        <v>94800.5</v>
      </c>
      <c r="CF57" s="55">
        <v>94998</v>
      </c>
      <c r="CG57" s="55">
        <v>95159</v>
      </c>
      <c r="CH57" s="55">
        <v>95304.5</v>
      </c>
      <c r="CI57" s="55">
        <v>95487.5</v>
      </c>
      <c r="CJ57" s="55">
        <v>95581.5</v>
      </c>
      <c r="CK57" s="55">
        <v>95697</v>
      </c>
      <c r="CL57" s="55">
        <v>95872</v>
      </c>
      <c r="CM57" s="55">
        <v>95964</v>
      </c>
      <c r="CN57" s="55">
        <v>96097</v>
      </c>
      <c r="CO57" s="55">
        <v>96220.5</v>
      </c>
      <c r="CP57" s="55">
        <v>96337</v>
      </c>
      <c r="CQ57" s="55">
        <v>96450</v>
      </c>
      <c r="CR57" s="55">
        <v>96523</v>
      </c>
      <c r="CS57" s="55">
        <v>96633.5</v>
      </c>
      <c r="CT57" s="55">
        <v>96714</v>
      </c>
      <c r="CU57" s="55">
        <v>96800</v>
      </c>
      <c r="CV57" s="55">
        <v>96862.5</v>
      </c>
      <c r="CW57" s="55">
        <v>96940</v>
      </c>
      <c r="CX57" s="55">
        <v>97030</v>
      </c>
      <c r="CY57" s="55">
        <v>97084.5</v>
      </c>
      <c r="CZ57" s="55">
        <v>97138</v>
      </c>
      <c r="DA57" s="55">
        <v>97191.5</v>
      </c>
      <c r="DB57" s="55">
        <v>97265.5</v>
      </c>
      <c r="DC57" s="55">
        <v>97333</v>
      </c>
      <c r="DD57" s="55">
        <v>97389</v>
      </c>
      <c r="DE57" s="55">
        <v>97440.5</v>
      </c>
      <c r="DF57" s="55">
        <v>97528</v>
      </c>
      <c r="DG57" s="55">
        <v>97567.5</v>
      </c>
      <c r="DH57" s="55">
        <v>97625</v>
      </c>
      <c r="DI57" s="55">
        <v>97661.5</v>
      </c>
      <c r="DJ57" s="55">
        <v>97732</v>
      </c>
      <c r="DK57" s="55">
        <v>97778</v>
      </c>
      <c r="DL57" s="55">
        <v>97820.5</v>
      </c>
      <c r="DM57" s="55">
        <v>97877</v>
      </c>
      <c r="DN57" s="55">
        <v>97932</v>
      </c>
      <c r="DO57" s="55">
        <v>97985.5</v>
      </c>
    </row>
    <row r="58" spans="1:119">
      <c r="A58" s="52">
        <v>56</v>
      </c>
      <c r="B58" s="55"/>
      <c r="C58" s="55"/>
      <c r="D58" s="55"/>
      <c r="E58" s="55"/>
      <c r="F58" s="55"/>
      <c r="G58" s="55"/>
      <c r="H58" s="55"/>
      <c r="I58" s="55"/>
      <c r="J58" s="55"/>
      <c r="K58" s="55"/>
      <c r="L58" s="55"/>
      <c r="M58" s="55"/>
      <c r="N58" s="55"/>
      <c r="O58" s="55"/>
      <c r="P58" s="55"/>
      <c r="Q58" s="55"/>
      <c r="R58" s="55"/>
      <c r="S58" s="55"/>
      <c r="T58" s="55"/>
      <c r="U58" s="55"/>
      <c r="V58" s="55"/>
      <c r="W58" s="55">
        <v>71521</v>
      </c>
      <c r="X58" s="55">
        <v>72339</v>
      </c>
      <c r="Y58" s="55">
        <v>72472.5</v>
      </c>
      <c r="Z58" s="55">
        <v>74529.5</v>
      </c>
      <c r="AA58" s="55">
        <v>74988.5</v>
      </c>
      <c r="AB58" s="55">
        <v>75619</v>
      </c>
      <c r="AC58" s="55">
        <v>76446</v>
      </c>
      <c r="AD58" s="55">
        <v>77297.5</v>
      </c>
      <c r="AE58" s="55">
        <v>77268.5</v>
      </c>
      <c r="AF58" s="55">
        <v>78490</v>
      </c>
      <c r="AG58" s="55">
        <v>79015.5</v>
      </c>
      <c r="AH58" s="55">
        <v>79432</v>
      </c>
      <c r="AI58" s="55">
        <v>79851.5</v>
      </c>
      <c r="AJ58" s="55">
        <v>81158.5</v>
      </c>
      <c r="AK58" s="55">
        <v>81243.5</v>
      </c>
      <c r="AL58" s="55">
        <v>81741.5</v>
      </c>
      <c r="AM58" s="55">
        <v>82164.5</v>
      </c>
      <c r="AN58" s="55">
        <v>82710</v>
      </c>
      <c r="AO58" s="55">
        <v>82775</v>
      </c>
      <c r="AP58" s="55">
        <v>83000</v>
      </c>
      <c r="AQ58" s="55">
        <v>83141.5</v>
      </c>
      <c r="AR58" s="55">
        <v>83358</v>
      </c>
      <c r="AS58" s="55">
        <v>82865</v>
      </c>
      <c r="AT58" s="55">
        <v>82219.5</v>
      </c>
      <c r="AU58" s="55">
        <v>81145</v>
      </c>
      <c r="AV58" s="55">
        <v>81565.5</v>
      </c>
      <c r="AW58" s="55">
        <v>82100.5</v>
      </c>
      <c r="AX58" s="55">
        <v>84239.5</v>
      </c>
      <c r="AY58" s="55">
        <v>85940</v>
      </c>
      <c r="AZ58" s="55">
        <v>85987.5</v>
      </c>
      <c r="BA58" s="55">
        <v>86066.5</v>
      </c>
      <c r="BB58" s="55">
        <v>86791.5</v>
      </c>
      <c r="BC58" s="55">
        <v>87055</v>
      </c>
      <c r="BD58" s="55">
        <v>87499.5</v>
      </c>
      <c r="BE58" s="55">
        <v>87660</v>
      </c>
      <c r="BF58" s="55">
        <v>88134</v>
      </c>
      <c r="BG58" s="55">
        <v>88327</v>
      </c>
      <c r="BH58" s="55">
        <v>88802</v>
      </c>
      <c r="BI58" s="55">
        <v>89070.5</v>
      </c>
      <c r="BJ58" s="55">
        <v>89385.5</v>
      </c>
      <c r="BK58" s="55">
        <v>89812</v>
      </c>
      <c r="BL58" s="55">
        <v>90290</v>
      </c>
      <c r="BM58" s="55">
        <v>90744</v>
      </c>
      <c r="BN58" s="55">
        <v>91122.5</v>
      </c>
      <c r="BO58" s="55">
        <v>91440.5</v>
      </c>
      <c r="BP58" s="55">
        <v>91701</v>
      </c>
      <c r="BQ58" s="55">
        <v>91906</v>
      </c>
      <c r="BR58" s="55">
        <v>92099</v>
      </c>
      <c r="BS58" s="55">
        <v>92189</v>
      </c>
      <c r="BT58" s="55">
        <v>92368</v>
      </c>
      <c r="BU58" s="55">
        <v>92490.5</v>
      </c>
      <c r="BV58" s="55">
        <v>92684</v>
      </c>
      <c r="BW58" s="55">
        <v>92823.5</v>
      </c>
      <c r="BX58" s="55">
        <v>93034.5</v>
      </c>
      <c r="BY58" s="55">
        <v>93246.5</v>
      </c>
      <c r="BZ58" s="55">
        <v>93578</v>
      </c>
      <c r="CA58" s="55">
        <v>93810</v>
      </c>
      <c r="CB58" s="55">
        <v>93969</v>
      </c>
      <c r="CC58" s="55">
        <v>94174.5</v>
      </c>
      <c r="CD58" s="55">
        <v>94349</v>
      </c>
      <c r="CE58" s="55">
        <v>94503</v>
      </c>
      <c r="CF58" s="55">
        <v>94705.5</v>
      </c>
      <c r="CG58" s="55">
        <v>94871.5</v>
      </c>
      <c r="CH58" s="55">
        <v>95022</v>
      </c>
      <c r="CI58" s="55">
        <v>95210</v>
      </c>
      <c r="CJ58" s="55">
        <v>95309</v>
      </c>
      <c r="CK58" s="55">
        <v>95429.5</v>
      </c>
      <c r="CL58" s="55">
        <v>95609</v>
      </c>
      <c r="CM58" s="55">
        <v>95705.5</v>
      </c>
      <c r="CN58" s="55">
        <v>95843</v>
      </c>
      <c r="CO58" s="55">
        <v>95971</v>
      </c>
      <c r="CP58" s="55">
        <v>96092.5</v>
      </c>
      <c r="CQ58" s="55">
        <v>96210</v>
      </c>
      <c r="CR58" s="55">
        <v>96287</v>
      </c>
      <c r="CS58" s="55">
        <v>96401.5</v>
      </c>
      <c r="CT58" s="55">
        <v>96486</v>
      </c>
      <c r="CU58" s="55">
        <v>96576.5</v>
      </c>
      <c r="CV58" s="55">
        <v>96643</v>
      </c>
      <c r="CW58" s="55">
        <v>96724.5</v>
      </c>
      <c r="CX58" s="55">
        <v>96818.5</v>
      </c>
      <c r="CY58" s="55">
        <v>96876.5</v>
      </c>
      <c r="CZ58" s="55">
        <v>96934.5</v>
      </c>
      <c r="DA58" s="55">
        <v>96991.5</v>
      </c>
      <c r="DB58" s="55">
        <v>97069.5</v>
      </c>
      <c r="DC58" s="55">
        <v>97140.5</v>
      </c>
      <c r="DD58" s="55">
        <v>97200.5</v>
      </c>
      <c r="DE58" s="55">
        <v>97255.5</v>
      </c>
      <c r="DF58" s="55">
        <v>97346</v>
      </c>
      <c r="DG58" s="55">
        <v>97389</v>
      </c>
      <c r="DH58" s="55">
        <v>97450</v>
      </c>
      <c r="DI58" s="55">
        <v>97489.5</v>
      </c>
      <c r="DJ58" s="55">
        <v>97563</v>
      </c>
      <c r="DK58" s="55">
        <v>97612.5</v>
      </c>
      <c r="DL58" s="55">
        <v>97657.5</v>
      </c>
      <c r="DM58" s="55">
        <v>97717.5</v>
      </c>
      <c r="DN58" s="55">
        <v>97775.5</v>
      </c>
      <c r="DO58" s="55">
        <v>97831.5</v>
      </c>
    </row>
    <row r="59" spans="1:119">
      <c r="A59" s="52">
        <v>57</v>
      </c>
      <c r="B59" s="55"/>
      <c r="C59" s="55"/>
      <c r="D59" s="55"/>
      <c r="E59" s="55"/>
      <c r="F59" s="55"/>
      <c r="G59" s="55"/>
      <c r="H59" s="55"/>
      <c r="I59" s="55"/>
      <c r="J59" s="55"/>
      <c r="K59" s="55"/>
      <c r="L59" s="55"/>
      <c r="M59" s="55"/>
      <c r="N59" s="55"/>
      <c r="O59" s="55"/>
      <c r="P59" s="55"/>
      <c r="Q59" s="55"/>
      <c r="R59" s="55"/>
      <c r="S59" s="55"/>
      <c r="T59" s="55"/>
      <c r="U59" s="55"/>
      <c r="V59" s="55"/>
      <c r="W59" s="55">
        <v>70854</v>
      </c>
      <c r="X59" s="55">
        <v>71679</v>
      </c>
      <c r="Y59" s="55">
        <v>71803</v>
      </c>
      <c r="Z59" s="55">
        <v>73847.5</v>
      </c>
      <c r="AA59" s="55">
        <v>74319.5</v>
      </c>
      <c r="AB59" s="55">
        <v>74954</v>
      </c>
      <c r="AC59" s="55">
        <v>75778.5</v>
      </c>
      <c r="AD59" s="55">
        <v>76610</v>
      </c>
      <c r="AE59" s="55">
        <v>76593.5</v>
      </c>
      <c r="AF59" s="55">
        <v>77814</v>
      </c>
      <c r="AG59" s="55">
        <v>78359.5</v>
      </c>
      <c r="AH59" s="55">
        <v>78778</v>
      </c>
      <c r="AI59" s="55">
        <v>79198.5</v>
      </c>
      <c r="AJ59" s="55">
        <v>80508</v>
      </c>
      <c r="AK59" s="55">
        <v>80622.5</v>
      </c>
      <c r="AL59" s="55">
        <v>81133</v>
      </c>
      <c r="AM59" s="55">
        <v>81581</v>
      </c>
      <c r="AN59" s="55">
        <v>82139</v>
      </c>
      <c r="AO59" s="55">
        <v>82197</v>
      </c>
      <c r="AP59" s="55">
        <v>82452</v>
      </c>
      <c r="AQ59" s="55">
        <v>82608.5</v>
      </c>
      <c r="AR59" s="55">
        <v>82842</v>
      </c>
      <c r="AS59" s="55">
        <v>82344</v>
      </c>
      <c r="AT59" s="55">
        <v>81720</v>
      </c>
      <c r="AU59" s="55">
        <v>80656</v>
      </c>
      <c r="AV59" s="55">
        <v>81070</v>
      </c>
      <c r="AW59" s="55">
        <v>81625.5</v>
      </c>
      <c r="AX59" s="55">
        <v>83752.5</v>
      </c>
      <c r="AY59" s="55">
        <v>85444</v>
      </c>
      <c r="AZ59" s="55">
        <v>85498</v>
      </c>
      <c r="BA59" s="55">
        <v>85590.5</v>
      </c>
      <c r="BB59" s="55">
        <v>86302.5</v>
      </c>
      <c r="BC59" s="55">
        <v>86577</v>
      </c>
      <c r="BD59" s="55">
        <v>87015</v>
      </c>
      <c r="BE59" s="55">
        <v>87193</v>
      </c>
      <c r="BF59" s="55">
        <v>87655.5</v>
      </c>
      <c r="BG59" s="55">
        <v>87863</v>
      </c>
      <c r="BH59" s="55">
        <v>88342.5</v>
      </c>
      <c r="BI59" s="55">
        <v>88607.5</v>
      </c>
      <c r="BJ59" s="55">
        <v>88929.5</v>
      </c>
      <c r="BK59" s="55">
        <v>89362</v>
      </c>
      <c r="BL59" s="55">
        <v>89846</v>
      </c>
      <c r="BM59" s="55">
        <v>90306.5</v>
      </c>
      <c r="BN59" s="55">
        <v>90691.5</v>
      </c>
      <c r="BO59" s="55">
        <v>91016</v>
      </c>
      <c r="BP59" s="55">
        <v>91283.5</v>
      </c>
      <c r="BQ59" s="55">
        <v>91496</v>
      </c>
      <c r="BR59" s="55">
        <v>91695.5</v>
      </c>
      <c r="BS59" s="55">
        <v>91792.5</v>
      </c>
      <c r="BT59" s="55">
        <v>91978.5</v>
      </c>
      <c r="BU59" s="55">
        <v>92108</v>
      </c>
      <c r="BV59" s="55">
        <v>92308.5</v>
      </c>
      <c r="BW59" s="55">
        <v>92454.5</v>
      </c>
      <c r="BX59" s="55">
        <v>92671.5</v>
      </c>
      <c r="BY59" s="55">
        <v>92889.5</v>
      </c>
      <c r="BZ59" s="55">
        <v>93226.5</v>
      </c>
      <c r="CA59" s="55">
        <v>93464.5</v>
      </c>
      <c r="CB59" s="55">
        <v>93629.5</v>
      </c>
      <c r="CC59" s="55">
        <v>93840.5</v>
      </c>
      <c r="CD59" s="55">
        <v>94021</v>
      </c>
      <c r="CE59" s="55">
        <v>94181</v>
      </c>
      <c r="CF59" s="55">
        <v>94388.5</v>
      </c>
      <c r="CG59" s="55">
        <v>94560</v>
      </c>
      <c r="CH59" s="55">
        <v>94716</v>
      </c>
      <c r="CI59" s="55">
        <v>94909</v>
      </c>
      <c r="CJ59" s="55">
        <v>95013.5</v>
      </c>
      <c r="CK59" s="55">
        <v>95139.5</v>
      </c>
      <c r="CL59" s="55">
        <v>95324</v>
      </c>
      <c r="CM59" s="55">
        <v>95426</v>
      </c>
      <c r="CN59" s="55">
        <v>95568.5</v>
      </c>
      <c r="CO59" s="55">
        <v>95701.5</v>
      </c>
      <c r="CP59" s="55">
        <v>95827.5</v>
      </c>
      <c r="CQ59" s="55">
        <v>95949.5</v>
      </c>
      <c r="CR59" s="55">
        <v>96031</v>
      </c>
      <c r="CS59" s="55">
        <v>96150.5</v>
      </c>
      <c r="CT59" s="55">
        <v>96239.5</v>
      </c>
      <c r="CU59" s="55">
        <v>96334.5</v>
      </c>
      <c r="CV59" s="55">
        <v>96405.5</v>
      </c>
      <c r="CW59" s="55">
        <v>96491.5</v>
      </c>
      <c r="CX59" s="55">
        <v>96589.5</v>
      </c>
      <c r="CY59" s="55">
        <v>96652</v>
      </c>
      <c r="CZ59" s="55">
        <v>96714</v>
      </c>
      <c r="DA59" s="55">
        <v>96775.5</v>
      </c>
      <c r="DB59" s="55">
        <v>96856.5</v>
      </c>
      <c r="DC59" s="55">
        <v>96932</v>
      </c>
      <c r="DD59" s="55">
        <v>96995.5</v>
      </c>
      <c r="DE59" s="55">
        <v>97054.5</v>
      </c>
      <c r="DF59" s="55">
        <v>97149</v>
      </c>
      <c r="DG59" s="55">
        <v>97195.5</v>
      </c>
      <c r="DH59" s="55">
        <v>97260</v>
      </c>
      <c r="DI59" s="55">
        <v>97303.5</v>
      </c>
      <c r="DJ59" s="55">
        <v>97380.5</v>
      </c>
      <c r="DK59" s="55">
        <v>97433</v>
      </c>
      <c r="DL59" s="55">
        <v>97481.5</v>
      </c>
      <c r="DM59" s="55">
        <v>97544.5</v>
      </c>
      <c r="DN59" s="55">
        <v>97606</v>
      </c>
      <c r="DO59" s="55">
        <v>97665.5</v>
      </c>
    </row>
    <row r="60" spans="1:119">
      <c r="A60" s="52">
        <v>58</v>
      </c>
      <c r="B60" s="55"/>
      <c r="C60" s="55"/>
      <c r="D60" s="55"/>
      <c r="E60" s="55"/>
      <c r="F60" s="55"/>
      <c r="G60" s="55"/>
      <c r="H60" s="55"/>
      <c r="I60" s="55"/>
      <c r="J60" s="55"/>
      <c r="K60" s="55"/>
      <c r="L60" s="55"/>
      <c r="M60" s="55"/>
      <c r="N60" s="55"/>
      <c r="O60" s="55"/>
      <c r="P60" s="55"/>
      <c r="Q60" s="55"/>
      <c r="R60" s="55"/>
      <c r="S60" s="55"/>
      <c r="T60" s="55"/>
      <c r="U60" s="55"/>
      <c r="V60" s="55"/>
      <c r="W60" s="55">
        <v>70128</v>
      </c>
      <c r="X60" s="55">
        <v>70959.5</v>
      </c>
      <c r="Y60" s="55">
        <v>71074</v>
      </c>
      <c r="Z60" s="55">
        <v>73135</v>
      </c>
      <c r="AA60" s="55">
        <v>73600.5</v>
      </c>
      <c r="AB60" s="55">
        <v>74254.5</v>
      </c>
      <c r="AC60" s="55">
        <v>75073.5</v>
      </c>
      <c r="AD60" s="55">
        <v>75899</v>
      </c>
      <c r="AE60" s="55">
        <v>75883.5</v>
      </c>
      <c r="AF60" s="55">
        <v>77106.5</v>
      </c>
      <c r="AG60" s="55">
        <v>77666.5</v>
      </c>
      <c r="AH60" s="55">
        <v>78071.5</v>
      </c>
      <c r="AI60" s="55">
        <v>78495.5</v>
      </c>
      <c r="AJ60" s="55">
        <v>79824.5</v>
      </c>
      <c r="AK60" s="55">
        <v>79962</v>
      </c>
      <c r="AL60" s="55">
        <v>80475</v>
      </c>
      <c r="AM60" s="55">
        <v>80953.5</v>
      </c>
      <c r="AN60" s="55">
        <v>81517</v>
      </c>
      <c r="AO60" s="55">
        <v>81598</v>
      </c>
      <c r="AP60" s="55">
        <v>81868.5</v>
      </c>
      <c r="AQ60" s="55">
        <v>82044.5</v>
      </c>
      <c r="AR60" s="55">
        <v>82285</v>
      </c>
      <c r="AS60" s="55">
        <v>81793.5</v>
      </c>
      <c r="AT60" s="55">
        <v>81172</v>
      </c>
      <c r="AU60" s="55">
        <v>80121.5</v>
      </c>
      <c r="AV60" s="55">
        <v>80541.5</v>
      </c>
      <c r="AW60" s="55">
        <v>81112.5</v>
      </c>
      <c r="AX60" s="55">
        <v>83235</v>
      </c>
      <c r="AY60" s="55">
        <v>84947</v>
      </c>
      <c r="AZ60" s="55">
        <v>84979</v>
      </c>
      <c r="BA60" s="55">
        <v>85082</v>
      </c>
      <c r="BB60" s="55">
        <v>85784</v>
      </c>
      <c r="BC60" s="55">
        <v>86057</v>
      </c>
      <c r="BD60" s="55">
        <v>86501</v>
      </c>
      <c r="BE60" s="55">
        <v>86669.5</v>
      </c>
      <c r="BF60" s="55">
        <v>87157</v>
      </c>
      <c r="BG60" s="55">
        <v>87346.5</v>
      </c>
      <c r="BH60" s="55">
        <v>87835.5</v>
      </c>
      <c r="BI60" s="55">
        <v>88108</v>
      </c>
      <c r="BJ60" s="55">
        <v>88438</v>
      </c>
      <c r="BK60" s="55">
        <v>88877.5</v>
      </c>
      <c r="BL60" s="55">
        <v>89368</v>
      </c>
      <c r="BM60" s="55">
        <v>89835</v>
      </c>
      <c r="BN60" s="55">
        <v>90227</v>
      </c>
      <c r="BO60" s="55">
        <v>90559</v>
      </c>
      <c r="BP60" s="55">
        <v>90833.5</v>
      </c>
      <c r="BQ60" s="55">
        <v>91053.5</v>
      </c>
      <c r="BR60" s="55">
        <v>91261</v>
      </c>
      <c r="BS60" s="55">
        <v>91366</v>
      </c>
      <c r="BT60" s="55">
        <v>91559</v>
      </c>
      <c r="BU60" s="55">
        <v>91696</v>
      </c>
      <c r="BV60" s="55">
        <v>91903</v>
      </c>
      <c r="BW60" s="55">
        <v>92056.5</v>
      </c>
      <c r="BX60" s="55">
        <v>92280</v>
      </c>
      <c r="BY60" s="55">
        <v>92504.5</v>
      </c>
      <c r="BZ60" s="55">
        <v>92847.5</v>
      </c>
      <c r="CA60" s="55">
        <v>93092</v>
      </c>
      <c r="CB60" s="55">
        <v>93263.5</v>
      </c>
      <c r="CC60" s="55">
        <v>93480.5</v>
      </c>
      <c r="CD60" s="55">
        <v>93667.5</v>
      </c>
      <c r="CE60" s="55">
        <v>93833.5</v>
      </c>
      <c r="CF60" s="55">
        <v>94047</v>
      </c>
      <c r="CG60" s="55">
        <v>94224.5</v>
      </c>
      <c r="CH60" s="55">
        <v>94386</v>
      </c>
      <c r="CI60" s="55">
        <v>94585</v>
      </c>
      <c r="CJ60" s="55">
        <v>94695</v>
      </c>
      <c r="CK60" s="55">
        <v>94827</v>
      </c>
      <c r="CL60" s="55">
        <v>95016.5</v>
      </c>
      <c r="CM60" s="55">
        <v>95124</v>
      </c>
      <c r="CN60" s="55">
        <v>95272</v>
      </c>
      <c r="CO60" s="55">
        <v>95410</v>
      </c>
      <c r="CP60" s="55">
        <v>95541.5</v>
      </c>
      <c r="CQ60" s="55">
        <v>95668.5</v>
      </c>
      <c r="CR60" s="55">
        <v>95755.5</v>
      </c>
      <c r="CS60" s="55">
        <v>95880</v>
      </c>
      <c r="CT60" s="55">
        <v>95974</v>
      </c>
      <c r="CU60" s="55">
        <v>96073.5</v>
      </c>
      <c r="CV60" s="55">
        <v>96149</v>
      </c>
      <c r="CW60" s="55">
        <v>96240</v>
      </c>
      <c r="CX60" s="55">
        <v>96342.5</v>
      </c>
      <c r="CY60" s="55">
        <v>96409.5</v>
      </c>
      <c r="CZ60" s="55">
        <v>96476</v>
      </c>
      <c r="DA60" s="55">
        <v>96542</v>
      </c>
      <c r="DB60" s="55">
        <v>96627.5</v>
      </c>
      <c r="DC60" s="55">
        <v>96707</v>
      </c>
      <c r="DD60" s="55">
        <v>96775</v>
      </c>
      <c r="DE60" s="55">
        <v>96838</v>
      </c>
      <c r="DF60" s="55">
        <v>96936</v>
      </c>
      <c r="DG60" s="55">
        <v>96986.5</v>
      </c>
      <c r="DH60" s="55">
        <v>97055</v>
      </c>
      <c r="DI60" s="55">
        <v>97102</v>
      </c>
      <c r="DJ60" s="55">
        <v>97183</v>
      </c>
      <c r="DK60" s="55">
        <v>97239.5</v>
      </c>
      <c r="DL60" s="55">
        <v>97291.5</v>
      </c>
      <c r="DM60" s="55">
        <v>97358</v>
      </c>
      <c r="DN60" s="55">
        <v>97422.5</v>
      </c>
      <c r="DO60" s="55">
        <v>97486</v>
      </c>
    </row>
    <row r="61" spans="1:119">
      <c r="A61" s="52">
        <v>59</v>
      </c>
      <c r="B61" s="55"/>
      <c r="C61" s="55"/>
      <c r="D61" s="55"/>
      <c r="E61" s="55"/>
      <c r="F61" s="55"/>
      <c r="G61" s="55"/>
      <c r="H61" s="55"/>
      <c r="I61" s="55"/>
      <c r="J61" s="55"/>
      <c r="K61" s="55"/>
      <c r="L61" s="55"/>
      <c r="M61" s="55"/>
      <c r="N61" s="55"/>
      <c r="O61" s="55"/>
      <c r="P61" s="55"/>
      <c r="Q61" s="55"/>
      <c r="R61" s="55"/>
      <c r="S61" s="55"/>
      <c r="T61" s="55"/>
      <c r="U61" s="55"/>
      <c r="V61" s="55"/>
      <c r="W61" s="55">
        <v>69350.5</v>
      </c>
      <c r="X61" s="55">
        <v>70185</v>
      </c>
      <c r="Y61" s="55">
        <v>70295.5</v>
      </c>
      <c r="Z61" s="55">
        <v>72368.5</v>
      </c>
      <c r="AA61" s="55">
        <v>72851.5</v>
      </c>
      <c r="AB61" s="55">
        <v>73486</v>
      </c>
      <c r="AC61" s="55">
        <v>74323.5</v>
      </c>
      <c r="AD61" s="55">
        <v>75129</v>
      </c>
      <c r="AE61" s="55">
        <v>75137.5</v>
      </c>
      <c r="AF61" s="55">
        <v>76348.5</v>
      </c>
      <c r="AG61" s="55">
        <v>76910</v>
      </c>
      <c r="AH61" s="55">
        <v>77324.5</v>
      </c>
      <c r="AI61" s="55">
        <v>77753.5</v>
      </c>
      <c r="AJ61" s="55">
        <v>79085.5</v>
      </c>
      <c r="AK61" s="55">
        <v>79247.5</v>
      </c>
      <c r="AL61" s="55">
        <v>79796.5</v>
      </c>
      <c r="AM61" s="55">
        <v>80286.5</v>
      </c>
      <c r="AN61" s="55">
        <v>80883</v>
      </c>
      <c r="AO61" s="55">
        <v>80975.5</v>
      </c>
      <c r="AP61" s="55">
        <v>81274</v>
      </c>
      <c r="AQ61" s="55">
        <v>81446</v>
      </c>
      <c r="AR61" s="55">
        <v>81698</v>
      </c>
      <c r="AS61" s="55">
        <v>81212</v>
      </c>
      <c r="AT61" s="55">
        <v>80583.5</v>
      </c>
      <c r="AU61" s="55">
        <v>79551</v>
      </c>
      <c r="AV61" s="55">
        <v>79974.5</v>
      </c>
      <c r="AW61" s="55">
        <v>80570</v>
      </c>
      <c r="AX61" s="55">
        <v>82671.5</v>
      </c>
      <c r="AY61" s="55">
        <v>84388</v>
      </c>
      <c r="AZ61" s="55">
        <v>84423.5</v>
      </c>
      <c r="BA61" s="55">
        <v>84529.5</v>
      </c>
      <c r="BB61" s="55">
        <v>85213.5</v>
      </c>
      <c r="BC61" s="55">
        <v>85500.5</v>
      </c>
      <c r="BD61" s="55">
        <v>85936.5</v>
      </c>
      <c r="BE61" s="55">
        <v>86121.5</v>
      </c>
      <c r="BF61" s="55">
        <v>86604.5</v>
      </c>
      <c r="BG61" s="55">
        <v>86795</v>
      </c>
      <c r="BH61" s="55">
        <v>87291</v>
      </c>
      <c r="BI61" s="55">
        <v>87572.5</v>
      </c>
      <c r="BJ61" s="55">
        <v>87911</v>
      </c>
      <c r="BK61" s="55">
        <v>88358</v>
      </c>
      <c r="BL61" s="55">
        <v>88855.5</v>
      </c>
      <c r="BM61" s="55">
        <v>89329.5</v>
      </c>
      <c r="BN61" s="55">
        <v>89728.5</v>
      </c>
      <c r="BO61" s="55">
        <v>90068</v>
      </c>
      <c r="BP61" s="55">
        <v>90351</v>
      </c>
      <c r="BQ61" s="55">
        <v>90579</v>
      </c>
      <c r="BR61" s="55">
        <v>90794.5</v>
      </c>
      <c r="BS61" s="55">
        <v>90908</v>
      </c>
      <c r="BT61" s="55">
        <v>91108.5</v>
      </c>
      <c r="BU61" s="55">
        <v>91253.5</v>
      </c>
      <c r="BV61" s="55">
        <v>91468.5</v>
      </c>
      <c r="BW61" s="55">
        <v>91629.5</v>
      </c>
      <c r="BX61" s="55">
        <v>91860.5</v>
      </c>
      <c r="BY61" s="55">
        <v>92091.5</v>
      </c>
      <c r="BZ61" s="55">
        <v>92440.5</v>
      </c>
      <c r="CA61" s="55">
        <v>92692</v>
      </c>
      <c r="CB61" s="55">
        <v>92870.5</v>
      </c>
      <c r="CC61" s="55">
        <v>93094.5</v>
      </c>
      <c r="CD61" s="55">
        <v>93288</v>
      </c>
      <c r="CE61" s="55">
        <v>93460</v>
      </c>
      <c r="CF61" s="55">
        <v>93680</v>
      </c>
      <c r="CG61" s="55">
        <v>93864</v>
      </c>
      <c r="CH61" s="55">
        <v>94032</v>
      </c>
      <c r="CI61" s="55">
        <v>94237</v>
      </c>
      <c r="CJ61" s="55">
        <v>94353.5</v>
      </c>
      <c r="CK61" s="55">
        <v>94491</v>
      </c>
      <c r="CL61" s="55">
        <v>94686.5</v>
      </c>
      <c r="CM61" s="55">
        <v>94800</v>
      </c>
      <c r="CN61" s="55">
        <v>94953.5</v>
      </c>
      <c r="CO61" s="55">
        <v>95097.5</v>
      </c>
      <c r="CP61" s="55">
        <v>95234</v>
      </c>
      <c r="CQ61" s="55">
        <v>95367</v>
      </c>
      <c r="CR61" s="55">
        <v>95459.5</v>
      </c>
      <c r="CS61" s="55">
        <v>95589</v>
      </c>
      <c r="CT61" s="55">
        <v>95688.5</v>
      </c>
      <c r="CU61" s="55">
        <v>95793</v>
      </c>
      <c r="CV61" s="55">
        <v>95874.5</v>
      </c>
      <c r="CW61" s="55">
        <v>95970</v>
      </c>
      <c r="CX61" s="55">
        <v>96077.5</v>
      </c>
      <c r="CY61" s="55">
        <v>96149.5</v>
      </c>
      <c r="CZ61" s="55">
        <v>96220.5</v>
      </c>
      <c r="DA61" s="55">
        <v>96291.5</v>
      </c>
      <c r="DB61" s="55">
        <v>96381.5</v>
      </c>
      <c r="DC61" s="55">
        <v>96465.5</v>
      </c>
      <c r="DD61" s="55">
        <v>96538</v>
      </c>
      <c r="DE61" s="55">
        <v>96605</v>
      </c>
      <c r="DF61" s="55">
        <v>96707.5</v>
      </c>
      <c r="DG61" s="55">
        <v>96762.5</v>
      </c>
      <c r="DH61" s="55">
        <v>96835</v>
      </c>
      <c r="DI61" s="55">
        <v>96886</v>
      </c>
      <c r="DJ61" s="55">
        <v>96971</v>
      </c>
      <c r="DK61" s="55">
        <v>97031.5</v>
      </c>
      <c r="DL61" s="55">
        <v>97087.5</v>
      </c>
      <c r="DM61" s="55">
        <v>97157.5</v>
      </c>
      <c r="DN61" s="55">
        <v>97226.5</v>
      </c>
      <c r="DO61" s="55">
        <v>97293</v>
      </c>
    </row>
    <row r="62" spans="1:119">
      <c r="A62" s="52">
        <v>60</v>
      </c>
      <c r="B62" s="55"/>
      <c r="C62" s="55"/>
      <c r="D62" s="55"/>
      <c r="E62" s="55"/>
      <c r="F62" s="55"/>
      <c r="G62" s="55"/>
      <c r="H62" s="55"/>
      <c r="I62" s="55"/>
      <c r="J62" s="55"/>
      <c r="K62" s="55"/>
      <c r="L62" s="55"/>
      <c r="M62" s="55"/>
      <c r="N62" s="55"/>
      <c r="O62" s="55"/>
      <c r="P62" s="55"/>
      <c r="Q62" s="55"/>
      <c r="R62" s="55"/>
      <c r="S62" s="55"/>
      <c r="T62" s="55"/>
      <c r="U62" s="55"/>
      <c r="V62" s="55"/>
      <c r="W62" s="55">
        <v>68520</v>
      </c>
      <c r="X62" s="55">
        <v>69354</v>
      </c>
      <c r="Y62" s="55">
        <v>69472</v>
      </c>
      <c r="Z62" s="55">
        <v>71560</v>
      </c>
      <c r="AA62" s="55">
        <v>72041.5</v>
      </c>
      <c r="AB62" s="55">
        <v>72686.5</v>
      </c>
      <c r="AC62" s="55">
        <v>73527.5</v>
      </c>
      <c r="AD62" s="55">
        <v>74310.5</v>
      </c>
      <c r="AE62" s="55">
        <v>74334.5</v>
      </c>
      <c r="AF62" s="55">
        <v>75534</v>
      </c>
      <c r="AG62" s="55">
        <v>76090</v>
      </c>
      <c r="AH62" s="55">
        <v>76521</v>
      </c>
      <c r="AI62" s="55">
        <v>76959.5</v>
      </c>
      <c r="AJ62" s="55">
        <v>78321</v>
      </c>
      <c r="AK62" s="55">
        <v>78489</v>
      </c>
      <c r="AL62" s="55">
        <v>79056.5</v>
      </c>
      <c r="AM62" s="55">
        <v>79588</v>
      </c>
      <c r="AN62" s="55">
        <v>80204</v>
      </c>
      <c r="AO62" s="55">
        <v>80315</v>
      </c>
      <c r="AP62" s="55">
        <v>80640.5</v>
      </c>
      <c r="AQ62" s="55">
        <v>80806</v>
      </c>
      <c r="AR62" s="55">
        <v>81083.5</v>
      </c>
      <c r="AS62" s="55">
        <v>80585.5</v>
      </c>
      <c r="AT62" s="55">
        <v>79976.5</v>
      </c>
      <c r="AU62" s="55">
        <v>78951.5</v>
      </c>
      <c r="AV62" s="55">
        <v>79381</v>
      </c>
      <c r="AW62" s="55">
        <v>80004</v>
      </c>
      <c r="AX62" s="55">
        <v>82087.5</v>
      </c>
      <c r="AY62" s="55">
        <v>83781.5</v>
      </c>
      <c r="AZ62" s="55">
        <v>83840.5</v>
      </c>
      <c r="BA62" s="55">
        <v>83931</v>
      </c>
      <c r="BB62" s="55">
        <v>84609.5</v>
      </c>
      <c r="BC62" s="55">
        <v>84887</v>
      </c>
      <c r="BD62" s="55">
        <v>85339.5</v>
      </c>
      <c r="BE62" s="55">
        <v>85514</v>
      </c>
      <c r="BF62" s="55">
        <v>86005.5</v>
      </c>
      <c r="BG62" s="55">
        <v>86206</v>
      </c>
      <c r="BH62" s="55">
        <v>86710</v>
      </c>
      <c r="BI62" s="55">
        <v>87001</v>
      </c>
      <c r="BJ62" s="55">
        <v>87347.5</v>
      </c>
      <c r="BK62" s="55">
        <v>87802.5</v>
      </c>
      <c r="BL62" s="55">
        <v>88307.5</v>
      </c>
      <c r="BM62" s="55">
        <v>88789</v>
      </c>
      <c r="BN62" s="55">
        <v>89196</v>
      </c>
      <c r="BO62" s="55">
        <v>89544</v>
      </c>
      <c r="BP62" s="55">
        <v>89835.5</v>
      </c>
      <c r="BQ62" s="55">
        <v>90071.5</v>
      </c>
      <c r="BR62" s="55">
        <v>90296</v>
      </c>
      <c r="BS62" s="55">
        <v>90418.5</v>
      </c>
      <c r="BT62" s="55">
        <v>90627.5</v>
      </c>
      <c r="BU62" s="55">
        <v>90781</v>
      </c>
      <c r="BV62" s="55">
        <v>91003.5</v>
      </c>
      <c r="BW62" s="55">
        <v>91173</v>
      </c>
      <c r="BX62" s="55">
        <v>91411.5</v>
      </c>
      <c r="BY62" s="55">
        <v>91650.5</v>
      </c>
      <c r="BZ62" s="55">
        <v>92006</v>
      </c>
      <c r="CA62" s="55">
        <v>92264.5</v>
      </c>
      <c r="CB62" s="55">
        <v>92450.5</v>
      </c>
      <c r="CC62" s="55">
        <v>92681</v>
      </c>
      <c r="CD62" s="55">
        <v>92882</v>
      </c>
      <c r="CE62" s="55">
        <v>93061.5</v>
      </c>
      <c r="CF62" s="55">
        <v>93288.5</v>
      </c>
      <c r="CG62" s="55">
        <v>93478.5</v>
      </c>
      <c r="CH62" s="55">
        <v>93653.5</v>
      </c>
      <c r="CI62" s="55">
        <v>93865</v>
      </c>
      <c r="CJ62" s="55">
        <v>93988</v>
      </c>
      <c r="CK62" s="55">
        <v>94132.5</v>
      </c>
      <c r="CL62" s="55">
        <v>94334</v>
      </c>
      <c r="CM62" s="55">
        <v>94453.5</v>
      </c>
      <c r="CN62" s="55">
        <v>94613.5</v>
      </c>
      <c r="CO62" s="55">
        <v>94763.5</v>
      </c>
      <c r="CP62" s="55">
        <v>94906</v>
      </c>
      <c r="CQ62" s="55">
        <v>95045</v>
      </c>
      <c r="CR62" s="55">
        <v>95143.5</v>
      </c>
      <c r="CS62" s="55">
        <v>95278.5</v>
      </c>
      <c r="CT62" s="55">
        <v>95383.5</v>
      </c>
      <c r="CU62" s="55">
        <v>95494</v>
      </c>
      <c r="CV62" s="55">
        <v>95580</v>
      </c>
      <c r="CW62" s="55">
        <v>95681.5</v>
      </c>
      <c r="CX62" s="55">
        <v>95794.5</v>
      </c>
      <c r="CY62" s="55">
        <v>95871.5</v>
      </c>
      <c r="CZ62" s="55">
        <v>95948</v>
      </c>
      <c r="DA62" s="55">
        <v>96023.5</v>
      </c>
      <c r="DB62" s="55">
        <v>96118.5</v>
      </c>
      <c r="DC62" s="55">
        <v>96207.5</v>
      </c>
      <c r="DD62" s="55">
        <v>96285</v>
      </c>
      <c r="DE62" s="55">
        <v>96356.5</v>
      </c>
      <c r="DF62" s="55">
        <v>96464</v>
      </c>
      <c r="DG62" s="55">
        <v>96523</v>
      </c>
      <c r="DH62" s="55">
        <v>96600.5</v>
      </c>
      <c r="DI62" s="55">
        <v>96655.5</v>
      </c>
      <c r="DJ62" s="55">
        <v>96745</v>
      </c>
      <c r="DK62" s="55">
        <v>96809.5</v>
      </c>
      <c r="DL62" s="55">
        <v>96870</v>
      </c>
      <c r="DM62" s="55">
        <v>96944.5</v>
      </c>
      <c r="DN62" s="55">
        <v>97016.5</v>
      </c>
      <c r="DO62" s="55">
        <v>97087</v>
      </c>
    </row>
    <row r="63" spans="1:119">
      <c r="A63" s="52">
        <v>61</v>
      </c>
      <c r="B63" s="55"/>
      <c r="C63" s="55"/>
      <c r="D63" s="55"/>
      <c r="E63" s="55"/>
      <c r="F63" s="55"/>
      <c r="G63" s="55"/>
      <c r="H63" s="55"/>
      <c r="I63" s="55"/>
      <c r="J63" s="55"/>
      <c r="K63" s="55"/>
      <c r="L63" s="55"/>
      <c r="M63" s="55"/>
      <c r="N63" s="55"/>
      <c r="O63" s="55"/>
      <c r="P63" s="55"/>
      <c r="Q63" s="55"/>
      <c r="R63" s="55"/>
      <c r="S63" s="55"/>
      <c r="T63" s="55"/>
      <c r="U63" s="55"/>
      <c r="V63" s="55"/>
      <c r="W63" s="55">
        <v>67632.5</v>
      </c>
      <c r="X63" s="55">
        <v>68474.5</v>
      </c>
      <c r="Y63" s="55">
        <v>68607</v>
      </c>
      <c r="Z63" s="55">
        <v>70685.5</v>
      </c>
      <c r="AA63" s="55">
        <v>71172.5</v>
      </c>
      <c r="AB63" s="55">
        <v>71834</v>
      </c>
      <c r="AC63" s="55">
        <v>72675</v>
      </c>
      <c r="AD63" s="55">
        <v>73437.5</v>
      </c>
      <c r="AE63" s="55">
        <v>73469.5</v>
      </c>
      <c r="AF63" s="55">
        <v>74634.5</v>
      </c>
      <c r="AG63" s="55">
        <v>75225</v>
      </c>
      <c r="AH63" s="55">
        <v>75665.5</v>
      </c>
      <c r="AI63" s="55">
        <v>76129</v>
      </c>
      <c r="AJ63" s="55">
        <v>77497.5</v>
      </c>
      <c r="AK63" s="55">
        <v>77682.5</v>
      </c>
      <c r="AL63" s="55">
        <v>78292</v>
      </c>
      <c r="AM63" s="55">
        <v>78852</v>
      </c>
      <c r="AN63" s="55">
        <v>79491</v>
      </c>
      <c r="AO63" s="55">
        <v>79613.5</v>
      </c>
      <c r="AP63" s="55">
        <v>79957.5</v>
      </c>
      <c r="AQ63" s="55">
        <v>80135.5</v>
      </c>
      <c r="AR63" s="55">
        <v>80419</v>
      </c>
      <c r="AS63" s="55">
        <v>79940</v>
      </c>
      <c r="AT63" s="55">
        <v>79325</v>
      </c>
      <c r="AU63" s="55">
        <v>78324.5</v>
      </c>
      <c r="AV63" s="55">
        <v>78750.5</v>
      </c>
      <c r="AW63" s="55">
        <v>79380.5</v>
      </c>
      <c r="AX63" s="55">
        <v>81441</v>
      </c>
      <c r="AY63" s="55">
        <v>83136</v>
      </c>
      <c r="AZ63" s="55">
        <v>83185.5</v>
      </c>
      <c r="BA63" s="55">
        <v>83273</v>
      </c>
      <c r="BB63" s="55">
        <v>83955</v>
      </c>
      <c r="BC63" s="55">
        <v>84252.5</v>
      </c>
      <c r="BD63" s="55">
        <v>84673</v>
      </c>
      <c r="BE63" s="55">
        <v>84868</v>
      </c>
      <c r="BF63" s="55">
        <v>85368.5</v>
      </c>
      <c r="BG63" s="55">
        <v>85580</v>
      </c>
      <c r="BH63" s="55">
        <v>86092</v>
      </c>
      <c r="BI63" s="55">
        <v>86392</v>
      </c>
      <c r="BJ63" s="55">
        <v>86748.5</v>
      </c>
      <c r="BK63" s="55">
        <v>87212</v>
      </c>
      <c r="BL63" s="55">
        <v>87725</v>
      </c>
      <c r="BM63" s="55">
        <v>88214.5</v>
      </c>
      <c r="BN63" s="55">
        <v>88630</v>
      </c>
      <c r="BO63" s="55">
        <v>88986</v>
      </c>
      <c r="BP63" s="55">
        <v>89287</v>
      </c>
      <c r="BQ63" s="55">
        <v>89532</v>
      </c>
      <c r="BR63" s="55">
        <v>89765.5</v>
      </c>
      <c r="BS63" s="55">
        <v>89897.5</v>
      </c>
      <c r="BT63" s="55">
        <v>90115.5</v>
      </c>
      <c r="BU63" s="55">
        <v>90278</v>
      </c>
      <c r="BV63" s="55">
        <v>90509.5</v>
      </c>
      <c r="BW63" s="55">
        <v>90687</v>
      </c>
      <c r="BX63" s="55">
        <v>90933.5</v>
      </c>
      <c r="BY63" s="55">
        <v>91181</v>
      </c>
      <c r="BZ63" s="55">
        <v>91543.5</v>
      </c>
      <c r="CA63" s="55">
        <v>91810</v>
      </c>
      <c r="CB63" s="55">
        <v>92003.5</v>
      </c>
      <c r="CC63" s="55">
        <v>92242</v>
      </c>
      <c r="CD63" s="55">
        <v>92450.5</v>
      </c>
      <c r="CE63" s="55">
        <v>92637.5</v>
      </c>
      <c r="CF63" s="55">
        <v>92871</v>
      </c>
      <c r="CG63" s="55">
        <v>93069</v>
      </c>
      <c r="CH63" s="55">
        <v>93251</v>
      </c>
      <c r="CI63" s="55">
        <v>93468.5</v>
      </c>
      <c r="CJ63" s="55">
        <v>93599.5</v>
      </c>
      <c r="CK63" s="55">
        <v>93751</v>
      </c>
      <c r="CL63" s="55">
        <v>93959</v>
      </c>
      <c r="CM63" s="55">
        <v>94085.5</v>
      </c>
      <c r="CN63" s="55">
        <v>94252</v>
      </c>
      <c r="CO63" s="55">
        <v>94408</v>
      </c>
      <c r="CP63" s="55">
        <v>94557</v>
      </c>
      <c r="CQ63" s="55">
        <v>94702</v>
      </c>
      <c r="CR63" s="55">
        <v>94806.5</v>
      </c>
      <c r="CS63" s="55">
        <v>94948</v>
      </c>
      <c r="CT63" s="55">
        <v>95059</v>
      </c>
      <c r="CU63" s="55">
        <v>95175.5</v>
      </c>
      <c r="CV63" s="55">
        <v>95268</v>
      </c>
      <c r="CW63" s="55">
        <v>95375</v>
      </c>
      <c r="CX63" s="55">
        <v>95493.5</v>
      </c>
      <c r="CY63" s="55">
        <v>95575.5</v>
      </c>
      <c r="CZ63" s="55">
        <v>95658</v>
      </c>
      <c r="DA63" s="55">
        <v>95738.5</v>
      </c>
      <c r="DB63" s="55">
        <v>95839</v>
      </c>
      <c r="DC63" s="55">
        <v>95933.5</v>
      </c>
      <c r="DD63" s="55">
        <v>96015.5</v>
      </c>
      <c r="DE63" s="55">
        <v>96092.5</v>
      </c>
      <c r="DF63" s="55">
        <v>96204.5</v>
      </c>
      <c r="DG63" s="55">
        <v>96268.5</v>
      </c>
      <c r="DH63" s="55">
        <v>96351</v>
      </c>
      <c r="DI63" s="55">
        <v>96411</v>
      </c>
      <c r="DJ63" s="55">
        <v>96504.5</v>
      </c>
      <c r="DK63" s="55">
        <v>96574</v>
      </c>
      <c r="DL63" s="55">
        <v>96638</v>
      </c>
      <c r="DM63" s="55">
        <v>96717</v>
      </c>
      <c r="DN63" s="55">
        <v>96793.5</v>
      </c>
      <c r="DO63" s="55">
        <v>96868.5</v>
      </c>
    </row>
    <row r="64" spans="1:119">
      <c r="A64" s="52">
        <v>62</v>
      </c>
      <c r="B64" s="55"/>
      <c r="C64" s="55"/>
      <c r="D64" s="55"/>
      <c r="E64" s="55"/>
      <c r="F64" s="55"/>
      <c r="G64" s="55"/>
      <c r="H64" s="55"/>
      <c r="I64" s="55"/>
      <c r="J64" s="55"/>
      <c r="K64" s="55"/>
      <c r="L64" s="55"/>
      <c r="M64" s="55"/>
      <c r="N64" s="55"/>
      <c r="O64" s="55"/>
      <c r="P64" s="55"/>
      <c r="Q64" s="55"/>
      <c r="R64" s="55"/>
      <c r="S64" s="55"/>
      <c r="T64" s="55"/>
      <c r="U64" s="55"/>
      <c r="V64" s="55"/>
      <c r="W64" s="55">
        <v>66693</v>
      </c>
      <c r="X64" s="55">
        <v>67545.5</v>
      </c>
      <c r="Y64" s="55">
        <v>67673.5</v>
      </c>
      <c r="Z64" s="55">
        <v>69746</v>
      </c>
      <c r="AA64" s="55">
        <v>70254</v>
      </c>
      <c r="AB64" s="55">
        <v>70923.5</v>
      </c>
      <c r="AC64" s="55">
        <v>71757.5</v>
      </c>
      <c r="AD64" s="55">
        <v>72484.5</v>
      </c>
      <c r="AE64" s="55">
        <v>72529</v>
      </c>
      <c r="AF64" s="55">
        <v>73697.5</v>
      </c>
      <c r="AG64" s="55">
        <v>74320</v>
      </c>
      <c r="AH64" s="55">
        <v>74766</v>
      </c>
      <c r="AI64" s="55">
        <v>75247.5</v>
      </c>
      <c r="AJ64" s="55">
        <v>76613</v>
      </c>
      <c r="AK64" s="55">
        <v>76834</v>
      </c>
      <c r="AL64" s="55">
        <v>77492.5</v>
      </c>
      <c r="AM64" s="55">
        <v>78082.5</v>
      </c>
      <c r="AN64" s="55">
        <v>78731.5</v>
      </c>
      <c r="AO64" s="55">
        <v>78877.5</v>
      </c>
      <c r="AP64" s="55">
        <v>79238.5</v>
      </c>
      <c r="AQ64" s="55">
        <v>79425</v>
      </c>
      <c r="AR64" s="55">
        <v>79730.5</v>
      </c>
      <c r="AS64" s="55">
        <v>79256.5</v>
      </c>
      <c r="AT64" s="55">
        <v>78647</v>
      </c>
      <c r="AU64" s="55">
        <v>77651</v>
      </c>
      <c r="AV64" s="55">
        <v>78074</v>
      </c>
      <c r="AW64" s="55">
        <v>78712</v>
      </c>
      <c r="AX64" s="55">
        <v>80770.5</v>
      </c>
      <c r="AY64" s="55">
        <v>82427.5</v>
      </c>
      <c r="AZ64" s="55">
        <v>82495</v>
      </c>
      <c r="BA64" s="55">
        <v>82583</v>
      </c>
      <c r="BB64" s="55">
        <v>83279</v>
      </c>
      <c r="BC64" s="55">
        <v>83540.5</v>
      </c>
      <c r="BD64" s="55">
        <v>83977</v>
      </c>
      <c r="BE64" s="55">
        <v>84183.5</v>
      </c>
      <c r="BF64" s="55">
        <v>84693</v>
      </c>
      <c r="BG64" s="55">
        <v>84916.5</v>
      </c>
      <c r="BH64" s="55">
        <v>85437.5</v>
      </c>
      <c r="BI64" s="55">
        <v>85748</v>
      </c>
      <c r="BJ64" s="55">
        <v>86114</v>
      </c>
      <c r="BK64" s="55">
        <v>86586.5</v>
      </c>
      <c r="BL64" s="55">
        <v>87108</v>
      </c>
      <c r="BM64" s="55">
        <v>87605</v>
      </c>
      <c r="BN64" s="55">
        <v>88030</v>
      </c>
      <c r="BO64" s="55">
        <v>88395.5</v>
      </c>
      <c r="BP64" s="55">
        <v>88705.5</v>
      </c>
      <c r="BQ64" s="55">
        <v>88960.5</v>
      </c>
      <c r="BR64" s="55">
        <v>89203.5</v>
      </c>
      <c r="BS64" s="55">
        <v>89346</v>
      </c>
      <c r="BT64" s="55">
        <v>89573</v>
      </c>
      <c r="BU64" s="55">
        <v>89745.5</v>
      </c>
      <c r="BV64" s="55">
        <v>89985.5</v>
      </c>
      <c r="BW64" s="55">
        <v>90172.5</v>
      </c>
      <c r="BX64" s="55">
        <v>90427.5</v>
      </c>
      <c r="BY64" s="55">
        <v>90683</v>
      </c>
      <c r="BZ64" s="55">
        <v>91053.5</v>
      </c>
      <c r="CA64" s="55">
        <v>91328</v>
      </c>
      <c r="CB64" s="55">
        <v>91530</v>
      </c>
      <c r="CC64" s="55">
        <v>91776.5</v>
      </c>
      <c r="CD64" s="55">
        <v>91993</v>
      </c>
      <c r="CE64" s="55">
        <v>92188</v>
      </c>
      <c r="CF64" s="55">
        <v>92429</v>
      </c>
      <c r="CG64" s="55">
        <v>92634.5</v>
      </c>
      <c r="CH64" s="55">
        <v>92824</v>
      </c>
      <c r="CI64" s="55">
        <v>93049.5</v>
      </c>
      <c r="CJ64" s="55">
        <v>93188</v>
      </c>
      <c r="CK64" s="55">
        <v>93346</v>
      </c>
      <c r="CL64" s="55">
        <v>93561</v>
      </c>
      <c r="CM64" s="55">
        <v>93695.5</v>
      </c>
      <c r="CN64" s="55">
        <v>93868.5</v>
      </c>
      <c r="CO64" s="55">
        <v>94031.5</v>
      </c>
      <c r="CP64" s="55">
        <v>94187</v>
      </c>
      <c r="CQ64" s="55">
        <v>94339</v>
      </c>
      <c r="CR64" s="55">
        <v>94450.5</v>
      </c>
      <c r="CS64" s="55">
        <v>94598</v>
      </c>
      <c r="CT64" s="55">
        <v>94716</v>
      </c>
      <c r="CU64" s="55">
        <v>94838.5</v>
      </c>
      <c r="CV64" s="55">
        <v>94936.5</v>
      </c>
      <c r="CW64" s="55">
        <v>95050</v>
      </c>
      <c r="CX64" s="55">
        <v>95174.5</v>
      </c>
      <c r="CY64" s="55">
        <v>95263</v>
      </c>
      <c r="CZ64" s="55">
        <v>95350.5</v>
      </c>
      <c r="DA64" s="55">
        <v>95437.5</v>
      </c>
      <c r="DB64" s="55">
        <v>95543.5</v>
      </c>
      <c r="DC64" s="55">
        <v>95643</v>
      </c>
      <c r="DD64" s="55">
        <v>95730.5</v>
      </c>
      <c r="DE64" s="55">
        <v>95813.5</v>
      </c>
      <c r="DF64" s="55">
        <v>95930</v>
      </c>
      <c r="DG64" s="55">
        <v>95999.5</v>
      </c>
      <c r="DH64" s="55">
        <v>96086.5</v>
      </c>
      <c r="DI64" s="55">
        <v>96151.5</v>
      </c>
      <c r="DJ64" s="55">
        <v>96250</v>
      </c>
      <c r="DK64" s="55">
        <v>96324</v>
      </c>
      <c r="DL64" s="55">
        <v>96393.5</v>
      </c>
      <c r="DM64" s="55">
        <v>96476.5</v>
      </c>
      <c r="DN64" s="55">
        <v>96557.5</v>
      </c>
      <c r="DO64" s="55">
        <v>96636.5</v>
      </c>
    </row>
    <row r="65" spans="1:119">
      <c r="A65" s="52">
        <v>63</v>
      </c>
      <c r="B65" s="55"/>
      <c r="C65" s="55"/>
      <c r="D65" s="55"/>
      <c r="E65" s="55"/>
      <c r="F65" s="55"/>
      <c r="G65" s="55"/>
      <c r="H65" s="55"/>
      <c r="I65" s="55"/>
      <c r="J65" s="55"/>
      <c r="K65" s="55"/>
      <c r="L65" s="55"/>
      <c r="M65" s="55"/>
      <c r="N65" s="55"/>
      <c r="O65" s="55"/>
      <c r="P65" s="55"/>
      <c r="Q65" s="55"/>
      <c r="R65" s="55"/>
      <c r="S65" s="55"/>
      <c r="T65" s="55"/>
      <c r="U65" s="55"/>
      <c r="V65" s="55"/>
      <c r="W65" s="55">
        <v>65692.5</v>
      </c>
      <c r="X65" s="55">
        <v>66551.5</v>
      </c>
      <c r="Y65" s="55">
        <v>66695</v>
      </c>
      <c r="Z65" s="55">
        <v>68748</v>
      </c>
      <c r="AA65" s="55">
        <v>69274</v>
      </c>
      <c r="AB65" s="55">
        <v>69962.5</v>
      </c>
      <c r="AC65" s="55">
        <v>70766.5</v>
      </c>
      <c r="AD65" s="55">
        <v>71476</v>
      </c>
      <c r="AE65" s="55">
        <v>71542</v>
      </c>
      <c r="AF65" s="55">
        <v>72696.5</v>
      </c>
      <c r="AG65" s="55">
        <v>73348</v>
      </c>
      <c r="AH65" s="55">
        <v>73812.5</v>
      </c>
      <c r="AI65" s="55">
        <v>74296</v>
      </c>
      <c r="AJ65" s="55">
        <v>75716</v>
      </c>
      <c r="AK65" s="55">
        <v>75967</v>
      </c>
      <c r="AL65" s="55">
        <v>76644</v>
      </c>
      <c r="AM65" s="55">
        <v>77276</v>
      </c>
      <c r="AN65" s="55">
        <v>77942.5</v>
      </c>
      <c r="AO65" s="55">
        <v>78104</v>
      </c>
      <c r="AP65" s="55">
        <v>78456.5</v>
      </c>
      <c r="AQ65" s="55">
        <v>78676</v>
      </c>
      <c r="AR65" s="55">
        <v>78981.5</v>
      </c>
      <c r="AS65" s="55">
        <v>78527.5</v>
      </c>
      <c r="AT65" s="55">
        <v>77934</v>
      </c>
      <c r="AU65" s="55">
        <v>76935.5</v>
      </c>
      <c r="AV65" s="55">
        <v>77344</v>
      </c>
      <c r="AW65" s="55">
        <v>78012.5</v>
      </c>
      <c r="AX65" s="55">
        <v>80044.5</v>
      </c>
      <c r="AY65" s="55">
        <v>81696</v>
      </c>
      <c r="AZ65" s="55">
        <v>81749</v>
      </c>
      <c r="BA65" s="55">
        <v>81866.5</v>
      </c>
      <c r="BB65" s="55">
        <v>82518.5</v>
      </c>
      <c r="BC65" s="55">
        <v>82795.5</v>
      </c>
      <c r="BD65" s="55">
        <v>83242.5</v>
      </c>
      <c r="BE65" s="55">
        <v>83461.5</v>
      </c>
      <c r="BF65" s="55">
        <v>83980.5</v>
      </c>
      <c r="BG65" s="55">
        <v>84216.5</v>
      </c>
      <c r="BH65" s="55">
        <v>84746</v>
      </c>
      <c r="BI65" s="55">
        <v>85067.5</v>
      </c>
      <c r="BJ65" s="55">
        <v>85444</v>
      </c>
      <c r="BK65" s="55">
        <v>85925.5</v>
      </c>
      <c r="BL65" s="55">
        <v>86455.5</v>
      </c>
      <c r="BM65" s="55">
        <v>86962.5</v>
      </c>
      <c r="BN65" s="55">
        <v>87396.5</v>
      </c>
      <c r="BO65" s="55">
        <v>87771</v>
      </c>
      <c r="BP65" s="55">
        <v>88091.5</v>
      </c>
      <c r="BQ65" s="55">
        <v>88357</v>
      </c>
      <c r="BR65" s="55">
        <v>88610</v>
      </c>
      <c r="BS65" s="55">
        <v>88763</v>
      </c>
      <c r="BT65" s="55">
        <v>88999.5</v>
      </c>
      <c r="BU65" s="55">
        <v>89182.5</v>
      </c>
      <c r="BV65" s="55">
        <v>89432</v>
      </c>
      <c r="BW65" s="55">
        <v>89629</v>
      </c>
      <c r="BX65" s="55">
        <v>89893</v>
      </c>
      <c r="BY65" s="55">
        <v>90157</v>
      </c>
      <c r="BZ65" s="55">
        <v>90536</v>
      </c>
      <c r="CA65" s="55">
        <v>90819</v>
      </c>
      <c r="CB65" s="55">
        <v>91030.5</v>
      </c>
      <c r="CC65" s="55">
        <v>91284.5</v>
      </c>
      <c r="CD65" s="55">
        <v>91509.5</v>
      </c>
      <c r="CE65" s="55">
        <v>91712.5</v>
      </c>
      <c r="CF65" s="55">
        <v>91962.5</v>
      </c>
      <c r="CG65" s="55">
        <v>92176</v>
      </c>
      <c r="CH65" s="55">
        <v>92373.5</v>
      </c>
      <c r="CI65" s="55">
        <v>92606.5</v>
      </c>
      <c r="CJ65" s="55">
        <v>92753</v>
      </c>
      <c r="CK65" s="55">
        <v>92919.5</v>
      </c>
      <c r="CL65" s="55">
        <v>93141.5</v>
      </c>
      <c r="CM65" s="55">
        <v>93283</v>
      </c>
      <c r="CN65" s="55">
        <v>93464</v>
      </c>
      <c r="CO65" s="55">
        <v>93634</v>
      </c>
      <c r="CP65" s="55">
        <v>93797</v>
      </c>
      <c r="CQ65" s="55">
        <v>93955.5</v>
      </c>
      <c r="CR65" s="55">
        <v>94074</v>
      </c>
      <c r="CS65" s="55">
        <v>94228.5</v>
      </c>
      <c r="CT65" s="55">
        <v>94352.5</v>
      </c>
      <c r="CU65" s="55">
        <v>94482</v>
      </c>
      <c r="CV65" s="55">
        <v>94587</v>
      </c>
      <c r="CW65" s="55">
        <v>94707</v>
      </c>
      <c r="CX65" s="55">
        <v>94837.5</v>
      </c>
      <c r="CY65" s="55">
        <v>94932.5</v>
      </c>
      <c r="CZ65" s="55">
        <v>95026.5</v>
      </c>
      <c r="DA65" s="55">
        <v>95119.5</v>
      </c>
      <c r="DB65" s="55">
        <v>95231</v>
      </c>
      <c r="DC65" s="55">
        <v>95337</v>
      </c>
      <c r="DD65" s="55">
        <v>95429.5</v>
      </c>
      <c r="DE65" s="55">
        <v>95518</v>
      </c>
      <c r="DF65" s="55">
        <v>95640.5</v>
      </c>
      <c r="DG65" s="55">
        <v>95715</v>
      </c>
      <c r="DH65" s="55">
        <v>95807.5</v>
      </c>
      <c r="DI65" s="55">
        <v>95878.5</v>
      </c>
      <c r="DJ65" s="55">
        <v>95981.5</v>
      </c>
      <c r="DK65" s="55">
        <v>96061</v>
      </c>
      <c r="DL65" s="55">
        <v>96135</v>
      </c>
      <c r="DM65" s="55">
        <v>96223.5</v>
      </c>
      <c r="DN65" s="55">
        <v>96309</v>
      </c>
      <c r="DO65" s="55">
        <v>96392.5</v>
      </c>
    </row>
    <row r="66" spans="1:119">
      <c r="A66" s="52">
        <v>64</v>
      </c>
      <c r="B66" s="55"/>
      <c r="C66" s="55"/>
      <c r="D66" s="55"/>
      <c r="E66" s="55"/>
      <c r="F66" s="55"/>
      <c r="G66" s="55"/>
      <c r="H66" s="55"/>
      <c r="I66" s="55"/>
      <c r="J66" s="55"/>
      <c r="K66" s="55"/>
      <c r="L66" s="55"/>
      <c r="M66" s="55"/>
      <c r="N66" s="55"/>
      <c r="O66" s="55"/>
      <c r="P66" s="55"/>
      <c r="Q66" s="55"/>
      <c r="R66" s="55"/>
      <c r="S66" s="55"/>
      <c r="T66" s="55"/>
      <c r="U66" s="55"/>
      <c r="V66" s="55"/>
      <c r="W66" s="55">
        <v>64597</v>
      </c>
      <c r="X66" s="55">
        <v>65496.5</v>
      </c>
      <c r="Y66" s="55">
        <v>65654.5</v>
      </c>
      <c r="Z66" s="55">
        <v>67688</v>
      </c>
      <c r="AA66" s="55">
        <v>68250</v>
      </c>
      <c r="AB66" s="55">
        <v>68914</v>
      </c>
      <c r="AC66" s="55">
        <v>69709</v>
      </c>
      <c r="AD66" s="55">
        <v>70408</v>
      </c>
      <c r="AE66" s="55">
        <v>70499</v>
      </c>
      <c r="AF66" s="55">
        <v>71642</v>
      </c>
      <c r="AG66" s="55">
        <v>72322</v>
      </c>
      <c r="AH66" s="55">
        <v>72795.5</v>
      </c>
      <c r="AI66" s="55">
        <v>73321.5</v>
      </c>
      <c r="AJ66" s="55">
        <v>74759.5</v>
      </c>
      <c r="AK66" s="55">
        <v>75053.5</v>
      </c>
      <c r="AL66" s="55">
        <v>75750</v>
      </c>
      <c r="AM66" s="55">
        <v>76437</v>
      </c>
      <c r="AN66" s="55">
        <v>77100</v>
      </c>
      <c r="AO66" s="55">
        <v>77276</v>
      </c>
      <c r="AP66" s="55">
        <v>77657.5</v>
      </c>
      <c r="AQ66" s="55">
        <v>77884.5</v>
      </c>
      <c r="AR66" s="55">
        <v>78218</v>
      </c>
      <c r="AS66" s="55">
        <v>77760.5</v>
      </c>
      <c r="AT66" s="55">
        <v>77161.5</v>
      </c>
      <c r="AU66" s="55">
        <v>76171.5</v>
      </c>
      <c r="AV66" s="55">
        <v>76581.5</v>
      </c>
      <c r="AW66" s="55">
        <v>77257.5</v>
      </c>
      <c r="AX66" s="55">
        <v>79273</v>
      </c>
      <c r="AY66" s="55">
        <v>80904.5</v>
      </c>
      <c r="AZ66" s="55">
        <v>80985.5</v>
      </c>
      <c r="BA66" s="55">
        <v>81065</v>
      </c>
      <c r="BB66" s="55">
        <v>81721</v>
      </c>
      <c r="BC66" s="55">
        <v>82011.5</v>
      </c>
      <c r="BD66" s="55">
        <v>82469</v>
      </c>
      <c r="BE66" s="55">
        <v>82701</v>
      </c>
      <c r="BF66" s="55">
        <v>83230.5</v>
      </c>
      <c r="BG66" s="55">
        <v>83479.5</v>
      </c>
      <c r="BH66" s="55">
        <v>84018.5</v>
      </c>
      <c r="BI66" s="55">
        <v>84350.5</v>
      </c>
      <c r="BJ66" s="55">
        <v>84738</v>
      </c>
      <c r="BK66" s="55">
        <v>85229.5</v>
      </c>
      <c r="BL66" s="55">
        <v>85769.5</v>
      </c>
      <c r="BM66" s="55">
        <v>86285</v>
      </c>
      <c r="BN66" s="55">
        <v>86729</v>
      </c>
      <c r="BO66" s="55">
        <v>87113.5</v>
      </c>
      <c r="BP66" s="55">
        <v>87444.5</v>
      </c>
      <c r="BQ66" s="55">
        <v>87721</v>
      </c>
      <c r="BR66" s="55">
        <v>87984.5</v>
      </c>
      <c r="BS66" s="55">
        <v>88148.5</v>
      </c>
      <c r="BT66" s="55">
        <v>88396.5</v>
      </c>
      <c r="BU66" s="55">
        <v>88589.5</v>
      </c>
      <c r="BV66" s="55">
        <v>88849</v>
      </c>
      <c r="BW66" s="55">
        <v>89056</v>
      </c>
      <c r="BX66" s="55">
        <v>89329.5</v>
      </c>
      <c r="BY66" s="55">
        <v>89603.5</v>
      </c>
      <c r="BZ66" s="55">
        <v>89991</v>
      </c>
      <c r="CA66" s="55">
        <v>90283</v>
      </c>
      <c r="CB66" s="55">
        <v>90503.5</v>
      </c>
      <c r="CC66" s="55">
        <v>90767</v>
      </c>
      <c r="CD66" s="55">
        <v>91000.5</v>
      </c>
      <c r="CE66" s="55">
        <v>91213</v>
      </c>
      <c r="CF66" s="55">
        <v>91470.5</v>
      </c>
      <c r="CG66" s="55">
        <v>91692.5</v>
      </c>
      <c r="CH66" s="55">
        <v>91899</v>
      </c>
      <c r="CI66" s="55">
        <v>92140</v>
      </c>
      <c r="CJ66" s="55">
        <v>92295</v>
      </c>
      <c r="CK66" s="55">
        <v>92469.5</v>
      </c>
      <c r="CL66" s="55">
        <v>92699.5</v>
      </c>
      <c r="CM66" s="55">
        <v>92849</v>
      </c>
      <c r="CN66" s="55">
        <v>93037.5</v>
      </c>
      <c r="CO66" s="55">
        <v>93215</v>
      </c>
      <c r="CP66" s="55">
        <v>93386</v>
      </c>
      <c r="CQ66" s="55">
        <v>93552</v>
      </c>
      <c r="CR66" s="55">
        <v>93677.5</v>
      </c>
      <c r="CS66" s="55">
        <v>93839.5</v>
      </c>
      <c r="CT66" s="55">
        <v>93971</v>
      </c>
      <c r="CU66" s="55">
        <v>94107</v>
      </c>
      <c r="CV66" s="55">
        <v>94219.5</v>
      </c>
      <c r="CW66" s="55">
        <v>94346</v>
      </c>
      <c r="CX66" s="55">
        <v>94483.5</v>
      </c>
      <c r="CY66" s="55">
        <v>94585</v>
      </c>
      <c r="CZ66" s="55">
        <v>94685.5</v>
      </c>
      <c r="DA66" s="55">
        <v>94784.5</v>
      </c>
      <c r="DB66" s="55">
        <v>94902.5</v>
      </c>
      <c r="DC66" s="55">
        <v>95014</v>
      </c>
      <c r="DD66" s="55">
        <v>95113.5</v>
      </c>
      <c r="DE66" s="55">
        <v>95207.5</v>
      </c>
      <c r="DF66" s="55">
        <v>95335.5</v>
      </c>
      <c r="DG66" s="55">
        <v>95416.5</v>
      </c>
      <c r="DH66" s="55">
        <v>95514.5</v>
      </c>
      <c r="DI66" s="55">
        <v>95590.5</v>
      </c>
      <c r="DJ66" s="55">
        <v>95699</v>
      </c>
      <c r="DK66" s="55">
        <v>95784</v>
      </c>
      <c r="DL66" s="55">
        <v>95863.5</v>
      </c>
      <c r="DM66" s="55">
        <v>95956.5</v>
      </c>
      <c r="DN66" s="55">
        <v>96047.5</v>
      </c>
      <c r="DO66" s="55">
        <v>96136</v>
      </c>
    </row>
    <row r="67" spans="1:119">
      <c r="A67" s="52">
        <v>65</v>
      </c>
      <c r="B67" s="55"/>
      <c r="C67" s="55"/>
      <c r="D67" s="55"/>
      <c r="E67" s="55"/>
      <c r="F67" s="55"/>
      <c r="G67" s="55"/>
      <c r="H67" s="55"/>
      <c r="I67" s="55"/>
      <c r="J67" s="55"/>
      <c r="K67" s="55"/>
      <c r="L67" s="55"/>
      <c r="M67" s="55"/>
      <c r="N67" s="55"/>
      <c r="O67" s="55"/>
      <c r="P67" s="55"/>
      <c r="Q67" s="55"/>
      <c r="R67" s="55"/>
      <c r="S67" s="55"/>
      <c r="T67" s="55"/>
      <c r="U67" s="55"/>
      <c r="V67" s="55"/>
      <c r="W67" s="55">
        <v>63479</v>
      </c>
      <c r="X67" s="55">
        <v>64387</v>
      </c>
      <c r="Y67" s="55">
        <v>64563</v>
      </c>
      <c r="Z67" s="55">
        <v>66599</v>
      </c>
      <c r="AA67" s="55">
        <v>67137.5</v>
      </c>
      <c r="AB67" s="55">
        <v>67799.5</v>
      </c>
      <c r="AC67" s="55">
        <v>68585.5</v>
      </c>
      <c r="AD67" s="55">
        <v>69276</v>
      </c>
      <c r="AE67" s="55">
        <v>69383.5</v>
      </c>
      <c r="AF67" s="55">
        <v>70537.5</v>
      </c>
      <c r="AG67" s="55">
        <v>71226.5</v>
      </c>
      <c r="AH67" s="55">
        <v>71747.5</v>
      </c>
      <c r="AI67" s="55">
        <v>72311.5</v>
      </c>
      <c r="AJ67" s="55">
        <v>73779</v>
      </c>
      <c r="AK67" s="55">
        <v>74091</v>
      </c>
      <c r="AL67" s="55">
        <v>74837.5</v>
      </c>
      <c r="AM67" s="55">
        <v>75548.5</v>
      </c>
      <c r="AN67" s="55">
        <v>76213.5</v>
      </c>
      <c r="AO67" s="55">
        <v>76420.5</v>
      </c>
      <c r="AP67" s="55">
        <v>76825.5</v>
      </c>
      <c r="AQ67" s="55">
        <v>77075.5</v>
      </c>
      <c r="AR67" s="55">
        <v>77404.5</v>
      </c>
      <c r="AS67" s="55">
        <v>76948</v>
      </c>
      <c r="AT67" s="55">
        <v>76350.5</v>
      </c>
      <c r="AU67" s="55">
        <v>75363</v>
      </c>
      <c r="AV67" s="55">
        <v>75754</v>
      </c>
      <c r="AW67" s="55">
        <v>76447.5</v>
      </c>
      <c r="AX67" s="55">
        <v>78416.5</v>
      </c>
      <c r="AY67" s="55">
        <v>80071.5</v>
      </c>
      <c r="AZ67" s="55">
        <v>80120.5</v>
      </c>
      <c r="BA67" s="55">
        <v>80217.5</v>
      </c>
      <c r="BB67" s="55">
        <v>80883</v>
      </c>
      <c r="BC67" s="55">
        <v>81187.5</v>
      </c>
      <c r="BD67" s="55">
        <v>81656.5</v>
      </c>
      <c r="BE67" s="55">
        <v>81902</v>
      </c>
      <c r="BF67" s="55">
        <v>82442</v>
      </c>
      <c r="BG67" s="55">
        <v>82704.5</v>
      </c>
      <c r="BH67" s="55">
        <v>83254</v>
      </c>
      <c r="BI67" s="55">
        <v>83598</v>
      </c>
      <c r="BJ67" s="55">
        <v>83996.5</v>
      </c>
      <c r="BK67" s="55">
        <v>84498.5</v>
      </c>
      <c r="BL67" s="55">
        <v>85047</v>
      </c>
      <c r="BM67" s="55">
        <v>85572.5</v>
      </c>
      <c r="BN67" s="55">
        <v>86027</v>
      </c>
      <c r="BO67" s="55">
        <v>86422.5</v>
      </c>
      <c r="BP67" s="55">
        <v>86764.5</v>
      </c>
      <c r="BQ67" s="55">
        <v>87052</v>
      </c>
      <c r="BR67" s="55">
        <v>87327</v>
      </c>
      <c r="BS67" s="55">
        <v>87503</v>
      </c>
      <c r="BT67" s="55">
        <v>87761.5</v>
      </c>
      <c r="BU67" s="55">
        <v>87966</v>
      </c>
      <c r="BV67" s="55">
        <v>88236</v>
      </c>
      <c r="BW67" s="55">
        <v>88453.5</v>
      </c>
      <c r="BX67" s="55">
        <v>88737.5</v>
      </c>
      <c r="BY67" s="55">
        <v>89021</v>
      </c>
      <c r="BZ67" s="55">
        <v>89417.5</v>
      </c>
      <c r="CA67" s="55">
        <v>89719</v>
      </c>
      <c r="CB67" s="55">
        <v>89949.5</v>
      </c>
      <c r="CC67" s="55">
        <v>90222</v>
      </c>
      <c r="CD67" s="55">
        <v>90465</v>
      </c>
      <c r="CE67" s="55">
        <v>90686.5</v>
      </c>
      <c r="CF67" s="55">
        <v>90953.5</v>
      </c>
      <c r="CG67" s="55">
        <v>91184.5</v>
      </c>
      <c r="CH67" s="55">
        <v>91399.5</v>
      </c>
      <c r="CI67" s="55">
        <v>91649</v>
      </c>
      <c r="CJ67" s="55">
        <v>91813</v>
      </c>
      <c r="CK67" s="55">
        <v>91996.5</v>
      </c>
      <c r="CL67" s="55">
        <v>92235</v>
      </c>
      <c r="CM67" s="55">
        <v>92393</v>
      </c>
      <c r="CN67" s="55">
        <v>92589</v>
      </c>
      <c r="CO67" s="55">
        <v>92775</v>
      </c>
      <c r="CP67" s="55">
        <v>92953.5</v>
      </c>
      <c r="CQ67" s="55">
        <v>93127.5</v>
      </c>
      <c r="CR67" s="55">
        <v>93261.5</v>
      </c>
      <c r="CS67" s="55">
        <v>93430.5</v>
      </c>
      <c r="CT67" s="55">
        <v>93569.5</v>
      </c>
      <c r="CU67" s="55">
        <v>93713</v>
      </c>
      <c r="CV67" s="55">
        <v>93832.5</v>
      </c>
      <c r="CW67" s="55">
        <v>93966.5</v>
      </c>
      <c r="CX67" s="55">
        <v>94110.5</v>
      </c>
      <c r="CY67" s="55">
        <v>94219</v>
      </c>
      <c r="CZ67" s="55">
        <v>94326.5</v>
      </c>
      <c r="DA67" s="55">
        <v>94432.5</v>
      </c>
      <c r="DB67" s="55">
        <v>94557.5</v>
      </c>
      <c r="DC67" s="55">
        <v>94675</v>
      </c>
      <c r="DD67" s="55">
        <v>94781</v>
      </c>
      <c r="DE67" s="55">
        <v>94881.5</v>
      </c>
      <c r="DF67" s="55">
        <v>95015.5</v>
      </c>
      <c r="DG67" s="55">
        <v>95102</v>
      </c>
      <c r="DH67" s="55">
        <v>95206</v>
      </c>
      <c r="DI67" s="55">
        <v>95288</v>
      </c>
      <c r="DJ67" s="55">
        <v>95402.5</v>
      </c>
      <c r="DK67" s="55">
        <v>95493</v>
      </c>
      <c r="DL67" s="55">
        <v>95578</v>
      </c>
      <c r="DM67" s="55">
        <v>95676.5</v>
      </c>
      <c r="DN67" s="55">
        <v>95772.5</v>
      </c>
      <c r="DO67" s="55">
        <v>95867</v>
      </c>
    </row>
    <row r="68" spans="1:119">
      <c r="A68" s="52">
        <v>66</v>
      </c>
      <c r="B68" s="55"/>
      <c r="C68" s="55"/>
      <c r="D68" s="55"/>
      <c r="E68" s="55"/>
      <c r="F68" s="55"/>
      <c r="G68" s="55"/>
      <c r="H68" s="55"/>
      <c r="I68" s="55"/>
      <c r="J68" s="55"/>
      <c r="K68" s="55"/>
      <c r="L68" s="55"/>
      <c r="M68" s="55"/>
      <c r="N68" s="55"/>
      <c r="O68" s="55"/>
      <c r="P68" s="55"/>
      <c r="Q68" s="55"/>
      <c r="R68" s="55"/>
      <c r="S68" s="55"/>
      <c r="T68" s="55"/>
      <c r="U68" s="55"/>
      <c r="V68" s="55"/>
      <c r="W68" s="55">
        <v>62264.5</v>
      </c>
      <c r="X68" s="55">
        <v>63220</v>
      </c>
      <c r="Y68" s="55">
        <v>63397</v>
      </c>
      <c r="Z68" s="55">
        <v>65381</v>
      </c>
      <c r="AA68" s="55">
        <v>65944</v>
      </c>
      <c r="AB68" s="55">
        <v>66635.5</v>
      </c>
      <c r="AC68" s="55">
        <v>67420</v>
      </c>
      <c r="AD68" s="55">
        <v>68095</v>
      </c>
      <c r="AE68" s="55">
        <v>68218.5</v>
      </c>
      <c r="AF68" s="55">
        <v>69350.5</v>
      </c>
      <c r="AG68" s="55">
        <v>70078.5</v>
      </c>
      <c r="AH68" s="55">
        <v>70660</v>
      </c>
      <c r="AI68" s="55">
        <v>71247</v>
      </c>
      <c r="AJ68" s="55">
        <v>72730</v>
      </c>
      <c r="AK68" s="55">
        <v>73103</v>
      </c>
      <c r="AL68" s="55">
        <v>73856</v>
      </c>
      <c r="AM68" s="55">
        <v>74577.5</v>
      </c>
      <c r="AN68" s="55">
        <v>75287</v>
      </c>
      <c r="AO68" s="55">
        <v>75512.5</v>
      </c>
      <c r="AP68" s="55">
        <v>75943.5</v>
      </c>
      <c r="AQ68" s="55">
        <v>76197.5</v>
      </c>
      <c r="AR68" s="55">
        <v>76536.5</v>
      </c>
      <c r="AS68" s="55">
        <v>76072.5</v>
      </c>
      <c r="AT68" s="55">
        <v>75498.5</v>
      </c>
      <c r="AU68" s="55">
        <v>74504</v>
      </c>
      <c r="AV68" s="55">
        <v>74869.5</v>
      </c>
      <c r="AW68" s="55">
        <v>75573.5</v>
      </c>
      <c r="AX68" s="55">
        <v>77543.5</v>
      </c>
      <c r="AY68" s="55">
        <v>79150.5</v>
      </c>
      <c r="AZ68" s="55">
        <v>79214.5</v>
      </c>
      <c r="BA68" s="55">
        <v>79329</v>
      </c>
      <c r="BB68" s="55">
        <v>80005</v>
      </c>
      <c r="BC68" s="55">
        <v>80323.5</v>
      </c>
      <c r="BD68" s="55">
        <v>80804.5</v>
      </c>
      <c r="BE68" s="55">
        <v>81065</v>
      </c>
      <c r="BF68" s="55">
        <v>81615</v>
      </c>
      <c r="BG68" s="55">
        <v>81892</v>
      </c>
      <c r="BH68" s="55">
        <v>82451</v>
      </c>
      <c r="BI68" s="55">
        <v>82807.5</v>
      </c>
      <c r="BJ68" s="55">
        <v>83218.5</v>
      </c>
      <c r="BK68" s="55">
        <v>83730.5</v>
      </c>
      <c r="BL68" s="55">
        <v>84290</v>
      </c>
      <c r="BM68" s="55">
        <v>84825.5</v>
      </c>
      <c r="BN68" s="55">
        <v>85290</v>
      </c>
      <c r="BO68" s="55">
        <v>85697</v>
      </c>
      <c r="BP68" s="55">
        <v>86051</v>
      </c>
      <c r="BQ68" s="55">
        <v>86349.5</v>
      </c>
      <c r="BR68" s="55">
        <v>86636.5</v>
      </c>
      <c r="BS68" s="55">
        <v>86824.5</v>
      </c>
      <c r="BT68" s="55">
        <v>87095</v>
      </c>
      <c r="BU68" s="55">
        <v>87311</v>
      </c>
      <c r="BV68" s="55">
        <v>87592</v>
      </c>
      <c r="BW68" s="55">
        <v>87821</v>
      </c>
      <c r="BX68" s="55">
        <v>88115.5</v>
      </c>
      <c r="BY68" s="55">
        <v>88409.5</v>
      </c>
      <c r="BZ68" s="55">
        <v>88815</v>
      </c>
      <c r="CA68" s="55">
        <v>89126.5</v>
      </c>
      <c r="CB68" s="55">
        <v>89367.5</v>
      </c>
      <c r="CC68" s="55">
        <v>89650</v>
      </c>
      <c r="CD68" s="55">
        <v>89902.5</v>
      </c>
      <c r="CE68" s="55">
        <v>90134.5</v>
      </c>
      <c r="CF68" s="55">
        <v>90410</v>
      </c>
      <c r="CG68" s="55">
        <v>90650.5</v>
      </c>
      <c r="CH68" s="55">
        <v>90875</v>
      </c>
      <c r="CI68" s="55">
        <v>91133.5</v>
      </c>
      <c r="CJ68" s="55">
        <v>91307</v>
      </c>
      <c r="CK68" s="55">
        <v>91499</v>
      </c>
      <c r="CL68" s="55">
        <v>91746.5</v>
      </c>
      <c r="CM68" s="55">
        <v>91913</v>
      </c>
      <c r="CN68" s="55">
        <v>92118.5</v>
      </c>
      <c r="CO68" s="55">
        <v>92312.5</v>
      </c>
      <c r="CP68" s="55">
        <v>92499.5</v>
      </c>
      <c r="CQ68" s="55">
        <v>92681.5</v>
      </c>
      <c r="CR68" s="55">
        <v>92823.5</v>
      </c>
      <c r="CS68" s="55">
        <v>93000.5</v>
      </c>
      <c r="CT68" s="55">
        <v>93147.5</v>
      </c>
      <c r="CU68" s="55">
        <v>93299.5</v>
      </c>
      <c r="CV68" s="55">
        <v>93426.5</v>
      </c>
      <c r="CW68" s="55">
        <v>93567.5</v>
      </c>
      <c r="CX68" s="55">
        <v>93719.5</v>
      </c>
      <c r="CY68" s="55">
        <v>93835</v>
      </c>
      <c r="CZ68" s="55">
        <v>93949.5</v>
      </c>
      <c r="DA68" s="55">
        <v>94062.5</v>
      </c>
      <c r="DB68" s="55">
        <v>94194.5</v>
      </c>
      <c r="DC68" s="55">
        <v>94319</v>
      </c>
      <c r="DD68" s="55">
        <v>94431.5</v>
      </c>
      <c r="DE68" s="55">
        <v>94539</v>
      </c>
      <c r="DF68" s="55">
        <v>94679.5</v>
      </c>
      <c r="DG68" s="55">
        <v>94772.5</v>
      </c>
      <c r="DH68" s="55">
        <v>94882.5</v>
      </c>
      <c r="DI68" s="55">
        <v>94971</v>
      </c>
      <c r="DJ68" s="55">
        <v>95091</v>
      </c>
      <c r="DK68" s="55">
        <v>95187.5</v>
      </c>
      <c r="DL68" s="55">
        <v>95278</v>
      </c>
      <c r="DM68" s="55">
        <v>95382.5</v>
      </c>
      <c r="DN68" s="55">
        <v>95484.5</v>
      </c>
      <c r="DO68" s="55">
        <v>95584</v>
      </c>
    </row>
    <row r="69" spans="1:119">
      <c r="A69" s="52">
        <v>67</v>
      </c>
      <c r="B69" s="55"/>
      <c r="C69" s="55"/>
      <c r="D69" s="55"/>
      <c r="E69" s="55"/>
      <c r="F69" s="55"/>
      <c r="G69" s="55"/>
      <c r="H69" s="55"/>
      <c r="I69" s="55"/>
      <c r="J69" s="55"/>
      <c r="K69" s="55"/>
      <c r="L69" s="55"/>
      <c r="M69" s="55"/>
      <c r="N69" s="55"/>
      <c r="O69" s="55"/>
      <c r="P69" s="55"/>
      <c r="Q69" s="55"/>
      <c r="R69" s="55"/>
      <c r="S69" s="55"/>
      <c r="T69" s="55"/>
      <c r="U69" s="55"/>
      <c r="V69" s="55"/>
      <c r="W69" s="55">
        <v>61013.5</v>
      </c>
      <c r="X69" s="55">
        <v>61973.5</v>
      </c>
      <c r="Y69" s="55">
        <v>62137.5</v>
      </c>
      <c r="Z69" s="55">
        <v>64101</v>
      </c>
      <c r="AA69" s="55">
        <v>64695</v>
      </c>
      <c r="AB69" s="55">
        <v>65398</v>
      </c>
      <c r="AC69" s="55">
        <v>66172</v>
      </c>
      <c r="AD69" s="55">
        <v>66856.5</v>
      </c>
      <c r="AE69" s="55">
        <v>66971</v>
      </c>
      <c r="AF69" s="55">
        <v>68171</v>
      </c>
      <c r="AG69" s="55">
        <v>68907</v>
      </c>
      <c r="AH69" s="55">
        <v>69515.5</v>
      </c>
      <c r="AI69" s="55">
        <v>70127</v>
      </c>
      <c r="AJ69" s="55">
        <v>71657.5</v>
      </c>
      <c r="AK69" s="55">
        <v>72034</v>
      </c>
      <c r="AL69" s="55">
        <v>72823.5</v>
      </c>
      <c r="AM69" s="55">
        <v>73574.5</v>
      </c>
      <c r="AN69" s="55">
        <v>74315</v>
      </c>
      <c r="AO69" s="55">
        <v>74574</v>
      </c>
      <c r="AP69" s="55">
        <v>75006.5</v>
      </c>
      <c r="AQ69" s="55">
        <v>75257</v>
      </c>
      <c r="AR69" s="55">
        <v>75608</v>
      </c>
      <c r="AS69" s="55">
        <v>75159.5</v>
      </c>
      <c r="AT69" s="55">
        <v>74551.5</v>
      </c>
      <c r="AU69" s="55">
        <v>73598</v>
      </c>
      <c r="AV69" s="55">
        <v>73924</v>
      </c>
      <c r="AW69" s="55">
        <v>74651.5</v>
      </c>
      <c r="AX69" s="55">
        <v>76572</v>
      </c>
      <c r="AY69" s="55">
        <v>78183.5</v>
      </c>
      <c r="AZ69" s="55">
        <v>78267</v>
      </c>
      <c r="BA69" s="55">
        <v>78399</v>
      </c>
      <c r="BB69" s="55">
        <v>79085.5</v>
      </c>
      <c r="BC69" s="55">
        <v>79418.5</v>
      </c>
      <c r="BD69" s="55">
        <v>79911.5</v>
      </c>
      <c r="BE69" s="55">
        <v>80187</v>
      </c>
      <c r="BF69" s="55">
        <v>80749</v>
      </c>
      <c r="BG69" s="55">
        <v>81040.5</v>
      </c>
      <c r="BH69" s="55">
        <v>81610.5</v>
      </c>
      <c r="BI69" s="55">
        <v>81979.5</v>
      </c>
      <c r="BJ69" s="55">
        <v>82402.5</v>
      </c>
      <c r="BK69" s="55">
        <v>82926</v>
      </c>
      <c r="BL69" s="55">
        <v>83495.5</v>
      </c>
      <c r="BM69" s="55">
        <v>84041.5</v>
      </c>
      <c r="BN69" s="55">
        <v>84518</v>
      </c>
      <c r="BO69" s="55">
        <v>84935.5</v>
      </c>
      <c r="BP69" s="55">
        <v>85301.5</v>
      </c>
      <c r="BQ69" s="55">
        <v>85613</v>
      </c>
      <c r="BR69" s="55">
        <v>85912</v>
      </c>
      <c r="BS69" s="55">
        <v>86113</v>
      </c>
      <c r="BT69" s="55">
        <v>86395.5</v>
      </c>
      <c r="BU69" s="55">
        <v>86623.5</v>
      </c>
      <c r="BV69" s="55">
        <v>86916.5</v>
      </c>
      <c r="BW69" s="55">
        <v>87157</v>
      </c>
      <c r="BX69" s="55">
        <v>87462.5</v>
      </c>
      <c r="BY69" s="55">
        <v>87767</v>
      </c>
      <c r="BZ69" s="55">
        <v>88183</v>
      </c>
      <c r="CA69" s="55">
        <v>88505</v>
      </c>
      <c r="CB69" s="55">
        <v>88756.5</v>
      </c>
      <c r="CC69" s="55">
        <v>89049</v>
      </c>
      <c r="CD69" s="55">
        <v>89312</v>
      </c>
      <c r="CE69" s="55">
        <v>89554</v>
      </c>
      <c r="CF69" s="55">
        <v>89839.5</v>
      </c>
      <c r="CG69" s="55">
        <v>90090</v>
      </c>
      <c r="CH69" s="55">
        <v>90324.5</v>
      </c>
      <c r="CI69" s="55">
        <v>90592.5</v>
      </c>
      <c r="CJ69" s="55">
        <v>90775.5</v>
      </c>
      <c r="CK69" s="55">
        <v>90977.5</v>
      </c>
      <c r="CL69" s="55">
        <v>91234</v>
      </c>
      <c r="CM69" s="55">
        <v>91410</v>
      </c>
      <c r="CN69" s="55">
        <v>91623.5</v>
      </c>
      <c r="CO69" s="55">
        <v>91827</v>
      </c>
      <c r="CP69" s="55">
        <v>92022.5</v>
      </c>
      <c r="CQ69" s="55">
        <v>92213</v>
      </c>
      <c r="CR69" s="55">
        <v>92364</v>
      </c>
      <c r="CS69" s="55">
        <v>92549.5</v>
      </c>
      <c r="CT69" s="55">
        <v>92705</v>
      </c>
      <c r="CU69" s="55">
        <v>92864.5</v>
      </c>
      <c r="CV69" s="55">
        <v>93000</v>
      </c>
      <c r="CW69" s="55">
        <v>93149</v>
      </c>
      <c r="CX69" s="55">
        <v>93308.5</v>
      </c>
      <c r="CY69" s="55">
        <v>93432</v>
      </c>
      <c r="CZ69" s="55">
        <v>93554</v>
      </c>
      <c r="DA69" s="55">
        <v>93675</v>
      </c>
      <c r="DB69" s="55">
        <v>93813.5</v>
      </c>
      <c r="DC69" s="55">
        <v>93945.5</v>
      </c>
      <c r="DD69" s="55">
        <v>94065</v>
      </c>
      <c r="DE69" s="55">
        <v>94179</v>
      </c>
      <c r="DF69" s="55">
        <v>94326.5</v>
      </c>
      <c r="DG69" s="55">
        <v>94426.5</v>
      </c>
      <c r="DH69" s="55">
        <v>94543</v>
      </c>
      <c r="DI69" s="55">
        <v>94637</v>
      </c>
      <c r="DJ69" s="55">
        <v>94764.5</v>
      </c>
      <c r="DK69" s="55">
        <v>94866.5</v>
      </c>
      <c r="DL69" s="55">
        <v>94963.5</v>
      </c>
      <c r="DM69" s="55">
        <v>95074</v>
      </c>
      <c r="DN69" s="55">
        <v>95181.5</v>
      </c>
      <c r="DO69" s="55">
        <v>95287</v>
      </c>
    </row>
    <row r="70" spans="1:119">
      <c r="A70" s="52">
        <v>68</v>
      </c>
      <c r="B70" s="55"/>
      <c r="C70" s="55"/>
      <c r="D70" s="55"/>
      <c r="E70" s="55"/>
      <c r="F70" s="55"/>
      <c r="G70" s="55"/>
      <c r="H70" s="55"/>
      <c r="I70" s="55"/>
      <c r="J70" s="55"/>
      <c r="K70" s="55"/>
      <c r="L70" s="55"/>
      <c r="M70" s="55"/>
      <c r="N70" s="55"/>
      <c r="O70" s="55"/>
      <c r="P70" s="55"/>
      <c r="Q70" s="55"/>
      <c r="R70" s="55"/>
      <c r="S70" s="55"/>
      <c r="T70" s="55"/>
      <c r="U70" s="55"/>
      <c r="V70" s="55"/>
      <c r="W70" s="55">
        <v>59686</v>
      </c>
      <c r="X70" s="55">
        <v>60632</v>
      </c>
      <c r="Y70" s="55">
        <v>60819.5</v>
      </c>
      <c r="Z70" s="55">
        <v>62762.5</v>
      </c>
      <c r="AA70" s="55">
        <v>63385</v>
      </c>
      <c r="AB70" s="55">
        <v>64099.5</v>
      </c>
      <c r="AC70" s="55">
        <v>64847</v>
      </c>
      <c r="AD70" s="55">
        <v>65510.5</v>
      </c>
      <c r="AE70" s="55">
        <v>65705</v>
      </c>
      <c r="AF70" s="55">
        <v>66916.5</v>
      </c>
      <c r="AG70" s="55">
        <v>67674.5</v>
      </c>
      <c r="AH70" s="55">
        <v>68306</v>
      </c>
      <c r="AI70" s="55">
        <v>68974.5</v>
      </c>
      <c r="AJ70" s="55">
        <v>70496</v>
      </c>
      <c r="AK70" s="55">
        <v>70896.5</v>
      </c>
      <c r="AL70" s="55">
        <v>71754.5</v>
      </c>
      <c r="AM70" s="55">
        <v>72525.5</v>
      </c>
      <c r="AN70" s="55">
        <v>73306</v>
      </c>
      <c r="AO70" s="55">
        <v>73593.5</v>
      </c>
      <c r="AP70" s="55">
        <v>74013.5</v>
      </c>
      <c r="AQ70" s="55">
        <v>74266</v>
      </c>
      <c r="AR70" s="55">
        <v>74630</v>
      </c>
      <c r="AS70" s="55">
        <v>74169</v>
      </c>
      <c r="AT70" s="55">
        <v>73572.5</v>
      </c>
      <c r="AU70" s="55">
        <v>72618.5</v>
      </c>
      <c r="AV70" s="55">
        <v>72936.5</v>
      </c>
      <c r="AW70" s="55">
        <v>73662</v>
      </c>
      <c r="AX70" s="55">
        <v>75561.5</v>
      </c>
      <c r="AY70" s="55">
        <v>77172</v>
      </c>
      <c r="AZ70" s="55">
        <v>77275</v>
      </c>
      <c r="BA70" s="55">
        <v>77426</v>
      </c>
      <c r="BB70" s="55">
        <v>78123</v>
      </c>
      <c r="BC70" s="55">
        <v>78472</v>
      </c>
      <c r="BD70" s="55">
        <v>78978</v>
      </c>
      <c r="BE70" s="55">
        <v>79268</v>
      </c>
      <c r="BF70" s="55">
        <v>79841.5</v>
      </c>
      <c r="BG70" s="55">
        <v>80148.5</v>
      </c>
      <c r="BH70" s="55">
        <v>80729</v>
      </c>
      <c r="BI70" s="55">
        <v>81112</v>
      </c>
      <c r="BJ70" s="55">
        <v>81547.5</v>
      </c>
      <c r="BK70" s="55">
        <v>82082.5</v>
      </c>
      <c r="BL70" s="55">
        <v>82663</v>
      </c>
      <c r="BM70" s="55">
        <v>83220</v>
      </c>
      <c r="BN70" s="55">
        <v>83708</v>
      </c>
      <c r="BO70" s="55">
        <v>84138</v>
      </c>
      <c r="BP70" s="55">
        <v>84516.5</v>
      </c>
      <c r="BQ70" s="55">
        <v>84840.5</v>
      </c>
      <c r="BR70" s="55">
        <v>85152</v>
      </c>
      <c r="BS70" s="55">
        <v>85367</v>
      </c>
      <c r="BT70" s="55">
        <v>85661.5</v>
      </c>
      <c r="BU70" s="55">
        <v>85902.5</v>
      </c>
      <c r="BV70" s="55">
        <v>86207</v>
      </c>
      <c r="BW70" s="55">
        <v>86460.5</v>
      </c>
      <c r="BX70" s="55">
        <v>86777.5</v>
      </c>
      <c r="BY70" s="55">
        <v>87093</v>
      </c>
      <c r="BZ70" s="55">
        <v>87519.5</v>
      </c>
      <c r="CA70" s="55">
        <v>87852</v>
      </c>
      <c r="CB70" s="55">
        <v>88115.5</v>
      </c>
      <c r="CC70" s="55">
        <v>88418.5</v>
      </c>
      <c r="CD70" s="55">
        <v>88692</v>
      </c>
      <c r="CE70" s="55">
        <v>88945</v>
      </c>
      <c r="CF70" s="55">
        <v>89240.5</v>
      </c>
      <c r="CG70" s="55">
        <v>89502</v>
      </c>
      <c r="CH70" s="55">
        <v>89746.5</v>
      </c>
      <c r="CI70" s="55">
        <v>90024</v>
      </c>
      <c r="CJ70" s="55">
        <v>90217.5</v>
      </c>
      <c r="CK70" s="55">
        <v>90429.5</v>
      </c>
      <c r="CL70" s="55">
        <v>90695</v>
      </c>
      <c r="CM70" s="55">
        <v>90881</v>
      </c>
      <c r="CN70" s="55">
        <v>91104.5</v>
      </c>
      <c r="CO70" s="55">
        <v>91316.5</v>
      </c>
      <c r="CP70" s="55">
        <v>91522</v>
      </c>
      <c r="CQ70" s="55">
        <v>91721</v>
      </c>
      <c r="CR70" s="55">
        <v>91881</v>
      </c>
      <c r="CS70" s="55">
        <v>92075.5</v>
      </c>
      <c r="CT70" s="55">
        <v>92239.5</v>
      </c>
      <c r="CU70" s="55">
        <v>92407.5</v>
      </c>
      <c r="CV70" s="55">
        <v>92551.5</v>
      </c>
      <c r="CW70" s="55">
        <v>92709</v>
      </c>
      <c r="CX70" s="55">
        <v>92876.5</v>
      </c>
      <c r="CY70" s="55">
        <v>93008.5</v>
      </c>
      <c r="CZ70" s="55">
        <v>93138.5</v>
      </c>
      <c r="DA70" s="55">
        <v>93267</v>
      </c>
      <c r="DB70" s="55">
        <v>93413</v>
      </c>
      <c r="DC70" s="55">
        <v>93553</v>
      </c>
      <c r="DD70" s="55">
        <v>93680</v>
      </c>
      <c r="DE70" s="55">
        <v>93801</v>
      </c>
      <c r="DF70" s="55">
        <v>93955.5</v>
      </c>
      <c r="DG70" s="55">
        <v>94062.5</v>
      </c>
      <c r="DH70" s="55">
        <v>94186</v>
      </c>
      <c r="DI70" s="55">
        <v>94287.5</v>
      </c>
      <c r="DJ70" s="55">
        <v>94420.5</v>
      </c>
      <c r="DK70" s="55">
        <v>94529.5</v>
      </c>
      <c r="DL70" s="55">
        <v>94633</v>
      </c>
      <c r="DM70" s="55">
        <v>94749.5</v>
      </c>
      <c r="DN70" s="55">
        <v>94864</v>
      </c>
      <c r="DO70" s="55">
        <v>94974.5</v>
      </c>
    </row>
    <row r="71" spans="1:119">
      <c r="A71" s="52">
        <v>69</v>
      </c>
      <c r="B71" s="55"/>
      <c r="C71" s="55"/>
      <c r="D71" s="55"/>
      <c r="E71" s="55"/>
      <c r="F71" s="55"/>
      <c r="G71" s="55"/>
      <c r="H71" s="55"/>
      <c r="I71" s="55"/>
      <c r="J71" s="55"/>
      <c r="K71" s="55"/>
      <c r="L71" s="55"/>
      <c r="M71" s="55"/>
      <c r="N71" s="55"/>
      <c r="O71" s="55"/>
      <c r="P71" s="55"/>
      <c r="Q71" s="55"/>
      <c r="R71" s="55"/>
      <c r="S71" s="55"/>
      <c r="T71" s="55"/>
      <c r="U71" s="55"/>
      <c r="V71" s="55"/>
      <c r="W71" s="55">
        <v>58251</v>
      </c>
      <c r="X71" s="55">
        <v>59214</v>
      </c>
      <c r="Y71" s="55">
        <v>59431.5</v>
      </c>
      <c r="Z71" s="55">
        <v>61360.5</v>
      </c>
      <c r="AA71" s="55">
        <v>62005.5</v>
      </c>
      <c r="AB71" s="55">
        <v>62738.5</v>
      </c>
      <c r="AC71" s="55">
        <v>63456</v>
      </c>
      <c r="AD71" s="55">
        <v>64131</v>
      </c>
      <c r="AE71" s="55">
        <v>64370</v>
      </c>
      <c r="AF71" s="55">
        <v>65592.5</v>
      </c>
      <c r="AG71" s="55">
        <v>66373</v>
      </c>
      <c r="AH71" s="55">
        <v>67069</v>
      </c>
      <c r="AI71" s="55">
        <v>67750.5</v>
      </c>
      <c r="AJ71" s="55">
        <v>69250.5</v>
      </c>
      <c r="AK71" s="55">
        <v>69727</v>
      </c>
      <c r="AL71" s="55">
        <v>70626</v>
      </c>
      <c r="AM71" s="55">
        <v>71426</v>
      </c>
      <c r="AN71" s="55">
        <v>72247</v>
      </c>
      <c r="AO71" s="55">
        <v>72527.5</v>
      </c>
      <c r="AP71" s="55">
        <v>72959</v>
      </c>
      <c r="AQ71" s="55">
        <v>73224</v>
      </c>
      <c r="AR71" s="55">
        <v>73570</v>
      </c>
      <c r="AS71" s="55">
        <v>73130.5</v>
      </c>
      <c r="AT71" s="55">
        <v>72490.5</v>
      </c>
      <c r="AU71" s="55">
        <v>71585.5</v>
      </c>
      <c r="AV71" s="55">
        <v>71872.5</v>
      </c>
      <c r="AW71" s="55">
        <v>72613.5</v>
      </c>
      <c r="AX71" s="55">
        <v>74506</v>
      </c>
      <c r="AY71" s="55">
        <v>76115.5</v>
      </c>
      <c r="AZ71" s="55">
        <v>76238.5</v>
      </c>
      <c r="BA71" s="55">
        <v>76409</v>
      </c>
      <c r="BB71" s="55">
        <v>77117</v>
      </c>
      <c r="BC71" s="55">
        <v>77481</v>
      </c>
      <c r="BD71" s="55">
        <v>78000</v>
      </c>
      <c r="BE71" s="55">
        <v>78306</v>
      </c>
      <c r="BF71" s="55">
        <v>78892</v>
      </c>
      <c r="BG71" s="55">
        <v>79214.5</v>
      </c>
      <c r="BH71" s="55">
        <v>79806.5</v>
      </c>
      <c r="BI71" s="55">
        <v>80203.5</v>
      </c>
      <c r="BJ71" s="55">
        <v>80652.5</v>
      </c>
      <c r="BK71" s="55">
        <v>81198.5</v>
      </c>
      <c r="BL71" s="55">
        <v>81790.5</v>
      </c>
      <c r="BM71" s="55">
        <v>82359.5</v>
      </c>
      <c r="BN71" s="55">
        <v>82859.5</v>
      </c>
      <c r="BO71" s="55">
        <v>83301.5</v>
      </c>
      <c r="BP71" s="55">
        <v>83693.5</v>
      </c>
      <c r="BQ71" s="55">
        <v>84030.5</v>
      </c>
      <c r="BR71" s="55">
        <v>84356</v>
      </c>
      <c r="BS71" s="55">
        <v>84584.5</v>
      </c>
      <c r="BT71" s="55">
        <v>84892</v>
      </c>
      <c r="BU71" s="55">
        <v>85146.5</v>
      </c>
      <c r="BV71" s="55">
        <v>85464</v>
      </c>
      <c r="BW71" s="55">
        <v>85729.5</v>
      </c>
      <c r="BX71" s="55">
        <v>86058.5</v>
      </c>
      <c r="BY71" s="55">
        <v>86386</v>
      </c>
      <c r="BZ71" s="55">
        <v>86822.5</v>
      </c>
      <c r="CA71" s="55">
        <v>87167</v>
      </c>
      <c r="CB71" s="55">
        <v>87442</v>
      </c>
      <c r="CC71" s="55">
        <v>87756</v>
      </c>
      <c r="CD71" s="55">
        <v>88041.5</v>
      </c>
      <c r="CE71" s="55">
        <v>88305</v>
      </c>
      <c r="CF71" s="55">
        <v>88612</v>
      </c>
      <c r="CG71" s="55">
        <v>88883.5</v>
      </c>
      <c r="CH71" s="55">
        <v>89139</v>
      </c>
      <c r="CI71" s="55">
        <v>89427</v>
      </c>
      <c r="CJ71" s="55">
        <v>89631.5</v>
      </c>
      <c r="CK71" s="55">
        <v>89853.5</v>
      </c>
      <c r="CL71" s="55">
        <v>90129</v>
      </c>
      <c r="CM71" s="55">
        <v>90325.5</v>
      </c>
      <c r="CN71" s="55">
        <v>90558.5</v>
      </c>
      <c r="CO71" s="55">
        <v>90780.5</v>
      </c>
      <c r="CP71" s="55">
        <v>90995</v>
      </c>
      <c r="CQ71" s="55">
        <v>91204</v>
      </c>
      <c r="CR71" s="55">
        <v>91373.5</v>
      </c>
      <c r="CS71" s="55">
        <v>91577</v>
      </c>
      <c r="CT71" s="55">
        <v>91750</v>
      </c>
      <c r="CU71" s="55">
        <v>91927.5</v>
      </c>
      <c r="CV71" s="55">
        <v>92080</v>
      </c>
      <c r="CW71" s="55">
        <v>92246.5</v>
      </c>
      <c r="CX71" s="55">
        <v>92422.5</v>
      </c>
      <c r="CY71" s="55">
        <v>92562.5</v>
      </c>
      <c r="CZ71" s="55">
        <v>92701.5</v>
      </c>
      <c r="DA71" s="55">
        <v>92838</v>
      </c>
      <c r="DB71" s="55">
        <v>92992</v>
      </c>
      <c r="DC71" s="55">
        <v>93140</v>
      </c>
      <c r="DD71" s="55">
        <v>93274</v>
      </c>
      <c r="DE71" s="55">
        <v>93403.5</v>
      </c>
      <c r="DF71" s="55">
        <v>93565</v>
      </c>
      <c r="DG71" s="55">
        <v>93679.5</v>
      </c>
      <c r="DH71" s="55">
        <v>93810.5</v>
      </c>
      <c r="DI71" s="55">
        <v>93919</v>
      </c>
      <c r="DJ71" s="55">
        <v>94059</v>
      </c>
      <c r="DK71" s="55">
        <v>94175</v>
      </c>
      <c r="DL71" s="55">
        <v>94285.5</v>
      </c>
      <c r="DM71" s="55">
        <v>94408.5</v>
      </c>
      <c r="DN71" s="55">
        <v>94528.5</v>
      </c>
      <c r="DO71" s="55">
        <v>94646.5</v>
      </c>
    </row>
    <row r="72" spans="1:119">
      <c r="A72" s="52">
        <v>70</v>
      </c>
      <c r="B72" s="55"/>
      <c r="C72" s="55"/>
      <c r="D72" s="55"/>
      <c r="E72" s="55"/>
      <c r="F72" s="55"/>
      <c r="G72" s="55"/>
      <c r="H72" s="55"/>
      <c r="I72" s="55"/>
      <c r="J72" s="55"/>
      <c r="K72" s="55"/>
      <c r="L72" s="55"/>
      <c r="M72" s="55"/>
      <c r="N72" s="55"/>
      <c r="O72" s="55"/>
      <c r="P72" s="55"/>
      <c r="Q72" s="55"/>
      <c r="R72" s="55"/>
      <c r="S72" s="55"/>
      <c r="T72" s="55"/>
      <c r="U72" s="55"/>
      <c r="V72" s="55"/>
      <c r="W72" s="55">
        <v>56753.5</v>
      </c>
      <c r="X72" s="55">
        <v>57728.5</v>
      </c>
      <c r="Y72" s="55">
        <v>57980.5</v>
      </c>
      <c r="Z72" s="55">
        <v>59885</v>
      </c>
      <c r="AA72" s="55">
        <v>60551</v>
      </c>
      <c r="AB72" s="55">
        <v>61253</v>
      </c>
      <c r="AC72" s="55">
        <v>62023</v>
      </c>
      <c r="AD72" s="55">
        <v>62712</v>
      </c>
      <c r="AE72" s="55">
        <v>62976</v>
      </c>
      <c r="AF72" s="55">
        <v>64239.5</v>
      </c>
      <c r="AG72" s="55">
        <v>65045.5</v>
      </c>
      <c r="AH72" s="55">
        <v>65765</v>
      </c>
      <c r="AI72" s="55">
        <v>66452.5</v>
      </c>
      <c r="AJ72" s="55">
        <v>67981.5</v>
      </c>
      <c r="AK72" s="55">
        <v>68497</v>
      </c>
      <c r="AL72" s="55">
        <v>69452</v>
      </c>
      <c r="AM72" s="55">
        <v>70286</v>
      </c>
      <c r="AN72" s="55">
        <v>71101</v>
      </c>
      <c r="AO72" s="55">
        <v>71386</v>
      </c>
      <c r="AP72" s="55">
        <v>71845.5</v>
      </c>
      <c r="AQ72" s="55">
        <v>72103.5</v>
      </c>
      <c r="AR72" s="55">
        <v>72456</v>
      </c>
      <c r="AS72" s="55">
        <v>72002</v>
      </c>
      <c r="AT72" s="55">
        <v>71399</v>
      </c>
      <c r="AU72" s="55">
        <v>70466.5</v>
      </c>
      <c r="AV72" s="55">
        <v>70767.5</v>
      </c>
      <c r="AW72" s="55">
        <v>71518.5</v>
      </c>
      <c r="AX72" s="55">
        <v>73404.5</v>
      </c>
      <c r="AY72" s="55">
        <v>75012</v>
      </c>
      <c r="AZ72" s="55">
        <v>75155.5</v>
      </c>
      <c r="BA72" s="55">
        <v>75345.5</v>
      </c>
      <c r="BB72" s="55">
        <v>76065.5</v>
      </c>
      <c r="BC72" s="55">
        <v>76445.5</v>
      </c>
      <c r="BD72" s="55">
        <v>76978</v>
      </c>
      <c r="BE72" s="55">
        <v>77300</v>
      </c>
      <c r="BF72" s="55">
        <v>77898</v>
      </c>
      <c r="BG72" s="55">
        <v>78237</v>
      </c>
      <c r="BH72" s="55">
        <v>78841</v>
      </c>
      <c r="BI72" s="55">
        <v>79252</v>
      </c>
      <c r="BJ72" s="55">
        <v>79714</v>
      </c>
      <c r="BK72" s="55">
        <v>80273</v>
      </c>
      <c r="BL72" s="55">
        <v>80876</v>
      </c>
      <c r="BM72" s="55">
        <v>81457</v>
      </c>
      <c r="BN72" s="55">
        <v>81969.5</v>
      </c>
      <c r="BO72" s="55">
        <v>82424.5</v>
      </c>
      <c r="BP72" s="55">
        <v>82830</v>
      </c>
      <c r="BQ72" s="55">
        <v>83181</v>
      </c>
      <c r="BR72" s="55">
        <v>83520</v>
      </c>
      <c r="BS72" s="55">
        <v>83763.5</v>
      </c>
      <c r="BT72" s="55">
        <v>84084.5</v>
      </c>
      <c r="BU72" s="55">
        <v>84353</v>
      </c>
      <c r="BV72" s="55">
        <v>84683</v>
      </c>
      <c r="BW72" s="55">
        <v>84962</v>
      </c>
      <c r="BX72" s="55">
        <v>85303.5</v>
      </c>
      <c r="BY72" s="55">
        <v>85643.5</v>
      </c>
      <c r="BZ72" s="55">
        <v>86091</v>
      </c>
      <c r="CA72" s="55">
        <v>86447.5</v>
      </c>
      <c r="CB72" s="55">
        <v>86734</v>
      </c>
      <c r="CC72" s="55">
        <v>87060.5</v>
      </c>
      <c r="CD72" s="55">
        <v>87357</v>
      </c>
      <c r="CE72" s="55">
        <v>87632.5</v>
      </c>
      <c r="CF72" s="55">
        <v>87950.5</v>
      </c>
      <c r="CG72" s="55">
        <v>88233.5</v>
      </c>
      <c r="CH72" s="55">
        <v>88500</v>
      </c>
      <c r="CI72" s="55">
        <v>88799</v>
      </c>
      <c r="CJ72" s="55">
        <v>89014.5</v>
      </c>
      <c r="CK72" s="55">
        <v>89247.5</v>
      </c>
      <c r="CL72" s="55">
        <v>89533.5</v>
      </c>
      <c r="CM72" s="55">
        <v>89740.5</v>
      </c>
      <c r="CN72" s="55">
        <v>89984</v>
      </c>
      <c r="CO72" s="55">
        <v>90216</v>
      </c>
      <c r="CP72" s="55">
        <v>90440.5</v>
      </c>
      <c r="CQ72" s="55">
        <v>90660</v>
      </c>
      <c r="CR72" s="55">
        <v>90839</v>
      </c>
      <c r="CS72" s="55">
        <v>91052.5</v>
      </c>
      <c r="CT72" s="55">
        <v>91235</v>
      </c>
      <c r="CU72" s="55">
        <v>91421.5</v>
      </c>
      <c r="CV72" s="55">
        <v>91583.5</v>
      </c>
      <c r="CW72" s="55">
        <v>91759.5</v>
      </c>
      <c r="CX72" s="55">
        <v>91943.5</v>
      </c>
      <c r="CY72" s="55">
        <v>92093.5</v>
      </c>
      <c r="CZ72" s="55">
        <v>92240.5</v>
      </c>
      <c r="DA72" s="55">
        <v>92385.5</v>
      </c>
      <c r="DB72" s="55">
        <v>92548.5</v>
      </c>
      <c r="DC72" s="55">
        <v>92704.5</v>
      </c>
      <c r="DD72" s="55">
        <v>92847</v>
      </c>
      <c r="DE72" s="55">
        <v>92984.5</v>
      </c>
      <c r="DF72" s="55">
        <v>93153.5</v>
      </c>
      <c r="DG72" s="55">
        <v>93276</v>
      </c>
      <c r="DH72" s="55">
        <v>93414.5</v>
      </c>
      <c r="DI72" s="55">
        <v>93530.5</v>
      </c>
      <c r="DJ72" s="55">
        <v>93678</v>
      </c>
      <c r="DK72" s="55">
        <v>93801</v>
      </c>
      <c r="DL72" s="55">
        <v>93918.5</v>
      </c>
      <c r="DM72" s="55">
        <v>94048.5</v>
      </c>
      <c r="DN72" s="55">
        <v>94175.5</v>
      </c>
      <c r="DO72" s="55">
        <v>94300</v>
      </c>
    </row>
    <row r="73" spans="1:119">
      <c r="A73" s="52">
        <v>71</v>
      </c>
      <c r="B73" s="55"/>
      <c r="C73" s="55"/>
      <c r="D73" s="55"/>
      <c r="E73" s="55"/>
      <c r="F73" s="55"/>
      <c r="G73" s="55"/>
      <c r="H73" s="55"/>
      <c r="I73" s="55"/>
      <c r="J73" s="55"/>
      <c r="K73" s="55"/>
      <c r="L73" s="55"/>
      <c r="M73" s="55"/>
      <c r="N73" s="55"/>
      <c r="O73" s="55"/>
      <c r="P73" s="55"/>
      <c r="Q73" s="55"/>
      <c r="R73" s="55"/>
      <c r="S73" s="55"/>
      <c r="T73" s="55"/>
      <c r="U73" s="55"/>
      <c r="V73" s="55"/>
      <c r="W73" s="55">
        <v>55186.5</v>
      </c>
      <c r="X73" s="55">
        <v>56192</v>
      </c>
      <c r="Y73" s="55">
        <v>56444.5</v>
      </c>
      <c r="Z73" s="55">
        <v>58308.5</v>
      </c>
      <c r="AA73" s="55">
        <v>59008</v>
      </c>
      <c r="AB73" s="55">
        <v>59770</v>
      </c>
      <c r="AC73" s="55">
        <v>60534.5</v>
      </c>
      <c r="AD73" s="55">
        <v>61231.5</v>
      </c>
      <c r="AE73" s="55">
        <v>61530.5</v>
      </c>
      <c r="AF73" s="55">
        <v>62799</v>
      </c>
      <c r="AG73" s="55">
        <v>63646</v>
      </c>
      <c r="AH73" s="55">
        <v>64351.5</v>
      </c>
      <c r="AI73" s="55">
        <v>65113</v>
      </c>
      <c r="AJ73" s="55">
        <v>66643.5</v>
      </c>
      <c r="AK73" s="55">
        <v>67241</v>
      </c>
      <c r="AL73" s="55">
        <v>68206</v>
      </c>
      <c r="AM73" s="55">
        <v>69066</v>
      </c>
      <c r="AN73" s="55">
        <v>69891</v>
      </c>
      <c r="AO73" s="55">
        <v>70199.5</v>
      </c>
      <c r="AP73" s="55">
        <v>70635.5</v>
      </c>
      <c r="AQ73" s="55">
        <v>70914</v>
      </c>
      <c r="AR73" s="55">
        <v>71239.5</v>
      </c>
      <c r="AS73" s="55">
        <v>70837</v>
      </c>
      <c r="AT73" s="55">
        <v>70180</v>
      </c>
      <c r="AU73" s="55">
        <v>69296</v>
      </c>
      <c r="AV73" s="55">
        <v>69614.5</v>
      </c>
      <c r="AW73" s="55">
        <v>70376</v>
      </c>
      <c r="AX73" s="55">
        <v>72253.5</v>
      </c>
      <c r="AY73" s="55">
        <v>73859.5</v>
      </c>
      <c r="AZ73" s="55">
        <v>74024</v>
      </c>
      <c r="BA73" s="55">
        <v>74234</v>
      </c>
      <c r="BB73" s="55">
        <v>74965.5</v>
      </c>
      <c r="BC73" s="55">
        <v>75362.5</v>
      </c>
      <c r="BD73" s="55">
        <v>75908.5</v>
      </c>
      <c r="BE73" s="55">
        <v>76247.5</v>
      </c>
      <c r="BF73" s="55">
        <v>76858</v>
      </c>
      <c r="BG73" s="55">
        <v>77213.5</v>
      </c>
      <c r="BH73" s="55">
        <v>77829</v>
      </c>
      <c r="BI73" s="55">
        <v>78255</v>
      </c>
      <c r="BJ73" s="55">
        <v>78731.5</v>
      </c>
      <c r="BK73" s="55">
        <v>79302.5</v>
      </c>
      <c r="BL73" s="55">
        <v>79918</v>
      </c>
      <c r="BM73" s="55">
        <v>80510.5</v>
      </c>
      <c r="BN73" s="55">
        <v>81036</v>
      </c>
      <c r="BO73" s="55">
        <v>81504.5</v>
      </c>
      <c r="BP73" s="55">
        <v>81924</v>
      </c>
      <c r="BQ73" s="55">
        <v>82289.5</v>
      </c>
      <c r="BR73" s="55">
        <v>82642.5</v>
      </c>
      <c r="BS73" s="55">
        <v>82901</v>
      </c>
      <c r="BT73" s="55">
        <v>83235.5</v>
      </c>
      <c r="BU73" s="55">
        <v>83519</v>
      </c>
      <c r="BV73" s="55">
        <v>83862.5</v>
      </c>
      <c r="BW73" s="55">
        <v>84155.5</v>
      </c>
      <c r="BX73" s="55">
        <v>84510</v>
      </c>
      <c r="BY73" s="55">
        <v>84862.5</v>
      </c>
      <c r="BZ73" s="55">
        <v>85321.5</v>
      </c>
      <c r="CA73" s="55">
        <v>85690</v>
      </c>
      <c r="CB73" s="55">
        <v>85990</v>
      </c>
      <c r="CC73" s="55">
        <v>86328</v>
      </c>
      <c r="CD73" s="55">
        <v>86637</v>
      </c>
      <c r="CE73" s="55">
        <v>86925</v>
      </c>
      <c r="CF73" s="55">
        <v>87254</v>
      </c>
      <c r="CG73" s="55">
        <v>87549</v>
      </c>
      <c r="CH73" s="55">
        <v>87827</v>
      </c>
      <c r="CI73" s="55">
        <v>88137.5</v>
      </c>
      <c r="CJ73" s="55">
        <v>88364.5</v>
      </c>
      <c r="CK73" s="55">
        <v>88609</v>
      </c>
      <c r="CL73" s="55">
        <v>88906</v>
      </c>
      <c r="CM73" s="55">
        <v>89124</v>
      </c>
      <c r="CN73" s="55">
        <v>89378</v>
      </c>
      <c r="CO73" s="55">
        <v>89621</v>
      </c>
      <c r="CP73" s="55">
        <v>89856</v>
      </c>
      <c r="CQ73" s="55">
        <v>90085.5</v>
      </c>
      <c r="CR73" s="55">
        <v>90275.5</v>
      </c>
      <c r="CS73" s="55">
        <v>90498</v>
      </c>
      <c r="CT73" s="55">
        <v>90691.5</v>
      </c>
      <c r="CU73" s="55">
        <v>90888</v>
      </c>
      <c r="CV73" s="55">
        <v>91059.5</v>
      </c>
      <c r="CW73" s="55">
        <v>91244.5</v>
      </c>
      <c r="CX73" s="55">
        <v>91438.5</v>
      </c>
      <c r="CY73" s="55">
        <v>91597.5</v>
      </c>
      <c r="CZ73" s="55">
        <v>91754</v>
      </c>
      <c r="DA73" s="55">
        <v>91908.5</v>
      </c>
      <c r="DB73" s="55">
        <v>92080</v>
      </c>
      <c r="DC73" s="55">
        <v>92244.5</v>
      </c>
      <c r="DD73" s="55">
        <v>92396</v>
      </c>
      <c r="DE73" s="55">
        <v>92541.5</v>
      </c>
      <c r="DF73" s="55">
        <v>92719</v>
      </c>
      <c r="DG73" s="55">
        <v>92849.5</v>
      </c>
      <c r="DH73" s="55">
        <v>92995.5</v>
      </c>
      <c r="DI73" s="55">
        <v>93120</v>
      </c>
      <c r="DJ73" s="55">
        <v>93275.5</v>
      </c>
      <c r="DK73" s="55">
        <v>93405.5</v>
      </c>
      <c r="DL73" s="55">
        <v>93531</v>
      </c>
      <c r="DM73" s="55">
        <v>93668</v>
      </c>
      <c r="DN73" s="55">
        <v>93802.5</v>
      </c>
      <c r="DO73" s="55">
        <v>93934</v>
      </c>
    </row>
    <row r="74" spans="1:119">
      <c r="A74" s="52">
        <v>72</v>
      </c>
      <c r="B74" s="55"/>
      <c r="C74" s="55"/>
      <c r="D74" s="55"/>
      <c r="E74" s="55"/>
      <c r="F74" s="55"/>
      <c r="G74" s="55"/>
      <c r="H74" s="55"/>
      <c r="I74" s="55"/>
      <c r="J74" s="55"/>
      <c r="K74" s="55"/>
      <c r="L74" s="55"/>
      <c r="M74" s="55"/>
      <c r="N74" s="55"/>
      <c r="O74" s="55"/>
      <c r="P74" s="55"/>
      <c r="Q74" s="55"/>
      <c r="R74" s="55"/>
      <c r="S74" s="55"/>
      <c r="T74" s="55"/>
      <c r="U74" s="55"/>
      <c r="V74" s="55"/>
      <c r="W74" s="55">
        <v>53536</v>
      </c>
      <c r="X74" s="55">
        <v>54551.5</v>
      </c>
      <c r="Y74" s="55">
        <v>54840</v>
      </c>
      <c r="Z74" s="55">
        <v>56649</v>
      </c>
      <c r="AA74" s="55">
        <v>57407</v>
      </c>
      <c r="AB74" s="55">
        <v>58199</v>
      </c>
      <c r="AC74" s="55">
        <v>58963.5</v>
      </c>
      <c r="AD74" s="55">
        <v>59692.5</v>
      </c>
      <c r="AE74" s="55">
        <v>60031</v>
      </c>
      <c r="AF74" s="55">
        <v>61292</v>
      </c>
      <c r="AG74" s="55">
        <v>62142</v>
      </c>
      <c r="AH74" s="55">
        <v>62913.5</v>
      </c>
      <c r="AI74" s="55">
        <v>63704.5</v>
      </c>
      <c r="AJ74" s="55">
        <v>65255.5</v>
      </c>
      <c r="AK74" s="55">
        <v>65895.5</v>
      </c>
      <c r="AL74" s="55">
        <v>66892</v>
      </c>
      <c r="AM74" s="55">
        <v>67773</v>
      </c>
      <c r="AN74" s="55">
        <v>68618.5</v>
      </c>
      <c r="AO74" s="55">
        <v>68931</v>
      </c>
      <c r="AP74" s="55">
        <v>69364.5</v>
      </c>
      <c r="AQ74" s="55">
        <v>69633</v>
      </c>
      <c r="AR74" s="55">
        <v>69988.5</v>
      </c>
      <c r="AS74" s="55">
        <v>69525.5</v>
      </c>
      <c r="AT74" s="55">
        <v>68916.5</v>
      </c>
      <c r="AU74" s="55">
        <v>68073.5</v>
      </c>
      <c r="AV74" s="55">
        <v>68410</v>
      </c>
      <c r="AW74" s="55">
        <v>69181.5</v>
      </c>
      <c r="AX74" s="55">
        <v>71050</v>
      </c>
      <c r="AY74" s="55">
        <v>72653</v>
      </c>
      <c r="AZ74" s="55">
        <v>72840</v>
      </c>
      <c r="BA74" s="55">
        <v>73070</v>
      </c>
      <c r="BB74" s="55">
        <v>73812.5</v>
      </c>
      <c r="BC74" s="55">
        <v>74226.5</v>
      </c>
      <c r="BD74" s="55">
        <v>74786.5</v>
      </c>
      <c r="BE74" s="55">
        <v>75142</v>
      </c>
      <c r="BF74" s="55">
        <v>75765.5</v>
      </c>
      <c r="BG74" s="55">
        <v>76137.5</v>
      </c>
      <c r="BH74" s="55">
        <v>76765.5</v>
      </c>
      <c r="BI74" s="55">
        <v>77206</v>
      </c>
      <c r="BJ74" s="55">
        <v>77696.5</v>
      </c>
      <c r="BK74" s="55">
        <v>78281</v>
      </c>
      <c r="BL74" s="55">
        <v>78908.5</v>
      </c>
      <c r="BM74" s="55">
        <v>79513</v>
      </c>
      <c r="BN74" s="55">
        <v>80051.5</v>
      </c>
      <c r="BO74" s="55">
        <v>80534</v>
      </c>
      <c r="BP74" s="55">
        <v>80967.5</v>
      </c>
      <c r="BQ74" s="55">
        <v>81348</v>
      </c>
      <c r="BR74" s="55">
        <v>81715.5</v>
      </c>
      <c r="BS74" s="55">
        <v>81989.5</v>
      </c>
      <c r="BT74" s="55">
        <v>82338.5</v>
      </c>
      <c r="BU74" s="55">
        <v>82636</v>
      </c>
      <c r="BV74" s="55">
        <v>82993.5</v>
      </c>
      <c r="BW74" s="55">
        <v>83301</v>
      </c>
      <c r="BX74" s="55">
        <v>83669</v>
      </c>
      <c r="BY74" s="55">
        <v>84034.5</v>
      </c>
      <c r="BZ74" s="55">
        <v>84505.5</v>
      </c>
      <c r="CA74" s="55">
        <v>84886.5</v>
      </c>
      <c r="CB74" s="55">
        <v>85200</v>
      </c>
      <c r="CC74" s="55">
        <v>85550.5</v>
      </c>
      <c r="CD74" s="55">
        <v>85872</v>
      </c>
      <c r="CE74" s="55">
        <v>86172.5</v>
      </c>
      <c r="CF74" s="55">
        <v>86514</v>
      </c>
      <c r="CG74" s="55">
        <v>86821</v>
      </c>
      <c r="CH74" s="55">
        <v>87111</v>
      </c>
      <c r="CI74" s="55">
        <v>87433</v>
      </c>
      <c r="CJ74" s="55">
        <v>87673</v>
      </c>
      <c r="CK74" s="55">
        <v>87929</v>
      </c>
      <c r="CL74" s="55">
        <v>88237</v>
      </c>
      <c r="CM74" s="55">
        <v>88467</v>
      </c>
      <c r="CN74" s="55">
        <v>88732</v>
      </c>
      <c r="CO74" s="55">
        <v>88986</v>
      </c>
      <c r="CP74" s="55">
        <v>89232</v>
      </c>
      <c r="CQ74" s="55">
        <v>89472.5</v>
      </c>
      <c r="CR74" s="55">
        <v>89673</v>
      </c>
      <c r="CS74" s="55">
        <v>89907</v>
      </c>
      <c r="CT74" s="55">
        <v>90110.5</v>
      </c>
      <c r="CU74" s="55">
        <v>90317.5</v>
      </c>
      <c r="CV74" s="55">
        <v>90499.5</v>
      </c>
      <c r="CW74" s="55">
        <v>90694.5</v>
      </c>
      <c r="CX74" s="55">
        <v>90898</v>
      </c>
      <c r="CY74" s="55">
        <v>91067</v>
      </c>
      <c r="CZ74" s="55">
        <v>91233</v>
      </c>
      <c r="DA74" s="55">
        <v>91397</v>
      </c>
      <c r="DB74" s="55">
        <v>91577.5</v>
      </c>
      <c r="DC74" s="55">
        <v>91751.5</v>
      </c>
      <c r="DD74" s="55">
        <v>91912</v>
      </c>
      <c r="DE74" s="55">
        <v>92066.5</v>
      </c>
      <c r="DF74" s="55">
        <v>92252.5</v>
      </c>
      <c r="DG74" s="55">
        <v>92391.5</v>
      </c>
      <c r="DH74" s="55">
        <v>92546</v>
      </c>
      <c r="DI74" s="55">
        <v>92678.5</v>
      </c>
      <c r="DJ74" s="55">
        <v>92842</v>
      </c>
      <c r="DK74" s="55">
        <v>92980.5</v>
      </c>
      <c r="DL74" s="55">
        <v>93113.5</v>
      </c>
      <c r="DM74" s="55">
        <v>93259</v>
      </c>
      <c r="DN74" s="55">
        <v>93401</v>
      </c>
      <c r="DO74" s="55">
        <v>93540</v>
      </c>
    </row>
    <row r="75" spans="1:119">
      <c r="A75" s="52">
        <v>73</v>
      </c>
      <c r="B75" s="55"/>
      <c r="C75" s="55"/>
      <c r="D75" s="55"/>
      <c r="E75" s="55"/>
      <c r="F75" s="55"/>
      <c r="G75" s="55"/>
      <c r="H75" s="55"/>
      <c r="I75" s="55"/>
      <c r="J75" s="55"/>
      <c r="K75" s="55"/>
      <c r="L75" s="55"/>
      <c r="M75" s="55"/>
      <c r="N75" s="55"/>
      <c r="O75" s="55"/>
      <c r="P75" s="55"/>
      <c r="Q75" s="55"/>
      <c r="R75" s="55"/>
      <c r="S75" s="55"/>
      <c r="T75" s="55"/>
      <c r="U75" s="55"/>
      <c r="V75" s="55"/>
      <c r="W75" s="55">
        <v>51796.5</v>
      </c>
      <c r="X75" s="55">
        <v>52844.5</v>
      </c>
      <c r="Y75" s="55">
        <v>53102</v>
      </c>
      <c r="Z75" s="55">
        <v>54970.5</v>
      </c>
      <c r="AA75" s="55">
        <v>55728</v>
      </c>
      <c r="AB75" s="55">
        <v>56541.5</v>
      </c>
      <c r="AC75" s="55">
        <v>57354.5</v>
      </c>
      <c r="AD75" s="55">
        <v>58111</v>
      </c>
      <c r="AE75" s="55">
        <v>58451.5</v>
      </c>
      <c r="AF75" s="55">
        <v>59687</v>
      </c>
      <c r="AG75" s="55">
        <v>60591.5</v>
      </c>
      <c r="AH75" s="55">
        <v>61422.5</v>
      </c>
      <c r="AI75" s="55">
        <v>62228</v>
      </c>
      <c r="AJ75" s="55">
        <v>63804</v>
      </c>
      <c r="AK75" s="55">
        <v>64454</v>
      </c>
      <c r="AL75" s="55">
        <v>65484.5</v>
      </c>
      <c r="AM75" s="55">
        <v>66409.5</v>
      </c>
      <c r="AN75" s="55">
        <v>67251.5</v>
      </c>
      <c r="AO75" s="55">
        <v>67563.5</v>
      </c>
      <c r="AP75" s="55">
        <v>67996</v>
      </c>
      <c r="AQ75" s="55">
        <v>68299.5</v>
      </c>
      <c r="AR75" s="55">
        <v>68610</v>
      </c>
      <c r="AS75" s="55">
        <v>68167</v>
      </c>
      <c r="AT75" s="55">
        <v>67596</v>
      </c>
      <c r="AU75" s="55">
        <v>66796</v>
      </c>
      <c r="AV75" s="55">
        <v>67149.5</v>
      </c>
      <c r="AW75" s="55">
        <v>67931</v>
      </c>
      <c r="AX75" s="55">
        <v>69789</v>
      </c>
      <c r="AY75" s="55">
        <v>71388.5</v>
      </c>
      <c r="AZ75" s="55">
        <v>71597</v>
      </c>
      <c r="BA75" s="55">
        <v>71847.5</v>
      </c>
      <c r="BB75" s="55">
        <v>72602</v>
      </c>
      <c r="BC75" s="55">
        <v>73032</v>
      </c>
      <c r="BD75" s="55">
        <v>73605.5</v>
      </c>
      <c r="BE75" s="55">
        <v>73978.5</v>
      </c>
      <c r="BF75" s="55">
        <v>74614.5</v>
      </c>
      <c r="BG75" s="55">
        <v>75003.5</v>
      </c>
      <c r="BH75" s="55">
        <v>75643.5</v>
      </c>
      <c r="BI75" s="55">
        <v>76099</v>
      </c>
      <c r="BJ75" s="55">
        <v>76604.5</v>
      </c>
      <c r="BK75" s="55">
        <v>77201.5</v>
      </c>
      <c r="BL75" s="55">
        <v>77841.5</v>
      </c>
      <c r="BM75" s="55">
        <v>78458</v>
      </c>
      <c r="BN75" s="55">
        <v>79010.5</v>
      </c>
      <c r="BO75" s="55">
        <v>79506.5</v>
      </c>
      <c r="BP75" s="55">
        <v>79954.5</v>
      </c>
      <c r="BQ75" s="55">
        <v>80349.5</v>
      </c>
      <c r="BR75" s="55">
        <v>80732</v>
      </c>
      <c r="BS75" s="55">
        <v>81022</v>
      </c>
      <c r="BT75" s="55">
        <v>81386</v>
      </c>
      <c r="BU75" s="55">
        <v>81699</v>
      </c>
      <c r="BV75" s="55">
        <v>82070.5</v>
      </c>
      <c r="BW75" s="55">
        <v>82392.5</v>
      </c>
      <c r="BX75" s="55">
        <v>82774</v>
      </c>
      <c r="BY75" s="55">
        <v>83153.5</v>
      </c>
      <c r="BZ75" s="55">
        <v>83636.5</v>
      </c>
      <c r="CA75" s="55">
        <v>84031</v>
      </c>
      <c r="CB75" s="55">
        <v>84357.5</v>
      </c>
      <c r="CC75" s="55">
        <v>84721</v>
      </c>
      <c r="CD75" s="55">
        <v>85055.5</v>
      </c>
      <c r="CE75" s="55">
        <v>85369</v>
      </c>
      <c r="CF75" s="55">
        <v>85723</v>
      </c>
      <c r="CG75" s="55">
        <v>86043</v>
      </c>
      <c r="CH75" s="55">
        <v>86346</v>
      </c>
      <c r="CI75" s="55">
        <v>86680</v>
      </c>
      <c r="CJ75" s="55">
        <v>86932</v>
      </c>
      <c r="CK75" s="55">
        <v>87201</v>
      </c>
      <c r="CL75" s="55">
        <v>87520.5</v>
      </c>
      <c r="CM75" s="55">
        <v>87762.5</v>
      </c>
      <c r="CN75" s="55">
        <v>88040</v>
      </c>
      <c r="CO75" s="55">
        <v>88305</v>
      </c>
      <c r="CP75" s="55">
        <v>88562.5</v>
      </c>
      <c r="CQ75" s="55">
        <v>88814</v>
      </c>
      <c r="CR75" s="55">
        <v>89026</v>
      </c>
      <c r="CS75" s="55">
        <v>89271</v>
      </c>
      <c r="CT75" s="55">
        <v>89485</v>
      </c>
      <c r="CU75" s="55">
        <v>89703</v>
      </c>
      <c r="CV75" s="55">
        <v>89896</v>
      </c>
      <c r="CW75" s="55">
        <v>90102</v>
      </c>
      <c r="CX75" s="55">
        <v>90316</v>
      </c>
      <c r="CY75" s="55">
        <v>90494.5</v>
      </c>
      <c r="CZ75" s="55">
        <v>90671</v>
      </c>
      <c r="DA75" s="55">
        <v>90845</v>
      </c>
      <c r="DB75" s="55">
        <v>91036</v>
      </c>
      <c r="DC75" s="55">
        <v>91218.5</v>
      </c>
      <c r="DD75" s="55">
        <v>91389</v>
      </c>
      <c r="DE75" s="55">
        <v>91552.5</v>
      </c>
      <c r="DF75" s="55">
        <v>91748</v>
      </c>
      <c r="DG75" s="55">
        <v>91896</v>
      </c>
      <c r="DH75" s="55">
        <v>92060</v>
      </c>
      <c r="DI75" s="55">
        <v>92201.5</v>
      </c>
      <c r="DJ75" s="55">
        <v>92373.5</v>
      </c>
      <c r="DK75" s="55">
        <v>92520</v>
      </c>
      <c r="DL75" s="55">
        <v>92661.5</v>
      </c>
      <c r="DM75" s="55">
        <v>92815</v>
      </c>
      <c r="DN75" s="55">
        <v>92965</v>
      </c>
      <c r="DO75" s="55">
        <v>93112</v>
      </c>
    </row>
    <row r="76" spans="1:119">
      <c r="A76" s="52">
        <v>74</v>
      </c>
      <c r="B76" s="55"/>
      <c r="C76" s="55"/>
      <c r="D76" s="55"/>
      <c r="E76" s="55"/>
      <c r="F76" s="55"/>
      <c r="G76" s="55"/>
      <c r="H76" s="55"/>
      <c r="I76" s="55"/>
      <c r="J76" s="55"/>
      <c r="K76" s="55"/>
      <c r="L76" s="55"/>
      <c r="M76" s="55"/>
      <c r="N76" s="55"/>
      <c r="O76" s="55"/>
      <c r="P76" s="55"/>
      <c r="Q76" s="55"/>
      <c r="R76" s="55"/>
      <c r="S76" s="55"/>
      <c r="T76" s="55"/>
      <c r="U76" s="55"/>
      <c r="V76" s="55"/>
      <c r="W76" s="55">
        <v>49992</v>
      </c>
      <c r="X76" s="55">
        <v>51007.5</v>
      </c>
      <c r="Y76" s="55">
        <v>51360.5</v>
      </c>
      <c r="Z76" s="55">
        <v>53248.5</v>
      </c>
      <c r="AA76" s="55">
        <v>53978.5</v>
      </c>
      <c r="AB76" s="55">
        <v>54862</v>
      </c>
      <c r="AC76" s="55">
        <v>55705</v>
      </c>
      <c r="AD76" s="55">
        <v>56435.5</v>
      </c>
      <c r="AE76" s="55">
        <v>56759.5</v>
      </c>
      <c r="AF76" s="55">
        <v>58052.5</v>
      </c>
      <c r="AG76" s="55">
        <v>58964</v>
      </c>
      <c r="AH76" s="55">
        <v>59881.5</v>
      </c>
      <c r="AI76" s="55">
        <v>60693</v>
      </c>
      <c r="AJ76" s="55">
        <v>62268.5</v>
      </c>
      <c r="AK76" s="55">
        <v>62918</v>
      </c>
      <c r="AL76" s="55">
        <v>64006.5</v>
      </c>
      <c r="AM76" s="55">
        <v>64947.5</v>
      </c>
      <c r="AN76" s="55">
        <v>65795.5</v>
      </c>
      <c r="AO76" s="55">
        <v>66099</v>
      </c>
      <c r="AP76" s="55">
        <v>66579.5</v>
      </c>
      <c r="AQ76" s="55">
        <v>66818</v>
      </c>
      <c r="AR76" s="55">
        <v>67149</v>
      </c>
      <c r="AS76" s="55">
        <v>66744.5</v>
      </c>
      <c r="AT76" s="55">
        <v>66211.5</v>
      </c>
      <c r="AU76" s="55">
        <v>65454.5</v>
      </c>
      <c r="AV76" s="55">
        <v>65825.5</v>
      </c>
      <c r="AW76" s="55">
        <v>66616.5</v>
      </c>
      <c r="AX76" s="55">
        <v>68462.5</v>
      </c>
      <c r="AY76" s="55">
        <v>70057</v>
      </c>
      <c r="AZ76" s="55">
        <v>70287.5</v>
      </c>
      <c r="BA76" s="55">
        <v>70559</v>
      </c>
      <c r="BB76" s="55">
        <v>71324.5</v>
      </c>
      <c r="BC76" s="55">
        <v>71771.5</v>
      </c>
      <c r="BD76" s="55">
        <v>72358</v>
      </c>
      <c r="BE76" s="55">
        <v>72748.5</v>
      </c>
      <c r="BF76" s="55">
        <v>73397</v>
      </c>
      <c r="BG76" s="55">
        <v>73803.5</v>
      </c>
      <c r="BH76" s="55">
        <v>74455.5</v>
      </c>
      <c r="BI76" s="55">
        <v>74926</v>
      </c>
      <c r="BJ76" s="55">
        <v>75446</v>
      </c>
      <c r="BK76" s="55">
        <v>76056</v>
      </c>
      <c r="BL76" s="55">
        <v>76708.5</v>
      </c>
      <c r="BM76" s="55">
        <v>77337.5</v>
      </c>
      <c r="BN76" s="55">
        <v>77903</v>
      </c>
      <c r="BO76" s="55">
        <v>78413</v>
      </c>
      <c r="BP76" s="55">
        <v>78876.5</v>
      </c>
      <c r="BQ76" s="55">
        <v>79286.5</v>
      </c>
      <c r="BR76" s="55">
        <v>79684.5</v>
      </c>
      <c r="BS76" s="55">
        <v>79990.5</v>
      </c>
      <c r="BT76" s="55">
        <v>80369.5</v>
      </c>
      <c r="BU76" s="55">
        <v>80698</v>
      </c>
      <c r="BV76" s="55">
        <v>81084</v>
      </c>
      <c r="BW76" s="55">
        <v>81421.5</v>
      </c>
      <c r="BX76" s="55">
        <v>81817</v>
      </c>
      <c r="BY76" s="55">
        <v>82209.5</v>
      </c>
      <c r="BZ76" s="55">
        <v>82706</v>
      </c>
      <c r="CA76" s="55">
        <v>83113.5</v>
      </c>
      <c r="CB76" s="55">
        <v>83454</v>
      </c>
      <c r="CC76" s="55">
        <v>83831</v>
      </c>
      <c r="CD76" s="55">
        <v>84179</v>
      </c>
      <c r="CE76" s="55">
        <v>84506.5</v>
      </c>
      <c r="CF76" s="55">
        <v>84873.5</v>
      </c>
      <c r="CG76" s="55">
        <v>85206</v>
      </c>
      <c r="CH76" s="55">
        <v>85522</v>
      </c>
      <c r="CI76" s="55">
        <v>85869</v>
      </c>
      <c r="CJ76" s="55">
        <v>86134</v>
      </c>
      <c r="CK76" s="55">
        <v>86416</v>
      </c>
      <c r="CL76" s="55">
        <v>86747.5</v>
      </c>
      <c r="CM76" s="55">
        <v>87003</v>
      </c>
      <c r="CN76" s="55">
        <v>87292</v>
      </c>
      <c r="CO76" s="55">
        <v>87569</v>
      </c>
      <c r="CP76" s="55">
        <v>87839</v>
      </c>
      <c r="CQ76" s="55">
        <v>88102</v>
      </c>
      <c r="CR76" s="55">
        <v>88326.5</v>
      </c>
      <c r="CS76" s="55">
        <v>88582.5</v>
      </c>
      <c r="CT76" s="55">
        <v>88809</v>
      </c>
      <c r="CU76" s="55">
        <v>89038</v>
      </c>
      <c r="CV76" s="55">
        <v>89242.5</v>
      </c>
      <c r="CW76" s="55">
        <v>89459</v>
      </c>
      <c r="CX76" s="55">
        <v>89684.5</v>
      </c>
      <c r="CY76" s="55">
        <v>89874</v>
      </c>
      <c r="CZ76" s="55">
        <v>90061</v>
      </c>
      <c r="DA76" s="55">
        <v>90245.5</v>
      </c>
      <c r="DB76" s="55">
        <v>90446.5</v>
      </c>
      <c r="DC76" s="55">
        <v>90640</v>
      </c>
      <c r="DD76" s="55">
        <v>90820.5</v>
      </c>
      <c r="DE76" s="55">
        <v>90994</v>
      </c>
      <c r="DF76" s="55">
        <v>91199</v>
      </c>
      <c r="DG76" s="55">
        <v>91357</v>
      </c>
      <c r="DH76" s="55">
        <v>91530</v>
      </c>
      <c r="DI76" s="55">
        <v>91680.5</v>
      </c>
      <c r="DJ76" s="55">
        <v>91861.5</v>
      </c>
      <c r="DK76" s="55">
        <v>92018</v>
      </c>
      <c r="DL76" s="55">
        <v>92168</v>
      </c>
      <c r="DM76" s="55">
        <v>92330.5</v>
      </c>
      <c r="DN76" s="55">
        <v>92489</v>
      </c>
      <c r="DO76" s="55">
        <v>92644</v>
      </c>
    </row>
    <row r="77" spans="1:119">
      <c r="A77" s="52">
        <v>75</v>
      </c>
      <c r="B77" s="55"/>
      <c r="C77" s="55"/>
      <c r="D77" s="55"/>
      <c r="E77" s="55"/>
      <c r="F77" s="55"/>
      <c r="G77" s="55"/>
      <c r="H77" s="55"/>
      <c r="I77" s="55"/>
      <c r="J77" s="55"/>
      <c r="K77" s="55"/>
      <c r="L77" s="55"/>
      <c r="M77" s="55"/>
      <c r="N77" s="55"/>
      <c r="O77" s="55"/>
      <c r="P77" s="55"/>
      <c r="Q77" s="55"/>
      <c r="R77" s="55"/>
      <c r="S77" s="55"/>
      <c r="T77" s="55"/>
      <c r="U77" s="55"/>
      <c r="V77" s="55"/>
      <c r="W77" s="55">
        <v>48060</v>
      </c>
      <c r="X77" s="55">
        <v>49145.5</v>
      </c>
      <c r="Y77" s="55">
        <v>49542</v>
      </c>
      <c r="Z77" s="55">
        <v>51409</v>
      </c>
      <c r="AA77" s="55">
        <v>52198.5</v>
      </c>
      <c r="AB77" s="55">
        <v>53106</v>
      </c>
      <c r="AC77" s="55">
        <v>53967.5</v>
      </c>
      <c r="AD77" s="55">
        <v>54627.5</v>
      </c>
      <c r="AE77" s="55">
        <v>55029.5</v>
      </c>
      <c r="AF77" s="55">
        <v>56348.5</v>
      </c>
      <c r="AG77" s="55">
        <v>57298.5</v>
      </c>
      <c r="AH77" s="55">
        <v>58231</v>
      </c>
      <c r="AI77" s="55">
        <v>59059</v>
      </c>
      <c r="AJ77" s="55">
        <v>60611</v>
      </c>
      <c r="AK77" s="55">
        <v>61324</v>
      </c>
      <c r="AL77" s="55">
        <v>62408.5</v>
      </c>
      <c r="AM77" s="55">
        <v>63383</v>
      </c>
      <c r="AN77" s="55">
        <v>64227</v>
      </c>
      <c r="AO77" s="55">
        <v>64604.5</v>
      </c>
      <c r="AP77" s="55">
        <v>65000</v>
      </c>
      <c r="AQ77" s="55">
        <v>65262</v>
      </c>
      <c r="AR77" s="55">
        <v>65612.5</v>
      </c>
      <c r="AS77" s="55">
        <v>65246</v>
      </c>
      <c r="AT77" s="55">
        <v>64752.5</v>
      </c>
      <c r="AU77" s="55">
        <v>64039.5</v>
      </c>
      <c r="AV77" s="55">
        <v>64428</v>
      </c>
      <c r="AW77" s="55">
        <v>65228</v>
      </c>
      <c r="AX77" s="55">
        <v>67061</v>
      </c>
      <c r="AY77" s="55">
        <v>68649</v>
      </c>
      <c r="AZ77" s="55">
        <v>68902</v>
      </c>
      <c r="BA77" s="55">
        <v>69194</v>
      </c>
      <c r="BB77" s="55">
        <v>69969.5</v>
      </c>
      <c r="BC77" s="55">
        <v>70434</v>
      </c>
      <c r="BD77" s="55">
        <v>71034</v>
      </c>
      <c r="BE77" s="55">
        <v>71441.5</v>
      </c>
      <c r="BF77" s="55">
        <v>72102.5</v>
      </c>
      <c r="BG77" s="55">
        <v>72526</v>
      </c>
      <c r="BH77" s="55">
        <v>73190.5</v>
      </c>
      <c r="BI77" s="55">
        <v>73676.5</v>
      </c>
      <c r="BJ77" s="55">
        <v>74211</v>
      </c>
      <c r="BK77" s="55">
        <v>74834</v>
      </c>
      <c r="BL77" s="55">
        <v>75498.5</v>
      </c>
      <c r="BM77" s="55">
        <v>76140.5</v>
      </c>
      <c r="BN77" s="55">
        <v>76719</v>
      </c>
      <c r="BO77" s="55">
        <v>77243</v>
      </c>
      <c r="BP77" s="55">
        <v>77722</v>
      </c>
      <c r="BQ77" s="55">
        <v>78147.5</v>
      </c>
      <c r="BR77" s="55">
        <v>78561</v>
      </c>
      <c r="BS77" s="55">
        <v>78883.5</v>
      </c>
      <c r="BT77" s="55">
        <v>79278.5</v>
      </c>
      <c r="BU77" s="55">
        <v>79623</v>
      </c>
      <c r="BV77" s="55">
        <v>80024.5</v>
      </c>
      <c r="BW77" s="55">
        <v>80377</v>
      </c>
      <c r="BX77" s="55">
        <v>80787</v>
      </c>
      <c r="BY77" s="55">
        <v>81194</v>
      </c>
      <c r="BZ77" s="55">
        <v>81703</v>
      </c>
      <c r="CA77" s="55">
        <v>82124.5</v>
      </c>
      <c r="CB77" s="55">
        <v>82480.5</v>
      </c>
      <c r="CC77" s="55">
        <v>82870.5</v>
      </c>
      <c r="CD77" s="55">
        <v>83233.5</v>
      </c>
      <c r="CE77" s="55">
        <v>83574.5</v>
      </c>
      <c r="CF77" s="55">
        <v>83954.5</v>
      </c>
      <c r="CG77" s="55">
        <v>84301.5</v>
      </c>
      <c r="CH77" s="55">
        <v>84630.5</v>
      </c>
      <c r="CI77" s="55">
        <v>84990.5</v>
      </c>
      <c r="CJ77" s="55">
        <v>85270</v>
      </c>
      <c r="CK77" s="55">
        <v>85565</v>
      </c>
      <c r="CL77" s="55">
        <v>85909.5</v>
      </c>
      <c r="CM77" s="55">
        <v>86178</v>
      </c>
      <c r="CN77" s="55">
        <v>86480</v>
      </c>
      <c r="CO77" s="55">
        <v>86770</v>
      </c>
      <c r="CP77" s="55">
        <v>87052</v>
      </c>
      <c r="CQ77" s="55">
        <v>87328</v>
      </c>
      <c r="CR77" s="55">
        <v>87565</v>
      </c>
      <c r="CS77" s="55">
        <v>87833.5</v>
      </c>
      <c r="CT77" s="55">
        <v>88072</v>
      </c>
      <c r="CU77" s="55">
        <v>88313</v>
      </c>
      <c r="CV77" s="55">
        <v>88529</v>
      </c>
      <c r="CW77" s="55">
        <v>88758</v>
      </c>
      <c r="CX77" s="55">
        <v>88994</v>
      </c>
      <c r="CY77" s="55">
        <v>89196</v>
      </c>
      <c r="CZ77" s="55">
        <v>89394</v>
      </c>
      <c r="DA77" s="55">
        <v>89590</v>
      </c>
      <c r="DB77" s="55">
        <v>89801.5</v>
      </c>
      <c r="DC77" s="55">
        <v>90006.5</v>
      </c>
      <c r="DD77" s="55">
        <v>90197</v>
      </c>
      <c r="DE77" s="55">
        <v>90381.5</v>
      </c>
      <c r="DF77" s="55">
        <v>90597</v>
      </c>
      <c r="DG77" s="55">
        <v>90764.5</v>
      </c>
      <c r="DH77" s="55">
        <v>90948</v>
      </c>
      <c r="DI77" s="55">
        <v>91108.5</v>
      </c>
      <c r="DJ77" s="55">
        <v>91299.5</v>
      </c>
      <c r="DK77" s="55">
        <v>91465.5</v>
      </c>
      <c r="DL77" s="55">
        <v>91625.5</v>
      </c>
      <c r="DM77" s="55">
        <v>91797</v>
      </c>
      <c r="DN77" s="55">
        <v>91964.5</v>
      </c>
      <c r="DO77" s="55">
        <v>92129</v>
      </c>
    </row>
    <row r="78" spans="1:119">
      <c r="A78" s="52">
        <v>76</v>
      </c>
      <c r="B78" s="55"/>
      <c r="C78" s="55"/>
      <c r="D78" s="55"/>
      <c r="E78" s="55"/>
      <c r="F78" s="55"/>
      <c r="G78" s="55"/>
      <c r="H78" s="55"/>
      <c r="I78" s="55"/>
      <c r="J78" s="55"/>
      <c r="K78" s="55"/>
      <c r="L78" s="55"/>
      <c r="M78" s="55"/>
      <c r="N78" s="55"/>
      <c r="O78" s="55"/>
      <c r="P78" s="55"/>
      <c r="Q78" s="55"/>
      <c r="R78" s="55"/>
      <c r="S78" s="55"/>
      <c r="T78" s="55"/>
      <c r="U78" s="55"/>
      <c r="V78" s="55"/>
      <c r="W78" s="55">
        <v>46109.5</v>
      </c>
      <c r="X78" s="55">
        <v>47224</v>
      </c>
      <c r="Y78" s="55">
        <v>47639.5</v>
      </c>
      <c r="Z78" s="55">
        <v>49546.5</v>
      </c>
      <c r="AA78" s="55">
        <v>50340</v>
      </c>
      <c r="AB78" s="55">
        <v>51286</v>
      </c>
      <c r="AC78" s="55">
        <v>52061</v>
      </c>
      <c r="AD78" s="55">
        <v>52763</v>
      </c>
      <c r="AE78" s="55">
        <v>53233</v>
      </c>
      <c r="AF78" s="55">
        <v>54580</v>
      </c>
      <c r="AG78" s="55">
        <v>55538</v>
      </c>
      <c r="AH78" s="55">
        <v>56447.5</v>
      </c>
      <c r="AI78" s="55">
        <v>57299.5</v>
      </c>
      <c r="AJ78" s="55">
        <v>58886</v>
      </c>
      <c r="AK78" s="55">
        <v>59593.5</v>
      </c>
      <c r="AL78" s="55">
        <v>60705.5</v>
      </c>
      <c r="AM78" s="55">
        <v>61674.5</v>
      </c>
      <c r="AN78" s="55">
        <v>62609.5</v>
      </c>
      <c r="AO78" s="55">
        <v>62912.5</v>
      </c>
      <c r="AP78" s="55">
        <v>63330.5</v>
      </c>
      <c r="AQ78" s="55">
        <v>63616</v>
      </c>
      <c r="AR78" s="55">
        <v>63985.5</v>
      </c>
      <c r="AS78" s="55">
        <v>63658.5</v>
      </c>
      <c r="AT78" s="55">
        <v>63205</v>
      </c>
      <c r="AU78" s="55">
        <v>62538</v>
      </c>
      <c r="AV78" s="55">
        <v>62943.5</v>
      </c>
      <c r="AW78" s="55">
        <v>63752</v>
      </c>
      <c r="AX78" s="55">
        <v>65569</v>
      </c>
      <c r="AY78" s="55">
        <v>67149.5</v>
      </c>
      <c r="AZ78" s="55">
        <v>67424.5</v>
      </c>
      <c r="BA78" s="55">
        <v>67738</v>
      </c>
      <c r="BB78" s="55">
        <v>68524</v>
      </c>
      <c r="BC78" s="55">
        <v>69005</v>
      </c>
      <c r="BD78" s="55">
        <v>69618.5</v>
      </c>
      <c r="BE78" s="55">
        <v>70043.5</v>
      </c>
      <c r="BF78" s="55">
        <v>70716.5</v>
      </c>
      <c r="BG78" s="55">
        <v>71159</v>
      </c>
      <c r="BH78" s="55">
        <v>71835</v>
      </c>
      <c r="BI78" s="55">
        <v>72336</v>
      </c>
      <c r="BJ78" s="55">
        <v>72885.5</v>
      </c>
      <c r="BK78" s="55">
        <v>73521.5</v>
      </c>
      <c r="BL78" s="55">
        <v>74198</v>
      </c>
      <c r="BM78" s="55">
        <v>74852.5</v>
      </c>
      <c r="BN78" s="55">
        <v>75445</v>
      </c>
      <c r="BO78" s="55">
        <v>75983.5</v>
      </c>
      <c r="BP78" s="55">
        <v>76477.5</v>
      </c>
      <c r="BQ78" s="55">
        <v>76919</v>
      </c>
      <c r="BR78" s="55">
        <v>77348.5</v>
      </c>
      <c r="BS78" s="55">
        <v>77688.5</v>
      </c>
      <c r="BT78" s="55">
        <v>78099.5</v>
      </c>
      <c r="BU78" s="55">
        <v>78460.5</v>
      </c>
      <c r="BV78" s="55">
        <v>78877</v>
      </c>
      <c r="BW78" s="55">
        <v>79246</v>
      </c>
      <c r="BX78" s="55">
        <v>79671</v>
      </c>
      <c r="BY78" s="55">
        <v>80093</v>
      </c>
      <c r="BZ78" s="55">
        <v>80615</v>
      </c>
      <c r="CA78" s="55">
        <v>81051</v>
      </c>
      <c r="CB78" s="55">
        <v>81421.5</v>
      </c>
      <c r="CC78" s="55">
        <v>81827</v>
      </c>
      <c r="CD78" s="55">
        <v>82203.5</v>
      </c>
      <c r="CE78" s="55">
        <v>82560</v>
      </c>
      <c r="CF78" s="55">
        <v>82953.5</v>
      </c>
      <c r="CG78" s="55">
        <v>83315</v>
      </c>
      <c r="CH78" s="55">
        <v>83658.5</v>
      </c>
      <c r="CI78" s="55">
        <v>84032.5</v>
      </c>
      <c r="CJ78" s="55">
        <v>84326</v>
      </c>
      <c r="CK78" s="55">
        <v>84635.5</v>
      </c>
      <c r="CL78" s="55">
        <v>84993.5</v>
      </c>
      <c r="CM78" s="55">
        <v>85276</v>
      </c>
      <c r="CN78" s="55">
        <v>85591</v>
      </c>
      <c r="CO78" s="55">
        <v>85895</v>
      </c>
      <c r="CP78" s="55">
        <v>86190.5</v>
      </c>
      <c r="CQ78" s="55">
        <v>86479.5</v>
      </c>
      <c r="CR78" s="55">
        <v>86729.5</v>
      </c>
      <c r="CS78" s="55">
        <v>87011</v>
      </c>
      <c r="CT78" s="55">
        <v>87262.5</v>
      </c>
      <c r="CU78" s="55">
        <v>87516.5</v>
      </c>
      <c r="CV78" s="55">
        <v>87745.5</v>
      </c>
      <c r="CW78" s="55">
        <v>87986.5</v>
      </c>
      <c r="CX78" s="55">
        <v>88235</v>
      </c>
      <c r="CY78" s="55">
        <v>88449</v>
      </c>
      <c r="CZ78" s="55">
        <v>88659.5</v>
      </c>
      <c r="DA78" s="55">
        <v>88867.5</v>
      </c>
      <c r="DB78" s="55">
        <v>89091</v>
      </c>
      <c r="DC78" s="55">
        <v>89307</v>
      </c>
      <c r="DD78" s="55">
        <v>89509</v>
      </c>
      <c r="DE78" s="55">
        <v>89705</v>
      </c>
      <c r="DF78" s="55">
        <v>89931</v>
      </c>
      <c r="DG78" s="55">
        <v>90110.5</v>
      </c>
      <c r="DH78" s="55">
        <v>90304.5</v>
      </c>
      <c r="DI78" s="55">
        <v>90476</v>
      </c>
      <c r="DJ78" s="55">
        <v>90677</v>
      </c>
      <c r="DK78" s="55">
        <v>90853.5</v>
      </c>
      <c r="DL78" s="55">
        <v>91023.5</v>
      </c>
      <c r="DM78" s="55">
        <v>91205</v>
      </c>
      <c r="DN78" s="55">
        <v>91383</v>
      </c>
      <c r="DO78" s="55">
        <v>91557</v>
      </c>
    </row>
    <row r="79" spans="1:119">
      <c r="A79" s="52">
        <v>77</v>
      </c>
      <c r="B79" s="55"/>
      <c r="C79" s="55"/>
      <c r="D79" s="55"/>
      <c r="E79" s="55"/>
      <c r="F79" s="55"/>
      <c r="G79" s="55"/>
      <c r="H79" s="55"/>
      <c r="I79" s="55"/>
      <c r="J79" s="55"/>
      <c r="K79" s="55"/>
      <c r="L79" s="55"/>
      <c r="M79" s="55"/>
      <c r="N79" s="55"/>
      <c r="O79" s="55"/>
      <c r="P79" s="55"/>
      <c r="Q79" s="55"/>
      <c r="R79" s="55"/>
      <c r="S79" s="55"/>
      <c r="T79" s="55"/>
      <c r="U79" s="55"/>
      <c r="V79" s="55"/>
      <c r="W79" s="55">
        <v>44129.5</v>
      </c>
      <c r="X79" s="55">
        <v>45215.5</v>
      </c>
      <c r="Y79" s="55">
        <v>45713.5</v>
      </c>
      <c r="Z79" s="55">
        <v>47628</v>
      </c>
      <c r="AA79" s="55">
        <v>48409.5</v>
      </c>
      <c r="AB79" s="55">
        <v>49310</v>
      </c>
      <c r="AC79" s="55">
        <v>50137</v>
      </c>
      <c r="AD79" s="55">
        <v>50836.5</v>
      </c>
      <c r="AE79" s="55">
        <v>51341</v>
      </c>
      <c r="AF79" s="55">
        <v>52725.5</v>
      </c>
      <c r="AG79" s="55">
        <v>53657</v>
      </c>
      <c r="AH79" s="55">
        <v>54589.5</v>
      </c>
      <c r="AI79" s="55">
        <v>55455</v>
      </c>
      <c r="AJ79" s="55">
        <v>57024.5</v>
      </c>
      <c r="AK79" s="55">
        <v>57768.5</v>
      </c>
      <c r="AL79" s="55">
        <v>58859</v>
      </c>
      <c r="AM79" s="55">
        <v>59911.5</v>
      </c>
      <c r="AN79" s="55">
        <v>60777</v>
      </c>
      <c r="AO79" s="55">
        <v>61116</v>
      </c>
      <c r="AP79" s="55">
        <v>61554</v>
      </c>
      <c r="AQ79" s="55">
        <v>61861.5</v>
      </c>
      <c r="AR79" s="55">
        <v>62250</v>
      </c>
      <c r="AS79" s="55">
        <v>61963.5</v>
      </c>
      <c r="AT79" s="55">
        <v>61551.5</v>
      </c>
      <c r="AU79" s="55">
        <v>60931.5</v>
      </c>
      <c r="AV79" s="55">
        <v>61355</v>
      </c>
      <c r="AW79" s="55">
        <v>62170.5</v>
      </c>
      <c r="AX79" s="55">
        <v>63970.5</v>
      </c>
      <c r="AY79" s="55">
        <v>65541</v>
      </c>
      <c r="AZ79" s="55">
        <v>65838.5</v>
      </c>
      <c r="BA79" s="55">
        <v>66173.5</v>
      </c>
      <c r="BB79" s="55">
        <v>66968.5</v>
      </c>
      <c r="BC79" s="55">
        <v>67467</v>
      </c>
      <c r="BD79" s="55">
        <v>68093.5</v>
      </c>
      <c r="BE79" s="55">
        <v>68536.5</v>
      </c>
      <c r="BF79" s="55">
        <v>69222</v>
      </c>
      <c r="BG79" s="55">
        <v>69682</v>
      </c>
      <c r="BH79" s="55">
        <v>70369.5</v>
      </c>
      <c r="BI79" s="55">
        <v>70887</v>
      </c>
      <c r="BJ79" s="55">
        <v>71451</v>
      </c>
      <c r="BK79" s="55">
        <v>72100</v>
      </c>
      <c r="BL79" s="55">
        <v>72788.5</v>
      </c>
      <c r="BM79" s="55">
        <v>73456</v>
      </c>
      <c r="BN79" s="55">
        <v>74061.5</v>
      </c>
      <c r="BO79" s="55">
        <v>74615</v>
      </c>
      <c r="BP79" s="55">
        <v>75124.5</v>
      </c>
      <c r="BQ79" s="55">
        <v>75583</v>
      </c>
      <c r="BR79" s="55">
        <v>76029</v>
      </c>
      <c r="BS79" s="55">
        <v>76387</v>
      </c>
      <c r="BT79" s="55">
        <v>76814</v>
      </c>
      <c r="BU79" s="55">
        <v>77192.5</v>
      </c>
      <c r="BV79" s="55">
        <v>77625.5</v>
      </c>
      <c r="BW79" s="55">
        <v>78011</v>
      </c>
      <c r="BX79" s="55">
        <v>78451.5</v>
      </c>
      <c r="BY79" s="55">
        <v>78888.5</v>
      </c>
      <c r="BZ79" s="55">
        <v>79424.5</v>
      </c>
      <c r="CA79" s="55">
        <v>79875.5</v>
      </c>
      <c r="CB79" s="55">
        <v>80262.5</v>
      </c>
      <c r="CC79" s="55">
        <v>80682.5</v>
      </c>
      <c r="CD79" s="55">
        <v>81074.5</v>
      </c>
      <c r="CE79" s="55">
        <v>81446</v>
      </c>
      <c r="CF79" s="55">
        <v>81854.5</v>
      </c>
      <c r="CG79" s="55">
        <v>82230.5</v>
      </c>
      <c r="CH79" s="55">
        <v>82590</v>
      </c>
      <c r="CI79" s="55">
        <v>82978</v>
      </c>
      <c r="CJ79" s="55">
        <v>83287</v>
      </c>
      <c r="CK79" s="55">
        <v>83612</v>
      </c>
      <c r="CL79" s="55">
        <v>83983.5</v>
      </c>
      <c r="CM79" s="55">
        <v>84280.5</v>
      </c>
      <c r="CN79" s="55">
        <v>84610.5</v>
      </c>
      <c r="CO79" s="55">
        <v>84928</v>
      </c>
      <c r="CP79" s="55">
        <v>85238</v>
      </c>
      <c r="CQ79" s="55">
        <v>85541.5</v>
      </c>
      <c r="CR79" s="55">
        <v>85806</v>
      </c>
      <c r="CS79" s="55">
        <v>86100.5</v>
      </c>
      <c r="CT79" s="55">
        <v>86366</v>
      </c>
      <c r="CU79" s="55">
        <v>86633.5</v>
      </c>
      <c r="CV79" s="55">
        <v>86876.5</v>
      </c>
      <c r="CW79" s="55">
        <v>87130.5</v>
      </c>
      <c r="CX79" s="55">
        <v>87392.5</v>
      </c>
      <c r="CY79" s="55">
        <v>87620</v>
      </c>
      <c r="CZ79" s="55">
        <v>87843</v>
      </c>
      <c r="DA79" s="55">
        <v>88064</v>
      </c>
      <c r="DB79" s="55">
        <v>88300</v>
      </c>
      <c r="DC79" s="55">
        <v>88528</v>
      </c>
      <c r="DD79" s="55">
        <v>88743</v>
      </c>
      <c r="DE79" s="55">
        <v>88951</v>
      </c>
      <c r="DF79" s="55">
        <v>89189</v>
      </c>
      <c r="DG79" s="55">
        <v>89380</v>
      </c>
      <c r="DH79" s="55">
        <v>89586</v>
      </c>
      <c r="DI79" s="55">
        <v>89769.5</v>
      </c>
      <c r="DJ79" s="55">
        <v>89981.5</v>
      </c>
      <c r="DK79" s="55">
        <v>90169.5</v>
      </c>
      <c r="DL79" s="55">
        <v>90350.5</v>
      </c>
      <c r="DM79" s="55">
        <v>90543</v>
      </c>
      <c r="DN79" s="55">
        <v>90731.5</v>
      </c>
      <c r="DO79" s="55">
        <v>90916</v>
      </c>
    </row>
    <row r="80" spans="1:119">
      <c r="A80" s="52">
        <v>78</v>
      </c>
      <c r="B80" s="55"/>
      <c r="C80" s="55"/>
      <c r="D80" s="55"/>
      <c r="E80" s="55"/>
      <c r="F80" s="55"/>
      <c r="G80" s="55"/>
      <c r="H80" s="55"/>
      <c r="I80" s="55"/>
      <c r="J80" s="55"/>
      <c r="K80" s="55"/>
      <c r="L80" s="55"/>
      <c r="M80" s="55"/>
      <c r="N80" s="55"/>
      <c r="O80" s="55"/>
      <c r="P80" s="55"/>
      <c r="Q80" s="55"/>
      <c r="R80" s="55"/>
      <c r="S80" s="55"/>
      <c r="T80" s="55"/>
      <c r="U80" s="55"/>
      <c r="V80" s="55"/>
      <c r="W80" s="55">
        <v>42042</v>
      </c>
      <c r="X80" s="55">
        <v>43172.5</v>
      </c>
      <c r="Y80" s="55">
        <v>43715</v>
      </c>
      <c r="Z80" s="55">
        <v>45595</v>
      </c>
      <c r="AA80" s="55">
        <v>46344</v>
      </c>
      <c r="AB80" s="55">
        <v>47296.5</v>
      </c>
      <c r="AC80" s="55">
        <v>48137</v>
      </c>
      <c r="AD80" s="55">
        <v>48848</v>
      </c>
      <c r="AE80" s="55">
        <v>49388</v>
      </c>
      <c r="AF80" s="55">
        <v>50742.5</v>
      </c>
      <c r="AG80" s="55">
        <v>51651</v>
      </c>
      <c r="AH80" s="55">
        <v>52615</v>
      </c>
      <c r="AI80" s="55">
        <v>53474.5</v>
      </c>
      <c r="AJ80" s="55">
        <v>55045.5</v>
      </c>
      <c r="AK80" s="55">
        <v>55775</v>
      </c>
      <c r="AL80" s="55">
        <v>56965.5</v>
      </c>
      <c r="AM80" s="55">
        <v>57975.5</v>
      </c>
      <c r="AN80" s="55">
        <v>58826.5</v>
      </c>
      <c r="AO80" s="55">
        <v>59189.5</v>
      </c>
      <c r="AP80" s="55">
        <v>59646</v>
      </c>
      <c r="AQ80" s="55">
        <v>59977.5</v>
      </c>
      <c r="AR80" s="55">
        <v>60384</v>
      </c>
      <c r="AS80" s="55">
        <v>60139.5</v>
      </c>
      <c r="AT80" s="55">
        <v>59771</v>
      </c>
      <c r="AU80" s="55">
        <v>59200.5</v>
      </c>
      <c r="AV80" s="55">
        <v>59640.5</v>
      </c>
      <c r="AW80" s="55">
        <v>60463.5</v>
      </c>
      <c r="AX80" s="55">
        <v>62242</v>
      </c>
      <c r="AY80" s="55">
        <v>63801</v>
      </c>
      <c r="AZ80" s="55">
        <v>64122</v>
      </c>
      <c r="BA80" s="55">
        <v>64478.5</v>
      </c>
      <c r="BB80" s="55">
        <v>65283</v>
      </c>
      <c r="BC80" s="55">
        <v>65798</v>
      </c>
      <c r="BD80" s="55">
        <v>66438</v>
      </c>
      <c r="BE80" s="55">
        <v>66899</v>
      </c>
      <c r="BF80" s="55">
        <v>67596.5</v>
      </c>
      <c r="BG80" s="55">
        <v>68074.5</v>
      </c>
      <c r="BH80" s="55">
        <v>68774</v>
      </c>
      <c r="BI80" s="55">
        <v>69307</v>
      </c>
      <c r="BJ80" s="55">
        <v>69886.5</v>
      </c>
      <c r="BK80" s="55">
        <v>70548</v>
      </c>
      <c r="BL80" s="55">
        <v>71249</v>
      </c>
      <c r="BM80" s="55">
        <v>71928.5</v>
      </c>
      <c r="BN80" s="55">
        <v>72548.5</v>
      </c>
      <c r="BO80" s="55">
        <v>73117</v>
      </c>
      <c r="BP80" s="55">
        <v>73642.5</v>
      </c>
      <c r="BQ80" s="55">
        <v>74118</v>
      </c>
      <c r="BR80" s="55">
        <v>74581</v>
      </c>
      <c r="BS80" s="55">
        <v>74957.5</v>
      </c>
      <c r="BT80" s="55">
        <v>75402</v>
      </c>
      <c r="BU80" s="55">
        <v>75798</v>
      </c>
      <c r="BV80" s="55">
        <v>76248</v>
      </c>
      <c r="BW80" s="55">
        <v>76650.5</v>
      </c>
      <c r="BX80" s="55">
        <v>77107</v>
      </c>
      <c r="BY80" s="55">
        <v>77561</v>
      </c>
      <c r="BZ80" s="55">
        <v>78111</v>
      </c>
      <c r="CA80" s="55">
        <v>78578</v>
      </c>
      <c r="CB80" s="55">
        <v>78981</v>
      </c>
      <c r="CC80" s="55">
        <v>79416.5</v>
      </c>
      <c r="CD80" s="55">
        <v>79825</v>
      </c>
      <c r="CE80" s="55">
        <v>80213</v>
      </c>
      <c r="CF80" s="55">
        <v>80637</v>
      </c>
      <c r="CG80" s="55">
        <v>81028.5</v>
      </c>
      <c r="CH80" s="55">
        <v>81404</v>
      </c>
      <c r="CI80" s="55">
        <v>81807</v>
      </c>
      <c r="CJ80" s="55">
        <v>82132.5</v>
      </c>
      <c r="CK80" s="55">
        <v>82473.5</v>
      </c>
      <c r="CL80" s="55">
        <v>82860</v>
      </c>
      <c r="CM80" s="55">
        <v>83173.5</v>
      </c>
      <c r="CN80" s="55">
        <v>83518.5</v>
      </c>
      <c r="CO80" s="55">
        <v>83851</v>
      </c>
      <c r="CP80" s="55">
        <v>84176</v>
      </c>
      <c r="CQ80" s="55">
        <v>84494</v>
      </c>
      <c r="CR80" s="55">
        <v>84774</v>
      </c>
      <c r="CS80" s="55">
        <v>85083.5</v>
      </c>
      <c r="CT80" s="55">
        <v>85364</v>
      </c>
      <c r="CU80" s="55">
        <v>85646</v>
      </c>
      <c r="CV80" s="55">
        <v>85903.5</v>
      </c>
      <c r="CW80" s="55">
        <v>86172.5</v>
      </c>
      <c r="CX80" s="55">
        <v>86448</v>
      </c>
      <c r="CY80" s="55">
        <v>86689.5</v>
      </c>
      <c r="CZ80" s="55">
        <v>86927.5</v>
      </c>
      <c r="DA80" s="55">
        <v>87162.5</v>
      </c>
      <c r="DB80" s="55">
        <v>87411.5</v>
      </c>
      <c r="DC80" s="55">
        <v>87653.5</v>
      </c>
      <c r="DD80" s="55">
        <v>87881.5</v>
      </c>
      <c r="DE80" s="55">
        <v>88102.5</v>
      </c>
      <c r="DF80" s="55">
        <v>88353.5</v>
      </c>
      <c r="DG80" s="55">
        <v>88557.5</v>
      </c>
      <c r="DH80" s="55">
        <v>88776.5</v>
      </c>
      <c r="DI80" s="55">
        <v>88972.5</v>
      </c>
      <c r="DJ80" s="55">
        <v>89197</v>
      </c>
      <c r="DK80" s="55">
        <v>89397</v>
      </c>
      <c r="DL80" s="55">
        <v>89590.5</v>
      </c>
      <c r="DM80" s="55">
        <v>89794.5</v>
      </c>
      <c r="DN80" s="55">
        <v>89995</v>
      </c>
      <c r="DO80" s="55">
        <v>90191</v>
      </c>
    </row>
    <row r="81" spans="1:119">
      <c r="A81" s="52">
        <v>79</v>
      </c>
      <c r="B81" s="55"/>
      <c r="C81" s="55"/>
      <c r="D81" s="55"/>
      <c r="E81" s="55"/>
      <c r="F81" s="55"/>
      <c r="G81" s="55"/>
      <c r="H81" s="55"/>
      <c r="I81" s="55"/>
      <c r="J81" s="55"/>
      <c r="K81" s="55"/>
      <c r="L81" s="55"/>
      <c r="M81" s="55"/>
      <c r="N81" s="55"/>
      <c r="O81" s="55"/>
      <c r="P81" s="55"/>
      <c r="Q81" s="55"/>
      <c r="R81" s="55"/>
      <c r="S81" s="55"/>
      <c r="T81" s="55"/>
      <c r="U81" s="55"/>
      <c r="V81" s="55"/>
      <c r="W81" s="55">
        <v>39916</v>
      </c>
      <c r="X81" s="55">
        <v>41097.5</v>
      </c>
      <c r="Y81" s="55">
        <v>41618.5</v>
      </c>
      <c r="Z81" s="55">
        <v>43413.5</v>
      </c>
      <c r="AA81" s="55">
        <v>44222.5</v>
      </c>
      <c r="AB81" s="55">
        <v>45198.5</v>
      </c>
      <c r="AC81" s="55">
        <v>46052</v>
      </c>
      <c r="AD81" s="55">
        <v>46778</v>
      </c>
      <c r="AE81" s="55">
        <v>47274</v>
      </c>
      <c r="AF81" s="55">
        <v>48604.5</v>
      </c>
      <c r="AG81" s="55">
        <v>49554</v>
      </c>
      <c r="AH81" s="55">
        <v>50492.5</v>
      </c>
      <c r="AI81" s="55">
        <v>51360.5</v>
      </c>
      <c r="AJ81" s="55">
        <v>52902.5</v>
      </c>
      <c r="AK81" s="55">
        <v>53755.5</v>
      </c>
      <c r="AL81" s="55">
        <v>54861.5</v>
      </c>
      <c r="AM81" s="55">
        <v>55870.5</v>
      </c>
      <c r="AN81" s="55">
        <v>56726.5</v>
      </c>
      <c r="AO81" s="55">
        <v>57113</v>
      </c>
      <c r="AP81" s="55">
        <v>57588</v>
      </c>
      <c r="AQ81" s="55">
        <v>57941.5</v>
      </c>
      <c r="AR81" s="55">
        <v>58367</v>
      </c>
      <c r="AS81" s="55">
        <v>58165.5</v>
      </c>
      <c r="AT81" s="55">
        <v>57842</v>
      </c>
      <c r="AU81" s="55">
        <v>57323.5</v>
      </c>
      <c r="AV81" s="55">
        <v>57781</v>
      </c>
      <c r="AW81" s="55">
        <v>58609</v>
      </c>
      <c r="AX81" s="55">
        <v>60364</v>
      </c>
      <c r="AY81" s="55">
        <v>61908</v>
      </c>
      <c r="AZ81" s="55">
        <v>62252.5</v>
      </c>
      <c r="BA81" s="55">
        <v>62631</v>
      </c>
      <c r="BB81" s="55">
        <v>63443.5</v>
      </c>
      <c r="BC81" s="55">
        <v>63976</v>
      </c>
      <c r="BD81" s="55">
        <v>64629</v>
      </c>
      <c r="BE81" s="55">
        <v>65108</v>
      </c>
      <c r="BF81" s="55">
        <v>65817.5</v>
      </c>
      <c r="BG81" s="55">
        <v>66314</v>
      </c>
      <c r="BH81" s="55">
        <v>67025</v>
      </c>
      <c r="BI81" s="55">
        <v>67573.5</v>
      </c>
      <c r="BJ81" s="55">
        <v>68168</v>
      </c>
      <c r="BK81" s="55">
        <v>68843</v>
      </c>
      <c r="BL81" s="55">
        <v>69555.5</v>
      </c>
      <c r="BM81" s="55">
        <v>70248</v>
      </c>
      <c r="BN81" s="55">
        <v>70882</v>
      </c>
      <c r="BO81" s="55">
        <v>71465.5</v>
      </c>
      <c r="BP81" s="55">
        <v>72008</v>
      </c>
      <c r="BQ81" s="55">
        <v>72500.5</v>
      </c>
      <c r="BR81" s="55">
        <v>72981</v>
      </c>
      <c r="BS81" s="55">
        <v>73377</v>
      </c>
      <c r="BT81" s="55">
        <v>73839.5</v>
      </c>
      <c r="BU81" s="55">
        <v>74254</v>
      </c>
      <c r="BV81" s="55">
        <v>74721</v>
      </c>
      <c r="BW81" s="55">
        <v>75142.5</v>
      </c>
      <c r="BX81" s="55">
        <v>75616</v>
      </c>
      <c r="BY81" s="55">
        <v>76086</v>
      </c>
      <c r="BZ81" s="55">
        <v>76651</v>
      </c>
      <c r="CA81" s="55">
        <v>77134</v>
      </c>
      <c r="CB81" s="55">
        <v>77555.5</v>
      </c>
      <c r="CC81" s="55">
        <v>78007.5</v>
      </c>
      <c r="CD81" s="55">
        <v>78432.5</v>
      </c>
      <c r="CE81" s="55">
        <v>78838</v>
      </c>
      <c r="CF81" s="55">
        <v>79278</v>
      </c>
      <c r="CG81" s="55">
        <v>79686.5</v>
      </c>
      <c r="CH81" s="55">
        <v>80078.5</v>
      </c>
      <c r="CI81" s="55">
        <v>80498.5</v>
      </c>
      <c r="CJ81" s="55">
        <v>80841.5</v>
      </c>
      <c r="CK81" s="55">
        <v>81199</v>
      </c>
      <c r="CL81" s="55">
        <v>81601.5</v>
      </c>
      <c r="CM81" s="55">
        <v>81932</v>
      </c>
      <c r="CN81" s="55">
        <v>82293</v>
      </c>
      <c r="CO81" s="55">
        <v>82642</v>
      </c>
      <c r="CP81" s="55">
        <v>82983</v>
      </c>
      <c r="CQ81" s="55">
        <v>83317.5</v>
      </c>
      <c r="CR81" s="55">
        <v>83614</v>
      </c>
      <c r="CS81" s="55">
        <v>83939</v>
      </c>
      <c r="CT81" s="55">
        <v>84235.5</v>
      </c>
      <c r="CU81" s="55">
        <v>84533.5</v>
      </c>
      <c r="CV81" s="55">
        <v>84807</v>
      </c>
      <c r="CW81" s="55">
        <v>85091</v>
      </c>
      <c r="CX81" s="55">
        <v>85382.5</v>
      </c>
      <c r="CY81" s="55">
        <v>85639</v>
      </c>
      <c r="CZ81" s="55">
        <v>85892</v>
      </c>
      <c r="DA81" s="55">
        <v>86142.5</v>
      </c>
      <c r="DB81" s="55">
        <v>86406.5</v>
      </c>
      <c r="DC81" s="55">
        <v>86663</v>
      </c>
      <c r="DD81" s="55">
        <v>86905.5</v>
      </c>
      <c r="DE81" s="55">
        <v>87141.5</v>
      </c>
      <c r="DF81" s="55">
        <v>87406</v>
      </c>
      <c r="DG81" s="55">
        <v>87624.5</v>
      </c>
      <c r="DH81" s="55">
        <v>87857</v>
      </c>
      <c r="DI81" s="55">
        <v>88067</v>
      </c>
      <c r="DJ81" s="55">
        <v>88305</v>
      </c>
      <c r="DK81" s="55">
        <v>88518.5</v>
      </c>
      <c r="DL81" s="55">
        <v>88725.5</v>
      </c>
      <c r="DM81" s="55">
        <v>88942.5</v>
      </c>
      <c r="DN81" s="55">
        <v>89155.5</v>
      </c>
      <c r="DO81" s="55">
        <v>89364.5</v>
      </c>
    </row>
    <row r="82" spans="1:119">
      <c r="A82" s="52">
        <v>80</v>
      </c>
      <c r="B82" s="55"/>
      <c r="C82" s="55"/>
      <c r="D82" s="55"/>
      <c r="E82" s="55"/>
      <c r="F82" s="55"/>
      <c r="G82" s="55"/>
      <c r="H82" s="55"/>
      <c r="I82" s="55"/>
      <c r="J82" s="55"/>
      <c r="K82" s="55"/>
      <c r="L82" s="55"/>
      <c r="M82" s="55"/>
      <c r="N82" s="55"/>
      <c r="O82" s="55"/>
      <c r="P82" s="55"/>
      <c r="Q82" s="55"/>
      <c r="R82" s="55"/>
      <c r="S82" s="55"/>
      <c r="T82" s="55"/>
      <c r="U82" s="55"/>
      <c r="V82" s="55"/>
      <c r="W82" s="55">
        <v>37761.5</v>
      </c>
      <c r="X82" s="55">
        <v>38911</v>
      </c>
      <c r="Y82" s="55">
        <v>39396.5</v>
      </c>
      <c r="Z82" s="55">
        <v>41215.5</v>
      </c>
      <c r="AA82" s="55">
        <v>42013</v>
      </c>
      <c r="AB82" s="55">
        <v>43016</v>
      </c>
      <c r="AC82" s="55">
        <v>43916</v>
      </c>
      <c r="AD82" s="55">
        <v>44571.5</v>
      </c>
      <c r="AE82" s="55">
        <v>45054</v>
      </c>
      <c r="AF82" s="55">
        <v>46399</v>
      </c>
      <c r="AG82" s="55">
        <v>47320</v>
      </c>
      <c r="AH82" s="55">
        <v>48260</v>
      </c>
      <c r="AI82" s="55">
        <v>49069</v>
      </c>
      <c r="AJ82" s="55">
        <v>50704</v>
      </c>
      <c r="AK82" s="55">
        <v>51501</v>
      </c>
      <c r="AL82" s="55">
        <v>52596</v>
      </c>
      <c r="AM82" s="55">
        <v>53599.5</v>
      </c>
      <c r="AN82" s="55">
        <v>54458.5</v>
      </c>
      <c r="AO82" s="55">
        <v>54868</v>
      </c>
      <c r="AP82" s="55">
        <v>55361</v>
      </c>
      <c r="AQ82" s="55">
        <v>55737.5</v>
      </c>
      <c r="AR82" s="55">
        <v>56181</v>
      </c>
      <c r="AS82" s="55">
        <v>56024</v>
      </c>
      <c r="AT82" s="55">
        <v>55747</v>
      </c>
      <c r="AU82" s="55">
        <v>55283</v>
      </c>
      <c r="AV82" s="55">
        <v>55756.5</v>
      </c>
      <c r="AW82" s="55">
        <v>56589</v>
      </c>
      <c r="AX82" s="55">
        <v>58316.5</v>
      </c>
      <c r="AY82" s="55">
        <v>59842</v>
      </c>
      <c r="AZ82" s="55">
        <v>60210.5</v>
      </c>
      <c r="BA82" s="55">
        <v>60611.5</v>
      </c>
      <c r="BB82" s="55">
        <v>61431.5</v>
      </c>
      <c r="BC82" s="55">
        <v>61981</v>
      </c>
      <c r="BD82" s="55">
        <v>62646</v>
      </c>
      <c r="BE82" s="55">
        <v>63143.5</v>
      </c>
      <c r="BF82" s="55">
        <v>63864</v>
      </c>
      <c r="BG82" s="55">
        <v>64379.5</v>
      </c>
      <c r="BH82" s="55">
        <v>65101</v>
      </c>
      <c r="BI82" s="55">
        <v>65665.5</v>
      </c>
      <c r="BJ82" s="55">
        <v>66275.5</v>
      </c>
      <c r="BK82" s="55">
        <v>66962.5</v>
      </c>
      <c r="BL82" s="55">
        <v>67687</v>
      </c>
      <c r="BM82" s="55">
        <v>68391.5</v>
      </c>
      <c r="BN82" s="55">
        <v>69040</v>
      </c>
      <c r="BO82" s="55">
        <v>69639</v>
      </c>
      <c r="BP82" s="55">
        <v>70198</v>
      </c>
      <c r="BQ82" s="55">
        <v>70708.5</v>
      </c>
      <c r="BR82" s="55">
        <v>71207</v>
      </c>
      <c r="BS82" s="55">
        <v>71623.5</v>
      </c>
      <c r="BT82" s="55">
        <v>72103.5</v>
      </c>
      <c r="BU82" s="55">
        <v>72538</v>
      </c>
      <c r="BV82" s="55">
        <v>73022.5</v>
      </c>
      <c r="BW82" s="55">
        <v>73463</v>
      </c>
      <c r="BX82" s="55">
        <v>73954</v>
      </c>
      <c r="BY82" s="55">
        <v>74442</v>
      </c>
      <c r="BZ82" s="55">
        <v>75022</v>
      </c>
      <c r="CA82" s="55">
        <v>75522.5</v>
      </c>
      <c r="CB82" s="55">
        <v>75962</v>
      </c>
      <c r="CC82" s="55">
        <v>76431</v>
      </c>
      <c r="CD82" s="55">
        <v>76874</v>
      </c>
      <c r="CE82" s="55">
        <v>77298</v>
      </c>
      <c r="CF82" s="55">
        <v>77755.5</v>
      </c>
      <c r="CG82" s="55">
        <v>78182</v>
      </c>
      <c r="CH82" s="55">
        <v>78591.5</v>
      </c>
      <c r="CI82" s="55">
        <v>79028.5</v>
      </c>
      <c r="CJ82" s="55">
        <v>79390</v>
      </c>
      <c r="CK82" s="55">
        <v>79765.5</v>
      </c>
      <c r="CL82" s="55">
        <v>80185.5</v>
      </c>
      <c r="CM82" s="55">
        <v>80533.5</v>
      </c>
      <c r="CN82" s="55">
        <v>80912.5</v>
      </c>
      <c r="CO82" s="55">
        <v>81278.5</v>
      </c>
      <c r="CP82" s="55">
        <v>81637.5</v>
      </c>
      <c r="CQ82" s="55">
        <v>81989</v>
      </c>
      <c r="CR82" s="55">
        <v>82302.5</v>
      </c>
      <c r="CS82" s="55">
        <v>82645.5</v>
      </c>
      <c r="CT82" s="55">
        <v>82959</v>
      </c>
      <c r="CU82" s="55">
        <v>83273.5</v>
      </c>
      <c r="CV82" s="55">
        <v>83564.5</v>
      </c>
      <c r="CW82" s="55">
        <v>83866</v>
      </c>
      <c r="CX82" s="55">
        <v>84173.5</v>
      </c>
      <c r="CY82" s="55">
        <v>84447</v>
      </c>
      <c r="CZ82" s="55">
        <v>84716.5</v>
      </c>
      <c r="DA82" s="55">
        <v>84983.5</v>
      </c>
      <c r="DB82" s="55">
        <v>85263.5</v>
      </c>
      <c r="DC82" s="55">
        <v>85536</v>
      </c>
      <c r="DD82" s="55">
        <v>85794.5</v>
      </c>
      <c r="DE82" s="55">
        <v>86046</v>
      </c>
      <c r="DF82" s="55">
        <v>86326</v>
      </c>
      <c r="DG82" s="55">
        <v>86560</v>
      </c>
      <c r="DH82" s="55">
        <v>86808</v>
      </c>
      <c r="DI82" s="55">
        <v>87033</v>
      </c>
      <c r="DJ82" s="55">
        <v>87285.5</v>
      </c>
      <c r="DK82" s="55">
        <v>87514</v>
      </c>
      <c r="DL82" s="55">
        <v>87735.5</v>
      </c>
      <c r="DM82" s="55">
        <v>87967</v>
      </c>
      <c r="DN82" s="55">
        <v>88194.5</v>
      </c>
      <c r="DO82" s="55">
        <v>88418</v>
      </c>
    </row>
    <row r="83" spans="1:119">
      <c r="A83" s="52">
        <v>81</v>
      </c>
      <c r="B83" s="55"/>
      <c r="C83" s="55"/>
      <c r="D83" s="55"/>
      <c r="E83" s="55"/>
      <c r="F83" s="55"/>
      <c r="G83" s="55"/>
      <c r="H83" s="55"/>
      <c r="I83" s="55"/>
      <c r="J83" s="55"/>
      <c r="K83" s="55"/>
      <c r="L83" s="55"/>
      <c r="M83" s="55"/>
      <c r="N83" s="55"/>
      <c r="O83" s="55"/>
      <c r="P83" s="55"/>
      <c r="Q83" s="55"/>
      <c r="R83" s="55"/>
      <c r="S83" s="55"/>
      <c r="T83" s="55"/>
      <c r="U83" s="55"/>
      <c r="V83" s="55"/>
      <c r="W83" s="55">
        <v>35502.5</v>
      </c>
      <c r="X83" s="55">
        <v>36552.5</v>
      </c>
      <c r="Y83" s="55">
        <v>37138.5</v>
      </c>
      <c r="Z83" s="55">
        <v>38925.5</v>
      </c>
      <c r="AA83" s="55">
        <v>39747</v>
      </c>
      <c r="AB83" s="55">
        <v>40715.5</v>
      </c>
      <c r="AC83" s="55">
        <v>41577.5</v>
      </c>
      <c r="AD83" s="55">
        <v>42205</v>
      </c>
      <c r="AE83" s="55">
        <v>42751</v>
      </c>
      <c r="AF83" s="55">
        <v>44067.5</v>
      </c>
      <c r="AG83" s="55">
        <v>44976.5</v>
      </c>
      <c r="AH83" s="55">
        <v>45851.5</v>
      </c>
      <c r="AI83" s="55">
        <v>46761</v>
      </c>
      <c r="AJ83" s="55">
        <v>48269</v>
      </c>
      <c r="AK83" s="55">
        <v>49075</v>
      </c>
      <c r="AL83" s="55">
        <v>50156</v>
      </c>
      <c r="AM83" s="55">
        <v>51151</v>
      </c>
      <c r="AN83" s="55">
        <v>52011</v>
      </c>
      <c r="AO83" s="55">
        <v>52443</v>
      </c>
      <c r="AP83" s="55">
        <v>52953</v>
      </c>
      <c r="AQ83" s="55">
        <v>53350.5</v>
      </c>
      <c r="AR83" s="55">
        <v>53812</v>
      </c>
      <c r="AS83" s="55">
        <v>53701</v>
      </c>
      <c r="AT83" s="55">
        <v>53472.5</v>
      </c>
      <c r="AU83" s="55">
        <v>53064.5</v>
      </c>
      <c r="AV83" s="55">
        <v>53554.5</v>
      </c>
      <c r="AW83" s="55">
        <v>54389.5</v>
      </c>
      <c r="AX83" s="55">
        <v>56084</v>
      </c>
      <c r="AY83" s="55">
        <v>57588</v>
      </c>
      <c r="AZ83" s="55">
        <v>57980.5</v>
      </c>
      <c r="BA83" s="55">
        <v>58403.5</v>
      </c>
      <c r="BB83" s="55">
        <v>59229.5</v>
      </c>
      <c r="BC83" s="55">
        <v>59795</v>
      </c>
      <c r="BD83" s="55">
        <v>60472</v>
      </c>
      <c r="BE83" s="55">
        <v>60987.5</v>
      </c>
      <c r="BF83" s="55">
        <v>61718</v>
      </c>
      <c r="BG83" s="55">
        <v>62252</v>
      </c>
      <c r="BH83" s="55">
        <v>62983.5</v>
      </c>
      <c r="BI83" s="55">
        <v>63564</v>
      </c>
      <c r="BJ83" s="55">
        <v>64188</v>
      </c>
      <c r="BK83" s="55">
        <v>64888</v>
      </c>
      <c r="BL83" s="55">
        <v>65623</v>
      </c>
      <c r="BM83" s="55">
        <v>66339.5</v>
      </c>
      <c r="BN83" s="55">
        <v>67002</v>
      </c>
      <c r="BO83" s="55">
        <v>67616</v>
      </c>
      <c r="BP83" s="55">
        <v>68192</v>
      </c>
      <c r="BQ83" s="55">
        <v>68720.5</v>
      </c>
      <c r="BR83" s="55">
        <v>69237.5</v>
      </c>
      <c r="BS83" s="55">
        <v>69675</v>
      </c>
      <c r="BT83" s="55">
        <v>70174</v>
      </c>
      <c r="BU83" s="55">
        <v>70628.5</v>
      </c>
      <c r="BV83" s="55">
        <v>71131.5</v>
      </c>
      <c r="BW83" s="55">
        <v>71591</v>
      </c>
      <c r="BX83" s="55">
        <v>72100.5</v>
      </c>
      <c r="BY83" s="55">
        <v>72606.5</v>
      </c>
      <c r="BZ83" s="55">
        <v>73202</v>
      </c>
      <c r="CA83" s="55">
        <v>73720</v>
      </c>
      <c r="CB83" s="55">
        <v>74178.5</v>
      </c>
      <c r="CC83" s="55">
        <v>74666.5</v>
      </c>
      <c r="CD83" s="55">
        <v>75128.5</v>
      </c>
      <c r="CE83" s="55">
        <v>75570.5</v>
      </c>
      <c r="CF83" s="55">
        <v>76046</v>
      </c>
      <c r="CG83" s="55">
        <v>76491</v>
      </c>
      <c r="CH83" s="55">
        <v>76920</v>
      </c>
      <c r="CI83" s="55">
        <v>77375</v>
      </c>
      <c r="CJ83" s="55">
        <v>77756.5</v>
      </c>
      <c r="CK83" s="55">
        <v>78150.5</v>
      </c>
      <c r="CL83" s="55">
        <v>78589</v>
      </c>
      <c r="CM83" s="55">
        <v>78956.5</v>
      </c>
      <c r="CN83" s="55">
        <v>79354</v>
      </c>
      <c r="CO83" s="55">
        <v>79738</v>
      </c>
      <c r="CP83" s="55">
        <v>80116</v>
      </c>
      <c r="CQ83" s="55">
        <v>80485.5</v>
      </c>
      <c r="CR83" s="55">
        <v>80818.5</v>
      </c>
      <c r="CS83" s="55">
        <v>81179.5</v>
      </c>
      <c r="CT83" s="55">
        <v>81512</v>
      </c>
      <c r="CU83" s="55">
        <v>81845</v>
      </c>
      <c r="CV83" s="55">
        <v>82154</v>
      </c>
      <c r="CW83" s="55">
        <v>82474</v>
      </c>
      <c r="CX83" s="55">
        <v>82799</v>
      </c>
      <c r="CY83" s="55">
        <v>83091.5</v>
      </c>
      <c r="CZ83" s="55">
        <v>83379</v>
      </c>
      <c r="DA83" s="55">
        <v>83663.5</v>
      </c>
      <c r="DB83" s="55">
        <v>83961</v>
      </c>
      <c r="DC83" s="55">
        <v>84251</v>
      </c>
      <c r="DD83" s="55">
        <v>84526.5</v>
      </c>
      <c r="DE83" s="55">
        <v>84795.5</v>
      </c>
      <c r="DF83" s="55">
        <v>85092.5</v>
      </c>
      <c r="DG83" s="55">
        <v>85343</v>
      </c>
      <c r="DH83" s="55">
        <v>85607.5</v>
      </c>
      <c r="DI83" s="55">
        <v>85849.5</v>
      </c>
      <c r="DJ83" s="55">
        <v>86118.5</v>
      </c>
      <c r="DK83" s="55">
        <v>86363</v>
      </c>
      <c r="DL83" s="55">
        <v>86600.5</v>
      </c>
      <c r="DM83" s="55">
        <v>86848</v>
      </c>
      <c r="DN83" s="55">
        <v>87091</v>
      </c>
      <c r="DO83" s="55">
        <v>87329.5</v>
      </c>
    </row>
    <row r="84" spans="1:119">
      <c r="A84" s="52">
        <v>82</v>
      </c>
      <c r="B84" s="55"/>
      <c r="C84" s="55"/>
      <c r="D84" s="55"/>
      <c r="E84" s="55"/>
      <c r="F84" s="55"/>
      <c r="G84" s="55"/>
      <c r="H84" s="55"/>
      <c r="I84" s="55"/>
      <c r="J84" s="55"/>
      <c r="K84" s="55"/>
      <c r="L84" s="55"/>
      <c r="M84" s="55"/>
      <c r="N84" s="55"/>
      <c r="O84" s="55"/>
      <c r="P84" s="55"/>
      <c r="Q84" s="55"/>
      <c r="R84" s="55"/>
      <c r="S84" s="55"/>
      <c r="T84" s="55"/>
      <c r="U84" s="55"/>
      <c r="V84" s="55"/>
      <c r="W84" s="55">
        <v>33107</v>
      </c>
      <c r="X84" s="55">
        <v>34207</v>
      </c>
      <c r="Y84" s="55">
        <v>34806.5</v>
      </c>
      <c r="Z84" s="55">
        <v>36572.5</v>
      </c>
      <c r="AA84" s="55">
        <v>37366.5</v>
      </c>
      <c r="AB84" s="55">
        <v>38294</v>
      </c>
      <c r="AC84" s="55">
        <v>39107.5</v>
      </c>
      <c r="AD84" s="55">
        <v>39777.5</v>
      </c>
      <c r="AE84" s="55">
        <v>40314.5</v>
      </c>
      <c r="AF84" s="55">
        <v>41600</v>
      </c>
      <c r="AG84" s="55">
        <v>42419.5</v>
      </c>
      <c r="AH84" s="55">
        <v>43404.5</v>
      </c>
      <c r="AI84" s="55">
        <v>44198.5</v>
      </c>
      <c r="AJ84" s="55">
        <v>45672</v>
      </c>
      <c r="AK84" s="55">
        <v>46475</v>
      </c>
      <c r="AL84" s="55">
        <v>47538.5</v>
      </c>
      <c r="AM84" s="55">
        <v>48522</v>
      </c>
      <c r="AN84" s="55">
        <v>49379.5</v>
      </c>
      <c r="AO84" s="55">
        <v>49832</v>
      </c>
      <c r="AP84" s="55">
        <v>50357.5</v>
      </c>
      <c r="AQ84" s="55">
        <v>50776</v>
      </c>
      <c r="AR84" s="55">
        <v>51253</v>
      </c>
      <c r="AS84" s="55">
        <v>51188.5</v>
      </c>
      <c r="AT84" s="55">
        <v>51010.5</v>
      </c>
      <c r="AU84" s="55">
        <v>50661</v>
      </c>
      <c r="AV84" s="55">
        <v>51165.5</v>
      </c>
      <c r="AW84" s="55">
        <v>52000.5</v>
      </c>
      <c r="AX84" s="55">
        <v>53658</v>
      </c>
      <c r="AY84" s="55">
        <v>55136</v>
      </c>
      <c r="AZ84" s="55">
        <v>55551</v>
      </c>
      <c r="BA84" s="55">
        <v>55995.5</v>
      </c>
      <c r="BB84" s="55">
        <v>56826</v>
      </c>
      <c r="BC84" s="55">
        <v>57407</v>
      </c>
      <c r="BD84" s="55">
        <v>58094</v>
      </c>
      <c r="BE84" s="55">
        <v>58627</v>
      </c>
      <c r="BF84" s="55">
        <v>59367</v>
      </c>
      <c r="BG84" s="55">
        <v>59918</v>
      </c>
      <c r="BH84" s="55">
        <v>60659</v>
      </c>
      <c r="BI84" s="55">
        <v>61254</v>
      </c>
      <c r="BJ84" s="55">
        <v>61892</v>
      </c>
      <c r="BK84" s="55">
        <v>62603</v>
      </c>
      <c r="BL84" s="55">
        <v>63349</v>
      </c>
      <c r="BM84" s="55">
        <v>64076</v>
      </c>
      <c r="BN84" s="55">
        <v>64751.5</v>
      </c>
      <c r="BO84" s="55">
        <v>65380.5</v>
      </c>
      <c r="BP84" s="55">
        <v>65973.5</v>
      </c>
      <c r="BQ84" s="55">
        <v>66520</v>
      </c>
      <c r="BR84" s="55">
        <v>67055</v>
      </c>
      <c r="BS84" s="55">
        <v>67513.5</v>
      </c>
      <c r="BT84" s="55">
        <v>68031.5</v>
      </c>
      <c r="BU84" s="55">
        <v>68506</v>
      </c>
      <c r="BV84" s="55">
        <v>69028</v>
      </c>
      <c r="BW84" s="55">
        <v>69508</v>
      </c>
      <c r="BX84" s="55">
        <v>70035.5</v>
      </c>
      <c r="BY84" s="55">
        <v>70559.5</v>
      </c>
      <c r="BZ84" s="55">
        <v>71171</v>
      </c>
      <c r="CA84" s="55">
        <v>71707.5</v>
      </c>
      <c r="CB84" s="55">
        <v>72186</v>
      </c>
      <c r="CC84" s="55">
        <v>72692.5</v>
      </c>
      <c r="CD84" s="55">
        <v>73173.5</v>
      </c>
      <c r="CE84" s="55">
        <v>73635.5</v>
      </c>
      <c r="CF84" s="55">
        <v>74129.5</v>
      </c>
      <c r="CG84" s="55">
        <v>74594</v>
      </c>
      <c r="CH84" s="55">
        <v>75042.5</v>
      </c>
      <c r="CI84" s="55">
        <v>75516.5</v>
      </c>
      <c r="CJ84" s="55">
        <v>75918.5</v>
      </c>
      <c r="CK84" s="55">
        <v>76333</v>
      </c>
      <c r="CL84" s="55">
        <v>76790.5</v>
      </c>
      <c r="CM84" s="55">
        <v>77178.5</v>
      </c>
      <c r="CN84" s="55">
        <v>77595</v>
      </c>
      <c r="CO84" s="55">
        <v>77999</v>
      </c>
      <c r="CP84" s="55">
        <v>78397</v>
      </c>
      <c r="CQ84" s="55">
        <v>78786</v>
      </c>
      <c r="CR84" s="55">
        <v>79139.5</v>
      </c>
      <c r="CS84" s="55">
        <v>79519.5</v>
      </c>
      <c r="CT84" s="55">
        <v>79872</v>
      </c>
      <c r="CU84" s="55">
        <v>80224.5</v>
      </c>
      <c r="CV84" s="55">
        <v>80553.5</v>
      </c>
      <c r="CW84" s="55">
        <v>80893</v>
      </c>
      <c r="CX84" s="55">
        <v>81237.5</v>
      </c>
      <c r="CY84" s="55">
        <v>81549.5</v>
      </c>
      <c r="CZ84" s="55">
        <v>81856.5</v>
      </c>
      <c r="DA84" s="55">
        <v>82160</v>
      </c>
      <c r="DB84" s="55">
        <v>82476.5</v>
      </c>
      <c r="DC84" s="55">
        <v>82785</v>
      </c>
      <c r="DD84" s="55">
        <v>83080</v>
      </c>
      <c r="DE84" s="55">
        <v>83367.5</v>
      </c>
      <c r="DF84" s="55">
        <v>83682</v>
      </c>
      <c r="DG84" s="55">
        <v>83951.5</v>
      </c>
      <c r="DH84" s="55">
        <v>84234.5</v>
      </c>
      <c r="DI84" s="55">
        <v>84494.5</v>
      </c>
      <c r="DJ84" s="55">
        <v>84781</v>
      </c>
      <c r="DK84" s="55">
        <v>85043.5</v>
      </c>
      <c r="DL84" s="55">
        <v>85298.5</v>
      </c>
      <c r="DM84" s="55">
        <v>85563</v>
      </c>
      <c r="DN84" s="55">
        <v>85823.5</v>
      </c>
      <c r="DO84" s="55">
        <v>86079</v>
      </c>
    </row>
    <row r="85" spans="1:119">
      <c r="A85" s="52">
        <v>83</v>
      </c>
      <c r="B85" s="55"/>
      <c r="C85" s="55"/>
      <c r="D85" s="55"/>
      <c r="E85" s="55"/>
      <c r="F85" s="55"/>
      <c r="G85" s="55"/>
      <c r="H85" s="55"/>
      <c r="I85" s="55"/>
      <c r="J85" s="55"/>
      <c r="K85" s="55"/>
      <c r="L85" s="55"/>
      <c r="M85" s="55"/>
      <c r="N85" s="55"/>
      <c r="O85" s="55"/>
      <c r="P85" s="55"/>
      <c r="Q85" s="55"/>
      <c r="R85" s="55"/>
      <c r="S85" s="55"/>
      <c r="T85" s="55"/>
      <c r="U85" s="55"/>
      <c r="V85" s="55"/>
      <c r="W85" s="55">
        <v>30742.5</v>
      </c>
      <c r="X85" s="55">
        <v>31803.5</v>
      </c>
      <c r="Y85" s="55">
        <v>32415.5</v>
      </c>
      <c r="Z85" s="55">
        <v>34141</v>
      </c>
      <c r="AA85" s="55">
        <v>34868.5</v>
      </c>
      <c r="AB85" s="55">
        <v>35721</v>
      </c>
      <c r="AC85" s="55">
        <v>36606.5</v>
      </c>
      <c r="AD85" s="55">
        <v>37197</v>
      </c>
      <c r="AE85" s="55">
        <v>37741</v>
      </c>
      <c r="AF85" s="55">
        <v>38911.5</v>
      </c>
      <c r="AG85" s="55">
        <v>39844.5</v>
      </c>
      <c r="AH85" s="55">
        <v>40706</v>
      </c>
      <c r="AI85" s="55">
        <v>41487.5</v>
      </c>
      <c r="AJ85" s="55">
        <v>42912.5</v>
      </c>
      <c r="AK85" s="55">
        <v>43708.5</v>
      </c>
      <c r="AL85" s="55">
        <v>44750.5</v>
      </c>
      <c r="AM85" s="55">
        <v>45718.5</v>
      </c>
      <c r="AN85" s="55">
        <v>46569</v>
      </c>
      <c r="AO85" s="55">
        <v>47041</v>
      </c>
      <c r="AP85" s="55">
        <v>47579</v>
      </c>
      <c r="AQ85" s="55">
        <v>48016.5</v>
      </c>
      <c r="AR85" s="55">
        <v>48507.5</v>
      </c>
      <c r="AS85" s="55">
        <v>48490</v>
      </c>
      <c r="AT85" s="55">
        <v>48361.5</v>
      </c>
      <c r="AU85" s="55">
        <v>48072.5</v>
      </c>
      <c r="AV85" s="55">
        <v>48590</v>
      </c>
      <c r="AW85" s="55">
        <v>49422</v>
      </c>
      <c r="AX85" s="55">
        <v>51036.5</v>
      </c>
      <c r="AY85" s="55">
        <v>52483.5</v>
      </c>
      <c r="AZ85" s="55">
        <v>52920</v>
      </c>
      <c r="BA85" s="55">
        <v>53385.5</v>
      </c>
      <c r="BB85" s="55">
        <v>54217</v>
      </c>
      <c r="BC85" s="55">
        <v>54812</v>
      </c>
      <c r="BD85" s="55">
        <v>55508.5</v>
      </c>
      <c r="BE85" s="55">
        <v>56057</v>
      </c>
      <c r="BF85" s="55">
        <v>56803.5</v>
      </c>
      <c r="BG85" s="55">
        <v>57372</v>
      </c>
      <c r="BH85" s="55">
        <v>58119.5</v>
      </c>
      <c r="BI85" s="55">
        <v>58728.5</v>
      </c>
      <c r="BJ85" s="55">
        <v>59379.5</v>
      </c>
      <c r="BK85" s="55">
        <v>60100</v>
      </c>
      <c r="BL85" s="55">
        <v>60854</v>
      </c>
      <c r="BM85" s="55">
        <v>61591</v>
      </c>
      <c r="BN85" s="55">
        <v>62278.5</v>
      </c>
      <c r="BO85" s="55">
        <v>62921.5</v>
      </c>
      <c r="BP85" s="55">
        <v>63530.5</v>
      </c>
      <c r="BQ85" s="55">
        <v>64094.5</v>
      </c>
      <c r="BR85" s="55">
        <v>64648.5</v>
      </c>
      <c r="BS85" s="55">
        <v>65127.5</v>
      </c>
      <c r="BT85" s="55">
        <v>65664</v>
      </c>
      <c r="BU85" s="55">
        <v>66159</v>
      </c>
      <c r="BV85" s="55">
        <v>66700</v>
      </c>
      <c r="BW85" s="55">
        <v>67199.5</v>
      </c>
      <c r="BX85" s="55">
        <v>67745.5</v>
      </c>
      <c r="BY85" s="55">
        <v>68288</v>
      </c>
      <c r="BZ85" s="55">
        <v>68915</v>
      </c>
      <c r="CA85" s="55">
        <v>69469.5</v>
      </c>
      <c r="CB85" s="55">
        <v>69968</v>
      </c>
      <c r="CC85" s="55">
        <v>70493</v>
      </c>
      <c r="CD85" s="55">
        <v>70993.5</v>
      </c>
      <c r="CE85" s="55">
        <v>71476</v>
      </c>
      <c r="CF85" s="55">
        <v>71989</v>
      </c>
      <c r="CG85" s="55">
        <v>72473.5</v>
      </c>
      <c r="CH85" s="55">
        <v>72942.5</v>
      </c>
      <c r="CI85" s="55">
        <v>73436</v>
      </c>
      <c r="CJ85" s="55">
        <v>73859</v>
      </c>
      <c r="CK85" s="55">
        <v>74294.5</v>
      </c>
      <c r="CL85" s="55">
        <v>74771</v>
      </c>
      <c r="CM85" s="55">
        <v>75180.5</v>
      </c>
      <c r="CN85" s="55">
        <v>75618</v>
      </c>
      <c r="CO85" s="55">
        <v>76042.5</v>
      </c>
      <c r="CP85" s="55">
        <v>76460.5</v>
      </c>
      <c r="CQ85" s="55">
        <v>76870.5</v>
      </c>
      <c r="CR85" s="55">
        <v>77245.5</v>
      </c>
      <c r="CS85" s="55">
        <v>77646.5</v>
      </c>
      <c r="CT85" s="55">
        <v>78019.5</v>
      </c>
      <c r="CU85" s="55">
        <v>78393</v>
      </c>
      <c r="CV85" s="55">
        <v>78743.5</v>
      </c>
      <c r="CW85" s="55">
        <v>79103</v>
      </c>
      <c r="CX85" s="55">
        <v>79468.5</v>
      </c>
      <c r="CY85" s="55">
        <v>79801</v>
      </c>
      <c r="CZ85" s="55">
        <v>80128.5</v>
      </c>
      <c r="DA85" s="55">
        <v>80453</v>
      </c>
      <c r="DB85" s="55">
        <v>80789.5</v>
      </c>
      <c r="DC85" s="55">
        <v>81118.5</v>
      </c>
      <c r="DD85" s="55">
        <v>81433.5</v>
      </c>
      <c r="DE85" s="55">
        <v>81742</v>
      </c>
      <c r="DF85" s="55">
        <v>82075.5</v>
      </c>
      <c r="DG85" s="55">
        <v>82365</v>
      </c>
      <c r="DH85" s="55">
        <v>82667.5</v>
      </c>
      <c r="DI85" s="55">
        <v>82947</v>
      </c>
      <c r="DJ85" s="55">
        <v>83252.5</v>
      </c>
      <c r="DK85" s="55">
        <v>83534</v>
      </c>
      <c r="DL85" s="55">
        <v>83808.5</v>
      </c>
      <c r="DM85" s="55">
        <v>84092</v>
      </c>
      <c r="DN85" s="55">
        <v>84371</v>
      </c>
      <c r="DO85" s="55">
        <v>84645</v>
      </c>
    </row>
    <row r="86" spans="1:119">
      <c r="A86" s="52">
        <v>84</v>
      </c>
      <c r="B86" s="55"/>
      <c r="C86" s="55"/>
      <c r="D86" s="55"/>
      <c r="E86" s="55"/>
      <c r="F86" s="55"/>
      <c r="G86" s="55"/>
      <c r="H86" s="55"/>
      <c r="I86" s="55"/>
      <c r="J86" s="55"/>
      <c r="K86" s="55"/>
      <c r="L86" s="55"/>
      <c r="M86" s="55"/>
      <c r="N86" s="55"/>
      <c r="O86" s="55"/>
      <c r="P86" s="55"/>
      <c r="Q86" s="55"/>
      <c r="R86" s="55"/>
      <c r="S86" s="55"/>
      <c r="T86" s="55"/>
      <c r="U86" s="55"/>
      <c r="V86" s="55"/>
      <c r="W86" s="55">
        <v>28300.5</v>
      </c>
      <c r="X86" s="55">
        <v>29328.5</v>
      </c>
      <c r="Y86" s="55">
        <v>29975</v>
      </c>
      <c r="Z86" s="55">
        <v>31596</v>
      </c>
      <c r="AA86" s="55">
        <v>32260.5</v>
      </c>
      <c r="AB86" s="55">
        <v>33136.5</v>
      </c>
      <c r="AC86" s="55">
        <v>33957</v>
      </c>
      <c r="AD86" s="55">
        <v>34529</v>
      </c>
      <c r="AE86" s="55">
        <v>34983.5</v>
      </c>
      <c r="AF86" s="55">
        <v>36244</v>
      </c>
      <c r="AG86" s="55">
        <v>37046.5</v>
      </c>
      <c r="AH86" s="55">
        <v>37869</v>
      </c>
      <c r="AI86" s="55">
        <v>38638</v>
      </c>
      <c r="AJ86" s="55">
        <v>40007.5</v>
      </c>
      <c r="AK86" s="55">
        <v>40792</v>
      </c>
      <c r="AL86" s="55">
        <v>41807.5</v>
      </c>
      <c r="AM86" s="55">
        <v>42754.5</v>
      </c>
      <c r="AN86" s="55">
        <v>43594.5</v>
      </c>
      <c r="AO86" s="55">
        <v>44082.5</v>
      </c>
      <c r="AP86" s="55">
        <v>44630.5</v>
      </c>
      <c r="AQ86" s="55">
        <v>45084.5</v>
      </c>
      <c r="AR86" s="55">
        <v>45587.5</v>
      </c>
      <c r="AS86" s="55">
        <v>45615</v>
      </c>
      <c r="AT86" s="55">
        <v>45537</v>
      </c>
      <c r="AU86" s="55">
        <v>45307.5</v>
      </c>
      <c r="AV86" s="55">
        <v>45836</v>
      </c>
      <c r="AW86" s="55">
        <v>46662.5</v>
      </c>
      <c r="AX86" s="55">
        <v>48227</v>
      </c>
      <c r="AY86" s="55">
        <v>49637</v>
      </c>
      <c r="AZ86" s="55">
        <v>50094</v>
      </c>
      <c r="BA86" s="55">
        <v>50577.5</v>
      </c>
      <c r="BB86" s="55">
        <v>51407.5</v>
      </c>
      <c r="BC86" s="55">
        <v>52014.5</v>
      </c>
      <c r="BD86" s="55">
        <v>52716.5</v>
      </c>
      <c r="BE86" s="55">
        <v>53279.5</v>
      </c>
      <c r="BF86" s="55">
        <v>54030.5</v>
      </c>
      <c r="BG86" s="55">
        <v>54613</v>
      </c>
      <c r="BH86" s="55">
        <v>55365.5</v>
      </c>
      <c r="BI86" s="55">
        <v>55987</v>
      </c>
      <c r="BJ86" s="55">
        <v>56648.5</v>
      </c>
      <c r="BK86" s="55">
        <v>57376.5</v>
      </c>
      <c r="BL86" s="55">
        <v>58138</v>
      </c>
      <c r="BM86" s="55">
        <v>58882</v>
      </c>
      <c r="BN86" s="55">
        <v>59580</v>
      </c>
      <c r="BO86" s="55">
        <v>60235.5</v>
      </c>
      <c r="BP86" s="55">
        <v>60859</v>
      </c>
      <c r="BQ86" s="55">
        <v>61439.5</v>
      </c>
      <c r="BR86" s="55">
        <v>62010.5</v>
      </c>
      <c r="BS86" s="55">
        <v>62509.5</v>
      </c>
      <c r="BT86" s="55">
        <v>63064</v>
      </c>
      <c r="BU86" s="55">
        <v>63579</v>
      </c>
      <c r="BV86" s="55">
        <v>64137.5</v>
      </c>
      <c r="BW86" s="55">
        <v>64657</v>
      </c>
      <c r="BX86" s="55">
        <v>65220.5</v>
      </c>
      <c r="BY86" s="55">
        <v>65781</v>
      </c>
      <c r="BZ86" s="55">
        <v>66422.5</v>
      </c>
      <c r="CA86" s="55">
        <v>66994.5</v>
      </c>
      <c r="CB86" s="55">
        <v>67513.5</v>
      </c>
      <c r="CC86" s="55">
        <v>68057</v>
      </c>
      <c r="CD86" s="55">
        <v>68577</v>
      </c>
      <c r="CE86" s="55">
        <v>69079.5</v>
      </c>
      <c r="CF86" s="55">
        <v>69611.5</v>
      </c>
      <c r="CG86" s="55">
        <v>70116</v>
      </c>
      <c r="CH86" s="55">
        <v>70605</v>
      </c>
      <c r="CI86" s="55">
        <v>71118.5</v>
      </c>
      <c r="CJ86" s="55">
        <v>71563.5</v>
      </c>
      <c r="CK86" s="55">
        <v>72020.5</v>
      </c>
      <c r="CL86" s="55">
        <v>72517</v>
      </c>
      <c r="CM86" s="55">
        <v>72948.5</v>
      </c>
      <c r="CN86" s="55">
        <v>73406.5</v>
      </c>
      <c r="CO86" s="55">
        <v>73852.5</v>
      </c>
      <c r="CP86" s="55">
        <v>74291.5</v>
      </c>
      <c r="CQ86" s="55">
        <v>74723</v>
      </c>
      <c r="CR86" s="55">
        <v>75120.5</v>
      </c>
      <c r="CS86" s="55">
        <v>75542.5</v>
      </c>
      <c r="CT86" s="55">
        <v>75937.5</v>
      </c>
      <c r="CU86" s="55">
        <v>76333</v>
      </c>
      <c r="CV86" s="55">
        <v>76705</v>
      </c>
      <c r="CW86" s="55">
        <v>77087</v>
      </c>
      <c r="CX86" s="55">
        <v>77473</v>
      </c>
      <c r="CY86" s="55">
        <v>77828</v>
      </c>
      <c r="CZ86" s="55">
        <v>78177</v>
      </c>
      <c r="DA86" s="55">
        <v>78524</v>
      </c>
      <c r="DB86" s="55">
        <v>78881.5</v>
      </c>
      <c r="DC86" s="55">
        <v>79232.5</v>
      </c>
      <c r="DD86" s="55">
        <v>79568.5</v>
      </c>
      <c r="DE86" s="55">
        <v>79898</v>
      </c>
      <c r="DF86" s="55">
        <v>80252.5</v>
      </c>
      <c r="DG86" s="55">
        <v>80563</v>
      </c>
      <c r="DH86" s="55">
        <v>80886.5</v>
      </c>
      <c r="DI86" s="55">
        <v>81187</v>
      </c>
      <c r="DJ86" s="55">
        <v>81513.5</v>
      </c>
      <c r="DK86" s="55">
        <v>81815.5</v>
      </c>
      <c r="DL86" s="55">
        <v>82110.5</v>
      </c>
      <c r="DM86" s="55">
        <v>82414.5</v>
      </c>
      <c r="DN86" s="55">
        <v>82713.5</v>
      </c>
      <c r="DO86" s="55">
        <v>83007</v>
      </c>
    </row>
    <row r="87" spans="1:119">
      <c r="A87" s="52">
        <v>85</v>
      </c>
      <c r="B87" s="55"/>
      <c r="C87" s="55"/>
      <c r="D87" s="55"/>
      <c r="E87" s="55"/>
      <c r="F87" s="55"/>
      <c r="G87" s="55"/>
      <c r="H87" s="55"/>
      <c r="I87" s="55"/>
      <c r="J87" s="55"/>
      <c r="K87" s="55"/>
      <c r="L87" s="55"/>
      <c r="M87" s="55"/>
      <c r="N87" s="55"/>
      <c r="O87" s="55"/>
      <c r="P87" s="55"/>
      <c r="Q87" s="55"/>
      <c r="R87" s="55"/>
      <c r="S87" s="55"/>
      <c r="T87" s="55"/>
      <c r="U87" s="55"/>
      <c r="V87" s="55"/>
      <c r="W87" s="55">
        <v>25854</v>
      </c>
      <c r="X87" s="55">
        <v>26877</v>
      </c>
      <c r="Y87" s="55">
        <v>27464.5</v>
      </c>
      <c r="Z87" s="55">
        <v>28930</v>
      </c>
      <c r="AA87" s="55">
        <v>29600</v>
      </c>
      <c r="AB87" s="55">
        <v>30437.5</v>
      </c>
      <c r="AC87" s="55">
        <v>31215.5</v>
      </c>
      <c r="AD87" s="55">
        <v>31676.5</v>
      </c>
      <c r="AE87" s="55">
        <v>32271</v>
      </c>
      <c r="AF87" s="55">
        <v>33347</v>
      </c>
      <c r="AG87" s="55">
        <v>34123</v>
      </c>
      <c r="AH87" s="55">
        <v>34920.5</v>
      </c>
      <c r="AI87" s="55">
        <v>35670.5</v>
      </c>
      <c r="AJ87" s="55">
        <v>36978.5</v>
      </c>
      <c r="AK87" s="55">
        <v>37747</v>
      </c>
      <c r="AL87" s="55">
        <v>38730</v>
      </c>
      <c r="AM87" s="55">
        <v>39651.5</v>
      </c>
      <c r="AN87" s="55">
        <v>40476.5</v>
      </c>
      <c r="AO87" s="55">
        <v>40975.5</v>
      </c>
      <c r="AP87" s="55">
        <v>41530</v>
      </c>
      <c r="AQ87" s="55">
        <v>41997</v>
      </c>
      <c r="AR87" s="55">
        <v>42508</v>
      </c>
      <c r="AS87" s="55">
        <v>42580</v>
      </c>
      <c r="AT87" s="55">
        <v>42550.5</v>
      </c>
      <c r="AU87" s="55">
        <v>42380.5</v>
      </c>
      <c r="AV87" s="55">
        <v>42916.5</v>
      </c>
      <c r="AW87" s="55">
        <v>43732.5</v>
      </c>
      <c r="AX87" s="55">
        <v>45241</v>
      </c>
      <c r="AY87" s="55">
        <v>46608</v>
      </c>
      <c r="AZ87" s="55">
        <v>47082</v>
      </c>
      <c r="BA87" s="55">
        <v>47581.5</v>
      </c>
      <c r="BB87" s="55">
        <v>48406.5</v>
      </c>
      <c r="BC87" s="55">
        <v>49022</v>
      </c>
      <c r="BD87" s="55">
        <v>49726</v>
      </c>
      <c r="BE87" s="55">
        <v>50301</v>
      </c>
      <c r="BF87" s="55">
        <v>51053.5</v>
      </c>
      <c r="BG87" s="55">
        <v>51648</v>
      </c>
      <c r="BH87" s="55">
        <v>52402</v>
      </c>
      <c r="BI87" s="55">
        <v>53033</v>
      </c>
      <c r="BJ87" s="55">
        <v>53702.5</v>
      </c>
      <c r="BK87" s="55">
        <v>54436</v>
      </c>
      <c r="BL87" s="55">
        <v>55200.5</v>
      </c>
      <c r="BM87" s="55">
        <v>55950</v>
      </c>
      <c r="BN87" s="55">
        <v>56656</v>
      </c>
      <c r="BO87" s="55">
        <v>57321.5</v>
      </c>
      <c r="BP87" s="55">
        <v>57957.5</v>
      </c>
      <c r="BQ87" s="55">
        <v>58553</v>
      </c>
      <c r="BR87" s="55">
        <v>59138.5</v>
      </c>
      <c r="BS87" s="55">
        <v>59657</v>
      </c>
      <c r="BT87" s="55">
        <v>60228.5</v>
      </c>
      <c r="BU87" s="55">
        <v>60761.5</v>
      </c>
      <c r="BV87" s="55">
        <v>61336.5</v>
      </c>
      <c r="BW87" s="55">
        <v>61874.5</v>
      </c>
      <c r="BX87" s="55">
        <v>62455</v>
      </c>
      <c r="BY87" s="55">
        <v>63031.5</v>
      </c>
      <c r="BZ87" s="55">
        <v>63687</v>
      </c>
      <c r="CA87" s="55">
        <v>64275.5</v>
      </c>
      <c r="CB87" s="55">
        <v>64813.5</v>
      </c>
      <c r="CC87" s="55">
        <v>65375</v>
      </c>
      <c r="CD87" s="55">
        <v>65913.5</v>
      </c>
      <c r="CE87" s="55">
        <v>66436</v>
      </c>
      <c r="CF87" s="55">
        <v>66986</v>
      </c>
      <c r="CG87" s="55">
        <v>67510.5</v>
      </c>
      <c r="CH87" s="55">
        <v>68020</v>
      </c>
      <c r="CI87" s="55">
        <v>68552</v>
      </c>
      <c r="CJ87" s="55">
        <v>69019</v>
      </c>
      <c r="CK87" s="55">
        <v>69497.5</v>
      </c>
      <c r="CL87" s="55">
        <v>70013.5</v>
      </c>
      <c r="CM87" s="55">
        <v>70467.5</v>
      </c>
      <c r="CN87" s="55">
        <v>70946.5</v>
      </c>
      <c r="CO87" s="55">
        <v>71413.5</v>
      </c>
      <c r="CP87" s="55">
        <v>71874</v>
      </c>
      <c r="CQ87" s="55">
        <v>72327</v>
      </c>
      <c r="CR87" s="55">
        <v>72747</v>
      </c>
      <c r="CS87" s="55">
        <v>73190.5</v>
      </c>
      <c r="CT87" s="55">
        <v>73608.5</v>
      </c>
      <c r="CU87" s="55">
        <v>74026</v>
      </c>
      <c r="CV87" s="55">
        <v>74421.5</v>
      </c>
      <c r="CW87" s="55">
        <v>74825.5</v>
      </c>
      <c r="CX87" s="55">
        <v>75233.5</v>
      </c>
      <c r="CY87" s="55">
        <v>75611.5</v>
      </c>
      <c r="CZ87" s="55">
        <v>75984</v>
      </c>
      <c r="DA87" s="55">
        <v>76353</v>
      </c>
      <c r="DB87" s="55">
        <v>76733.5</v>
      </c>
      <c r="DC87" s="55">
        <v>77106</v>
      </c>
      <c r="DD87" s="55">
        <v>77465</v>
      </c>
      <c r="DE87" s="55">
        <v>77816.5</v>
      </c>
      <c r="DF87" s="55">
        <v>78193</v>
      </c>
      <c r="DG87" s="55">
        <v>78526.5</v>
      </c>
      <c r="DH87" s="55">
        <v>78871.5</v>
      </c>
      <c r="DI87" s="55">
        <v>79195</v>
      </c>
      <c r="DJ87" s="55">
        <v>79542</v>
      </c>
      <c r="DK87" s="55">
        <v>79867</v>
      </c>
      <c r="DL87" s="55">
        <v>80183.5</v>
      </c>
      <c r="DM87" s="55">
        <v>80509</v>
      </c>
      <c r="DN87" s="55">
        <v>80829</v>
      </c>
      <c r="DO87" s="55">
        <v>81144.5</v>
      </c>
    </row>
    <row r="88" spans="1:119">
      <c r="A88" s="52">
        <v>86</v>
      </c>
      <c r="B88" s="55"/>
      <c r="C88" s="55"/>
      <c r="D88" s="55"/>
      <c r="E88" s="55"/>
      <c r="F88" s="55"/>
      <c r="G88" s="55"/>
      <c r="H88" s="55"/>
      <c r="I88" s="55"/>
      <c r="J88" s="55"/>
      <c r="K88" s="55"/>
      <c r="L88" s="55"/>
      <c r="M88" s="55"/>
      <c r="N88" s="55"/>
      <c r="O88" s="55"/>
      <c r="P88" s="55"/>
      <c r="Q88" s="55"/>
      <c r="R88" s="55"/>
      <c r="S88" s="55"/>
      <c r="T88" s="55"/>
      <c r="U88" s="55"/>
      <c r="V88" s="55"/>
      <c r="W88" s="55">
        <v>23416.5</v>
      </c>
      <c r="X88" s="55">
        <v>24314</v>
      </c>
      <c r="Y88" s="55">
        <v>24822.5</v>
      </c>
      <c r="Z88" s="55">
        <v>26277</v>
      </c>
      <c r="AA88" s="55">
        <v>26884</v>
      </c>
      <c r="AB88" s="55">
        <v>27659.5</v>
      </c>
      <c r="AC88" s="55">
        <v>28319.5</v>
      </c>
      <c r="AD88" s="55">
        <v>28897</v>
      </c>
      <c r="AE88" s="55">
        <v>29356.5</v>
      </c>
      <c r="AF88" s="55">
        <v>30372</v>
      </c>
      <c r="AG88" s="55">
        <v>31119.5</v>
      </c>
      <c r="AH88" s="55">
        <v>31886.5</v>
      </c>
      <c r="AI88" s="55">
        <v>32613.5</v>
      </c>
      <c r="AJ88" s="55">
        <v>33852.5</v>
      </c>
      <c r="AK88" s="55">
        <v>34600</v>
      </c>
      <c r="AL88" s="55">
        <v>35545</v>
      </c>
      <c r="AM88" s="55">
        <v>36435</v>
      </c>
      <c r="AN88" s="55">
        <v>37238</v>
      </c>
      <c r="AO88" s="55">
        <v>37744.5</v>
      </c>
      <c r="AP88" s="55">
        <v>38300.5</v>
      </c>
      <c r="AQ88" s="55">
        <v>38776.5</v>
      </c>
      <c r="AR88" s="55">
        <v>39292</v>
      </c>
      <c r="AS88" s="55">
        <v>39405</v>
      </c>
      <c r="AT88" s="55">
        <v>39422</v>
      </c>
      <c r="AU88" s="55">
        <v>39309.5</v>
      </c>
      <c r="AV88" s="55">
        <v>39849.5</v>
      </c>
      <c r="AW88" s="55">
        <v>40650.5</v>
      </c>
      <c r="AX88" s="55">
        <v>42095</v>
      </c>
      <c r="AY88" s="55">
        <v>43412.5</v>
      </c>
      <c r="AZ88" s="55">
        <v>43900</v>
      </c>
      <c r="BA88" s="55">
        <v>44411</v>
      </c>
      <c r="BB88" s="55">
        <v>45226</v>
      </c>
      <c r="BC88" s="55">
        <v>45846.5</v>
      </c>
      <c r="BD88" s="55">
        <v>46549.5</v>
      </c>
      <c r="BE88" s="55">
        <v>47132.5</v>
      </c>
      <c r="BF88" s="55">
        <v>47882</v>
      </c>
      <c r="BG88" s="55">
        <v>48486</v>
      </c>
      <c r="BH88" s="55">
        <v>49237</v>
      </c>
      <c r="BI88" s="55">
        <v>49874</v>
      </c>
      <c r="BJ88" s="55">
        <v>50548.5</v>
      </c>
      <c r="BK88" s="55">
        <v>51283</v>
      </c>
      <c r="BL88" s="55">
        <v>52048</v>
      </c>
      <c r="BM88" s="55">
        <v>52799.5</v>
      </c>
      <c r="BN88" s="55">
        <v>53510</v>
      </c>
      <c r="BO88" s="55">
        <v>54182.5</v>
      </c>
      <c r="BP88" s="55">
        <v>54829</v>
      </c>
      <c r="BQ88" s="55">
        <v>55436</v>
      </c>
      <c r="BR88" s="55">
        <v>56035</v>
      </c>
      <c r="BS88" s="55">
        <v>56570.5</v>
      </c>
      <c r="BT88" s="55">
        <v>57155.5</v>
      </c>
      <c r="BU88" s="55">
        <v>57706</v>
      </c>
      <c r="BV88" s="55">
        <v>58295</v>
      </c>
      <c r="BW88" s="55">
        <v>58850.5</v>
      </c>
      <c r="BX88" s="55">
        <v>59444.5</v>
      </c>
      <c r="BY88" s="55">
        <v>60036.5</v>
      </c>
      <c r="BZ88" s="55">
        <v>60703.5</v>
      </c>
      <c r="CA88" s="55">
        <v>61307</v>
      </c>
      <c r="CB88" s="55">
        <v>61862.5</v>
      </c>
      <c r="CC88" s="55">
        <v>62440.5</v>
      </c>
      <c r="CD88" s="55">
        <v>62996.5</v>
      </c>
      <c r="CE88" s="55">
        <v>63537.5</v>
      </c>
      <c r="CF88" s="55">
        <v>64105</v>
      </c>
      <c r="CG88" s="55">
        <v>64647.5</v>
      </c>
      <c r="CH88" s="55">
        <v>65176.5</v>
      </c>
      <c r="CI88" s="55">
        <v>65727</v>
      </c>
      <c r="CJ88" s="55">
        <v>66215</v>
      </c>
      <c r="CK88" s="55">
        <v>66714</v>
      </c>
      <c r="CL88" s="55">
        <v>67249.5</v>
      </c>
      <c r="CM88" s="55">
        <v>67724.5</v>
      </c>
      <c r="CN88" s="55">
        <v>68224.5</v>
      </c>
      <c r="CO88" s="55">
        <v>68712.5</v>
      </c>
      <c r="CP88" s="55">
        <v>69194.5</v>
      </c>
      <c r="CQ88" s="55">
        <v>69669</v>
      </c>
      <c r="CR88" s="55">
        <v>70111.5</v>
      </c>
      <c r="CS88" s="55">
        <v>70577</v>
      </c>
      <c r="CT88" s="55">
        <v>71017.5</v>
      </c>
      <c r="CU88" s="55">
        <v>71457.5</v>
      </c>
      <c r="CV88" s="55">
        <v>71876</v>
      </c>
      <c r="CW88" s="55">
        <v>72302.5</v>
      </c>
      <c r="CX88" s="55">
        <v>72733</v>
      </c>
      <c r="CY88" s="55">
        <v>73134</v>
      </c>
      <c r="CZ88" s="55">
        <v>73530</v>
      </c>
      <c r="DA88" s="55">
        <v>73923</v>
      </c>
      <c r="DB88" s="55">
        <v>74325.5</v>
      </c>
      <c r="DC88" s="55">
        <v>74721</v>
      </c>
      <c r="DD88" s="55">
        <v>75103</v>
      </c>
      <c r="DE88" s="55">
        <v>75478.5</v>
      </c>
      <c r="DF88" s="55">
        <v>75876.5</v>
      </c>
      <c r="DG88" s="55">
        <v>76233.5</v>
      </c>
      <c r="DH88" s="55">
        <v>76601.5</v>
      </c>
      <c r="DI88" s="55">
        <v>76948</v>
      </c>
      <c r="DJ88" s="55">
        <v>77318</v>
      </c>
      <c r="DK88" s="55">
        <v>77665.5</v>
      </c>
      <c r="DL88" s="55">
        <v>78005.5</v>
      </c>
      <c r="DM88" s="55">
        <v>78353</v>
      </c>
      <c r="DN88" s="55">
        <v>78696</v>
      </c>
      <c r="DO88" s="55">
        <v>79034</v>
      </c>
    </row>
    <row r="89" spans="1:119">
      <c r="A89" s="52">
        <v>87</v>
      </c>
      <c r="B89" s="55"/>
      <c r="C89" s="55"/>
      <c r="D89" s="55"/>
      <c r="E89" s="55"/>
      <c r="F89" s="55"/>
      <c r="G89" s="55"/>
      <c r="H89" s="55"/>
      <c r="I89" s="55"/>
      <c r="J89" s="55"/>
      <c r="K89" s="55"/>
      <c r="L89" s="55"/>
      <c r="M89" s="55"/>
      <c r="N89" s="55"/>
      <c r="O89" s="55"/>
      <c r="P89" s="55"/>
      <c r="Q89" s="55"/>
      <c r="R89" s="55"/>
      <c r="S89" s="55"/>
      <c r="T89" s="55"/>
      <c r="U89" s="55"/>
      <c r="V89" s="55"/>
      <c r="W89" s="55">
        <v>20910</v>
      </c>
      <c r="X89" s="55">
        <v>21705.5</v>
      </c>
      <c r="Y89" s="55">
        <v>22242</v>
      </c>
      <c r="Z89" s="55">
        <v>23548</v>
      </c>
      <c r="AA89" s="55">
        <v>24090</v>
      </c>
      <c r="AB89" s="55">
        <v>24767</v>
      </c>
      <c r="AC89" s="55">
        <v>25514.5</v>
      </c>
      <c r="AD89" s="55">
        <v>25921</v>
      </c>
      <c r="AE89" s="55">
        <v>26401</v>
      </c>
      <c r="AF89" s="55">
        <v>27354</v>
      </c>
      <c r="AG89" s="55">
        <v>28067.5</v>
      </c>
      <c r="AH89" s="55">
        <v>28798.5</v>
      </c>
      <c r="AI89" s="55">
        <v>29496.5</v>
      </c>
      <c r="AJ89" s="55">
        <v>30660</v>
      </c>
      <c r="AK89" s="55">
        <v>31380</v>
      </c>
      <c r="AL89" s="55">
        <v>32281</v>
      </c>
      <c r="AM89" s="55">
        <v>33133.5</v>
      </c>
      <c r="AN89" s="55">
        <v>33909.5</v>
      </c>
      <c r="AO89" s="55">
        <v>34418.5</v>
      </c>
      <c r="AP89" s="55">
        <v>34970</v>
      </c>
      <c r="AQ89" s="55">
        <v>35450</v>
      </c>
      <c r="AR89" s="55">
        <v>35965</v>
      </c>
      <c r="AS89" s="55">
        <v>36115.5</v>
      </c>
      <c r="AT89" s="55">
        <v>36175.5</v>
      </c>
      <c r="AU89" s="55">
        <v>36117.5</v>
      </c>
      <c r="AV89" s="55">
        <v>36656</v>
      </c>
      <c r="AW89" s="55">
        <v>37436.5</v>
      </c>
      <c r="AX89" s="55">
        <v>38810.5</v>
      </c>
      <c r="AY89" s="55">
        <v>40070.5</v>
      </c>
      <c r="AZ89" s="55">
        <v>40567.5</v>
      </c>
      <c r="BA89" s="55">
        <v>41086</v>
      </c>
      <c r="BB89" s="55">
        <v>41885.5</v>
      </c>
      <c r="BC89" s="55">
        <v>42506</v>
      </c>
      <c r="BD89" s="55">
        <v>43203</v>
      </c>
      <c r="BE89" s="55">
        <v>43790</v>
      </c>
      <c r="BF89" s="55">
        <v>44532</v>
      </c>
      <c r="BG89" s="55">
        <v>45140</v>
      </c>
      <c r="BH89" s="55">
        <v>45884.5</v>
      </c>
      <c r="BI89" s="55">
        <v>46524</v>
      </c>
      <c r="BJ89" s="55">
        <v>47199</v>
      </c>
      <c r="BK89" s="55">
        <v>47930.5</v>
      </c>
      <c r="BL89" s="55">
        <v>48691.5</v>
      </c>
      <c r="BM89" s="55">
        <v>49439.5</v>
      </c>
      <c r="BN89" s="55">
        <v>50150.5</v>
      </c>
      <c r="BO89" s="55">
        <v>50827.5</v>
      </c>
      <c r="BP89" s="55">
        <v>51480</v>
      </c>
      <c r="BQ89" s="55">
        <v>52095.5</v>
      </c>
      <c r="BR89" s="55">
        <v>52704.5</v>
      </c>
      <c r="BS89" s="55">
        <v>53254</v>
      </c>
      <c r="BT89" s="55">
        <v>53850.5</v>
      </c>
      <c r="BU89" s="55">
        <v>54414.5</v>
      </c>
      <c r="BV89" s="55">
        <v>55015.5</v>
      </c>
      <c r="BW89" s="55">
        <v>55585</v>
      </c>
      <c r="BX89" s="55">
        <v>56191</v>
      </c>
      <c r="BY89" s="55">
        <v>56795.5</v>
      </c>
      <c r="BZ89" s="55">
        <v>57470.5</v>
      </c>
      <c r="CA89" s="55">
        <v>58087</v>
      </c>
      <c r="CB89" s="55">
        <v>58657.5</v>
      </c>
      <c r="CC89" s="55">
        <v>59249.5</v>
      </c>
      <c r="CD89" s="55">
        <v>59821.5</v>
      </c>
      <c r="CE89" s="55">
        <v>60379</v>
      </c>
      <c r="CF89" s="55">
        <v>60961.5</v>
      </c>
      <c r="CG89" s="55">
        <v>61521.5</v>
      </c>
      <c r="CH89" s="55">
        <v>62068</v>
      </c>
      <c r="CI89" s="55">
        <v>62635</v>
      </c>
      <c r="CJ89" s="55">
        <v>63143.5</v>
      </c>
      <c r="CK89" s="55">
        <v>63662</v>
      </c>
      <c r="CL89" s="55">
        <v>64214.5</v>
      </c>
      <c r="CM89" s="55">
        <v>64710.5</v>
      </c>
      <c r="CN89" s="55">
        <v>65229.5</v>
      </c>
      <c r="CO89" s="55">
        <v>65738</v>
      </c>
      <c r="CP89" s="55">
        <v>66240</v>
      </c>
      <c r="CQ89" s="55">
        <v>66735.5</v>
      </c>
      <c r="CR89" s="55">
        <v>67200</v>
      </c>
      <c r="CS89" s="55">
        <v>67686.5</v>
      </c>
      <c r="CT89" s="55">
        <v>68149</v>
      </c>
      <c r="CU89" s="55">
        <v>68611</v>
      </c>
      <c r="CV89" s="55">
        <v>69052.5</v>
      </c>
      <c r="CW89" s="55">
        <v>69502</v>
      </c>
      <c r="CX89" s="55">
        <v>69954.5</v>
      </c>
      <c r="CY89" s="55">
        <v>70379</v>
      </c>
      <c r="CZ89" s="55">
        <v>70798</v>
      </c>
      <c r="DA89" s="55">
        <v>71214</v>
      </c>
      <c r="DB89" s="55">
        <v>71639.5</v>
      </c>
      <c r="DC89" s="55">
        <v>72059</v>
      </c>
      <c r="DD89" s="55">
        <v>72464</v>
      </c>
      <c r="DE89" s="55">
        <v>72863</v>
      </c>
      <c r="DF89" s="55">
        <v>73284</v>
      </c>
      <c r="DG89" s="55">
        <v>73664.5</v>
      </c>
      <c r="DH89" s="55">
        <v>74056.5</v>
      </c>
      <c r="DI89" s="55">
        <v>74426.5</v>
      </c>
      <c r="DJ89" s="55">
        <v>74819.5</v>
      </c>
      <c r="DK89" s="55">
        <v>75190.5</v>
      </c>
      <c r="DL89" s="55">
        <v>75554</v>
      </c>
      <c r="DM89" s="55">
        <v>75925</v>
      </c>
      <c r="DN89" s="55">
        <v>76291</v>
      </c>
      <c r="DO89" s="55">
        <v>76652</v>
      </c>
    </row>
    <row r="90" spans="1:119">
      <c r="A90" s="52">
        <v>88</v>
      </c>
      <c r="B90" s="55"/>
      <c r="C90" s="55"/>
      <c r="D90" s="55"/>
      <c r="E90" s="55"/>
      <c r="F90" s="55"/>
      <c r="G90" s="55"/>
      <c r="H90" s="55"/>
      <c r="I90" s="55"/>
      <c r="J90" s="55"/>
      <c r="K90" s="55"/>
      <c r="L90" s="55"/>
      <c r="M90" s="55"/>
      <c r="N90" s="55"/>
      <c r="O90" s="55"/>
      <c r="P90" s="55"/>
      <c r="Q90" s="55"/>
      <c r="R90" s="55"/>
      <c r="S90" s="55"/>
      <c r="T90" s="55"/>
      <c r="U90" s="55"/>
      <c r="V90" s="55"/>
      <c r="W90" s="55">
        <v>18366.5</v>
      </c>
      <c r="X90" s="55">
        <v>19161</v>
      </c>
      <c r="Y90" s="55">
        <v>19631.5</v>
      </c>
      <c r="Z90" s="55">
        <v>20806</v>
      </c>
      <c r="AA90" s="55">
        <v>21239.5</v>
      </c>
      <c r="AB90" s="55">
        <v>22022</v>
      </c>
      <c r="AC90" s="55">
        <v>22567.5</v>
      </c>
      <c r="AD90" s="55">
        <v>22975.5</v>
      </c>
      <c r="AE90" s="55">
        <v>23443</v>
      </c>
      <c r="AF90" s="55">
        <v>24327.5</v>
      </c>
      <c r="AG90" s="55">
        <v>25001.5</v>
      </c>
      <c r="AH90" s="55">
        <v>25691.5</v>
      </c>
      <c r="AI90" s="55">
        <v>26354</v>
      </c>
      <c r="AJ90" s="55">
        <v>27436</v>
      </c>
      <c r="AK90" s="55">
        <v>28123</v>
      </c>
      <c r="AL90" s="55">
        <v>28973.5</v>
      </c>
      <c r="AM90" s="55">
        <v>29782</v>
      </c>
      <c r="AN90" s="55">
        <v>30525</v>
      </c>
      <c r="AO90" s="55">
        <v>31029</v>
      </c>
      <c r="AP90" s="55">
        <v>31571.5</v>
      </c>
      <c r="AQ90" s="55">
        <v>32049.5</v>
      </c>
      <c r="AR90" s="55">
        <v>32558.5</v>
      </c>
      <c r="AS90" s="55">
        <v>32740.5</v>
      </c>
      <c r="AT90" s="55">
        <v>32839.5</v>
      </c>
      <c r="AU90" s="55">
        <v>32831.5</v>
      </c>
      <c r="AV90" s="55">
        <v>33364</v>
      </c>
      <c r="AW90" s="55">
        <v>34118</v>
      </c>
      <c r="AX90" s="55">
        <v>35413</v>
      </c>
      <c r="AY90" s="55">
        <v>36608.5</v>
      </c>
      <c r="AZ90" s="55">
        <v>37109</v>
      </c>
      <c r="BA90" s="55">
        <v>37630.5</v>
      </c>
      <c r="BB90" s="55">
        <v>38408.5</v>
      </c>
      <c r="BC90" s="55">
        <v>39024</v>
      </c>
      <c r="BD90" s="55">
        <v>39709.5</v>
      </c>
      <c r="BE90" s="55">
        <v>40295</v>
      </c>
      <c r="BF90" s="55">
        <v>41023.5</v>
      </c>
      <c r="BG90" s="55">
        <v>41631</v>
      </c>
      <c r="BH90" s="55">
        <v>42363.5</v>
      </c>
      <c r="BI90" s="55">
        <v>43000</v>
      </c>
      <c r="BJ90" s="55">
        <v>43671</v>
      </c>
      <c r="BK90" s="55">
        <v>44394.5</v>
      </c>
      <c r="BL90" s="55">
        <v>45145.5</v>
      </c>
      <c r="BM90" s="55">
        <v>45886</v>
      </c>
      <c r="BN90" s="55">
        <v>46593</v>
      </c>
      <c r="BO90" s="55">
        <v>47268</v>
      </c>
      <c r="BP90" s="55">
        <v>47922.5</v>
      </c>
      <c r="BQ90" s="55">
        <v>48543.5</v>
      </c>
      <c r="BR90" s="55">
        <v>49157.5</v>
      </c>
      <c r="BS90" s="55">
        <v>49718</v>
      </c>
      <c r="BT90" s="55">
        <v>50322</v>
      </c>
      <c r="BU90" s="55">
        <v>50895.5</v>
      </c>
      <c r="BV90" s="55">
        <v>51505</v>
      </c>
      <c r="BW90" s="55">
        <v>52084</v>
      </c>
      <c r="BX90" s="55">
        <v>52699</v>
      </c>
      <c r="BY90" s="55">
        <v>53312</v>
      </c>
      <c r="BZ90" s="55">
        <v>53992.5</v>
      </c>
      <c r="CA90" s="55">
        <v>54617.5</v>
      </c>
      <c r="CB90" s="55">
        <v>55201.5</v>
      </c>
      <c r="CC90" s="55">
        <v>55804</v>
      </c>
      <c r="CD90" s="55">
        <v>56389</v>
      </c>
      <c r="CE90" s="55">
        <v>56960.5</v>
      </c>
      <c r="CF90" s="55">
        <v>57555</v>
      </c>
      <c r="CG90" s="55">
        <v>58129.5</v>
      </c>
      <c r="CH90" s="55">
        <v>58691</v>
      </c>
      <c r="CI90" s="55">
        <v>59272.5</v>
      </c>
      <c r="CJ90" s="55">
        <v>59798.5</v>
      </c>
      <c r="CK90" s="55">
        <v>60334</v>
      </c>
      <c r="CL90" s="55">
        <v>60902.5</v>
      </c>
      <c r="CM90" s="55">
        <v>61417.5</v>
      </c>
      <c r="CN90" s="55">
        <v>61954.5</v>
      </c>
      <c r="CO90" s="55">
        <v>62480.5</v>
      </c>
      <c r="CP90" s="55">
        <v>63002</v>
      </c>
      <c r="CQ90" s="55">
        <v>63516.5</v>
      </c>
      <c r="CR90" s="55">
        <v>64002</v>
      </c>
      <c r="CS90" s="55">
        <v>64508</v>
      </c>
      <c r="CT90" s="55">
        <v>64991.5</v>
      </c>
      <c r="CU90" s="55">
        <v>65474.5</v>
      </c>
      <c r="CV90" s="55">
        <v>65937.5</v>
      </c>
      <c r="CW90" s="55">
        <v>66408.5</v>
      </c>
      <c r="CX90" s="55">
        <v>66883</v>
      </c>
      <c r="CY90" s="55">
        <v>67330</v>
      </c>
      <c r="CZ90" s="55">
        <v>67772</v>
      </c>
      <c r="DA90" s="55">
        <v>68211</v>
      </c>
      <c r="DB90" s="55">
        <v>68659</v>
      </c>
      <c r="DC90" s="55">
        <v>69100.5</v>
      </c>
      <c r="DD90" s="55">
        <v>69529.5</v>
      </c>
      <c r="DE90" s="55">
        <v>69951.5</v>
      </c>
      <c r="DF90" s="55">
        <v>70394.5</v>
      </c>
      <c r="DG90" s="55">
        <v>70799</v>
      </c>
      <c r="DH90" s="55">
        <v>71214</v>
      </c>
      <c r="DI90" s="55">
        <v>71608.5</v>
      </c>
      <c r="DJ90" s="55">
        <v>72024.5</v>
      </c>
      <c r="DK90" s="55">
        <v>72419.5</v>
      </c>
      <c r="DL90" s="55">
        <v>72807</v>
      </c>
      <c r="DM90" s="55">
        <v>73201</v>
      </c>
      <c r="DN90" s="55">
        <v>73591</v>
      </c>
      <c r="DO90" s="55">
        <v>73975.5</v>
      </c>
    </row>
    <row r="91" spans="1:119">
      <c r="A91" s="52">
        <v>89</v>
      </c>
      <c r="B91" s="55"/>
      <c r="C91" s="55"/>
      <c r="D91" s="55"/>
      <c r="E91" s="55"/>
      <c r="F91" s="55"/>
      <c r="G91" s="55"/>
      <c r="H91" s="55"/>
      <c r="I91" s="55"/>
      <c r="J91" s="55"/>
      <c r="K91" s="55"/>
      <c r="L91" s="55"/>
      <c r="M91" s="55"/>
      <c r="N91" s="55"/>
      <c r="O91" s="55"/>
      <c r="P91" s="55"/>
      <c r="Q91" s="55"/>
      <c r="R91" s="55"/>
      <c r="S91" s="55"/>
      <c r="T91" s="55"/>
      <c r="U91" s="55"/>
      <c r="V91" s="55"/>
      <c r="W91" s="55">
        <v>15979.5</v>
      </c>
      <c r="X91" s="55">
        <v>16632.5</v>
      </c>
      <c r="Y91" s="55">
        <v>17079</v>
      </c>
      <c r="Z91" s="55">
        <v>18015</v>
      </c>
      <c r="AA91" s="55">
        <v>18589.5</v>
      </c>
      <c r="AB91" s="55">
        <v>19169.5</v>
      </c>
      <c r="AC91" s="55">
        <v>19673.5</v>
      </c>
      <c r="AD91" s="55">
        <v>20070.5</v>
      </c>
      <c r="AE91" s="55">
        <v>20519.5</v>
      </c>
      <c r="AF91" s="55">
        <v>21331</v>
      </c>
      <c r="AG91" s="55">
        <v>21959</v>
      </c>
      <c r="AH91" s="55">
        <v>22602</v>
      </c>
      <c r="AI91" s="55">
        <v>23224.5</v>
      </c>
      <c r="AJ91" s="55">
        <v>24218.5</v>
      </c>
      <c r="AK91" s="55">
        <v>24866.5</v>
      </c>
      <c r="AL91" s="55">
        <v>25660.5</v>
      </c>
      <c r="AM91" s="55">
        <v>26418.5</v>
      </c>
      <c r="AN91" s="55">
        <v>27121.5</v>
      </c>
      <c r="AO91" s="55">
        <v>27615</v>
      </c>
      <c r="AP91" s="55">
        <v>28141.5</v>
      </c>
      <c r="AQ91" s="55">
        <v>28611.5</v>
      </c>
      <c r="AR91" s="55">
        <v>29108.5</v>
      </c>
      <c r="AS91" s="55">
        <v>29316.5</v>
      </c>
      <c r="AT91" s="55">
        <v>29448.5</v>
      </c>
      <c r="AU91" s="55">
        <v>29485</v>
      </c>
      <c r="AV91" s="55">
        <v>30005</v>
      </c>
      <c r="AW91" s="55">
        <v>30725.5</v>
      </c>
      <c r="AX91" s="55">
        <v>31935</v>
      </c>
      <c r="AY91" s="55">
        <v>33058.5</v>
      </c>
      <c r="AZ91" s="55">
        <v>33556.5</v>
      </c>
      <c r="BA91" s="55">
        <v>34074</v>
      </c>
      <c r="BB91" s="55">
        <v>34824</v>
      </c>
      <c r="BC91" s="55">
        <v>35428</v>
      </c>
      <c r="BD91" s="55">
        <v>36096.5</v>
      </c>
      <c r="BE91" s="55">
        <v>36674.5</v>
      </c>
      <c r="BF91" s="55">
        <v>37384</v>
      </c>
      <c r="BG91" s="55">
        <v>37985</v>
      </c>
      <c r="BH91" s="55">
        <v>38699</v>
      </c>
      <c r="BI91" s="55">
        <v>39327</v>
      </c>
      <c r="BJ91" s="55">
        <v>39987.5</v>
      </c>
      <c r="BK91" s="55">
        <v>40697</v>
      </c>
      <c r="BL91" s="55">
        <v>41432.5</v>
      </c>
      <c r="BM91" s="55">
        <v>42159.5</v>
      </c>
      <c r="BN91" s="55">
        <v>42856.5</v>
      </c>
      <c r="BO91" s="55">
        <v>43525.5</v>
      </c>
      <c r="BP91" s="55">
        <v>44176.5</v>
      </c>
      <c r="BQ91" s="55">
        <v>44796.5</v>
      </c>
      <c r="BR91" s="55">
        <v>45411.5</v>
      </c>
      <c r="BS91" s="55">
        <v>45977</v>
      </c>
      <c r="BT91" s="55">
        <v>46583.5</v>
      </c>
      <c r="BU91" s="55">
        <v>47162.5</v>
      </c>
      <c r="BV91" s="55">
        <v>47775.5</v>
      </c>
      <c r="BW91" s="55">
        <v>48361</v>
      </c>
      <c r="BX91" s="55">
        <v>48980</v>
      </c>
      <c r="BY91" s="55">
        <v>49597.5</v>
      </c>
      <c r="BZ91" s="55">
        <v>50278</v>
      </c>
      <c r="CA91" s="55">
        <v>50908.5</v>
      </c>
      <c r="CB91" s="55">
        <v>51500</v>
      </c>
      <c r="CC91" s="55">
        <v>52109.5</v>
      </c>
      <c r="CD91" s="55">
        <v>52703.5</v>
      </c>
      <c r="CE91" s="55">
        <v>53285</v>
      </c>
      <c r="CF91" s="55">
        <v>53889</v>
      </c>
      <c r="CG91" s="55">
        <v>54474</v>
      </c>
      <c r="CH91" s="55">
        <v>55047.5</v>
      </c>
      <c r="CI91" s="55">
        <v>55640</v>
      </c>
      <c r="CJ91" s="55">
        <v>56180.5</v>
      </c>
      <c r="CK91" s="55">
        <v>56730.5</v>
      </c>
      <c r="CL91" s="55">
        <v>57312</v>
      </c>
      <c r="CM91" s="55">
        <v>57843</v>
      </c>
      <c r="CN91" s="55">
        <v>58394.5</v>
      </c>
      <c r="CO91" s="55">
        <v>58936.5</v>
      </c>
      <c r="CP91" s="55">
        <v>59474.5</v>
      </c>
      <c r="CQ91" s="55">
        <v>60005.5</v>
      </c>
      <c r="CR91" s="55">
        <v>60509.5</v>
      </c>
      <c r="CS91" s="55">
        <v>61033.5</v>
      </c>
      <c r="CT91" s="55">
        <v>61536</v>
      </c>
      <c r="CU91" s="55">
        <v>62038.5</v>
      </c>
      <c r="CV91" s="55">
        <v>62521.5</v>
      </c>
      <c r="CW91" s="55">
        <v>63012</v>
      </c>
      <c r="CX91" s="55">
        <v>63506.5</v>
      </c>
      <c r="CY91" s="55">
        <v>63975</v>
      </c>
      <c r="CZ91" s="55">
        <v>64438</v>
      </c>
      <c r="DA91" s="55">
        <v>64898.5</v>
      </c>
      <c r="DB91" s="55">
        <v>65368</v>
      </c>
      <c r="DC91" s="55">
        <v>65831.5</v>
      </c>
      <c r="DD91" s="55">
        <v>66282</v>
      </c>
      <c r="DE91" s="55">
        <v>66726.5</v>
      </c>
      <c r="DF91" s="55">
        <v>67191.5</v>
      </c>
      <c r="DG91" s="55">
        <v>67619</v>
      </c>
      <c r="DH91" s="55">
        <v>68056.5</v>
      </c>
      <c r="DI91" s="55">
        <v>68475</v>
      </c>
      <c r="DJ91" s="55">
        <v>68913.5</v>
      </c>
      <c r="DK91" s="55">
        <v>69331.5</v>
      </c>
      <c r="DL91" s="55">
        <v>69742.5</v>
      </c>
      <c r="DM91" s="55">
        <v>70160.5</v>
      </c>
      <c r="DN91" s="55">
        <v>70573.5</v>
      </c>
      <c r="DO91" s="55">
        <v>70981.5</v>
      </c>
    </row>
    <row r="92" spans="1:119">
      <c r="A92" s="52">
        <v>90</v>
      </c>
      <c r="B92" s="55"/>
      <c r="C92" s="55"/>
      <c r="D92" s="55"/>
      <c r="E92" s="55"/>
      <c r="F92" s="55"/>
      <c r="G92" s="55"/>
      <c r="H92" s="55"/>
      <c r="I92" s="55"/>
      <c r="J92" s="55"/>
      <c r="K92" s="55"/>
      <c r="L92" s="55"/>
      <c r="M92" s="55"/>
      <c r="N92" s="55"/>
      <c r="O92" s="55"/>
      <c r="P92" s="55"/>
      <c r="Q92" s="55"/>
      <c r="R92" s="55"/>
      <c r="S92" s="55"/>
      <c r="T92" s="55"/>
      <c r="U92" s="55"/>
      <c r="V92" s="55"/>
      <c r="W92" s="55">
        <v>13617</v>
      </c>
      <c r="X92" s="55">
        <v>14181</v>
      </c>
      <c r="Y92" s="55">
        <v>14510</v>
      </c>
      <c r="Z92" s="55">
        <v>15508.5</v>
      </c>
      <c r="AA92" s="55">
        <v>15881.5</v>
      </c>
      <c r="AB92" s="55">
        <v>16398</v>
      </c>
      <c r="AC92" s="55">
        <v>16868.5</v>
      </c>
      <c r="AD92" s="55">
        <v>17247.5</v>
      </c>
      <c r="AE92" s="55">
        <v>17671</v>
      </c>
      <c r="AF92" s="55">
        <v>18405</v>
      </c>
      <c r="AG92" s="55">
        <v>18983</v>
      </c>
      <c r="AH92" s="55">
        <v>19574.5</v>
      </c>
      <c r="AI92" s="55">
        <v>20151</v>
      </c>
      <c r="AJ92" s="55">
        <v>21052.5</v>
      </c>
      <c r="AK92" s="55">
        <v>21655.5</v>
      </c>
      <c r="AL92" s="55">
        <v>22386</v>
      </c>
      <c r="AM92" s="55">
        <v>23088</v>
      </c>
      <c r="AN92" s="55">
        <v>23745.5</v>
      </c>
      <c r="AO92" s="55">
        <v>24220.5</v>
      </c>
      <c r="AP92" s="55">
        <v>24724.5</v>
      </c>
      <c r="AQ92" s="55">
        <v>25179.5</v>
      </c>
      <c r="AR92" s="55">
        <v>25658</v>
      </c>
      <c r="AS92" s="55">
        <v>25884.5</v>
      </c>
      <c r="AT92" s="55">
        <v>26042.5</v>
      </c>
      <c r="AU92" s="55">
        <v>26118</v>
      </c>
      <c r="AV92" s="55">
        <v>26619</v>
      </c>
      <c r="AW92" s="55">
        <v>27300</v>
      </c>
      <c r="AX92" s="55">
        <v>28416.5</v>
      </c>
      <c r="AY92" s="55">
        <v>29459.5</v>
      </c>
      <c r="AZ92" s="55">
        <v>29949.5</v>
      </c>
      <c r="BA92" s="55">
        <v>30456</v>
      </c>
      <c r="BB92" s="55">
        <v>31171</v>
      </c>
      <c r="BC92" s="55">
        <v>31757.5</v>
      </c>
      <c r="BD92" s="55">
        <v>32401</v>
      </c>
      <c r="BE92" s="55">
        <v>32965</v>
      </c>
      <c r="BF92" s="55">
        <v>33649</v>
      </c>
      <c r="BG92" s="55">
        <v>34236.5</v>
      </c>
      <c r="BH92" s="55">
        <v>34926</v>
      </c>
      <c r="BI92" s="55">
        <v>35538.5</v>
      </c>
      <c r="BJ92" s="55">
        <v>36182.5</v>
      </c>
      <c r="BK92" s="55">
        <v>36870.5</v>
      </c>
      <c r="BL92" s="55">
        <v>37584.5</v>
      </c>
      <c r="BM92" s="55">
        <v>38291</v>
      </c>
      <c r="BN92" s="55">
        <v>38972</v>
      </c>
      <c r="BO92" s="55">
        <v>39628</v>
      </c>
      <c r="BP92" s="55">
        <v>40269</v>
      </c>
      <c r="BQ92" s="55">
        <v>40882.5</v>
      </c>
      <c r="BR92" s="55">
        <v>41492</v>
      </c>
      <c r="BS92" s="55">
        <v>42057.5</v>
      </c>
      <c r="BT92" s="55">
        <v>42661</v>
      </c>
      <c r="BU92" s="55">
        <v>43240</v>
      </c>
      <c r="BV92" s="55">
        <v>43850.5</v>
      </c>
      <c r="BW92" s="55">
        <v>44437</v>
      </c>
      <c r="BX92" s="55">
        <v>45054</v>
      </c>
      <c r="BY92" s="55">
        <v>45670.5</v>
      </c>
      <c r="BZ92" s="55">
        <v>46346</v>
      </c>
      <c r="CA92" s="55">
        <v>46976</v>
      </c>
      <c r="CB92" s="55">
        <v>47570.5</v>
      </c>
      <c r="CC92" s="55">
        <v>48183</v>
      </c>
      <c r="CD92" s="55">
        <v>48780.5</v>
      </c>
      <c r="CE92" s="55">
        <v>49368</v>
      </c>
      <c r="CF92" s="55">
        <v>49976</v>
      </c>
      <c r="CG92" s="55">
        <v>50567</v>
      </c>
      <c r="CH92" s="55">
        <v>51147.5</v>
      </c>
      <c r="CI92" s="55">
        <v>51746.5</v>
      </c>
      <c r="CJ92" s="55">
        <v>52298.5</v>
      </c>
      <c r="CK92" s="55">
        <v>52859</v>
      </c>
      <c r="CL92" s="55">
        <v>53448</v>
      </c>
      <c r="CM92" s="55">
        <v>53991.5</v>
      </c>
      <c r="CN92" s="55">
        <v>54555</v>
      </c>
      <c r="CO92" s="55">
        <v>55108.5</v>
      </c>
      <c r="CP92" s="55">
        <v>55659.5</v>
      </c>
      <c r="CQ92" s="55">
        <v>56204</v>
      </c>
      <c r="CR92" s="55">
        <v>56723.5</v>
      </c>
      <c r="CS92" s="55">
        <v>57262</v>
      </c>
      <c r="CT92" s="55">
        <v>57780.5</v>
      </c>
      <c r="CU92" s="55">
        <v>58299</v>
      </c>
      <c r="CV92" s="55">
        <v>58799.5</v>
      </c>
      <c r="CW92" s="55">
        <v>59308</v>
      </c>
      <c r="CX92" s="55">
        <v>59819</v>
      </c>
      <c r="CY92" s="55">
        <v>60306.5</v>
      </c>
      <c r="CZ92" s="55">
        <v>60788.5</v>
      </c>
      <c r="DA92" s="55">
        <v>61269.5</v>
      </c>
      <c r="DB92" s="55">
        <v>61757.5</v>
      </c>
      <c r="DC92" s="55">
        <v>62241</v>
      </c>
      <c r="DD92" s="55">
        <v>62712</v>
      </c>
      <c r="DE92" s="55">
        <v>63177.5</v>
      </c>
      <c r="DF92" s="55">
        <v>63661.5</v>
      </c>
      <c r="DG92" s="55">
        <v>64111</v>
      </c>
      <c r="DH92" s="55">
        <v>64570</v>
      </c>
      <c r="DI92" s="55">
        <v>65010</v>
      </c>
      <c r="DJ92" s="55">
        <v>65469.5</v>
      </c>
      <c r="DK92" s="55">
        <v>65910.5</v>
      </c>
      <c r="DL92" s="55">
        <v>66344</v>
      </c>
      <c r="DM92" s="55">
        <v>66784</v>
      </c>
      <c r="DN92" s="55">
        <v>67219.5</v>
      </c>
      <c r="DO92" s="55">
        <v>67650</v>
      </c>
    </row>
    <row r="93" spans="1:119">
      <c r="A93" s="52">
        <v>91</v>
      </c>
      <c r="B93" s="55"/>
      <c r="C93" s="55"/>
      <c r="D93" s="55"/>
      <c r="E93" s="55"/>
      <c r="F93" s="55"/>
      <c r="G93" s="55"/>
      <c r="H93" s="55"/>
      <c r="I93" s="55"/>
      <c r="J93" s="55"/>
      <c r="K93" s="55"/>
      <c r="L93" s="55"/>
      <c r="M93" s="55"/>
      <c r="N93" s="55"/>
      <c r="O93" s="55"/>
      <c r="P93" s="55"/>
      <c r="Q93" s="55"/>
      <c r="R93" s="55"/>
      <c r="S93" s="55"/>
      <c r="T93" s="55"/>
      <c r="U93" s="55"/>
      <c r="V93" s="55"/>
      <c r="W93" s="55">
        <v>11371</v>
      </c>
      <c r="X93" s="55">
        <v>11810</v>
      </c>
      <c r="Y93" s="55">
        <v>12248.5</v>
      </c>
      <c r="Z93" s="55">
        <v>12974.5</v>
      </c>
      <c r="AA93" s="55">
        <v>13301.5</v>
      </c>
      <c r="AB93" s="55">
        <v>13767</v>
      </c>
      <c r="AC93" s="55">
        <v>14197.5</v>
      </c>
      <c r="AD93" s="55">
        <v>14552.5</v>
      </c>
      <c r="AE93" s="55">
        <v>14944.5</v>
      </c>
      <c r="AF93" s="55">
        <v>15598</v>
      </c>
      <c r="AG93" s="55">
        <v>16121</v>
      </c>
      <c r="AH93" s="55">
        <v>16657</v>
      </c>
      <c r="AI93" s="55">
        <v>17182.5</v>
      </c>
      <c r="AJ93" s="55">
        <v>17987.5</v>
      </c>
      <c r="AK93" s="55">
        <v>18539.5</v>
      </c>
      <c r="AL93" s="55">
        <v>19203</v>
      </c>
      <c r="AM93" s="55">
        <v>19843.5</v>
      </c>
      <c r="AN93" s="55">
        <v>20448</v>
      </c>
      <c r="AO93" s="55">
        <v>20898</v>
      </c>
      <c r="AP93" s="55">
        <v>21373</v>
      </c>
      <c r="AQ93" s="55">
        <v>21806.5</v>
      </c>
      <c r="AR93" s="55">
        <v>22259</v>
      </c>
      <c r="AS93" s="55">
        <v>22496.5</v>
      </c>
      <c r="AT93" s="55">
        <v>22673.5</v>
      </c>
      <c r="AU93" s="55">
        <v>22779</v>
      </c>
      <c r="AV93" s="55">
        <v>23255.5</v>
      </c>
      <c r="AW93" s="55">
        <v>23890</v>
      </c>
      <c r="AX93" s="55">
        <v>24907</v>
      </c>
      <c r="AY93" s="55">
        <v>25864</v>
      </c>
      <c r="AZ93" s="55">
        <v>26337.5</v>
      </c>
      <c r="BA93" s="55">
        <v>26826.5</v>
      </c>
      <c r="BB93" s="55">
        <v>27499.5</v>
      </c>
      <c r="BC93" s="55">
        <v>28060.5</v>
      </c>
      <c r="BD93" s="55">
        <v>28673</v>
      </c>
      <c r="BE93" s="55">
        <v>29216.5</v>
      </c>
      <c r="BF93" s="55">
        <v>29866</v>
      </c>
      <c r="BG93" s="55">
        <v>30433.5</v>
      </c>
      <c r="BH93" s="55">
        <v>31090.5</v>
      </c>
      <c r="BI93" s="55">
        <v>31681.5</v>
      </c>
      <c r="BJ93" s="55">
        <v>32301.5</v>
      </c>
      <c r="BK93" s="55">
        <v>32962</v>
      </c>
      <c r="BL93" s="55">
        <v>33646.5</v>
      </c>
      <c r="BM93" s="55">
        <v>34325.5</v>
      </c>
      <c r="BN93" s="55">
        <v>34982.5</v>
      </c>
      <c r="BO93" s="55">
        <v>35619</v>
      </c>
      <c r="BP93" s="55">
        <v>36243</v>
      </c>
      <c r="BQ93" s="55">
        <v>36842.5</v>
      </c>
      <c r="BR93" s="55">
        <v>37440.5</v>
      </c>
      <c r="BS93" s="55">
        <v>37999</v>
      </c>
      <c r="BT93" s="55">
        <v>38592.5</v>
      </c>
      <c r="BU93" s="55">
        <v>39165</v>
      </c>
      <c r="BV93" s="55">
        <v>39766.5</v>
      </c>
      <c r="BW93" s="55">
        <v>40347</v>
      </c>
      <c r="BX93" s="55">
        <v>40956.5</v>
      </c>
      <c r="BY93" s="55">
        <v>41565.5</v>
      </c>
      <c r="BZ93" s="55">
        <v>42229</v>
      </c>
      <c r="CA93" s="55">
        <v>42852</v>
      </c>
      <c r="CB93" s="55">
        <v>43444.5</v>
      </c>
      <c r="CC93" s="55">
        <v>44052.5</v>
      </c>
      <c r="CD93" s="55">
        <v>44648</v>
      </c>
      <c r="CE93" s="55">
        <v>45235</v>
      </c>
      <c r="CF93" s="55">
        <v>45841.5</v>
      </c>
      <c r="CG93" s="55">
        <v>46433</v>
      </c>
      <c r="CH93" s="55">
        <v>47016</v>
      </c>
      <c r="CI93" s="55">
        <v>47616</v>
      </c>
      <c r="CJ93" s="55">
        <v>48172.5</v>
      </c>
      <c r="CK93" s="55">
        <v>48739</v>
      </c>
      <c r="CL93" s="55">
        <v>49331.5</v>
      </c>
      <c r="CM93" s="55">
        <v>49882.5</v>
      </c>
      <c r="CN93" s="55">
        <v>50452</v>
      </c>
      <c r="CO93" s="55">
        <v>51013.5</v>
      </c>
      <c r="CP93" s="55">
        <v>51572</v>
      </c>
      <c r="CQ93" s="55">
        <v>52125.5</v>
      </c>
      <c r="CR93" s="55">
        <v>52657</v>
      </c>
      <c r="CS93" s="55">
        <v>53205.5</v>
      </c>
      <c r="CT93" s="55">
        <v>53736</v>
      </c>
      <c r="CU93" s="55">
        <v>54266.5</v>
      </c>
      <c r="CV93" s="55">
        <v>54781</v>
      </c>
      <c r="CW93" s="55">
        <v>55302.5</v>
      </c>
      <c r="CX93" s="55">
        <v>55828</v>
      </c>
      <c r="CY93" s="55">
        <v>56330.5</v>
      </c>
      <c r="CZ93" s="55">
        <v>56829</v>
      </c>
      <c r="DA93" s="55">
        <v>57325.5</v>
      </c>
      <c r="DB93" s="55">
        <v>57830</v>
      </c>
      <c r="DC93" s="55">
        <v>58329.5</v>
      </c>
      <c r="DD93" s="55">
        <v>58818</v>
      </c>
      <c r="DE93" s="55">
        <v>59301</v>
      </c>
      <c r="DF93" s="55">
        <v>59803</v>
      </c>
      <c r="DG93" s="55">
        <v>60271</v>
      </c>
      <c r="DH93" s="55">
        <v>60749</v>
      </c>
      <c r="DI93" s="55">
        <v>61209</v>
      </c>
      <c r="DJ93" s="55">
        <v>61688</v>
      </c>
      <c r="DK93" s="55">
        <v>62148.5</v>
      </c>
      <c r="DL93" s="55">
        <v>62602</v>
      </c>
      <c r="DM93" s="55">
        <v>63063</v>
      </c>
      <c r="DN93" s="55">
        <v>63518.5</v>
      </c>
      <c r="DO93" s="55">
        <v>63970</v>
      </c>
    </row>
    <row r="94" spans="1:119">
      <c r="A94" s="52">
        <v>92</v>
      </c>
      <c r="B94" s="55"/>
      <c r="C94" s="55"/>
      <c r="D94" s="55"/>
      <c r="E94" s="55"/>
      <c r="F94" s="55"/>
      <c r="G94" s="55"/>
      <c r="H94" s="55"/>
      <c r="I94" s="55"/>
      <c r="J94" s="55"/>
      <c r="K94" s="55"/>
      <c r="L94" s="55"/>
      <c r="M94" s="55"/>
      <c r="N94" s="55"/>
      <c r="O94" s="55"/>
      <c r="P94" s="55"/>
      <c r="Q94" s="55"/>
      <c r="R94" s="55"/>
      <c r="S94" s="55"/>
      <c r="T94" s="55"/>
      <c r="U94" s="55"/>
      <c r="V94" s="55"/>
      <c r="W94" s="55">
        <v>9247</v>
      </c>
      <c r="X94" s="55">
        <v>9720.5</v>
      </c>
      <c r="Y94" s="55">
        <v>9983.5</v>
      </c>
      <c r="Z94" s="55">
        <v>10614</v>
      </c>
      <c r="AA94" s="55">
        <v>10911</v>
      </c>
      <c r="AB94" s="55">
        <v>11321.5</v>
      </c>
      <c r="AC94" s="55">
        <v>11707.5</v>
      </c>
      <c r="AD94" s="55">
        <v>12032</v>
      </c>
      <c r="AE94" s="55">
        <v>12388</v>
      </c>
      <c r="AF94" s="55">
        <v>12959</v>
      </c>
      <c r="AG94" s="55">
        <v>13424.5</v>
      </c>
      <c r="AH94" s="55">
        <v>13900.5</v>
      </c>
      <c r="AI94" s="55">
        <v>14371.5</v>
      </c>
      <c r="AJ94" s="55">
        <v>15078.5</v>
      </c>
      <c r="AK94" s="55">
        <v>15575</v>
      </c>
      <c r="AL94" s="55">
        <v>16166.5</v>
      </c>
      <c r="AM94" s="55">
        <v>16741.5</v>
      </c>
      <c r="AN94" s="55">
        <v>17288.5</v>
      </c>
      <c r="AO94" s="55">
        <v>17706.5</v>
      </c>
      <c r="AP94" s="55">
        <v>18145.5</v>
      </c>
      <c r="AQ94" s="55">
        <v>18549.5</v>
      </c>
      <c r="AR94" s="55">
        <v>18970.5</v>
      </c>
      <c r="AS94" s="55">
        <v>19211</v>
      </c>
      <c r="AT94" s="55">
        <v>19399</v>
      </c>
      <c r="AU94" s="55">
        <v>19527.5</v>
      </c>
      <c r="AV94" s="55">
        <v>19972</v>
      </c>
      <c r="AW94" s="55">
        <v>20554.5</v>
      </c>
      <c r="AX94" s="55">
        <v>21467.5</v>
      </c>
      <c r="AY94" s="55">
        <v>22332</v>
      </c>
      <c r="AZ94" s="55">
        <v>22781</v>
      </c>
      <c r="BA94" s="55">
        <v>23245</v>
      </c>
      <c r="BB94" s="55">
        <v>23869.5</v>
      </c>
      <c r="BC94" s="55">
        <v>24398</v>
      </c>
      <c r="BD94" s="55">
        <v>24972</v>
      </c>
      <c r="BE94" s="55">
        <v>25487</v>
      </c>
      <c r="BF94" s="55">
        <v>26096.5</v>
      </c>
      <c r="BG94" s="55">
        <v>26635.5</v>
      </c>
      <c r="BH94" s="55">
        <v>27254</v>
      </c>
      <c r="BI94" s="55">
        <v>27815</v>
      </c>
      <c r="BJ94" s="55">
        <v>28403</v>
      </c>
      <c r="BK94" s="55">
        <v>29029</v>
      </c>
      <c r="BL94" s="55">
        <v>29676</v>
      </c>
      <c r="BM94" s="55">
        <v>30320</v>
      </c>
      <c r="BN94" s="55">
        <v>30946.5</v>
      </c>
      <c r="BO94" s="55">
        <v>31554.5</v>
      </c>
      <c r="BP94" s="55">
        <v>32154.5</v>
      </c>
      <c r="BQ94" s="55">
        <v>32733</v>
      </c>
      <c r="BR94" s="55">
        <v>33311</v>
      </c>
      <c r="BS94" s="55">
        <v>33855.5</v>
      </c>
      <c r="BT94" s="55">
        <v>34431.5</v>
      </c>
      <c r="BU94" s="55">
        <v>34990</v>
      </c>
      <c r="BV94" s="55">
        <v>35575</v>
      </c>
      <c r="BW94" s="55">
        <v>36142.5</v>
      </c>
      <c r="BX94" s="55">
        <v>36736.5</v>
      </c>
      <c r="BY94" s="55">
        <v>37331</v>
      </c>
      <c r="BZ94" s="55">
        <v>37975.5</v>
      </c>
      <c r="CA94" s="55">
        <v>38584.5</v>
      </c>
      <c r="CB94" s="55">
        <v>39167</v>
      </c>
      <c r="CC94" s="55">
        <v>39764</v>
      </c>
      <c r="CD94" s="55">
        <v>40350.5</v>
      </c>
      <c r="CE94" s="55">
        <v>40930.5</v>
      </c>
      <c r="CF94" s="55">
        <v>41528.5</v>
      </c>
      <c r="CG94" s="55">
        <v>42114</v>
      </c>
      <c r="CH94" s="55">
        <v>42692</v>
      </c>
      <c r="CI94" s="55">
        <v>43287</v>
      </c>
      <c r="CJ94" s="55">
        <v>43843</v>
      </c>
      <c r="CK94" s="55">
        <v>44407.5</v>
      </c>
      <c r="CL94" s="55">
        <v>44997.5</v>
      </c>
      <c r="CM94" s="55">
        <v>45550</v>
      </c>
      <c r="CN94" s="55">
        <v>46119.5</v>
      </c>
      <c r="CO94" s="55">
        <v>46682.5</v>
      </c>
      <c r="CP94" s="55">
        <v>47243.5</v>
      </c>
      <c r="CQ94" s="55">
        <v>47800.5</v>
      </c>
      <c r="CR94" s="55">
        <v>48337.5</v>
      </c>
      <c r="CS94" s="55">
        <v>48890.5</v>
      </c>
      <c r="CT94" s="55">
        <v>49427.5</v>
      </c>
      <c r="CU94" s="55">
        <v>49965.5</v>
      </c>
      <c r="CV94" s="55">
        <v>50488.5</v>
      </c>
      <c r="CW94" s="55">
        <v>51019</v>
      </c>
      <c r="CX94" s="55">
        <v>51552.5</v>
      </c>
      <c r="CY94" s="55">
        <v>52066.5</v>
      </c>
      <c r="CZ94" s="55">
        <v>52576</v>
      </c>
      <c r="DA94" s="55">
        <v>53084.5</v>
      </c>
      <c r="DB94" s="55">
        <v>53600.5</v>
      </c>
      <c r="DC94" s="55">
        <v>54112.5</v>
      </c>
      <c r="DD94" s="55">
        <v>54614</v>
      </c>
      <c r="DE94" s="55">
        <v>55111.5</v>
      </c>
      <c r="DF94" s="55">
        <v>55625.5</v>
      </c>
      <c r="DG94" s="55">
        <v>56109.5</v>
      </c>
      <c r="DH94" s="55">
        <v>56602.5</v>
      </c>
      <c r="DI94" s="55">
        <v>57079</v>
      </c>
      <c r="DJ94" s="55">
        <v>57573</v>
      </c>
      <c r="DK94" s="55">
        <v>58050.5</v>
      </c>
      <c r="DL94" s="55">
        <v>58522</v>
      </c>
      <c r="DM94" s="55">
        <v>58999</v>
      </c>
      <c r="DN94" s="55">
        <v>59473</v>
      </c>
      <c r="DO94" s="55">
        <v>59942.5</v>
      </c>
    </row>
    <row r="95" spans="1:119">
      <c r="A95" s="52">
        <v>93</v>
      </c>
      <c r="B95" s="55"/>
      <c r="C95" s="55"/>
      <c r="D95" s="55"/>
      <c r="E95" s="55"/>
      <c r="F95" s="55"/>
      <c r="G95" s="55"/>
      <c r="H95" s="55"/>
      <c r="I95" s="55"/>
      <c r="J95" s="55"/>
      <c r="K95" s="55"/>
      <c r="L95" s="55"/>
      <c r="M95" s="55"/>
      <c r="N95" s="55"/>
      <c r="O95" s="55"/>
      <c r="P95" s="55"/>
      <c r="Q95" s="55"/>
      <c r="R95" s="55"/>
      <c r="S95" s="55"/>
      <c r="T95" s="55"/>
      <c r="U95" s="55"/>
      <c r="V95" s="55"/>
      <c r="W95" s="55">
        <v>7443</v>
      </c>
      <c r="X95" s="55">
        <v>7720</v>
      </c>
      <c r="Y95" s="55">
        <v>7961</v>
      </c>
      <c r="Z95" s="55">
        <v>8486</v>
      </c>
      <c r="AA95" s="55">
        <v>8749</v>
      </c>
      <c r="AB95" s="55">
        <v>9103.5</v>
      </c>
      <c r="AC95" s="55">
        <v>9442</v>
      </c>
      <c r="AD95" s="55">
        <v>9731.5</v>
      </c>
      <c r="AE95" s="55">
        <v>10046</v>
      </c>
      <c r="AF95" s="55">
        <v>10536</v>
      </c>
      <c r="AG95" s="55">
        <v>10941</v>
      </c>
      <c r="AH95" s="55">
        <v>11357</v>
      </c>
      <c r="AI95" s="55">
        <v>11770</v>
      </c>
      <c r="AJ95" s="55">
        <v>12378</v>
      </c>
      <c r="AK95" s="55">
        <v>12816.5</v>
      </c>
      <c r="AL95" s="55">
        <v>13335</v>
      </c>
      <c r="AM95" s="55">
        <v>13840.5</v>
      </c>
      <c r="AN95" s="55">
        <v>14325.5</v>
      </c>
      <c r="AO95" s="55">
        <v>14705</v>
      </c>
      <c r="AP95" s="55">
        <v>15102.5</v>
      </c>
      <c r="AQ95" s="55">
        <v>15472</v>
      </c>
      <c r="AR95" s="55">
        <v>15855</v>
      </c>
      <c r="AS95" s="55">
        <v>16091</v>
      </c>
      <c r="AT95" s="55">
        <v>16282</v>
      </c>
      <c r="AU95" s="55">
        <v>16424</v>
      </c>
      <c r="AV95" s="55">
        <v>16831</v>
      </c>
      <c r="AW95" s="55">
        <v>17356</v>
      </c>
      <c r="AX95" s="55">
        <v>18162</v>
      </c>
      <c r="AY95" s="55">
        <v>18930</v>
      </c>
      <c r="AZ95" s="55">
        <v>19348.5</v>
      </c>
      <c r="BA95" s="55">
        <v>19780</v>
      </c>
      <c r="BB95" s="55">
        <v>20349</v>
      </c>
      <c r="BC95" s="55">
        <v>20838.5</v>
      </c>
      <c r="BD95" s="55">
        <v>21367</v>
      </c>
      <c r="BE95" s="55">
        <v>21847.5</v>
      </c>
      <c r="BF95" s="55">
        <v>22409.5</v>
      </c>
      <c r="BG95" s="55">
        <v>22913</v>
      </c>
      <c r="BH95" s="55">
        <v>23485</v>
      </c>
      <c r="BI95" s="55">
        <v>24009.5</v>
      </c>
      <c r="BJ95" s="55">
        <v>24558.5</v>
      </c>
      <c r="BK95" s="55">
        <v>25141</v>
      </c>
      <c r="BL95" s="55">
        <v>25744</v>
      </c>
      <c r="BM95" s="55">
        <v>26345.5</v>
      </c>
      <c r="BN95" s="55">
        <v>26933</v>
      </c>
      <c r="BO95" s="55">
        <v>27506</v>
      </c>
      <c r="BP95" s="55">
        <v>28073</v>
      </c>
      <c r="BQ95" s="55">
        <v>28623.5</v>
      </c>
      <c r="BR95" s="55">
        <v>29174</v>
      </c>
      <c r="BS95" s="55">
        <v>29695.5</v>
      </c>
      <c r="BT95" s="55">
        <v>30246</v>
      </c>
      <c r="BU95" s="55">
        <v>30783</v>
      </c>
      <c r="BV95" s="55">
        <v>31343.5</v>
      </c>
      <c r="BW95" s="55">
        <v>31890</v>
      </c>
      <c r="BX95" s="55">
        <v>32460.5</v>
      </c>
      <c r="BY95" s="55">
        <v>33032.5</v>
      </c>
      <c r="BZ95" s="55">
        <v>33650</v>
      </c>
      <c r="CA95" s="55">
        <v>34237</v>
      </c>
      <c r="CB95" s="55">
        <v>34801.5</v>
      </c>
      <c r="CC95" s="55">
        <v>35380</v>
      </c>
      <c r="CD95" s="55">
        <v>35950</v>
      </c>
      <c r="CE95" s="55">
        <v>36514.5</v>
      </c>
      <c r="CF95" s="55">
        <v>37096.5</v>
      </c>
      <c r="CG95" s="55">
        <v>37668</v>
      </c>
      <c r="CH95" s="55">
        <v>38234</v>
      </c>
      <c r="CI95" s="55">
        <v>38815.5</v>
      </c>
      <c r="CJ95" s="55">
        <v>39363.5</v>
      </c>
      <c r="CK95" s="55">
        <v>39919</v>
      </c>
      <c r="CL95" s="55">
        <v>40499</v>
      </c>
      <c r="CM95" s="55">
        <v>41045.5</v>
      </c>
      <c r="CN95" s="55">
        <v>41608.5</v>
      </c>
      <c r="CO95" s="55">
        <v>42165.5</v>
      </c>
      <c r="CP95" s="55">
        <v>42722.5</v>
      </c>
      <c r="CQ95" s="55">
        <v>43275.5</v>
      </c>
      <c r="CR95" s="55">
        <v>43811.5</v>
      </c>
      <c r="CS95" s="55">
        <v>44363</v>
      </c>
      <c r="CT95" s="55">
        <v>44900</v>
      </c>
      <c r="CU95" s="55">
        <v>45438</v>
      </c>
      <c r="CV95" s="55">
        <v>45964</v>
      </c>
      <c r="CW95" s="55">
        <v>46496.5</v>
      </c>
      <c r="CX95" s="55">
        <v>47032.5</v>
      </c>
      <c r="CY95" s="55">
        <v>47551</v>
      </c>
      <c r="CZ95" s="55">
        <v>48066</v>
      </c>
      <c r="DA95" s="55">
        <v>48581</v>
      </c>
      <c r="DB95" s="55">
        <v>49102.5</v>
      </c>
      <c r="DC95" s="55">
        <v>49621</v>
      </c>
      <c r="DD95" s="55">
        <v>50130.5</v>
      </c>
      <c r="DE95" s="55">
        <v>50637</v>
      </c>
      <c r="DF95" s="55">
        <v>51159</v>
      </c>
      <c r="DG95" s="55">
        <v>51653</v>
      </c>
      <c r="DH95" s="55">
        <v>52156</v>
      </c>
      <c r="DI95" s="55">
        <v>52644</v>
      </c>
      <c r="DJ95" s="55">
        <v>53148.5</v>
      </c>
      <c r="DK95" s="55">
        <v>53638</v>
      </c>
      <c r="DL95" s="55">
        <v>54122.5</v>
      </c>
      <c r="DM95" s="55">
        <v>54613</v>
      </c>
      <c r="DN95" s="55">
        <v>55099</v>
      </c>
      <c r="DO95" s="55">
        <v>55582.5</v>
      </c>
    </row>
    <row r="96" spans="1:119">
      <c r="A96" s="52">
        <v>94</v>
      </c>
      <c r="B96" s="55"/>
      <c r="C96" s="55"/>
      <c r="D96" s="55"/>
      <c r="E96" s="55"/>
      <c r="F96" s="55"/>
      <c r="G96" s="55"/>
      <c r="H96" s="55"/>
      <c r="I96" s="55"/>
      <c r="J96" s="55"/>
      <c r="K96" s="55"/>
      <c r="L96" s="55"/>
      <c r="M96" s="55"/>
      <c r="N96" s="55"/>
      <c r="O96" s="55"/>
      <c r="P96" s="55"/>
      <c r="Q96" s="55"/>
      <c r="R96" s="55"/>
      <c r="S96" s="55"/>
      <c r="T96" s="55"/>
      <c r="U96" s="55"/>
      <c r="V96" s="55"/>
      <c r="W96" s="55">
        <v>5750.5</v>
      </c>
      <c r="X96" s="55">
        <v>5987</v>
      </c>
      <c r="Y96" s="55">
        <v>6193.5</v>
      </c>
      <c r="Z96" s="55">
        <v>6620.5</v>
      </c>
      <c r="AA96" s="55">
        <v>6847</v>
      </c>
      <c r="AB96" s="55">
        <v>7145.5</v>
      </c>
      <c r="AC96" s="55">
        <v>7434.5</v>
      </c>
      <c r="AD96" s="55">
        <v>7686.5</v>
      </c>
      <c r="AE96" s="55">
        <v>7958.5</v>
      </c>
      <c r="AF96" s="55">
        <v>8369</v>
      </c>
      <c r="AG96" s="55">
        <v>8714.5</v>
      </c>
      <c r="AH96" s="55">
        <v>9069</v>
      </c>
      <c r="AI96" s="55">
        <v>9423</v>
      </c>
      <c r="AJ96" s="55">
        <v>9936.5</v>
      </c>
      <c r="AK96" s="55">
        <v>10314.5</v>
      </c>
      <c r="AL96" s="55">
        <v>10758.5</v>
      </c>
      <c r="AM96" s="55">
        <v>11194</v>
      </c>
      <c r="AN96" s="55">
        <v>11614.5</v>
      </c>
      <c r="AO96" s="55">
        <v>11951</v>
      </c>
      <c r="AP96" s="55">
        <v>12302</v>
      </c>
      <c r="AQ96" s="55">
        <v>12632.5</v>
      </c>
      <c r="AR96" s="55">
        <v>12974</v>
      </c>
      <c r="AS96" s="55">
        <v>13197</v>
      </c>
      <c r="AT96" s="55">
        <v>13383</v>
      </c>
      <c r="AU96" s="55">
        <v>13530</v>
      </c>
      <c r="AV96" s="55">
        <v>13895.5</v>
      </c>
      <c r="AW96" s="55">
        <v>14359.5</v>
      </c>
      <c r="AX96" s="55">
        <v>15057</v>
      </c>
      <c r="AY96" s="55">
        <v>15726.5</v>
      </c>
      <c r="AZ96" s="55">
        <v>16107.5</v>
      </c>
      <c r="BA96" s="55">
        <v>16502</v>
      </c>
      <c r="BB96" s="55">
        <v>17010.5</v>
      </c>
      <c r="BC96" s="55">
        <v>17454.5</v>
      </c>
      <c r="BD96" s="55">
        <v>17932</v>
      </c>
      <c r="BE96" s="55">
        <v>18370.5</v>
      </c>
      <c r="BF96" s="55">
        <v>18879.5</v>
      </c>
      <c r="BG96" s="55">
        <v>19341</v>
      </c>
      <c r="BH96" s="55">
        <v>19860</v>
      </c>
      <c r="BI96" s="55">
        <v>20341</v>
      </c>
      <c r="BJ96" s="55">
        <v>20844.5</v>
      </c>
      <c r="BK96" s="55">
        <v>21377</v>
      </c>
      <c r="BL96" s="55">
        <v>21929</v>
      </c>
      <c r="BM96" s="55">
        <v>22481</v>
      </c>
      <c r="BN96" s="55">
        <v>23022.5</v>
      </c>
      <c r="BO96" s="55">
        <v>23552.5</v>
      </c>
      <c r="BP96" s="55">
        <v>24079.5</v>
      </c>
      <c r="BQ96" s="55">
        <v>24593</v>
      </c>
      <c r="BR96" s="55">
        <v>25108</v>
      </c>
      <c r="BS96" s="55">
        <v>25599.5</v>
      </c>
      <c r="BT96" s="55">
        <v>26116.5</v>
      </c>
      <c r="BU96" s="55">
        <v>26623</v>
      </c>
      <c r="BV96" s="55">
        <v>27151</v>
      </c>
      <c r="BW96" s="55">
        <v>27668</v>
      </c>
      <c r="BX96" s="55">
        <v>28207.5</v>
      </c>
      <c r="BY96" s="55">
        <v>28749</v>
      </c>
      <c r="BZ96" s="55">
        <v>29330.5</v>
      </c>
      <c r="CA96" s="55">
        <v>29887.5</v>
      </c>
      <c r="CB96" s="55">
        <v>30426</v>
      </c>
      <c r="CC96" s="55">
        <v>30977.5</v>
      </c>
      <c r="CD96" s="55">
        <v>31522</v>
      </c>
      <c r="CE96" s="55">
        <v>32064</v>
      </c>
      <c r="CF96" s="55">
        <v>32621</v>
      </c>
      <c r="CG96" s="55">
        <v>33170.5</v>
      </c>
      <c r="CH96" s="55">
        <v>33715.5</v>
      </c>
      <c r="CI96" s="55">
        <v>34275.5</v>
      </c>
      <c r="CJ96" s="55">
        <v>34807</v>
      </c>
      <c r="CK96" s="55">
        <v>35346.5</v>
      </c>
      <c r="CL96" s="55">
        <v>35908</v>
      </c>
      <c r="CM96" s="55">
        <v>36440.5</v>
      </c>
      <c r="CN96" s="55">
        <v>36988</v>
      </c>
      <c r="CO96" s="55">
        <v>37531.5</v>
      </c>
      <c r="CP96" s="55">
        <v>38076</v>
      </c>
      <c r="CQ96" s="55">
        <v>38618</v>
      </c>
      <c r="CR96" s="55">
        <v>39144.5</v>
      </c>
      <c r="CS96" s="55">
        <v>39686.5</v>
      </c>
      <c r="CT96" s="55">
        <v>40215.5</v>
      </c>
      <c r="CU96" s="55">
        <v>40747</v>
      </c>
      <c r="CV96" s="55">
        <v>41267.5</v>
      </c>
      <c r="CW96" s="55">
        <v>41795</v>
      </c>
      <c r="CX96" s="55">
        <v>42326</v>
      </c>
      <c r="CY96" s="55">
        <v>42842.5</v>
      </c>
      <c r="CZ96" s="55">
        <v>43355.5</v>
      </c>
      <c r="DA96" s="55">
        <v>43869.5</v>
      </c>
      <c r="DB96" s="55">
        <v>44390</v>
      </c>
      <c r="DC96" s="55">
        <v>44908.5</v>
      </c>
      <c r="DD96" s="55">
        <v>45419</v>
      </c>
      <c r="DE96" s="55">
        <v>45927</v>
      </c>
      <c r="DF96" s="55">
        <v>46450</v>
      </c>
      <c r="DG96" s="55">
        <v>46948.5</v>
      </c>
      <c r="DH96" s="55">
        <v>47455</v>
      </c>
      <c r="DI96" s="55">
        <v>47948</v>
      </c>
      <c r="DJ96" s="55">
        <v>48457</v>
      </c>
      <c r="DK96" s="55">
        <v>48952.5</v>
      </c>
      <c r="DL96" s="55">
        <v>49443.5</v>
      </c>
      <c r="DM96" s="55">
        <v>49941</v>
      </c>
      <c r="DN96" s="55">
        <v>50435</v>
      </c>
      <c r="DO96" s="55">
        <v>50926.5</v>
      </c>
    </row>
    <row r="97" spans="1:119">
      <c r="A97" s="52">
        <v>95</v>
      </c>
      <c r="B97" s="55"/>
      <c r="C97" s="55"/>
      <c r="D97" s="55"/>
      <c r="E97" s="55"/>
      <c r="F97" s="55"/>
      <c r="G97" s="55"/>
      <c r="H97" s="55"/>
      <c r="I97" s="55"/>
      <c r="J97" s="55"/>
      <c r="K97" s="55"/>
      <c r="L97" s="55"/>
      <c r="M97" s="55"/>
      <c r="N97" s="55"/>
      <c r="O97" s="55"/>
      <c r="P97" s="55"/>
      <c r="Q97" s="55"/>
      <c r="R97" s="55"/>
      <c r="S97" s="55"/>
      <c r="T97" s="55"/>
      <c r="U97" s="55"/>
      <c r="V97" s="55"/>
      <c r="W97" s="55">
        <v>4331</v>
      </c>
      <c r="X97" s="55">
        <v>4523.5</v>
      </c>
      <c r="Y97" s="55">
        <v>4695.5</v>
      </c>
      <c r="Z97" s="55">
        <v>5034.5</v>
      </c>
      <c r="AA97" s="55">
        <v>5223.5</v>
      </c>
      <c r="AB97" s="55">
        <v>5469</v>
      </c>
      <c r="AC97" s="55">
        <v>5709.5</v>
      </c>
      <c r="AD97" s="55">
        <v>5922.5</v>
      </c>
      <c r="AE97" s="55">
        <v>6151.5</v>
      </c>
      <c r="AF97" s="55">
        <v>6487.5</v>
      </c>
      <c r="AG97" s="55">
        <v>6774.5</v>
      </c>
      <c r="AH97" s="55">
        <v>7069.5</v>
      </c>
      <c r="AI97" s="55">
        <v>7366</v>
      </c>
      <c r="AJ97" s="55">
        <v>7789</v>
      </c>
      <c r="AK97" s="55">
        <v>8107</v>
      </c>
      <c r="AL97" s="55">
        <v>8479</v>
      </c>
      <c r="AM97" s="55">
        <v>8845</v>
      </c>
      <c r="AN97" s="55">
        <v>9200.5</v>
      </c>
      <c r="AO97" s="55">
        <v>9491.5</v>
      </c>
      <c r="AP97" s="55">
        <v>9795</v>
      </c>
      <c r="AQ97" s="55">
        <v>10082</v>
      </c>
      <c r="AR97" s="55">
        <v>10379</v>
      </c>
      <c r="AS97" s="55">
        <v>10583</v>
      </c>
      <c r="AT97" s="55">
        <v>10758</v>
      </c>
      <c r="AU97" s="55">
        <v>10902.5</v>
      </c>
      <c r="AV97" s="55">
        <v>11222</v>
      </c>
      <c r="AW97" s="55">
        <v>11623</v>
      </c>
      <c r="AX97" s="55">
        <v>12214.5</v>
      </c>
      <c r="AY97" s="55">
        <v>12786.5</v>
      </c>
      <c r="AZ97" s="55">
        <v>13125.5</v>
      </c>
      <c r="BA97" s="55">
        <v>13476.5</v>
      </c>
      <c r="BB97" s="55">
        <v>13921.5</v>
      </c>
      <c r="BC97" s="55">
        <v>14315.5</v>
      </c>
      <c r="BD97" s="55">
        <v>14738</v>
      </c>
      <c r="BE97" s="55">
        <v>15130</v>
      </c>
      <c r="BF97" s="55">
        <v>15580</v>
      </c>
      <c r="BG97" s="55">
        <v>15994</v>
      </c>
      <c r="BH97" s="55">
        <v>16456</v>
      </c>
      <c r="BI97" s="55">
        <v>16888</v>
      </c>
      <c r="BJ97" s="55">
        <v>17340</v>
      </c>
      <c r="BK97" s="55">
        <v>17817.5</v>
      </c>
      <c r="BL97" s="55">
        <v>18312.5</v>
      </c>
      <c r="BM97" s="55">
        <v>18809</v>
      </c>
      <c r="BN97" s="55">
        <v>19298</v>
      </c>
      <c r="BO97" s="55">
        <v>19779</v>
      </c>
      <c r="BP97" s="55">
        <v>20259</v>
      </c>
      <c r="BQ97" s="55">
        <v>20728.5</v>
      </c>
      <c r="BR97" s="55">
        <v>21200.5</v>
      </c>
      <c r="BS97" s="55">
        <v>21654</v>
      </c>
      <c r="BT97" s="55">
        <v>22131</v>
      </c>
      <c r="BU97" s="55">
        <v>22599.5</v>
      </c>
      <c r="BV97" s="55">
        <v>23088</v>
      </c>
      <c r="BW97" s="55">
        <v>23567.5</v>
      </c>
      <c r="BX97" s="55">
        <v>24067.5</v>
      </c>
      <c r="BY97" s="55">
        <v>24570.5</v>
      </c>
      <c r="BZ97" s="55">
        <v>25108.5</v>
      </c>
      <c r="CA97" s="55">
        <v>25627.5</v>
      </c>
      <c r="CB97" s="55">
        <v>26131</v>
      </c>
      <c r="CC97" s="55">
        <v>26647</v>
      </c>
      <c r="CD97" s="55">
        <v>27158.5</v>
      </c>
      <c r="CE97" s="55">
        <v>27668.5</v>
      </c>
      <c r="CF97" s="55">
        <v>28192.5</v>
      </c>
      <c r="CG97" s="55">
        <v>28711.5</v>
      </c>
      <c r="CH97" s="55">
        <v>29227.5</v>
      </c>
      <c r="CI97" s="55">
        <v>29757.5</v>
      </c>
      <c r="CJ97" s="55">
        <v>30263.5</v>
      </c>
      <c r="CK97" s="55">
        <v>30778</v>
      </c>
      <c r="CL97" s="55">
        <v>31311.5</v>
      </c>
      <c r="CM97" s="55">
        <v>31822</v>
      </c>
      <c r="CN97" s="55">
        <v>32346</v>
      </c>
      <c r="CO97" s="55">
        <v>32867.5</v>
      </c>
      <c r="CP97" s="55">
        <v>33390.5</v>
      </c>
      <c r="CQ97" s="55">
        <v>33912.5</v>
      </c>
      <c r="CR97" s="55">
        <v>34421.5</v>
      </c>
      <c r="CS97" s="55">
        <v>34945</v>
      </c>
      <c r="CT97" s="55">
        <v>35458.5</v>
      </c>
      <c r="CU97" s="55">
        <v>35974</v>
      </c>
      <c r="CV97" s="55">
        <v>36481</v>
      </c>
      <c r="CW97" s="55">
        <v>36995</v>
      </c>
      <c r="CX97" s="55">
        <v>37512.5</v>
      </c>
      <c r="CY97" s="55">
        <v>38018</v>
      </c>
      <c r="CZ97" s="55">
        <v>38521.5</v>
      </c>
      <c r="DA97" s="55">
        <v>39026</v>
      </c>
      <c r="DB97" s="55">
        <v>39537.5</v>
      </c>
      <c r="DC97" s="55">
        <v>40047.5</v>
      </c>
      <c r="DD97" s="55">
        <v>40551</v>
      </c>
      <c r="DE97" s="55">
        <v>41053</v>
      </c>
      <c r="DF97" s="55">
        <v>41569</v>
      </c>
      <c r="DG97" s="55">
        <v>42063.5</v>
      </c>
      <c r="DH97" s="55">
        <v>42566.5</v>
      </c>
      <c r="DI97" s="55">
        <v>43057</v>
      </c>
      <c r="DJ97" s="55">
        <v>43563</v>
      </c>
      <c r="DK97" s="55">
        <v>44057.5</v>
      </c>
      <c r="DL97" s="55">
        <v>44548.5</v>
      </c>
      <c r="DM97" s="55">
        <v>45045</v>
      </c>
      <c r="DN97" s="55">
        <v>45539.5</v>
      </c>
      <c r="DO97" s="55">
        <v>46032</v>
      </c>
    </row>
    <row r="98" spans="1:119">
      <c r="A98" s="52">
        <v>96</v>
      </c>
      <c r="B98" s="55"/>
      <c r="C98" s="55"/>
      <c r="D98" s="55"/>
      <c r="E98" s="55"/>
      <c r="F98" s="55"/>
      <c r="G98" s="55"/>
      <c r="H98" s="55"/>
      <c r="I98" s="55"/>
      <c r="J98" s="55"/>
      <c r="K98" s="55"/>
      <c r="L98" s="55"/>
      <c r="M98" s="55"/>
      <c r="N98" s="55"/>
      <c r="O98" s="55"/>
      <c r="P98" s="55"/>
      <c r="Q98" s="55"/>
      <c r="R98" s="55"/>
      <c r="S98" s="55"/>
      <c r="T98" s="55"/>
      <c r="U98" s="55"/>
      <c r="V98" s="55"/>
      <c r="W98" s="55">
        <v>3170</v>
      </c>
      <c r="X98" s="55">
        <v>3322</v>
      </c>
      <c r="Y98" s="55">
        <v>3460.5</v>
      </c>
      <c r="Z98" s="55">
        <v>3721.5</v>
      </c>
      <c r="AA98" s="55">
        <v>3875</v>
      </c>
      <c r="AB98" s="55">
        <v>4070</v>
      </c>
      <c r="AC98" s="55">
        <v>4264</v>
      </c>
      <c r="AD98" s="55">
        <v>4438</v>
      </c>
      <c r="AE98" s="55">
        <v>4625</v>
      </c>
      <c r="AF98" s="55">
        <v>4892</v>
      </c>
      <c r="AG98" s="55">
        <v>5123</v>
      </c>
      <c r="AH98" s="55">
        <v>5361.5</v>
      </c>
      <c r="AI98" s="55">
        <v>5602.5</v>
      </c>
      <c r="AJ98" s="55">
        <v>5941</v>
      </c>
      <c r="AK98" s="55">
        <v>6201.5</v>
      </c>
      <c r="AL98" s="55">
        <v>6504</v>
      </c>
      <c r="AM98" s="55">
        <v>6802.5</v>
      </c>
      <c r="AN98" s="55">
        <v>7094</v>
      </c>
      <c r="AO98" s="55">
        <v>7338</v>
      </c>
      <c r="AP98" s="55">
        <v>7591.5</v>
      </c>
      <c r="AQ98" s="55">
        <v>7833.5</v>
      </c>
      <c r="AR98" s="55">
        <v>8083.5</v>
      </c>
      <c r="AS98" s="55">
        <v>8263.5</v>
      </c>
      <c r="AT98" s="55">
        <v>8420.5</v>
      </c>
      <c r="AU98" s="55">
        <v>8554</v>
      </c>
      <c r="AV98" s="55">
        <v>8825.5</v>
      </c>
      <c r="AW98" s="55">
        <v>9162</v>
      </c>
      <c r="AX98" s="55">
        <v>9649.5</v>
      </c>
      <c r="AY98" s="55">
        <v>10124.5</v>
      </c>
      <c r="AZ98" s="55">
        <v>10417</v>
      </c>
      <c r="BA98" s="55">
        <v>10719.5</v>
      </c>
      <c r="BB98" s="55">
        <v>11098.5</v>
      </c>
      <c r="BC98" s="55">
        <v>11437</v>
      </c>
      <c r="BD98" s="55">
        <v>11799.5</v>
      </c>
      <c r="BE98" s="55">
        <v>12139.5</v>
      </c>
      <c r="BF98" s="55">
        <v>12527</v>
      </c>
      <c r="BG98" s="55">
        <v>12887</v>
      </c>
      <c r="BH98" s="55">
        <v>13286</v>
      </c>
      <c r="BI98" s="55">
        <v>13662</v>
      </c>
      <c r="BJ98" s="55">
        <v>14056</v>
      </c>
      <c r="BK98" s="55">
        <v>14472</v>
      </c>
      <c r="BL98" s="55">
        <v>14903</v>
      </c>
      <c r="BM98" s="55">
        <v>15336.5</v>
      </c>
      <c r="BN98" s="55">
        <v>15765</v>
      </c>
      <c r="BO98" s="55">
        <v>16188.5</v>
      </c>
      <c r="BP98" s="55">
        <v>16613</v>
      </c>
      <c r="BQ98" s="55">
        <v>17029.5</v>
      </c>
      <c r="BR98" s="55">
        <v>17449.5</v>
      </c>
      <c r="BS98" s="55">
        <v>17855</v>
      </c>
      <c r="BT98" s="55">
        <v>18281.5</v>
      </c>
      <c r="BU98" s="55">
        <v>18701.5</v>
      </c>
      <c r="BV98" s="55">
        <v>19139</v>
      </c>
      <c r="BW98" s="55">
        <v>19571.5</v>
      </c>
      <c r="BX98" s="55">
        <v>20020.5</v>
      </c>
      <c r="BY98" s="55">
        <v>20473.5</v>
      </c>
      <c r="BZ98" s="55">
        <v>20957.5</v>
      </c>
      <c r="CA98" s="55">
        <v>21426.5</v>
      </c>
      <c r="CB98" s="55">
        <v>21884</v>
      </c>
      <c r="CC98" s="55">
        <v>22352.5</v>
      </c>
      <c r="CD98" s="55">
        <v>22818</v>
      </c>
      <c r="CE98" s="55">
        <v>23283.5</v>
      </c>
      <c r="CF98" s="55">
        <v>23762</v>
      </c>
      <c r="CG98" s="55">
        <v>24237.5</v>
      </c>
      <c r="CH98" s="55">
        <v>24711.5</v>
      </c>
      <c r="CI98" s="55">
        <v>25197.5</v>
      </c>
      <c r="CJ98" s="55">
        <v>25665</v>
      </c>
      <c r="CK98" s="55">
        <v>26140.5</v>
      </c>
      <c r="CL98" s="55">
        <v>26633</v>
      </c>
      <c r="CM98" s="55">
        <v>27107</v>
      </c>
      <c r="CN98" s="55">
        <v>27593.5</v>
      </c>
      <c r="CO98" s="55">
        <v>28078.5</v>
      </c>
      <c r="CP98" s="55">
        <v>28565.5</v>
      </c>
      <c r="CQ98" s="55">
        <v>29052.5</v>
      </c>
      <c r="CR98" s="55">
        <v>29530</v>
      </c>
      <c r="CS98" s="55">
        <v>30020</v>
      </c>
      <c r="CT98" s="55">
        <v>30502.5</v>
      </c>
      <c r="CU98" s="55">
        <v>30987.5</v>
      </c>
      <c r="CV98" s="55">
        <v>31466.5</v>
      </c>
      <c r="CW98" s="55">
        <v>31951.5</v>
      </c>
      <c r="CX98" s="55">
        <v>32441</v>
      </c>
      <c r="CY98" s="55">
        <v>32920.5</v>
      </c>
      <c r="CZ98" s="55">
        <v>33399</v>
      </c>
      <c r="DA98" s="55">
        <v>33879</v>
      </c>
      <c r="DB98" s="55">
        <v>34365.5</v>
      </c>
      <c r="DC98" s="55">
        <v>34852</v>
      </c>
      <c r="DD98" s="55">
        <v>35333.5</v>
      </c>
      <c r="DE98" s="55">
        <v>35814</v>
      </c>
      <c r="DF98" s="55">
        <v>36307.5</v>
      </c>
      <c r="DG98" s="55">
        <v>36782.5</v>
      </c>
      <c r="DH98" s="55">
        <v>37266</v>
      </c>
      <c r="DI98" s="55">
        <v>37739.5</v>
      </c>
      <c r="DJ98" s="55">
        <v>38226.5</v>
      </c>
      <c r="DK98" s="55">
        <v>38704.5</v>
      </c>
      <c r="DL98" s="55">
        <v>39179.5</v>
      </c>
      <c r="DM98" s="55">
        <v>39660</v>
      </c>
      <c r="DN98" s="55">
        <v>40139</v>
      </c>
      <c r="DO98" s="55">
        <v>40617.5</v>
      </c>
    </row>
    <row r="99" spans="1:119">
      <c r="A99" s="52">
        <v>97</v>
      </c>
      <c r="B99" s="55"/>
      <c r="C99" s="55"/>
      <c r="D99" s="55"/>
      <c r="E99" s="55"/>
      <c r="F99" s="55"/>
      <c r="G99" s="55"/>
      <c r="H99" s="55"/>
      <c r="I99" s="55"/>
      <c r="J99" s="55"/>
      <c r="K99" s="55"/>
      <c r="L99" s="55"/>
      <c r="M99" s="55"/>
      <c r="N99" s="55"/>
      <c r="O99" s="55"/>
      <c r="P99" s="55"/>
      <c r="Q99" s="55"/>
      <c r="R99" s="55"/>
      <c r="S99" s="55"/>
      <c r="T99" s="55"/>
      <c r="U99" s="55"/>
      <c r="V99" s="55"/>
      <c r="W99" s="55">
        <v>2252</v>
      </c>
      <c r="X99" s="55">
        <v>2368.5</v>
      </c>
      <c r="Y99" s="55">
        <v>2476</v>
      </c>
      <c r="Z99" s="55">
        <v>2671</v>
      </c>
      <c r="AA99" s="55">
        <v>2791.5</v>
      </c>
      <c r="AB99" s="55">
        <v>2942</v>
      </c>
      <c r="AC99" s="55">
        <v>3093</v>
      </c>
      <c r="AD99" s="55">
        <v>3230.5</v>
      </c>
      <c r="AE99" s="55">
        <v>3377.5</v>
      </c>
      <c r="AF99" s="55">
        <v>3583.5</v>
      </c>
      <c r="AG99" s="55">
        <v>3764.5</v>
      </c>
      <c r="AH99" s="55">
        <v>3951</v>
      </c>
      <c r="AI99" s="55">
        <v>4140.5</v>
      </c>
      <c r="AJ99" s="55">
        <v>4404</v>
      </c>
      <c r="AK99" s="55">
        <v>4610.5</v>
      </c>
      <c r="AL99" s="55">
        <v>4849.5</v>
      </c>
      <c r="AM99" s="55">
        <v>5085</v>
      </c>
      <c r="AN99" s="55">
        <v>5317.5</v>
      </c>
      <c r="AO99" s="55">
        <v>5515</v>
      </c>
      <c r="AP99" s="55">
        <v>5720.5</v>
      </c>
      <c r="AQ99" s="55">
        <v>5918</v>
      </c>
      <c r="AR99" s="55">
        <v>6122</v>
      </c>
      <c r="AS99" s="55">
        <v>6274</v>
      </c>
      <c r="AT99" s="55">
        <v>6409.5</v>
      </c>
      <c r="AU99" s="55">
        <v>6527.5</v>
      </c>
      <c r="AV99" s="55">
        <v>6751</v>
      </c>
      <c r="AW99" s="55">
        <v>7024.5</v>
      </c>
      <c r="AX99" s="55">
        <v>7415.5</v>
      </c>
      <c r="AY99" s="55">
        <v>7798.5</v>
      </c>
      <c r="AZ99" s="55">
        <v>8043</v>
      </c>
      <c r="BA99" s="55">
        <v>8295.5</v>
      </c>
      <c r="BB99" s="55">
        <v>8608</v>
      </c>
      <c r="BC99" s="55">
        <v>8890.5</v>
      </c>
      <c r="BD99" s="55">
        <v>9192.5</v>
      </c>
      <c r="BE99" s="55">
        <v>9477.5</v>
      </c>
      <c r="BF99" s="55">
        <v>9801</v>
      </c>
      <c r="BG99" s="55">
        <v>10104.5</v>
      </c>
      <c r="BH99" s="55">
        <v>10439</v>
      </c>
      <c r="BI99" s="55">
        <v>10757</v>
      </c>
      <c r="BJ99" s="55">
        <v>11090</v>
      </c>
      <c r="BK99" s="55">
        <v>11441</v>
      </c>
      <c r="BL99" s="55">
        <v>11805.5</v>
      </c>
      <c r="BM99" s="55">
        <v>12172.5</v>
      </c>
      <c r="BN99" s="55">
        <v>12537.5</v>
      </c>
      <c r="BO99" s="55">
        <v>12899.5</v>
      </c>
      <c r="BP99" s="55">
        <v>13263</v>
      </c>
      <c r="BQ99" s="55">
        <v>13621.5</v>
      </c>
      <c r="BR99" s="55">
        <v>13983.5</v>
      </c>
      <c r="BS99" s="55">
        <v>14335.5</v>
      </c>
      <c r="BT99" s="55">
        <v>14704.5</v>
      </c>
      <c r="BU99" s="55">
        <v>15070.5</v>
      </c>
      <c r="BV99" s="55">
        <v>15450.5</v>
      </c>
      <c r="BW99" s="55">
        <v>15827.5</v>
      </c>
      <c r="BX99" s="55">
        <v>16220</v>
      </c>
      <c r="BY99" s="55">
        <v>16615.5</v>
      </c>
      <c r="BZ99" s="55">
        <v>17038</v>
      </c>
      <c r="CA99" s="55">
        <v>17449</v>
      </c>
      <c r="CB99" s="55">
        <v>17851.5</v>
      </c>
      <c r="CC99" s="55">
        <v>18264</v>
      </c>
      <c r="CD99" s="55">
        <v>18675.5</v>
      </c>
      <c r="CE99" s="55">
        <v>19087.5</v>
      </c>
      <c r="CF99" s="55">
        <v>19511.5</v>
      </c>
      <c r="CG99" s="55">
        <v>19933.5</v>
      </c>
      <c r="CH99" s="55">
        <v>20355</v>
      </c>
      <c r="CI99" s="55">
        <v>20788</v>
      </c>
      <c r="CJ99" s="55">
        <v>21206.5</v>
      </c>
      <c r="CK99" s="55">
        <v>21632.5</v>
      </c>
      <c r="CL99" s="55">
        <v>22074</v>
      </c>
      <c r="CM99" s="55">
        <v>22500</v>
      </c>
      <c r="CN99" s="55">
        <v>22938</v>
      </c>
      <c r="CO99" s="55">
        <v>23375.5</v>
      </c>
      <c r="CP99" s="55">
        <v>23815.5</v>
      </c>
      <c r="CQ99" s="55">
        <v>24256</v>
      </c>
      <c r="CR99" s="55">
        <v>24690</v>
      </c>
      <c r="CS99" s="55">
        <v>25135</v>
      </c>
      <c r="CT99" s="55">
        <v>25575</v>
      </c>
      <c r="CU99" s="55">
        <v>26017.5</v>
      </c>
      <c r="CV99" s="55">
        <v>26455</v>
      </c>
      <c r="CW99" s="55">
        <v>26899.5</v>
      </c>
      <c r="CX99" s="55">
        <v>27347.5</v>
      </c>
      <c r="CY99" s="55">
        <v>27788</v>
      </c>
      <c r="CZ99" s="55">
        <v>28228.5</v>
      </c>
      <c r="DA99" s="55">
        <v>28672</v>
      </c>
      <c r="DB99" s="55">
        <v>29120.5</v>
      </c>
      <c r="DC99" s="55">
        <v>29570</v>
      </c>
      <c r="DD99" s="55">
        <v>30016</v>
      </c>
      <c r="DE99" s="55">
        <v>30462</v>
      </c>
      <c r="DF99" s="55">
        <v>30919.5</v>
      </c>
      <c r="DG99" s="55">
        <v>31362</v>
      </c>
      <c r="DH99" s="55">
        <v>31812</v>
      </c>
      <c r="DI99" s="55">
        <v>32254</v>
      </c>
      <c r="DJ99" s="55">
        <v>32708.5</v>
      </c>
      <c r="DK99" s="55">
        <v>33156</v>
      </c>
      <c r="DL99" s="55">
        <v>33602</v>
      </c>
      <c r="DM99" s="55">
        <v>34052.5</v>
      </c>
      <c r="DN99" s="55">
        <v>34502.5</v>
      </c>
      <c r="DO99" s="55">
        <v>34952.5</v>
      </c>
    </row>
    <row r="100" spans="1:119">
      <c r="A100" s="52">
        <v>98</v>
      </c>
      <c r="B100" s="55"/>
      <c r="C100" s="55"/>
      <c r="D100" s="55"/>
      <c r="E100" s="55"/>
      <c r="F100" s="55"/>
      <c r="G100" s="55"/>
      <c r="H100" s="55"/>
      <c r="I100" s="55"/>
      <c r="J100" s="55"/>
      <c r="K100" s="55"/>
      <c r="L100" s="55"/>
      <c r="M100" s="55"/>
      <c r="N100" s="55"/>
      <c r="O100" s="55"/>
      <c r="P100" s="55"/>
      <c r="Q100" s="55"/>
      <c r="R100" s="55"/>
      <c r="S100" s="55"/>
      <c r="T100" s="55"/>
      <c r="U100" s="55"/>
      <c r="V100" s="55"/>
      <c r="W100" s="55">
        <v>1551</v>
      </c>
      <c r="X100" s="55">
        <v>1637</v>
      </c>
      <c r="Y100" s="55">
        <v>1718</v>
      </c>
      <c r="Z100" s="55">
        <v>1859.5</v>
      </c>
      <c r="AA100" s="55">
        <v>1950</v>
      </c>
      <c r="AB100" s="55">
        <v>2062</v>
      </c>
      <c r="AC100" s="55">
        <v>2176.5</v>
      </c>
      <c r="AD100" s="55">
        <v>2281.5</v>
      </c>
      <c r="AE100" s="55">
        <v>2393.5</v>
      </c>
      <c r="AF100" s="55">
        <v>2548</v>
      </c>
      <c r="AG100" s="55">
        <v>2685</v>
      </c>
      <c r="AH100" s="55">
        <v>2826</v>
      </c>
      <c r="AI100" s="55">
        <v>2971.5</v>
      </c>
      <c r="AJ100" s="55">
        <v>3170</v>
      </c>
      <c r="AK100" s="55">
        <v>3328</v>
      </c>
      <c r="AL100" s="55">
        <v>3510.5</v>
      </c>
      <c r="AM100" s="55">
        <v>3692</v>
      </c>
      <c r="AN100" s="55">
        <v>3871</v>
      </c>
      <c r="AO100" s="55">
        <v>4026</v>
      </c>
      <c r="AP100" s="55">
        <v>4187</v>
      </c>
      <c r="AQ100" s="55">
        <v>4342.5</v>
      </c>
      <c r="AR100" s="55">
        <v>4504</v>
      </c>
      <c r="AS100" s="55">
        <v>4628</v>
      </c>
      <c r="AT100" s="55">
        <v>4740</v>
      </c>
      <c r="AU100" s="55">
        <v>4839.5</v>
      </c>
      <c r="AV100" s="55">
        <v>5017</v>
      </c>
      <c r="AW100" s="55">
        <v>5233.5</v>
      </c>
      <c r="AX100" s="55">
        <v>5538</v>
      </c>
      <c r="AY100" s="55">
        <v>5838</v>
      </c>
      <c r="AZ100" s="55">
        <v>6035</v>
      </c>
      <c r="BA100" s="55">
        <v>6239.5</v>
      </c>
      <c r="BB100" s="55">
        <v>6489.5</v>
      </c>
      <c r="BC100" s="55">
        <v>6718</v>
      </c>
      <c r="BD100" s="55">
        <v>6961.5</v>
      </c>
      <c r="BE100" s="55">
        <v>7193.5</v>
      </c>
      <c r="BF100" s="55">
        <v>7455.5</v>
      </c>
      <c r="BG100" s="55">
        <v>7703.5</v>
      </c>
      <c r="BH100" s="55">
        <v>7975.5</v>
      </c>
      <c r="BI100" s="55">
        <v>8235.5</v>
      </c>
      <c r="BJ100" s="55">
        <v>8508</v>
      </c>
      <c r="BK100" s="55">
        <v>8795.5</v>
      </c>
      <c r="BL100" s="55">
        <v>9095</v>
      </c>
      <c r="BM100" s="55">
        <v>9396.5</v>
      </c>
      <c r="BN100" s="55">
        <v>9697.5</v>
      </c>
      <c r="BO100" s="55">
        <v>9997.5</v>
      </c>
      <c r="BP100" s="55">
        <v>10299.5</v>
      </c>
      <c r="BQ100" s="55">
        <v>10598.5</v>
      </c>
      <c r="BR100" s="55">
        <v>10901.5</v>
      </c>
      <c r="BS100" s="55">
        <v>11197</v>
      </c>
      <c r="BT100" s="55">
        <v>11507</v>
      </c>
      <c r="BU100" s="55">
        <v>11815</v>
      </c>
      <c r="BV100" s="55">
        <v>12136</v>
      </c>
      <c r="BW100" s="55">
        <v>12455</v>
      </c>
      <c r="BX100" s="55">
        <v>12786.5</v>
      </c>
      <c r="BY100" s="55">
        <v>13122</v>
      </c>
      <c r="BZ100" s="55">
        <v>13479</v>
      </c>
      <c r="CA100" s="55">
        <v>13828</v>
      </c>
      <c r="CB100" s="55">
        <v>14171.5</v>
      </c>
      <c r="CC100" s="55">
        <v>14523.5</v>
      </c>
      <c r="CD100" s="55">
        <v>14876.5</v>
      </c>
      <c r="CE100" s="55">
        <v>15230.5</v>
      </c>
      <c r="CF100" s="55">
        <v>15594</v>
      </c>
      <c r="CG100" s="55">
        <v>15957</v>
      </c>
      <c r="CH100" s="55">
        <v>16321.5</v>
      </c>
      <c r="CI100" s="55">
        <v>16695.5</v>
      </c>
      <c r="CJ100" s="55">
        <v>17058.5</v>
      </c>
      <c r="CK100" s="55">
        <v>17428.5</v>
      </c>
      <c r="CL100" s="55">
        <v>17811.5</v>
      </c>
      <c r="CM100" s="55">
        <v>18183.5</v>
      </c>
      <c r="CN100" s="55">
        <v>18565.5</v>
      </c>
      <c r="CO100" s="55">
        <v>18947.5</v>
      </c>
      <c r="CP100" s="55">
        <v>19333.5</v>
      </c>
      <c r="CQ100" s="55">
        <v>19720.5</v>
      </c>
      <c r="CR100" s="55">
        <v>20102</v>
      </c>
      <c r="CS100" s="55">
        <v>20494</v>
      </c>
      <c r="CT100" s="55">
        <v>20881.5</v>
      </c>
      <c r="CU100" s="55">
        <v>21273</v>
      </c>
      <c r="CV100" s="55">
        <v>21661</v>
      </c>
      <c r="CW100" s="55">
        <v>22055.5</v>
      </c>
      <c r="CX100" s="55">
        <v>22454</v>
      </c>
      <c r="CY100" s="55">
        <v>22846.5</v>
      </c>
      <c r="CZ100" s="55">
        <v>23239.5</v>
      </c>
      <c r="DA100" s="55">
        <v>23635.5</v>
      </c>
      <c r="DB100" s="55">
        <v>24037</v>
      </c>
      <c r="DC100" s="55">
        <v>24439.5</v>
      </c>
      <c r="DD100" s="55">
        <v>24839.5</v>
      </c>
      <c r="DE100" s="55">
        <v>25240.5</v>
      </c>
      <c r="DF100" s="55">
        <v>25652</v>
      </c>
      <c r="DG100" s="55">
        <v>26051.5</v>
      </c>
      <c r="DH100" s="55">
        <v>26457.5</v>
      </c>
      <c r="DI100" s="55">
        <v>26857.5</v>
      </c>
      <c r="DJ100" s="55">
        <v>27268.5</v>
      </c>
      <c r="DK100" s="55">
        <v>27674.5</v>
      </c>
      <c r="DL100" s="55">
        <v>28079.5</v>
      </c>
      <c r="DM100" s="55">
        <v>28489</v>
      </c>
      <c r="DN100" s="55">
        <v>28898.5</v>
      </c>
      <c r="DO100" s="55">
        <v>29308.5</v>
      </c>
    </row>
    <row r="101" spans="1:119">
      <c r="A101" s="52">
        <v>99</v>
      </c>
      <c r="B101" s="55"/>
      <c r="C101" s="55"/>
      <c r="D101" s="55"/>
      <c r="E101" s="55"/>
      <c r="F101" s="55"/>
      <c r="G101" s="55"/>
      <c r="H101" s="55"/>
      <c r="I101" s="55"/>
      <c r="J101" s="55"/>
      <c r="K101" s="55"/>
      <c r="L101" s="55"/>
      <c r="M101" s="55"/>
      <c r="N101" s="55"/>
      <c r="O101" s="55"/>
      <c r="P101" s="55"/>
      <c r="Q101" s="55"/>
      <c r="R101" s="55"/>
      <c r="S101" s="55"/>
      <c r="T101" s="55"/>
      <c r="U101" s="55"/>
      <c r="V101" s="55"/>
      <c r="W101" s="55">
        <v>1035</v>
      </c>
      <c r="X101" s="55">
        <v>1096.5</v>
      </c>
      <c r="Y101" s="55">
        <v>1154.5</v>
      </c>
      <c r="Z101" s="55">
        <v>1254</v>
      </c>
      <c r="AA101" s="55">
        <v>1320</v>
      </c>
      <c r="AB101" s="55">
        <v>1401</v>
      </c>
      <c r="AC101" s="55">
        <v>1484.5</v>
      </c>
      <c r="AD101" s="55">
        <v>1562</v>
      </c>
      <c r="AE101" s="55">
        <v>1644.5</v>
      </c>
      <c r="AF101" s="55">
        <v>1756</v>
      </c>
      <c r="AG101" s="55">
        <v>1856.5</v>
      </c>
      <c r="AH101" s="55">
        <v>1960.5</v>
      </c>
      <c r="AI101" s="55">
        <v>2068</v>
      </c>
      <c r="AJ101" s="55">
        <v>2213</v>
      </c>
      <c r="AK101" s="55">
        <v>2331</v>
      </c>
      <c r="AL101" s="55">
        <v>2466</v>
      </c>
      <c r="AM101" s="55">
        <v>2600.5</v>
      </c>
      <c r="AN101" s="55">
        <v>2734.5</v>
      </c>
      <c r="AO101" s="55">
        <v>2852.5</v>
      </c>
      <c r="AP101" s="55">
        <v>2974.5</v>
      </c>
      <c r="AQ101" s="55">
        <v>3093.5</v>
      </c>
      <c r="AR101" s="55">
        <v>3216.5</v>
      </c>
      <c r="AS101" s="55">
        <v>3314</v>
      </c>
      <c r="AT101" s="55">
        <v>3402.5</v>
      </c>
      <c r="AU101" s="55">
        <v>3483.5</v>
      </c>
      <c r="AV101" s="55">
        <v>3620.5</v>
      </c>
      <c r="AW101" s="55">
        <v>3786</v>
      </c>
      <c r="AX101" s="55">
        <v>4016</v>
      </c>
      <c r="AY101" s="55">
        <v>4244</v>
      </c>
      <c r="AZ101" s="55">
        <v>4398.5</v>
      </c>
      <c r="BA101" s="55">
        <v>4558</v>
      </c>
      <c r="BB101" s="55">
        <v>4752</v>
      </c>
      <c r="BC101" s="55">
        <v>4930.5</v>
      </c>
      <c r="BD101" s="55">
        <v>5121.5</v>
      </c>
      <c r="BE101" s="55">
        <v>5304</v>
      </c>
      <c r="BF101" s="55">
        <v>5509.5</v>
      </c>
      <c r="BG101" s="55">
        <v>5706</v>
      </c>
      <c r="BH101" s="55">
        <v>5920</v>
      </c>
      <c r="BI101" s="55">
        <v>6126.5</v>
      </c>
      <c r="BJ101" s="55">
        <v>6343</v>
      </c>
      <c r="BK101" s="55">
        <v>6571.5</v>
      </c>
      <c r="BL101" s="55">
        <v>6809</v>
      </c>
      <c r="BM101" s="55">
        <v>7049.5</v>
      </c>
      <c r="BN101" s="55">
        <v>7290.5</v>
      </c>
      <c r="BO101" s="55">
        <v>7531</v>
      </c>
      <c r="BP101" s="55">
        <v>7774.5</v>
      </c>
      <c r="BQ101" s="55">
        <v>8016</v>
      </c>
      <c r="BR101" s="55">
        <v>8261</v>
      </c>
      <c r="BS101" s="55">
        <v>8502</v>
      </c>
      <c r="BT101" s="55">
        <v>8754.5</v>
      </c>
      <c r="BU101" s="55">
        <v>9006</v>
      </c>
      <c r="BV101" s="55">
        <v>9268</v>
      </c>
      <c r="BW101" s="55">
        <v>9529.5</v>
      </c>
      <c r="BX101" s="55">
        <v>9801</v>
      </c>
      <c r="BY101" s="55">
        <v>10077</v>
      </c>
      <c r="BZ101" s="55">
        <v>10369.5</v>
      </c>
      <c r="CA101" s="55">
        <v>10657</v>
      </c>
      <c r="CB101" s="55">
        <v>10942</v>
      </c>
      <c r="CC101" s="55">
        <v>11233.5</v>
      </c>
      <c r="CD101" s="55">
        <v>11525.5</v>
      </c>
      <c r="CE101" s="55">
        <v>11820.5</v>
      </c>
      <c r="CF101" s="55">
        <v>12123</v>
      </c>
      <c r="CG101" s="55">
        <v>12426.5</v>
      </c>
      <c r="CH101" s="55">
        <v>12731</v>
      </c>
      <c r="CI101" s="55">
        <v>13044</v>
      </c>
      <c r="CJ101" s="55">
        <v>13349.5</v>
      </c>
      <c r="CK101" s="55">
        <v>13661</v>
      </c>
      <c r="CL101" s="55">
        <v>13983</v>
      </c>
      <c r="CM101" s="55">
        <v>14298</v>
      </c>
      <c r="CN101" s="55">
        <v>14621.5</v>
      </c>
      <c r="CO101" s="55">
        <v>14945</v>
      </c>
      <c r="CP101" s="55">
        <v>15272.5</v>
      </c>
      <c r="CQ101" s="55">
        <v>15601.5</v>
      </c>
      <c r="CR101" s="55">
        <v>15927</v>
      </c>
      <c r="CS101" s="55">
        <v>16261.5</v>
      </c>
      <c r="CT101" s="55">
        <v>16593.5</v>
      </c>
      <c r="CU101" s="55">
        <v>16929</v>
      </c>
      <c r="CV101" s="55">
        <v>17262.5</v>
      </c>
      <c r="CW101" s="55">
        <v>17602</v>
      </c>
      <c r="CX101" s="55">
        <v>17944.5</v>
      </c>
      <c r="CY101" s="55">
        <v>18283.5</v>
      </c>
      <c r="CZ101" s="55">
        <v>18623.5</v>
      </c>
      <c r="DA101" s="55">
        <v>18966.5</v>
      </c>
      <c r="DB101" s="55">
        <v>19314.5</v>
      </c>
      <c r="DC101" s="55">
        <v>19664</v>
      </c>
      <c r="DD101" s="55">
        <v>20012.5</v>
      </c>
      <c r="DE101" s="55">
        <v>20362</v>
      </c>
      <c r="DF101" s="55">
        <v>20720</v>
      </c>
      <c r="DG101" s="55">
        <v>21069.5</v>
      </c>
      <c r="DH101" s="55">
        <v>21425</v>
      </c>
      <c r="DI101" s="55">
        <v>21776</v>
      </c>
      <c r="DJ101" s="55">
        <v>22136.5</v>
      </c>
      <c r="DK101" s="55">
        <v>22493</v>
      </c>
      <c r="DL101" s="55">
        <v>22849.5</v>
      </c>
      <c r="DM101" s="55">
        <v>23210.5</v>
      </c>
      <c r="DN101" s="55">
        <v>23572</v>
      </c>
      <c r="DO101" s="55">
        <v>23934</v>
      </c>
    </row>
    <row r="102" spans="1:119">
      <c r="A102" s="52">
        <v>100</v>
      </c>
      <c r="B102" s="55"/>
      <c r="C102" s="55"/>
      <c r="D102" s="55"/>
      <c r="E102" s="55"/>
      <c r="F102" s="55"/>
      <c r="G102" s="55"/>
      <c r="H102" s="55"/>
      <c r="I102" s="55"/>
      <c r="J102" s="55"/>
      <c r="K102" s="55"/>
      <c r="L102" s="55"/>
      <c r="M102" s="55"/>
      <c r="N102" s="55"/>
      <c r="O102" s="55"/>
      <c r="P102" s="55"/>
      <c r="Q102" s="55"/>
      <c r="R102" s="55"/>
      <c r="S102" s="55"/>
      <c r="T102" s="55"/>
      <c r="U102" s="55"/>
      <c r="V102" s="55"/>
      <c r="W102" s="55">
        <v>668</v>
      </c>
      <c r="X102" s="55">
        <v>710.5</v>
      </c>
      <c r="Y102" s="55">
        <v>751.5</v>
      </c>
      <c r="Z102" s="55">
        <v>819</v>
      </c>
      <c r="AA102" s="55">
        <v>866</v>
      </c>
      <c r="AB102" s="55">
        <v>922.5</v>
      </c>
      <c r="AC102" s="55">
        <v>981</v>
      </c>
      <c r="AD102" s="55">
        <v>1036</v>
      </c>
      <c r="AE102" s="55">
        <v>1095</v>
      </c>
      <c r="AF102" s="55">
        <v>1173</v>
      </c>
      <c r="AG102" s="55">
        <v>1244.5</v>
      </c>
      <c r="AH102" s="55">
        <v>1318.5</v>
      </c>
      <c r="AI102" s="55">
        <v>1395</v>
      </c>
      <c r="AJ102" s="55">
        <v>1498</v>
      </c>
      <c r="AK102" s="55">
        <v>1582.5</v>
      </c>
      <c r="AL102" s="55">
        <v>1680</v>
      </c>
      <c r="AM102" s="55">
        <v>1776</v>
      </c>
      <c r="AN102" s="55">
        <v>1873</v>
      </c>
      <c r="AO102" s="55">
        <v>1960</v>
      </c>
      <c r="AP102" s="55">
        <v>2049.5</v>
      </c>
      <c r="AQ102" s="55">
        <v>2137</v>
      </c>
      <c r="AR102" s="55">
        <v>2228.5</v>
      </c>
      <c r="AS102" s="55">
        <v>2302</v>
      </c>
      <c r="AT102" s="55">
        <v>2370.5</v>
      </c>
      <c r="AU102" s="55">
        <v>2433</v>
      </c>
      <c r="AV102" s="55">
        <v>2535.5</v>
      </c>
      <c r="AW102" s="55">
        <v>2658</v>
      </c>
      <c r="AX102" s="55">
        <v>2826.5</v>
      </c>
      <c r="AY102" s="55">
        <v>2994</v>
      </c>
      <c r="AZ102" s="55">
        <v>3111</v>
      </c>
      <c r="BA102" s="55">
        <v>3232.5</v>
      </c>
      <c r="BB102" s="55">
        <v>3377.5</v>
      </c>
      <c r="BC102" s="55">
        <v>3513.5</v>
      </c>
      <c r="BD102" s="55">
        <v>3658</v>
      </c>
      <c r="BE102" s="55">
        <v>3797</v>
      </c>
      <c r="BF102" s="55">
        <v>3953.5</v>
      </c>
      <c r="BG102" s="55">
        <v>4104</v>
      </c>
      <c r="BH102" s="55">
        <v>4267</v>
      </c>
      <c r="BI102" s="55">
        <v>4426</v>
      </c>
      <c r="BJ102" s="55">
        <v>4592.5</v>
      </c>
      <c r="BK102" s="55">
        <v>4768.5</v>
      </c>
      <c r="BL102" s="55">
        <v>4951.5</v>
      </c>
      <c r="BM102" s="55">
        <v>5137.5</v>
      </c>
      <c r="BN102" s="55">
        <v>5324</v>
      </c>
      <c r="BO102" s="55">
        <v>5511.5</v>
      </c>
      <c r="BP102" s="55">
        <v>5701</v>
      </c>
      <c r="BQ102" s="55">
        <v>5890.5</v>
      </c>
      <c r="BR102" s="55">
        <v>6083.5</v>
      </c>
      <c r="BS102" s="55">
        <v>6273</v>
      </c>
      <c r="BT102" s="55">
        <v>6472</v>
      </c>
      <c r="BU102" s="55">
        <v>6671.5</v>
      </c>
      <c r="BV102" s="55">
        <v>6878.5</v>
      </c>
      <c r="BW102" s="55">
        <v>7086.5</v>
      </c>
      <c r="BX102" s="55">
        <v>7302.5</v>
      </c>
      <c r="BY102" s="55">
        <v>7521.5</v>
      </c>
      <c r="BZ102" s="55">
        <v>7754.5</v>
      </c>
      <c r="CA102" s="55">
        <v>7984</v>
      </c>
      <c r="CB102" s="55">
        <v>8212.5</v>
      </c>
      <c r="CC102" s="55">
        <v>8446.5</v>
      </c>
      <c r="CD102" s="55">
        <v>8682</v>
      </c>
      <c r="CE102" s="55">
        <v>8919.5</v>
      </c>
      <c r="CF102" s="55">
        <v>9163.5</v>
      </c>
      <c r="CG102" s="55">
        <v>9409</v>
      </c>
      <c r="CH102" s="55">
        <v>9656</v>
      </c>
      <c r="CI102" s="55">
        <v>9910</v>
      </c>
      <c r="CJ102" s="55">
        <v>10159.5</v>
      </c>
      <c r="CK102" s="55">
        <v>10413.5</v>
      </c>
      <c r="CL102" s="55">
        <v>10676.5</v>
      </c>
      <c r="CM102" s="55">
        <v>10934.5</v>
      </c>
      <c r="CN102" s="55">
        <v>11199.5</v>
      </c>
      <c r="CO102" s="55">
        <v>11465.5</v>
      </c>
      <c r="CP102" s="55">
        <v>11735</v>
      </c>
      <c r="CQ102" s="55">
        <v>12006.5</v>
      </c>
      <c r="CR102" s="55">
        <v>12276</v>
      </c>
      <c r="CS102" s="55">
        <v>12552.5</v>
      </c>
      <c r="CT102" s="55">
        <v>12828</v>
      </c>
      <c r="CU102" s="55">
        <v>13107</v>
      </c>
      <c r="CV102" s="55">
        <v>13384.5</v>
      </c>
      <c r="CW102" s="55">
        <v>13667</v>
      </c>
      <c r="CX102" s="55">
        <v>13953</v>
      </c>
      <c r="CY102" s="55">
        <v>14237.5</v>
      </c>
      <c r="CZ102" s="55">
        <v>14522</v>
      </c>
      <c r="DA102" s="55">
        <v>14810</v>
      </c>
      <c r="DB102" s="55">
        <v>15103</v>
      </c>
      <c r="DC102" s="55">
        <v>15397</v>
      </c>
      <c r="DD102" s="55">
        <v>15691</v>
      </c>
      <c r="DE102" s="55">
        <v>15986</v>
      </c>
      <c r="DF102" s="55">
        <v>16288.5</v>
      </c>
      <c r="DG102" s="55">
        <v>16585</v>
      </c>
      <c r="DH102" s="55">
        <v>16886.5</v>
      </c>
      <c r="DI102" s="55">
        <v>17184.5</v>
      </c>
      <c r="DJ102" s="55">
        <v>17491</v>
      </c>
      <c r="DK102" s="55">
        <v>17795.5</v>
      </c>
      <c r="DL102" s="55">
        <v>18099</v>
      </c>
      <c r="DM102" s="55">
        <v>18408</v>
      </c>
      <c r="DN102" s="55">
        <v>18717</v>
      </c>
      <c r="DO102" s="55">
        <v>19027.5</v>
      </c>
    </row>
  </sheetData>
  <pageMargins left="0.7" right="0.7" top="0.78740157499999996" bottom="0.78740157499999996"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9EDA0-E59F-49E5-9041-373B85E974C6}">
  <dimension ref="A1:F44"/>
  <sheetViews>
    <sheetView showGridLines="0" zoomScaleNormal="100" workbookViewId="0">
      <pane ySplit="6" topLeftCell="A7" activePane="bottomLeft" state="frozen"/>
      <selection pane="bottomLeft" activeCell="F9" sqref="F9"/>
      <extLst>
        <ext xmlns:xlsdti="http://schemas.microsoft.com/office/spreadsheetml/2023/showDataTypeIcons" uri="{77bfe23e-c014-4d31-8a63-9c772dbf06b6}">
          <xlsdti:showDataTypeIcons visible="0"/>
        </ext>
      </extLst>
    </sheetView>
  </sheetViews>
  <sheetFormatPr baseColWidth="10" defaultColWidth="0" defaultRowHeight="15" zeroHeight="1"/>
  <cols>
    <col min="1" max="1" width="7.28515625" style="436" customWidth="1"/>
    <col min="2" max="2" width="18.7109375" style="15" customWidth="1"/>
    <col min="3" max="3" width="62.85546875" style="344" customWidth="1"/>
    <col min="4" max="4" width="45" style="344" customWidth="1"/>
    <col min="5" max="5" width="54.85546875" style="344" customWidth="1"/>
    <col min="6" max="6" width="9.140625" customWidth="1"/>
    <col min="7" max="16384" width="11.42578125" hidden="1"/>
  </cols>
  <sheetData>
    <row r="1" spans="1:6" ht="52.5" customHeight="1">
      <c r="B1" s="893" t="s">
        <v>5067</v>
      </c>
      <c r="C1" s="894"/>
      <c r="D1" s="894"/>
      <c r="E1" s="894"/>
      <c r="F1" s="436"/>
    </row>
    <row r="2" spans="1:6" ht="18" customHeight="1">
      <c r="B2" s="892" t="s">
        <v>4990</v>
      </c>
      <c r="C2" s="892"/>
      <c r="D2" s="892"/>
      <c r="E2" s="892"/>
      <c r="F2" s="436"/>
    </row>
    <row r="3" spans="1:6" ht="18" customHeight="1">
      <c r="B3" s="892"/>
      <c r="C3" s="892"/>
      <c r="D3" s="892"/>
      <c r="E3" s="892"/>
      <c r="F3" s="436"/>
    </row>
    <row r="4" spans="1:6" ht="18" customHeight="1">
      <c r="B4" s="892"/>
      <c r="C4" s="892"/>
      <c r="D4" s="892"/>
      <c r="E4" s="892"/>
      <c r="F4" s="436"/>
    </row>
    <row r="5" spans="1:6" ht="18" customHeight="1">
      <c r="B5" s="892"/>
      <c r="C5" s="892"/>
      <c r="D5" s="892"/>
      <c r="E5" s="892"/>
      <c r="F5" s="436"/>
    </row>
    <row r="6" spans="1:6" ht="39.950000000000003" customHeight="1">
      <c r="B6" s="439" t="s">
        <v>2883</v>
      </c>
      <c r="C6" s="439" t="s">
        <v>5062</v>
      </c>
      <c r="D6" s="439" t="s">
        <v>5063</v>
      </c>
      <c r="E6" s="439" t="s">
        <v>5064</v>
      </c>
      <c r="F6" s="436"/>
    </row>
    <row r="7" spans="1:6" ht="75">
      <c r="B7" s="433" t="s">
        <v>0</v>
      </c>
      <c r="C7" s="434" t="s">
        <v>4991</v>
      </c>
      <c r="D7" s="435" t="s">
        <v>4992</v>
      </c>
      <c r="E7" s="435" t="s">
        <v>4993</v>
      </c>
      <c r="F7" s="436"/>
    </row>
    <row r="8" spans="1:6" ht="45">
      <c r="B8" s="440" t="s">
        <v>1</v>
      </c>
      <c r="C8" s="442" t="s">
        <v>4994</v>
      </c>
      <c r="D8" s="442" t="s">
        <v>4995</v>
      </c>
      <c r="E8" s="442" t="s">
        <v>4995</v>
      </c>
      <c r="F8" s="436"/>
    </row>
    <row r="9" spans="1:6" ht="45">
      <c r="B9" s="433" t="s">
        <v>2</v>
      </c>
      <c r="C9" s="435" t="s">
        <v>4996</v>
      </c>
      <c r="D9" s="435" t="s">
        <v>4995</v>
      </c>
      <c r="E9" s="435" t="s">
        <v>4995</v>
      </c>
      <c r="F9" s="436"/>
    </row>
    <row r="10" spans="1:6" ht="75">
      <c r="B10" s="440" t="s">
        <v>3</v>
      </c>
      <c r="C10" s="441" t="s">
        <v>4997</v>
      </c>
      <c r="D10" s="441" t="s">
        <v>4998</v>
      </c>
      <c r="E10" s="442" t="s">
        <v>4999</v>
      </c>
      <c r="F10" s="436"/>
    </row>
    <row r="11" spans="1:6" ht="60">
      <c r="B11" s="433" t="s">
        <v>4</v>
      </c>
      <c r="C11" s="434" t="s">
        <v>5000</v>
      </c>
      <c r="D11" s="435" t="s">
        <v>5001</v>
      </c>
      <c r="E11" s="434" t="s">
        <v>5002</v>
      </c>
      <c r="F11" s="436"/>
    </row>
    <row r="12" spans="1:6" ht="60">
      <c r="B12" s="440" t="s">
        <v>5</v>
      </c>
      <c r="C12" s="441" t="s">
        <v>5003</v>
      </c>
      <c r="D12" s="442" t="s">
        <v>5004</v>
      </c>
      <c r="E12" s="441" t="s">
        <v>5005</v>
      </c>
      <c r="F12" s="436"/>
    </row>
    <row r="13" spans="1:6" ht="60">
      <c r="B13" s="433" t="s">
        <v>6</v>
      </c>
      <c r="C13" s="434" t="s">
        <v>5006</v>
      </c>
      <c r="D13" s="435" t="s">
        <v>5007</v>
      </c>
      <c r="E13" s="435" t="s">
        <v>5008</v>
      </c>
      <c r="F13" s="436"/>
    </row>
    <row r="14" spans="1:6" s="151" customFormat="1" ht="60">
      <c r="A14" s="436"/>
      <c r="B14" s="440" t="s">
        <v>7</v>
      </c>
      <c r="C14" s="441" t="s">
        <v>5009</v>
      </c>
      <c r="D14" s="442" t="s">
        <v>5004</v>
      </c>
      <c r="E14" s="442" t="s">
        <v>5010</v>
      </c>
      <c r="F14" s="436"/>
    </row>
    <row r="15" spans="1:6" ht="60">
      <c r="B15" s="433" t="s">
        <v>8</v>
      </c>
      <c r="C15" s="434" t="s">
        <v>5011</v>
      </c>
      <c r="D15" s="435" t="s">
        <v>4995</v>
      </c>
      <c r="E15" s="435" t="s">
        <v>4995</v>
      </c>
      <c r="F15" s="436"/>
    </row>
    <row r="16" spans="1:6" s="151" customFormat="1" ht="60">
      <c r="A16" s="436"/>
      <c r="B16" s="440" t="s">
        <v>9</v>
      </c>
      <c r="C16" s="441" t="s">
        <v>5012</v>
      </c>
      <c r="D16" s="442" t="s">
        <v>4995</v>
      </c>
      <c r="E16" s="442" t="s">
        <v>4995</v>
      </c>
      <c r="F16" s="436"/>
    </row>
    <row r="17" spans="1:6" ht="60">
      <c r="B17" s="433" t="s">
        <v>10</v>
      </c>
      <c r="C17" s="434" t="s">
        <v>5013</v>
      </c>
      <c r="D17" s="435" t="s">
        <v>5014</v>
      </c>
      <c r="E17" s="434" t="s">
        <v>5015</v>
      </c>
      <c r="F17" s="436"/>
    </row>
    <row r="18" spans="1:6" s="151" customFormat="1" ht="45">
      <c r="A18" s="436"/>
      <c r="B18" s="440" t="s">
        <v>11</v>
      </c>
      <c r="C18" s="441" t="s">
        <v>5016</v>
      </c>
      <c r="D18" s="442" t="s">
        <v>5004</v>
      </c>
      <c r="E18" s="441" t="s">
        <v>5017</v>
      </c>
      <c r="F18" s="436"/>
    </row>
    <row r="19" spans="1:6" ht="60">
      <c r="B19" s="433" t="s">
        <v>12</v>
      </c>
      <c r="C19" s="435" t="s">
        <v>5018</v>
      </c>
      <c r="D19" s="435" t="s">
        <v>4995</v>
      </c>
      <c r="E19" s="435" t="s">
        <v>4995</v>
      </c>
      <c r="F19" s="436"/>
    </row>
    <row r="20" spans="1:6" s="151" customFormat="1" ht="60">
      <c r="A20" s="436"/>
      <c r="B20" s="440" t="s">
        <v>13</v>
      </c>
      <c r="C20" s="441" t="s">
        <v>5019</v>
      </c>
      <c r="D20" s="442" t="s">
        <v>5004</v>
      </c>
      <c r="E20" s="441" t="s">
        <v>5020</v>
      </c>
      <c r="F20" s="436"/>
    </row>
    <row r="21" spans="1:6" ht="30">
      <c r="B21" s="433" t="s">
        <v>14</v>
      </c>
      <c r="C21" s="435" t="s">
        <v>5021</v>
      </c>
      <c r="D21" s="435" t="s">
        <v>4995</v>
      </c>
      <c r="E21" s="435" t="s">
        <v>4995</v>
      </c>
      <c r="F21" s="436"/>
    </row>
    <row r="22" spans="1:6" s="151" customFormat="1" ht="60">
      <c r="A22" s="436"/>
      <c r="B22" s="440" t="s">
        <v>15</v>
      </c>
      <c r="C22" s="441" t="s">
        <v>5022</v>
      </c>
      <c r="D22" s="442" t="s">
        <v>5023</v>
      </c>
      <c r="E22" s="441" t="s">
        <v>5024</v>
      </c>
      <c r="F22" s="436"/>
    </row>
    <row r="23" spans="1:6" ht="60">
      <c r="B23" s="433" t="s">
        <v>16</v>
      </c>
      <c r="C23" s="434" t="s">
        <v>5025</v>
      </c>
      <c r="D23" s="435" t="s">
        <v>5026</v>
      </c>
      <c r="E23" s="434" t="s">
        <v>5027</v>
      </c>
      <c r="F23" s="436"/>
    </row>
    <row r="24" spans="1:6" s="151" customFormat="1" ht="45">
      <c r="A24" s="436"/>
      <c r="B24" s="440" t="s">
        <v>17</v>
      </c>
      <c r="C24" s="441" t="s">
        <v>5028</v>
      </c>
      <c r="D24" s="441" t="s">
        <v>5029</v>
      </c>
      <c r="E24" s="441" t="s">
        <v>5030</v>
      </c>
      <c r="F24" s="436"/>
    </row>
    <row r="25" spans="1:6" ht="75">
      <c r="B25" s="433" t="s">
        <v>18</v>
      </c>
      <c r="C25" s="434" t="s">
        <v>5031</v>
      </c>
      <c r="D25" s="434" t="s">
        <v>5032</v>
      </c>
      <c r="E25" s="434" t="s">
        <v>5033</v>
      </c>
      <c r="F25" s="436"/>
    </row>
    <row r="26" spans="1:6" s="151" customFormat="1" ht="60">
      <c r="A26" s="436"/>
      <c r="B26" s="440" t="s">
        <v>19</v>
      </c>
      <c r="C26" s="441" t="s">
        <v>5034</v>
      </c>
      <c r="D26" s="441" t="s">
        <v>5035</v>
      </c>
      <c r="E26" s="441" t="s">
        <v>5036</v>
      </c>
      <c r="F26" s="436"/>
    </row>
    <row r="27" spans="1:6" ht="60">
      <c r="B27" s="433" t="s">
        <v>20</v>
      </c>
      <c r="C27" s="434" t="s">
        <v>5037</v>
      </c>
      <c r="D27" s="435" t="s">
        <v>5004</v>
      </c>
      <c r="E27" s="435" t="s">
        <v>5038</v>
      </c>
      <c r="F27" s="436"/>
    </row>
    <row r="28" spans="1:6" s="151" customFormat="1" ht="60">
      <c r="A28" s="436"/>
      <c r="B28" s="440" t="s">
        <v>21</v>
      </c>
      <c r="C28" s="442" t="s">
        <v>5039</v>
      </c>
      <c r="D28" s="442" t="s">
        <v>5040</v>
      </c>
      <c r="E28" s="442" t="s">
        <v>5041</v>
      </c>
      <c r="F28" s="436"/>
    </row>
    <row r="29" spans="1:6" ht="45">
      <c r="B29" s="433" t="s">
        <v>22</v>
      </c>
      <c r="C29" s="435" t="s">
        <v>5042</v>
      </c>
      <c r="D29" s="435" t="s">
        <v>4995</v>
      </c>
      <c r="E29" s="435" t="s">
        <v>4995</v>
      </c>
      <c r="F29" s="436"/>
    </row>
    <row r="30" spans="1:6" s="151" customFormat="1" ht="60">
      <c r="A30" s="436"/>
      <c r="B30" s="440" t="s">
        <v>23</v>
      </c>
      <c r="C30" s="441" t="s">
        <v>5043</v>
      </c>
      <c r="D30" s="442" t="s">
        <v>4995</v>
      </c>
      <c r="E30" s="442" t="s">
        <v>4995</v>
      </c>
      <c r="F30" s="436"/>
    </row>
    <row r="31" spans="1:6" ht="75">
      <c r="B31" s="433" t="s">
        <v>24</v>
      </c>
      <c r="C31" s="434" t="s">
        <v>5044</v>
      </c>
      <c r="D31" s="434" t="s">
        <v>5045</v>
      </c>
      <c r="E31" s="434" t="s">
        <v>5046</v>
      </c>
      <c r="F31" s="436"/>
    </row>
    <row r="32" spans="1:6" s="151" customFormat="1" ht="90">
      <c r="A32" s="436"/>
      <c r="B32" s="440" t="s">
        <v>25</v>
      </c>
      <c r="C32" s="441" t="s">
        <v>5047</v>
      </c>
      <c r="D32" s="442" t="s">
        <v>5048</v>
      </c>
      <c r="E32" s="442" t="s">
        <v>5049</v>
      </c>
      <c r="F32" s="436"/>
    </row>
    <row r="33" spans="1:6" ht="30">
      <c r="B33" s="433" t="s">
        <v>26</v>
      </c>
      <c r="C33" s="434" t="s">
        <v>5050</v>
      </c>
      <c r="D33" s="435" t="s">
        <v>5051</v>
      </c>
      <c r="E33" s="435" t="s">
        <v>5052</v>
      </c>
      <c r="F33" s="436"/>
    </row>
    <row r="34" spans="1:6" s="151" customFormat="1" ht="75">
      <c r="A34" s="436"/>
      <c r="B34" s="440" t="s">
        <v>27</v>
      </c>
      <c r="C34" s="441" t="s">
        <v>5053</v>
      </c>
      <c r="D34" s="442" t="s">
        <v>5054</v>
      </c>
      <c r="E34" s="441" t="s">
        <v>5055</v>
      </c>
      <c r="F34" s="436"/>
    </row>
    <row r="35" spans="1:6" ht="45">
      <c r="B35" s="433" t="s">
        <v>3501</v>
      </c>
      <c r="C35" s="434" t="s">
        <v>5056</v>
      </c>
      <c r="D35" s="435" t="s">
        <v>4995</v>
      </c>
      <c r="E35" s="435" t="s">
        <v>4995</v>
      </c>
      <c r="F35" s="436"/>
    </row>
    <row r="36" spans="1:6" s="151" customFormat="1" ht="60">
      <c r="A36" s="436"/>
      <c r="B36" s="440" t="s">
        <v>29</v>
      </c>
      <c r="C36" s="442" t="s">
        <v>5057</v>
      </c>
      <c r="D36" s="442" t="s">
        <v>5058</v>
      </c>
      <c r="E36" s="442" t="s">
        <v>5059</v>
      </c>
      <c r="F36" s="436"/>
    </row>
    <row r="37" spans="1:6" ht="30">
      <c r="B37" s="433" t="s">
        <v>30</v>
      </c>
      <c r="C37" s="435" t="s">
        <v>5021</v>
      </c>
      <c r="D37" s="435" t="s">
        <v>4995</v>
      </c>
      <c r="E37" s="435" t="s">
        <v>4995</v>
      </c>
      <c r="F37" s="436"/>
    </row>
    <row r="38" spans="1:6">
      <c r="B38" s="437"/>
      <c r="C38" s="438"/>
      <c r="D38" s="438"/>
      <c r="E38" s="438"/>
      <c r="F38" s="436"/>
    </row>
    <row r="39" spans="1:6">
      <c r="B39" s="895" t="s">
        <v>5066</v>
      </c>
      <c r="C39" s="896"/>
      <c r="D39" s="896"/>
      <c r="E39" s="896"/>
      <c r="F39" s="436"/>
    </row>
    <row r="40" spans="1:6">
      <c r="B40" s="896"/>
      <c r="C40" s="896"/>
      <c r="D40" s="896"/>
      <c r="E40" s="896"/>
      <c r="F40" s="436"/>
    </row>
    <row r="41" spans="1:6">
      <c r="B41" s="896"/>
      <c r="C41" s="896"/>
      <c r="D41" s="896"/>
      <c r="E41" s="896"/>
      <c r="F41" s="436"/>
    </row>
    <row r="42" spans="1:6">
      <c r="B42" s="896"/>
      <c r="C42" s="896"/>
      <c r="D42" s="896"/>
      <c r="E42" s="896"/>
      <c r="F42" s="436"/>
    </row>
    <row r="43" spans="1:6">
      <c r="B43" s="896"/>
      <c r="C43" s="896"/>
      <c r="D43" s="896"/>
      <c r="E43" s="896"/>
      <c r="F43" s="436"/>
    </row>
    <row r="44" spans="1:6">
      <c r="B44" s="437"/>
      <c r="C44" s="438"/>
      <c r="D44" s="438"/>
      <c r="E44" s="438"/>
      <c r="F44" s="436"/>
    </row>
  </sheetData>
  <sheetProtection algorithmName="SHA-512" hashValue="mrAuiApO18LXu2i09jiW/RbD4elLzgY3HFu6BsuNiENGv/iI9goEMGP+94YW2UhsNsK7sNd5B54a//lZTcJrig==" saltValue="wF+TMFM0+P46nyuab9S+Xw==" spinCount="100000" sheet="1" objects="1" scenarios="1" sort="0" autoFilter="0"/>
  <mergeCells count="3">
    <mergeCell ref="B2:E5"/>
    <mergeCell ref="B1:E1"/>
    <mergeCell ref="B39:E43"/>
  </mergeCells>
  <hyperlinks>
    <hyperlink ref="B2" r:id="rId1" tooltip="Comparative tables" display="https://www.missoc.org/missoc-database/comparative-tables/?utm_source=chatgpt.com" xr:uid="{2BF06825-463B-452E-B280-BB848DB29CCC}"/>
    <hyperlink ref="C7" r:id="rId2" tooltip="Pension as a divorcee" display="https://www.sfpd.fgov.be/en/pension-amount/calculation/types-of-pensions/divorced/?utm_source=chatgpt.com" xr:uid="{0048B3EB-E7A9-440E-8753-D3FBBC04B4F3}"/>
    <hyperlink ref="C10" r:id="rId3" tooltip="Hinterbliebenenrente" display="https://www.deutsche-rentenversicherung.de/DRV/DE/Rente/In-der-Rente/Hinterbliebenenrente?utm_source=chatgpt.com" xr:uid="{06C8C8C5-F019-4188-9F16-387E68679507}"/>
    <hyperlink ref="D10" r:id="rId4" tooltip="§ 243 SGB VI Witwenrente und Witwerrente an vor dem 1. ..." display="https://www.sozialgesetzbuch-sgb.de/sgbvi/243.html?utm_source=chatgpt.com" xr:uid="{07EB1272-BF59-4DF8-ABB8-676F49C3E79F}"/>
    <hyperlink ref="C11" r:id="rId5" tooltip="State Pension Insurance Act" display="https://www.riigiteataja.ee/en/eli/501022016016/consolide?utm_source=chatgpt.com" xr:uid="{BD2A0C4E-6B48-4981-8060-5CBFA6890F1F}"/>
    <hyperlink ref="E11" r:id="rId6" tooltip="Europe, 2018 - Estonia" display="https://www.ssa.gov/policy/docs/progdesc/ssptw/2018-2019/europe/estonia.html?utm_source=chatgpt.com" xr:uid="{23829508-BE6F-413D-BCAE-F9193E96193D}"/>
    <hyperlink ref="C12" r:id="rId7" tooltip="Survivors’ Pension - Finnish Centre for Pensions" display="https://www.etk.fi/en/finnish-pension-system/pensions/earnings-related-pension-benefits/survivors-pension/" xr:uid="{85A812E9-731B-4BF7-87DA-5E2AB964326E}"/>
    <hyperlink ref="E12" r:id="rId8" tooltip="Survivors’ Pension - Finnish Centre for Pensions" display="https://www.etk.fi/en/finnish-pension-system/pensions/earnings-related-pension-benefits/survivors-pension/" xr:uid="{4208AE50-33D6-45C2-B74B-4EB1CBEADD5B}"/>
    <hyperlink ref="C13" r:id="rId9" tooltip="Retirement pension | Service Public" display="https://www.service-public.gouv.fr/particuliers/vosdroits/F13104?lang=en" xr:uid="{5F84C2E0-2D5A-4F8D-B426-618BE4569AB9}"/>
    <hyperlink ref="C14" r:id="rId10" tooltip="Your social security rights in Greece - European Commission" display="https://ec.europa.eu/social/BlobServlet?docId=13767&amp;langId=en&amp;utm_source=chatgpt.com" xr:uid="{05787247-00B7-4BBB-9B46-A058A114BF83}"/>
    <hyperlink ref="C15" r:id="rId11" tooltip="Bereaved Partner's (Contributory) Pension" display="https://www.citizensinformation.ie/en/social-welfare/death-related-benefits/bereaved-partners-contributory-pension/?utm_source=chatgpt.com" xr:uid="{3CE58EE7-507E-455D-809E-81F6EDD7D32F}"/>
    <hyperlink ref="C16" r:id="rId12" tooltip="GN 01763.020 - Icelandic Benefits Eligibility Requirements" display="https://secure.ssa.gov/apps10/poms.nsf/lnx/0201763020?utm_source=chatgpt.com" xr:uid="{03F19F8C-2332-4061-95BA-A1960E971534}"/>
    <hyperlink ref="C17" r:id="rId13" tooltip="Your rights country by country" display="https://employment-social-affairs.ec.europa.eu/document/download/1526299a-d95c-441b-8a5e-71acb2c981eb_en" xr:uid="{BC63239A-CA14-4DE4-B01D-00EA9C0E5C02}"/>
    <hyperlink ref="E17" r:id="rId14" tooltip="Your rights country by country" display="https://employment-social-affairs.ec.europa.eu/document/download/1526299a-d95c-441b-8a5e-71acb2c981eb_en" xr:uid="{4185CFEA-5B3D-4541-AD41-880E36DA1A51}"/>
    <hyperlink ref="C18" r:id="rId15" tooltip="Your rights country by country" display="https://employment-social-affairs.ec.europa.eu/document/download/3f43aab0-d0c5-4c70-a7d2-f56fa6ee565c_en?prefLang=lt" xr:uid="{A00E7D87-FCB9-4E28-AFAB-B824D3A6C71B}"/>
    <hyperlink ref="E18" r:id="rId16" tooltip="Your rights country by country" display="https://employment-social-affairs.ec.europa.eu/document/download/3f43aab0-d0c5-4c70-a7d2-f56fa6ee565c_en?prefLang=lt" xr:uid="{B86C155F-D0D5-4A96-9DB1-4FA1F426EA6B}"/>
    <hyperlink ref="C20" r:id="rId17" tooltip="Verwitwetenrente | AHV - IV - FAK" display="https://www.ahv.li/leistungen/ahv/verwitwetenrente?utm_source=chatgpt.com" xr:uid="{9B19FCEB-F7A4-4DE6-905B-18361123ED74}"/>
    <hyperlink ref="E20" r:id="rId18" tooltip="Hinterlassenenrenten der AHV" display="https://www.ahv-iv.ch/p/3.03.d?utm_source=chatgpt.com" xr:uid="{AFDCEE42-B6B9-4C99-A771-5500751B1AC0}"/>
    <hyperlink ref="C22" r:id="rId19" tooltip="Your rights country by country" display="https://ec.europa.eu/social/BlobServlet?docId=13752&amp;langId=en" xr:uid="{81B4454C-FE16-4EFA-A5AB-B39EB7E42B64}"/>
    <hyperlink ref="E22" r:id="rId20" tooltip="Your rights country by country" display="https://ec.europa.eu/social/BlobServlet?docId=13752&amp;langId=en" xr:uid="{44B1EAB9-9C5E-4F01-89AE-B193DDC7C376}"/>
    <hyperlink ref="C23" r:id="rId21" tooltip="Widow/er's Pension - Social Security" display="https://socialsecurity.gov.mt/en/information-and-applications-for-benefits-and-services/contributory-pensions/contributory-widow-ers-pension/?utm_source=chatgpt.com" xr:uid="{97C4C01D-3867-42F6-972A-72AC8406B346}"/>
    <hyperlink ref="E23" r:id="rId22" tooltip="Widow/er's Pension - Social Security" display="https://socialsecurity.gov.mt/en/information-and-applications-for-benefits-and-services/contributory-pensions/contributory-widow-ers-pension/?utm_source=chatgpt.com" xr:uid="{8460AEE1-E634-4B2D-BDD3-28D250CACCAB}"/>
    <hyperlink ref="C24" r:id="rId23" tooltip="Explanation of Anw survivor benefit" display="https://www.svb.nl/en/anw/what-is-an-anw-survivor-benefit?utm_source=chatgpt.com" xr:uid="{95CB50F2-0601-44C0-A635-46E49F1D6CE8}"/>
    <hyperlink ref="D24" r:id="rId24" tooltip="Qualifying conditions if your partner or ex-partner has died" display="https://www.svb.nl/en/anw/what-are-the-conditions/read-more-about-the-the-qualifying-conditions-that-apply-if-your-partner-or-ex-partner-has-died?utm_source=chatgpt.com" xr:uid="{EBA3A39F-9E14-4015-B4C5-BE4F8032FF0B}"/>
    <hyperlink ref="E24" r:id="rId25" tooltip="End of entitlement | Anw | SVB" display="https://www.svb.nl/en/anw/anw-survivor-benefit-stops/when-can-anw-survivor-benefit-be-stopped?utm_source=chatgpt.com" xr:uid="{8EB16B24-8215-4E1F-A3DE-711DBDC5E8ED}"/>
    <hyperlink ref="C25" r:id="rId26" tooltip="Survivor's pension" display="https://www.nav.no/gjenlevendepensjon/en?utm_source=chatgpt.com" xr:uid="{67F34EE1-DDCC-4E51-93BB-DC619C9481EB}"/>
    <hyperlink ref="D25" r:id="rId27" tooltip="Retirement pension" display="https://www.nav.no/alderspensjon/en?utm_source=chatgpt.com" xr:uid="{12E3D9A6-0CEE-4EC0-9CFB-C1DCC09340B8}"/>
    <hyperlink ref="E25" r:id="rId28" tooltip="Survivor's pension" display="https://www.nav.no/gjenlevendepensjon/en?utm_source=chatgpt.com" xr:uid="{3EC581E3-1CA0-421E-926B-899650EDE4BA}"/>
    <hyperlink ref="C26" r:id="rId29" tooltip="Survivors' Pensions" display="https://www.sozialministerium.gv.at/en/Topics/Social-Affairs/Social-Insurance/Pension-Insurance/Types-of-Pension/Survivors%E2%80%99-Pensions.html?utm_source=chatgpt.com" xr:uid="{D43A855B-E78E-49AA-9F1C-89B98D4BA1E5}"/>
    <hyperlink ref="D26" r:id="rId30" tooltip="Austria VIII" display="https://ec.europa.eu/employment_social/soc-prot/missoc98/english/08/at.htm?utm_source=chatgpt.com" xr:uid="{5BF03BAC-B3DD-4866-A048-FCE167B7B3CF}"/>
    <hyperlink ref="E26" r:id="rId31" tooltip="Austria VIII" display="https://ec.europa.eu/employment_social/soc-prot/missoc98/english/08/at.htm?utm_source=chatgpt.com" xr:uid="{FD25EF7F-98FA-4E1C-8128-AC1366AB91FB}"/>
    <hyperlink ref="C27" r:id="rId32" tooltip="Your social security rights in Poland - European Commission" display="https://ec.europa.eu/social/BlobServlet?docId=13769&amp;langId=en&amp;utm_source=chatgpt.com" xr:uid="{1D6B545C-326A-48F3-8F53-AB283D80D17C}"/>
    <hyperlink ref="C30" r:id="rId33" tooltip="Survivor's pension – financial support in the event of death" display="https://www.pensionsmyndigheten.se/other-languages/english-engelska/english-engelska/survivors-pension-financial-support-in-the-event-of-death?utm_source=chatgpt.com" xr:uid="{06A38CF5-B0E3-43A8-883A-75D37CC9F8DA}"/>
    <hyperlink ref="C31" r:id="rId34" tooltip="Survivor’s pension" display="https://www.zas.admin.ch/en/survivors-pension" xr:uid="{6915028E-DEDD-47F8-84FC-39ED5CBB9F56}"/>
    <hyperlink ref="D31" r:id="rId35" tooltip="Survivor’s pension" display="https://www.zas.admin.ch/en/survivors-pension" xr:uid="{52338CD9-78B7-47EE-A208-251D4DD7B519}"/>
    <hyperlink ref="E31" r:id="rId36" tooltip="Survivor’s pension" display="https://www.zas.admin.ch/en/survivors-pension" xr:uid="{FFEA90D7-FA86-4179-B61B-FA80B45BA208}"/>
    <hyperlink ref="C32" r:id="rId37" tooltip="How to apply for a widower's pension" display="https://www.socpoist.sk/en/life-situations/pension/how-apply-widowers-pension?utm_source=chatgpt.com" xr:uid="{904EAFC5-3684-4334-A02D-DD57D7F32705}"/>
    <hyperlink ref="C33" r:id="rId38" tooltip="Your rights country by country" display="https://www.syllogos.gr/images/PDF_Anakoinoseon/social_security_rights_in_Slovenia.pdf" xr:uid="{30B46DA1-F3A8-4F2F-8780-11E8CEEAA207}"/>
    <hyperlink ref="C34" r:id="rId39" tooltip="Seguridad Social: Benefits / Pensions for Workers" display="https://www.seg-social.es/wps/portal/wss/internet/Trabajadores/PrestacionesPensionesTrabajadores/10964/10966/28489/28490/5151" xr:uid="{183A1BAF-E1EB-47DC-B302-25EC265FD74B}"/>
    <hyperlink ref="E34" r:id="rId40" tooltip="Seguridad Social: Benefits / Pensions for Workers" display="https://www.seg-social.es/wps/portal/wss/internet/Trabajadores/PrestacionesPensionesTrabajadores/10964/10966/28489/28490/5151" xr:uid="{78B66F31-5EE9-45CC-85DD-461BF684AA57}"/>
    <hyperlink ref="C35" r:id="rId41" tooltip="the application is processed by the Czech Social Security ..." display="https://portal.gov.cz/en/sluzby-vs/widows-and-widowers-pension--the-application-is-processed-by-the-czech-social-security-administration-S84?utm_source=chatgpt.com" xr:uid="{A5252BFF-617D-4D59-A334-511FA5F28A41}"/>
  </hyperlinks>
  <pageMargins left="0.7" right="0.7" top="0.78740157499999996" bottom="0.78740157499999996" header="0.3" footer="0.3"/>
  <drawing r:id="rId42"/>
  <tableParts count="1">
    <tablePart r:id="rId4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97BFF-1430-4C9A-84FF-D1D289E2F148}">
  <dimension ref="A1:I75"/>
  <sheetViews>
    <sheetView topLeftCell="A2" workbookViewId="0">
      <selection activeCell="B2" sqref="B2:F2"/>
    </sheetView>
  </sheetViews>
  <sheetFormatPr baseColWidth="10" defaultColWidth="0" defaultRowHeight="15" zeroHeight="1"/>
  <cols>
    <col min="1" max="1" width="5.42578125" customWidth="1"/>
    <col min="2" max="2" width="21" customWidth="1"/>
    <col min="3" max="3" width="49.28515625" customWidth="1"/>
    <col min="4" max="4" width="49.28515625" style="130" customWidth="1"/>
    <col min="5" max="5" width="33.28515625" style="344" customWidth="1"/>
    <col min="6" max="6" width="13.28515625" style="287" customWidth="1"/>
    <col min="7" max="7" width="8.140625" customWidth="1"/>
    <col min="8" max="8" width="11.42578125" hidden="1" customWidth="1"/>
    <col min="9" max="9" width="44.28515625" hidden="1" customWidth="1"/>
    <col min="10" max="16384" width="11.42578125" hidden="1"/>
  </cols>
  <sheetData>
    <row r="1" spans="1:9">
      <c r="A1" s="132"/>
      <c r="B1" s="132"/>
      <c r="C1" s="132"/>
      <c r="D1" s="452"/>
      <c r="E1" s="443"/>
      <c r="F1" s="444"/>
      <c r="G1" s="132"/>
    </row>
    <row r="2" spans="1:9" ht="28.5">
      <c r="A2" s="132"/>
      <c r="B2" s="897" t="s">
        <v>5068</v>
      </c>
      <c r="C2" s="897"/>
      <c r="D2" s="897"/>
      <c r="E2" s="897"/>
      <c r="F2" s="897"/>
      <c r="G2" s="132"/>
    </row>
    <row r="3" spans="1:9" s="161" customFormat="1" ht="42" customHeight="1">
      <c r="A3" s="450"/>
      <c r="B3" s="898" t="s">
        <v>5069</v>
      </c>
      <c r="C3" s="898"/>
      <c r="D3" s="898"/>
      <c r="E3" s="898"/>
      <c r="F3" s="898"/>
      <c r="G3" s="450"/>
      <c r="I3" s="386"/>
    </row>
    <row r="4" spans="1:9" s="161" customFormat="1" ht="42" customHeight="1">
      <c r="A4" s="450"/>
      <c r="B4" s="898"/>
      <c r="C4" s="898"/>
      <c r="D4" s="898"/>
      <c r="E4" s="898"/>
      <c r="F4" s="898"/>
      <c r="G4" s="450"/>
      <c r="I4" s="30"/>
    </row>
    <row r="5" spans="1:9" ht="30">
      <c r="A5" s="132"/>
      <c r="B5" s="445" t="s">
        <v>2883</v>
      </c>
      <c r="C5" s="446" t="s">
        <v>5070</v>
      </c>
      <c r="D5" s="446" t="s">
        <v>5135</v>
      </c>
      <c r="E5" s="446" t="s">
        <v>3459</v>
      </c>
      <c r="F5" s="446" t="s">
        <v>5071</v>
      </c>
      <c r="G5" s="132"/>
    </row>
    <row r="6" spans="1:9" ht="45">
      <c r="A6" s="132"/>
      <c r="B6" s="446" t="s">
        <v>0</v>
      </c>
      <c r="C6" s="447" t="s">
        <v>5072</v>
      </c>
      <c r="D6" s="451" t="s">
        <v>5136</v>
      </c>
      <c r="E6" s="448" t="s">
        <v>5073</v>
      </c>
      <c r="F6" s="430" t="s">
        <v>3540</v>
      </c>
      <c r="G6" s="132"/>
    </row>
    <row r="7" spans="1:9" ht="30">
      <c r="A7" s="132"/>
      <c r="B7" s="446" t="s">
        <v>1</v>
      </c>
      <c r="C7" s="449" t="s">
        <v>5074</v>
      </c>
      <c r="D7" s="170" t="s">
        <v>5137</v>
      </c>
      <c r="E7" s="448" t="s">
        <v>5075</v>
      </c>
      <c r="F7" s="430" t="s">
        <v>3540</v>
      </c>
      <c r="G7" s="132"/>
    </row>
    <row r="8" spans="1:9" ht="38.25">
      <c r="A8" s="132"/>
      <c r="B8" s="446" t="s">
        <v>2</v>
      </c>
      <c r="C8" s="449" t="s">
        <v>5076</v>
      </c>
      <c r="D8" s="449" t="s">
        <v>5138</v>
      </c>
      <c r="E8" s="448" t="s">
        <v>5077</v>
      </c>
      <c r="F8" s="430" t="s">
        <v>3540</v>
      </c>
      <c r="G8" s="132"/>
    </row>
    <row r="9" spans="1:9" ht="75">
      <c r="A9" s="132"/>
      <c r="B9" s="446" t="s">
        <v>3</v>
      </c>
      <c r="C9" s="449" t="s">
        <v>5078</v>
      </c>
      <c r="D9" s="451" t="s">
        <v>5139</v>
      </c>
      <c r="E9" s="448" t="s">
        <v>5079</v>
      </c>
      <c r="F9" s="430" t="s">
        <v>3540</v>
      </c>
      <c r="G9" s="132"/>
    </row>
    <row r="10" spans="1:9" ht="45">
      <c r="A10" s="132"/>
      <c r="B10" s="446" t="s">
        <v>4</v>
      </c>
      <c r="C10" s="449" t="s">
        <v>5080</v>
      </c>
      <c r="D10" s="451" t="s">
        <v>5140</v>
      </c>
      <c r="E10" s="448" t="s">
        <v>5081</v>
      </c>
      <c r="F10" s="430" t="s">
        <v>3540</v>
      </c>
      <c r="G10" s="132"/>
    </row>
    <row r="11" spans="1:9" ht="30">
      <c r="A11" s="132"/>
      <c r="B11" s="446" t="s">
        <v>5</v>
      </c>
      <c r="C11" s="447" t="s">
        <v>5082</v>
      </c>
      <c r="D11" s="451" t="s">
        <v>5141</v>
      </c>
      <c r="E11" s="448" t="s">
        <v>5083</v>
      </c>
      <c r="F11" s="430" t="s">
        <v>3540</v>
      </c>
      <c r="G11" s="132"/>
    </row>
    <row r="12" spans="1:9" ht="30">
      <c r="A12" s="132"/>
      <c r="B12" s="446" t="s">
        <v>6</v>
      </c>
      <c r="C12" s="449" t="s">
        <v>5084</v>
      </c>
      <c r="D12" s="451" t="s">
        <v>5142</v>
      </c>
      <c r="E12" s="448" t="s">
        <v>5085</v>
      </c>
      <c r="F12" s="430" t="s">
        <v>3540</v>
      </c>
      <c r="G12" s="132"/>
    </row>
    <row r="13" spans="1:9" ht="45">
      <c r="A13" s="132"/>
      <c r="B13" s="446" t="s">
        <v>7</v>
      </c>
      <c r="C13" s="449" t="s">
        <v>5086</v>
      </c>
      <c r="D13" s="449" t="s">
        <v>5143</v>
      </c>
      <c r="E13" s="448" t="s">
        <v>5087</v>
      </c>
      <c r="F13" s="430" t="s">
        <v>3540</v>
      </c>
      <c r="G13" s="132"/>
    </row>
    <row r="14" spans="1:9" ht="75">
      <c r="A14" s="132"/>
      <c r="B14" s="446" t="s">
        <v>8</v>
      </c>
      <c r="C14" s="449" t="s">
        <v>5088</v>
      </c>
      <c r="D14" s="449" t="s">
        <v>5144</v>
      </c>
      <c r="E14" s="448" t="s">
        <v>5089</v>
      </c>
      <c r="F14" s="430" t="s">
        <v>3540</v>
      </c>
      <c r="G14" s="132"/>
    </row>
    <row r="15" spans="1:9" ht="25.5">
      <c r="A15" s="132"/>
      <c r="B15" s="446" t="s">
        <v>9</v>
      </c>
      <c r="C15" s="449" t="s">
        <v>5090</v>
      </c>
      <c r="D15" s="449" t="s">
        <v>5163</v>
      </c>
      <c r="E15" s="448" t="s">
        <v>5091</v>
      </c>
      <c r="F15" s="430" t="s">
        <v>3540</v>
      </c>
      <c r="G15" s="132"/>
    </row>
    <row r="16" spans="1:9" ht="51">
      <c r="A16" s="132"/>
      <c r="B16" s="446" t="s">
        <v>10</v>
      </c>
      <c r="C16" s="449" t="s">
        <v>5092</v>
      </c>
      <c r="D16" s="449" t="s">
        <v>5145</v>
      </c>
      <c r="E16" s="448" t="s">
        <v>5093</v>
      </c>
      <c r="F16" s="430" t="s">
        <v>3540</v>
      </c>
      <c r="G16" s="132"/>
    </row>
    <row r="17" spans="1:7" ht="30">
      <c r="A17" s="132"/>
      <c r="B17" s="446" t="s">
        <v>11</v>
      </c>
      <c r="C17" s="449" t="s">
        <v>5094</v>
      </c>
      <c r="D17" s="449" t="s">
        <v>5146</v>
      </c>
      <c r="E17" s="448" t="s">
        <v>5095</v>
      </c>
      <c r="F17" s="430" t="s">
        <v>3540</v>
      </c>
      <c r="G17" s="132"/>
    </row>
    <row r="18" spans="1:7" ht="45">
      <c r="A18" s="132"/>
      <c r="B18" s="446" t="s">
        <v>12</v>
      </c>
      <c r="C18" s="449" t="s">
        <v>5096</v>
      </c>
      <c r="D18" s="449" t="s">
        <v>5147</v>
      </c>
      <c r="E18" s="448" t="s">
        <v>5097</v>
      </c>
      <c r="F18" s="430" t="s">
        <v>3540</v>
      </c>
      <c r="G18" s="132"/>
    </row>
    <row r="19" spans="1:7" ht="45">
      <c r="A19" s="132"/>
      <c r="B19" s="446" t="s">
        <v>13</v>
      </c>
      <c r="C19" s="449" t="s">
        <v>5098</v>
      </c>
      <c r="D19" s="449" t="s">
        <v>5164</v>
      </c>
      <c r="E19" s="448" t="s">
        <v>5099</v>
      </c>
      <c r="F19" s="430" t="s">
        <v>3540</v>
      </c>
      <c r="G19" s="132"/>
    </row>
    <row r="20" spans="1:7" ht="30">
      <c r="A20" s="132"/>
      <c r="B20" s="446" t="s">
        <v>14</v>
      </c>
      <c r="C20" s="449" t="s">
        <v>5100</v>
      </c>
      <c r="D20" s="449" t="s">
        <v>5148</v>
      </c>
      <c r="E20" s="448" t="s">
        <v>5101</v>
      </c>
      <c r="F20" s="430" t="s">
        <v>3540</v>
      </c>
      <c r="G20" s="132"/>
    </row>
    <row r="21" spans="1:7" ht="45">
      <c r="A21" s="132"/>
      <c r="B21" s="446" t="s">
        <v>15</v>
      </c>
      <c r="C21" s="449" t="s">
        <v>5102</v>
      </c>
      <c r="D21" s="449" t="s">
        <v>5149</v>
      </c>
      <c r="E21" s="448" t="s">
        <v>5103</v>
      </c>
      <c r="F21" s="430" t="s">
        <v>3540</v>
      </c>
      <c r="G21" s="132"/>
    </row>
    <row r="22" spans="1:7" ht="45">
      <c r="A22" s="132"/>
      <c r="B22" s="446" t="s">
        <v>16</v>
      </c>
      <c r="C22" s="449" t="s">
        <v>5104</v>
      </c>
      <c r="D22" s="449" t="s">
        <v>5150</v>
      </c>
      <c r="E22" s="448" t="s">
        <v>5105</v>
      </c>
      <c r="F22" s="430" t="s">
        <v>3540</v>
      </c>
      <c r="G22" s="132"/>
    </row>
    <row r="23" spans="1:7" ht="45">
      <c r="A23" s="132"/>
      <c r="B23" s="446" t="s">
        <v>17</v>
      </c>
      <c r="C23" s="449" t="s">
        <v>5106</v>
      </c>
      <c r="D23" s="449" t="s">
        <v>5151</v>
      </c>
      <c r="E23" s="448" t="s">
        <v>5107</v>
      </c>
      <c r="F23" s="430" t="s">
        <v>3540</v>
      </c>
      <c r="G23" s="132"/>
    </row>
    <row r="24" spans="1:7" ht="45">
      <c r="A24" s="132"/>
      <c r="B24" s="446" t="s">
        <v>18</v>
      </c>
      <c r="C24" s="449" t="s">
        <v>5108</v>
      </c>
      <c r="D24" s="449" t="s">
        <v>5165</v>
      </c>
      <c r="E24" s="448" t="s">
        <v>5109</v>
      </c>
      <c r="F24" s="430" t="s">
        <v>3540</v>
      </c>
      <c r="G24" s="132"/>
    </row>
    <row r="25" spans="1:7" ht="45">
      <c r="A25" s="132"/>
      <c r="B25" s="446" t="s">
        <v>19</v>
      </c>
      <c r="C25" s="449" t="s">
        <v>5110</v>
      </c>
      <c r="D25" s="449" t="s">
        <v>5152</v>
      </c>
      <c r="E25" s="448" t="s">
        <v>5111</v>
      </c>
      <c r="F25" s="430" t="s">
        <v>3540</v>
      </c>
      <c r="G25" s="132"/>
    </row>
    <row r="26" spans="1:7" ht="38.25">
      <c r="A26" s="132"/>
      <c r="B26" s="446" t="s">
        <v>20</v>
      </c>
      <c r="C26" s="449" t="s">
        <v>5112</v>
      </c>
      <c r="D26" s="449" t="s">
        <v>5153</v>
      </c>
      <c r="E26" s="448" t="s">
        <v>5113</v>
      </c>
      <c r="F26" s="430" t="s">
        <v>3540</v>
      </c>
      <c r="G26" s="132"/>
    </row>
    <row r="27" spans="1:7" ht="38.25">
      <c r="A27" s="132"/>
      <c r="B27" s="446" t="s">
        <v>21</v>
      </c>
      <c r="C27" s="449" t="s">
        <v>5114</v>
      </c>
      <c r="D27" s="449" t="s">
        <v>5154</v>
      </c>
      <c r="E27" s="448" t="s">
        <v>5115</v>
      </c>
      <c r="F27" s="430" t="s">
        <v>3540</v>
      </c>
      <c r="G27" s="132"/>
    </row>
    <row r="28" spans="1:7" ht="60">
      <c r="A28" s="132"/>
      <c r="B28" s="446" t="s">
        <v>22</v>
      </c>
      <c r="C28" s="449" t="s">
        <v>5116</v>
      </c>
      <c r="D28" s="449" t="s">
        <v>5155</v>
      </c>
      <c r="E28" s="448" t="s">
        <v>5117</v>
      </c>
      <c r="F28" s="430" t="s">
        <v>3540</v>
      </c>
      <c r="G28" s="132"/>
    </row>
    <row r="29" spans="1:7" ht="38.25">
      <c r="A29" s="132"/>
      <c r="B29" s="446" t="s">
        <v>23</v>
      </c>
      <c r="C29" s="449" t="s">
        <v>5118</v>
      </c>
      <c r="D29" s="449" t="s">
        <v>5156</v>
      </c>
      <c r="E29" s="448" t="s">
        <v>5119</v>
      </c>
      <c r="F29" s="430" t="s">
        <v>3540</v>
      </c>
      <c r="G29" s="132"/>
    </row>
    <row r="30" spans="1:7" ht="45">
      <c r="A30" s="132"/>
      <c r="B30" s="446" t="s">
        <v>24</v>
      </c>
      <c r="C30" s="449" t="s">
        <v>5120</v>
      </c>
      <c r="D30" s="449" t="s">
        <v>5166</v>
      </c>
      <c r="E30" s="448" t="s">
        <v>5121</v>
      </c>
      <c r="F30" s="430" t="s">
        <v>3540</v>
      </c>
      <c r="G30" s="132"/>
    </row>
    <row r="31" spans="1:7" ht="45">
      <c r="A31" s="132"/>
      <c r="B31" s="446" t="s">
        <v>25</v>
      </c>
      <c r="C31" s="449" t="s">
        <v>5122</v>
      </c>
      <c r="D31" s="449" t="s">
        <v>5157</v>
      </c>
      <c r="E31" s="448" t="s">
        <v>5123</v>
      </c>
      <c r="F31" s="430" t="s">
        <v>3540</v>
      </c>
      <c r="G31" s="132"/>
    </row>
    <row r="32" spans="1:7" ht="30">
      <c r="A32" s="132"/>
      <c r="B32" s="446" t="s">
        <v>26</v>
      </c>
      <c r="C32" s="449" t="s">
        <v>5124</v>
      </c>
      <c r="D32" s="449" t="s">
        <v>5158</v>
      </c>
      <c r="E32" s="448" t="s">
        <v>5125</v>
      </c>
      <c r="F32" s="430" t="s">
        <v>3540</v>
      </c>
      <c r="G32" s="132"/>
    </row>
    <row r="33" spans="1:7" ht="45">
      <c r="A33" s="132"/>
      <c r="B33" s="446" t="s">
        <v>27</v>
      </c>
      <c r="C33" s="449" t="s">
        <v>5126</v>
      </c>
      <c r="D33" s="449" t="s">
        <v>5159</v>
      </c>
      <c r="E33" s="448" t="s">
        <v>5127</v>
      </c>
      <c r="F33" s="430" t="s">
        <v>3540</v>
      </c>
      <c r="G33" s="132"/>
    </row>
    <row r="34" spans="1:7" ht="30">
      <c r="A34" s="132"/>
      <c r="B34" s="446" t="s">
        <v>3501</v>
      </c>
      <c r="C34" s="449" t="s">
        <v>5128</v>
      </c>
      <c r="D34" s="449" t="s">
        <v>5160</v>
      </c>
      <c r="E34" s="448" t="s">
        <v>5129</v>
      </c>
      <c r="F34" s="430" t="s">
        <v>3540</v>
      </c>
      <c r="G34" s="132"/>
    </row>
    <row r="35" spans="1:7" ht="30">
      <c r="A35" s="132"/>
      <c r="B35" s="446" t="s">
        <v>29</v>
      </c>
      <c r="C35" s="449" t="s">
        <v>5130</v>
      </c>
      <c r="D35" s="449" t="s">
        <v>5161</v>
      </c>
      <c r="E35" s="448" t="s">
        <v>5131</v>
      </c>
      <c r="F35" s="430" t="s">
        <v>3540</v>
      </c>
      <c r="G35" s="132"/>
    </row>
    <row r="36" spans="1:7" ht="30">
      <c r="A36" s="132"/>
      <c r="B36" s="446" t="s">
        <v>30</v>
      </c>
      <c r="C36" s="449" t="s">
        <v>5132</v>
      </c>
      <c r="D36" s="449" t="s">
        <v>5162</v>
      </c>
      <c r="E36" s="448" t="s">
        <v>5133</v>
      </c>
      <c r="F36" s="430" t="s">
        <v>3540</v>
      </c>
      <c r="G36" s="132"/>
    </row>
    <row r="37" spans="1:7">
      <c r="A37" s="132"/>
      <c r="B37" s="132"/>
      <c r="C37" s="132"/>
      <c r="D37" s="452"/>
      <c r="E37" s="443"/>
      <c r="F37" s="444"/>
      <c r="G37" s="132"/>
    </row>
    <row r="38" spans="1:7"/>
    <row r="40" spans="1:7" hidden="1">
      <c r="A40" s="155"/>
      <c r="D40"/>
      <c r="E40"/>
      <c r="F40"/>
    </row>
    <row r="41" spans="1:7" hidden="1">
      <c r="D41"/>
      <c r="E41"/>
      <c r="F41"/>
    </row>
    <row r="42" spans="1:7" hidden="1">
      <c r="A42" s="156"/>
      <c r="B42" s="156"/>
      <c r="C42" s="156"/>
      <c r="D42" s="156"/>
      <c r="E42" s="156"/>
      <c r="F42" s="156"/>
    </row>
    <row r="43" spans="1:7" hidden="1">
      <c r="A43" s="157"/>
      <c r="B43" s="157"/>
      <c r="C43" s="453"/>
      <c r="D43" s="170"/>
      <c r="E43" s="157"/>
      <c r="F43" s="157"/>
    </row>
    <row r="44" spans="1:7" hidden="1">
      <c r="A44" s="157"/>
      <c r="B44" s="157"/>
      <c r="C44" s="453"/>
      <c r="D44" s="170"/>
      <c r="E44" s="157"/>
      <c r="F44" s="157"/>
    </row>
    <row r="45" spans="1:7" hidden="1">
      <c r="A45" s="157"/>
      <c r="B45" s="157"/>
      <c r="C45" s="453"/>
      <c r="D45" s="170"/>
      <c r="E45" s="157"/>
      <c r="F45" s="157"/>
    </row>
    <row r="46" spans="1:7" hidden="1">
      <c r="A46" s="157"/>
      <c r="B46" s="157"/>
      <c r="C46" s="453"/>
      <c r="D46" s="170"/>
      <c r="E46" s="157"/>
      <c r="F46" s="157"/>
    </row>
    <row r="47" spans="1:7" hidden="1">
      <c r="A47" s="157"/>
      <c r="B47" s="157"/>
      <c r="C47" s="453"/>
      <c r="D47" s="170"/>
      <c r="E47" s="157"/>
      <c r="F47" s="157"/>
    </row>
    <row r="48" spans="1:7" hidden="1">
      <c r="A48" s="157"/>
      <c r="B48" s="157"/>
      <c r="C48" s="453"/>
      <c r="D48" s="170"/>
      <c r="E48" s="157"/>
      <c r="F48" s="157"/>
    </row>
    <row r="49" spans="1:6" hidden="1">
      <c r="A49" s="157"/>
      <c r="B49" s="157"/>
      <c r="C49" s="453"/>
      <c r="D49" s="170"/>
      <c r="E49" s="157"/>
      <c r="F49" s="157"/>
    </row>
    <row r="50" spans="1:6" hidden="1">
      <c r="A50" s="157"/>
      <c r="B50" s="157"/>
      <c r="C50" s="453"/>
      <c r="D50" s="170"/>
      <c r="E50" s="157"/>
      <c r="F50" s="157"/>
    </row>
    <row r="51" spans="1:6" hidden="1">
      <c r="A51" s="157"/>
      <c r="B51" s="157"/>
      <c r="C51" s="453"/>
      <c r="D51" s="170"/>
      <c r="E51" s="157"/>
      <c r="F51" s="157"/>
    </row>
    <row r="52" spans="1:6" hidden="1">
      <c r="A52" s="157"/>
      <c r="B52" s="157"/>
      <c r="C52" s="453"/>
      <c r="D52" s="170"/>
      <c r="E52" s="157"/>
      <c r="F52" s="157"/>
    </row>
    <row r="53" spans="1:6" hidden="1">
      <c r="A53" s="157"/>
      <c r="B53" s="157"/>
      <c r="C53" s="453"/>
      <c r="D53" s="170"/>
      <c r="E53" s="157"/>
      <c r="F53" s="157"/>
    </row>
    <row r="54" spans="1:6" hidden="1">
      <c r="A54" s="157"/>
      <c r="B54" s="157"/>
      <c r="C54" s="453"/>
      <c r="D54" s="170"/>
      <c r="E54" s="157"/>
      <c r="F54" s="157"/>
    </row>
    <row r="55" spans="1:6" hidden="1">
      <c r="A55" s="157"/>
      <c r="B55" s="157"/>
      <c r="C55" s="453"/>
      <c r="D55" s="170"/>
      <c r="E55" s="157"/>
      <c r="F55" s="157"/>
    </row>
    <row r="56" spans="1:6" hidden="1">
      <c r="A56" s="157"/>
      <c r="B56" s="157"/>
      <c r="C56" s="453"/>
      <c r="D56" s="170"/>
      <c r="E56" s="157"/>
      <c r="F56" s="157"/>
    </row>
    <row r="57" spans="1:6" hidden="1">
      <c r="A57" s="157"/>
      <c r="B57" s="157"/>
      <c r="C57" s="453"/>
      <c r="D57" s="170"/>
      <c r="E57" s="157"/>
      <c r="F57" s="157"/>
    </row>
    <row r="58" spans="1:6" hidden="1">
      <c r="A58" s="157"/>
      <c r="B58" s="157"/>
      <c r="C58" s="453"/>
      <c r="D58" s="170"/>
      <c r="E58" s="157"/>
      <c r="F58" s="157"/>
    </row>
    <row r="59" spans="1:6" hidden="1">
      <c r="A59" s="157"/>
      <c r="B59" s="157"/>
      <c r="C59" s="453"/>
      <c r="D59" s="170"/>
      <c r="E59" s="157"/>
      <c r="F59" s="157"/>
    </row>
    <row r="60" spans="1:6" hidden="1">
      <c r="A60" s="157"/>
      <c r="B60" s="157"/>
      <c r="C60" s="453"/>
      <c r="D60" s="170"/>
      <c r="E60" s="157"/>
      <c r="F60" s="157"/>
    </row>
    <row r="61" spans="1:6" hidden="1">
      <c r="A61" s="157"/>
      <c r="B61" s="157"/>
      <c r="C61" s="453"/>
      <c r="D61" s="170"/>
      <c r="E61" s="157"/>
      <c r="F61" s="157"/>
    </row>
    <row r="62" spans="1:6" hidden="1">
      <c r="A62" s="157"/>
      <c r="B62" s="157"/>
      <c r="C62" s="453"/>
      <c r="D62" s="170"/>
      <c r="E62" s="157"/>
      <c r="F62" s="157"/>
    </row>
    <row r="63" spans="1:6" hidden="1">
      <c r="A63" s="157"/>
      <c r="B63" s="157"/>
      <c r="C63" s="453"/>
      <c r="D63" s="170"/>
      <c r="E63" s="157"/>
      <c r="F63" s="157"/>
    </row>
    <row r="64" spans="1:6" hidden="1">
      <c r="A64" s="157"/>
      <c r="B64" s="157"/>
      <c r="C64" s="453"/>
      <c r="D64" s="170"/>
      <c r="E64" s="157"/>
      <c r="F64" s="157"/>
    </row>
    <row r="65" spans="1:6" hidden="1">
      <c r="A65" s="157"/>
      <c r="B65" s="157"/>
      <c r="C65" s="453"/>
      <c r="D65" s="170"/>
      <c r="E65" s="157"/>
      <c r="F65" s="157"/>
    </row>
    <row r="66" spans="1:6" hidden="1">
      <c r="A66" s="157"/>
      <c r="B66" s="157"/>
      <c r="C66" s="453"/>
      <c r="D66" s="170"/>
      <c r="E66" s="157"/>
      <c r="F66" s="157"/>
    </row>
    <row r="67" spans="1:6" hidden="1">
      <c r="A67" s="157"/>
      <c r="B67" s="157"/>
      <c r="C67" s="453"/>
      <c r="D67" s="170"/>
      <c r="E67" s="157"/>
      <c r="F67" s="157"/>
    </row>
    <row r="68" spans="1:6" hidden="1">
      <c r="A68" s="157"/>
      <c r="B68" s="157"/>
      <c r="C68" s="453"/>
      <c r="D68" s="170"/>
      <c r="E68" s="157"/>
      <c r="F68" s="157"/>
    </row>
    <row r="69" spans="1:6" hidden="1">
      <c r="A69" s="157"/>
      <c r="B69" s="157"/>
      <c r="C69" s="453"/>
      <c r="D69" s="170"/>
      <c r="E69" s="157"/>
      <c r="F69" s="157"/>
    </row>
    <row r="70" spans="1:6" hidden="1">
      <c r="A70" s="157"/>
      <c r="B70" s="157"/>
      <c r="C70" s="453"/>
      <c r="D70" s="170"/>
      <c r="E70" s="157"/>
      <c r="F70" s="157"/>
    </row>
    <row r="71" spans="1:6" hidden="1">
      <c r="A71" s="157"/>
      <c r="B71" s="157"/>
      <c r="C71" s="453"/>
      <c r="D71" s="170"/>
      <c r="E71" s="157"/>
      <c r="F71" s="157"/>
    </row>
    <row r="72" spans="1:6" hidden="1">
      <c r="A72" s="157"/>
      <c r="B72" s="157"/>
      <c r="C72" s="453"/>
      <c r="D72" s="170"/>
      <c r="E72" s="157"/>
      <c r="F72" s="157"/>
    </row>
    <row r="73" spans="1:6" hidden="1">
      <c r="A73" s="157"/>
      <c r="B73" s="157"/>
      <c r="C73" s="453"/>
      <c r="D73" s="170"/>
      <c r="E73" s="157"/>
      <c r="F73" s="157"/>
    </row>
    <row r="74" spans="1:6" hidden="1">
      <c r="E74"/>
      <c r="F74"/>
    </row>
    <row r="75" spans="1:6" hidden="1">
      <c r="B75" s="21"/>
      <c r="E75"/>
      <c r="F75"/>
    </row>
  </sheetData>
  <sheetProtection algorithmName="SHA-512" hashValue="XZDwa6/fPvNf39dvl0R2t/zlW5slWc5/uMeazlAvpQY2L4yJwYnG72wmKly8XeG4eN1MmXWMYUHlOzybFOnriw==" saltValue="7KFxA6wweSjEocyiiBg6QA==" spinCount="100000" sheet="1" objects="1" scenarios="1"/>
  <mergeCells count="2">
    <mergeCell ref="B2:F2"/>
    <mergeCell ref="B3:F4"/>
  </mergeCells>
  <hyperlinks>
    <hyperlink ref="B3" r:id="rId1" tooltip="Bundesfinanzministerium  - Stand der Doppelbesteuerungsabkommen und anderer Abkommen im Steuerbereich sowie der Abkommensverhandlungen am 1. Januar 2026" display="https://www.bundesfinanzministerium.de/Content/DE/Downloads/BMF_Schreiben/Internationales_Steuerrecht/Allgemeine_Informationen/2026-01-07-stand-DBA-1-januar-2026.html" xr:uid="{C7BD9922-76DA-49ED-AFDC-B00BA10DB038}"/>
    <hyperlink ref="C6" r:id="rId2" tooltip="The calculation of my pension amount" display="https://www.sfpd.fgov.be/en/pension-amount/calculation?utm_source=chatgpt.com" xr:uid="{386F0126-56C2-4E61-93EF-F477C5F1D9C7}"/>
    <hyperlink ref="C7" r:id="rId3" tooltip="Изчисляване на прогнозна пенсия" display="https://reps.nssi.bg/PensionsCalc/?utm_source=chatgpt.com" xr:uid="{FE793F8C-8E50-46DD-8B4F-F20DCA5EB50A}"/>
    <hyperlink ref="C8" r:id="rId4" tooltip="Pension - Calculator" display="https://www.minpensionssag.dk/pe-selvbetjening/simulering/?lang=en&amp;utm_source=chatgpt.com" xr:uid="{0A1BEC85-3C5C-48E5-874A-9D68A7483BD3}"/>
    <hyperlink ref="C9" r:id="rId5" tooltip="Online-Rechner" display="https://www.deutsche-rentenversicherung.de/DRV/DE/Online-Services/Online-Rechner/online_rechner.html?utm_source=chatgpt.com" xr:uid="{A9A499DA-E3E4-4F27-BBF4-0741ED4BDFB4}"/>
    <hyperlink ref="C10" r:id="rId6" tooltip="Pension calculator" display="https://sotsiaalkindlustusamet.ee/en/pension-and-benefits/preparing-retirement/pension-calculator?utm_source=chatgpt.com" xr:uid="{71D3ABF3-961D-4CC5-94C1-5069183C7256}"/>
    <hyperlink ref="C11" r:id="rId7" tooltip="Pension calculator - Laskurit - Työeläke.fi" display="https://laskurit.tyoelake.fi/en/elakelaskuri?utm_source=chatgpt.com" xr:uid="{02975FCD-F285-4D19-959D-8CBD4E895FE7}"/>
    <hyperlink ref="C12" r:id="rId8" tooltip="Mon estimation retraite" display="https://services.info-retraite.fr/service/calcul-retraite/?utm_source=chatgpt.com" xr:uid="{39417A23-5BEC-4EDD-8E17-2E1676386A80}"/>
    <hyperlink ref="C13" r:id="rId9" tooltip="On-line Pension Calculator" display="https://sintaxi.isotita.gr/?lang=en&amp;page_id=245&amp;utm_source=chatgpt.com" xr:uid="{B469A7BC-1115-4089-98DE-0CAE072CF478}"/>
    <hyperlink ref="C14" r:id="rId10" tooltip="How to calculate your State Pension (Contributory) rate" display="https://www.gov.ie/en/department-of-social-protection/publications/how-to-calculate-your-state-pension-contributory-rate/?utm_source=chatgpt.com" xr:uid="{3CF745C4-6D77-48FA-87C8-678744EBCDC5}"/>
    <hyperlink ref="C16" r:id="rId11" tooltip="La mia pensione futura: simulazione della propria ..." display="https://www.inps.it/it/it/dettaglio-scheda.it.schede-servizio-strumento.schede-servizi.la-mia-pensione-futura-simulazione-della-propria-pensione-50033.la-mia-pensione-futura-simulazione-della-propria-pensione.html?utm_source=chatgpt.com" xr:uid="{8ECDF2DC-5388-41A9-B042-12B02D1AEDA3}"/>
    <hyperlink ref="C17" r:id="rId12" tooltip="Calculation of pension - gov.hr" display="https://gov.hr/en/calculation-of-pension/844?utm_source=chatgpt.com" xr:uid="{7BA296AF-0A9A-463D-A13D-1623B4896F34}"/>
    <hyperlink ref="C18" r:id="rId13" tooltip="Informācija par prognozējamo vecuma pensijas apmēru" display="https://www.vsaa.gov.lv/lv/pakalpojumi/informacija-par-prognozejamo-vecuma-pensijas-apmeru?utm_source=chatgpt.com" xr:uid="{153A1A54-EAE2-4D5F-8BAD-E8AA1DC101F5}"/>
    <hyperlink ref="C20" r:id="rId14" tooltip="Pranešimas apie įtraukimą į pensijų kaupimą (EN) – „Sodra“" display="https://sodra.lt/pranesimas-apie-itraukima-i-pensiju-kaupima" xr:uid="{6C0D0AEE-4296-4787-BFAB-7C805F617569}"/>
    <hyperlink ref="C21" r:id="rId15" tooltip="Requesting an estimate for an old-age pension / early ..." display="https://guichet.public.lu/en/citoyens/travail/pension/assurance-pension/estimation-pension-vieillesse.html?utm_source=chatgpt.com" xr:uid="{C54D90F6-332B-46C6-A64A-D1A811C10B3A}"/>
    <hyperlink ref="C22" r:id="rId16" tooltip="DSS Retirement Pension Calculator" display="https://www.servizz.gov.mt/en/Pages/Inclusion_-Equality-and-Social-Welfare/Social-Solidarity/Benefits-and-Services/mySocialSecurity/WEB1952/default.aspx?utm_source=chatgpt.com" xr:uid="{53A670F5-95FC-4594-A0D5-DA0435C2C26B}"/>
    <hyperlink ref="C23" r:id="rId17" tooltip="How much state pension will I receive?" display="https://www.government.nl/faq/how-much-state-pension-will-i-receive?utm_source=chatgpt.com" xr:uid="{BD9DB936-DE7F-45EB-B2A8-4D2377DC304D}"/>
    <hyperlink ref="C25" r:id="rId18" tooltip="Pensionsrechner – Pensionsantritt &amp; Pensionshöhe ..." display="https://www.pv.at/web/pension/pensionsrechner?utm_source=chatgpt.com" xr:uid="{62585BF3-F4DF-4A05-966C-C3A67970E10D}"/>
    <hyperlink ref="C26" r:id="rId19" tooltip="Kalkulator emerytalny - prognozowana emerytura" display="https://www.zus.pl/swiadczenia/emerytury/kalkulatory-emerytalne/emerytura-na-nowych-zasadach/kalkulator-emerytalny-prognozowana-emerytura?utm_source=chatgpt.com" xr:uid="{DC2D8746-B0A5-4A1B-A4C2-3B06A982E731}"/>
    <hyperlink ref="C27" r:id="rId20" tooltip="Preparar a reforma" display="https://www.seg-social.pt/ptss/pssd/vida/momento-reforma?utm_source=chatgpt.com" xr:uid="{CAA2A9C7-229D-4B8E-BC66-B83AC6FCBBB2}"/>
    <hyperlink ref="C28" r:id="rId21" tooltip="CNPP - Vârstă pensionare" display="https://www.cnpp.ro/varsta-pensionare?utm_source=chatgpt.com" xr:uid="{930C572B-A5A2-4F0C-BEA8-ABE61A25C0AD}"/>
    <hyperlink ref="C29" r:id="rId22" tooltip="Pension forecast - see how much pension you will get" display="https://www.pensionsmyndigheten.se/other-languages/english-engelska/english-engelska/pension-forecast-see-how-much-pension-you-will-get?utm_source=chatgpt.com" xr:uid="{FF656760-8DD8-4884-9644-CF4FCD8AC4CB}"/>
    <hyperlink ref="C31" r:id="rId23" tooltip="Insuree's Electronic Account" display="https://www.socpoist.sk/en/top-topics/insurees-electronic-account?utm_source=chatgpt.com" xr:uid="{B471FB22-06D0-46A6-9EF4-D71D84381F8A}"/>
    <hyperlink ref="C32" r:id="rId24" tooltip="General informative pension calculator ..." display="https://www.zpiz.si/content2020en/informative-calculation-of-retirement-date?utm_source=chatgpt.com" xr:uid="{B78BA9F4-577F-445C-99BF-9B6D5CD1104D}"/>
    <hyperlink ref="C33" r:id="rId25" tooltip="Simulador pensión de jubilación - Ciudadanos" display="https://sede.seg-social.gob.es/wps/portal/sede/sede/Ciudadanos/Pensiones/202045_2?utm_source=chatgpt.com" xr:uid="{81E11CF5-C727-4D9D-BD44-BA6B02F96C72}"/>
    <hyperlink ref="C34" r:id="rId26" tooltip="Informativní důchodová aplikace - ePortál ČSSZ" display="https://eportal.cssz.cz/web/portal/-/sluzby/informativni-duchodova-aplikace?utm_source=chatgpt.com" xr:uid="{4A7A679C-DAB2-4559-B467-3AD57F21A1CA}"/>
    <hyperlink ref="C35" r:id="rId27" tooltip="Önkiszolgáló nyugdíjkalkulátor" display="https://www.allamkincstar.gov.hu/nyugdij/sajat-jogu-ellatasok/oregsegi-nyugdij/onkiszolgalo-nyugdijkalkulator?utm_source=chatgpt.com" xr:uid="{9BF8B2A8-2A02-4A3E-AD5D-A9E7B0A3B67D}"/>
    <hyperlink ref="C36" r:id="rId28" tooltip="Temporary calculation of statutory pension" display="https://www.gov.cy/en/service/temporary-calculation-of-the-amount-of-statutory-pension/?utm_source=chatgpt.com" xr:uid="{5CDD8508-A510-418D-9317-7065F01B53E0}"/>
    <hyperlink ref="C15" r:id="rId29" tooltip="Pension calculator" display="https://island.is/en/o/social-insurance-administration/calculator?utm_source=chatgpt.com" xr:uid="{011DC260-9E38-4476-A5B7-C7DF20608055}"/>
    <hyperlink ref="C19" r:id="rId30" tooltip="Rentenberechnung | AHV - IV" display="https://www.ahv.li/leistungen/ahv/rentenberechnung?utm_source=chatgpt.com" xr:uid="{F2502C55-9D2C-4CFF-A2A9-6876E4AE43A9}"/>
    <hyperlink ref="C24" r:id="rId31" tooltip="Pensjonskalkulator – Pensjon" display="https://www.nav.no/pensjon/pensjonskalkulator?utm_source=chatgpt.com" xr:uid="{54BFB101-1BFF-46D7-BE4E-18BFA708055E}"/>
    <hyperlink ref="C30" r:id="rId32" tooltip="Online pension estimate (ESCAL) | Forms" display="https://www.ahv-iv.ch/en/Forms/Online-pension-estimate-ESCAL?utm_source=chatgpt.com" xr:uid="{7887F21C-3AD1-4C81-9506-33EDB6A6A967}"/>
    <hyperlink ref="D6" r:id="rId33" display="https://www.sfpd.fgov.be/en/pension-amount/calculation?utm_source=chatgpt.com" xr:uid="{65D4ADA3-7F64-406A-879C-61D35BE8C355}"/>
    <hyperlink ref="D7" r:id="rId34" display="https://reps.nssi.bg/PensionsCalc/?utm_source=chatgpt.com" xr:uid="{0672D206-2163-423B-828E-3F3D2F71063B}"/>
    <hyperlink ref="D9" r:id="rId35" display="https://www.deutsche-rentenversicherung.de/DRV/DE/Online-Services/Online-Rechner/online_rechner.html?utm_source=chatgpt.com" xr:uid="{6B615220-9433-48A4-AB67-3AA3BF5C7465}"/>
    <hyperlink ref="D10" r:id="rId36" display="https://sotsiaalkindlustusamet.ee/en/pension-and-benefits/preparing-retirement/pension-calculator?utm_source=chatgpt.com" xr:uid="{959B6CC5-C696-4664-8710-A42A215E3C62}"/>
    <hyperlink ref="D11" r:id="rId37" display="https://laskurit.tyoelake.fi/en/elakelaskuri?utm_source=chatgpt.com" xr:uid="{83AE7469-AF7D-4D0B-9FC5-17D598B69694}"/>
    <hyperlink ref="D12" r:id="rId38" display="https://services.info-retraite.fr/service/calcul-retraite/?utm_source=chatgpt.com" xr:uid="{CDDC8E7C-86B9-4432-B5B7-5EF1B6C59508}"/>
  </hyperlinks>
  <pageMargins left="0.7" right="0.7" top="0.78740157499999996" bottom="0.78740157499999996" header="0.3" footer="0.3"/>
  <drawing r:id="rId39"/>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606B0-C8B1-47E2-885D-59BA1351CDFA}">
  <dimension ref="A1:L49"/>
  <sheetViews>
    <sheetView showGridLines="0" workbookViewId="0">
      <selection activeCell="F16" sqref="F16"/>
      <extLst>
        <ext xmlns:xlsdti="http://schemas.microsoft.com/office/spreadsheetml/2023/showDataTypeIcons" uri="{77bfe23e-c014-4d31-8a63-9c772dbf06b6}">
          <xlsdti:showDataTypeIcons visible="0"/>
        </ext>
      </extLst>
    </sheetView>
  </sheetViews>
  <sheetFormatPr baseColWidth="10" defaultColWidth="0" defaultRowHeight="15" zeroHeight="1"/>
  <cols>
    <col min="1" max="1" width="6.85546875" customWidth="1"/>
    <col min="2" max="2" width="11.42578125" style="15" customWidth="1"/>
    <col min="3" max="3" width="16" customWidth="1"/>
    <col min="4" max="4" width="11.5703125" style="15" customWidth="1"/>
    <col min="5" max="5" width="21.85546875" style="15" customWidth="1"/>
    <col min="6" max="6" width="19.85546875" style="15" customWidth="1"/>
    <col min="7" max="7" width="17.5703125" customWidth="1"/>
    <col min="8" max="8" width="8.28515625" customWidth="1"/>
    <col min="9" max="12" width="0" hidden="1" customWidth="1"/>
    <col min="13" max="16384" width="11.42578125" hidden="1"/>
  </cols>
  <sheetData>
    <row r="1" spans="2:11" ht="21">
      <c r="B1" s="899" t="s">
        <v>4975</v>
      </c>
      <c r="C1" s="900"/>
      <c r="D1" s="900"/>
      <c r="E1" s="900"/>
      <c r="F1" s="900"/>
      <c r="G1" s="901"/>
    </row>
    <row r="2" spans="2:11" ht="15" customHeight="1">
      <c r="B2" s="902" t="s">
        <v>4976</v>
      </c>
      <c r="C2" s="903"/>
      <c r="D2" s="903"/>
      <c r="E2" s="903"/>
      <c r="F2" s="903"/>
      <c r="G2" s="904"/>
    </row>
    <row r="3" spans="2:11">
      <c r="B3" s="905"/>
      <c r="C3" s="906"/>
      <c r="D3" s="906"/>
      <c r="E3" s="906"/>
      <c r="F3" s="906"/>
      <c r="G3" s="907"/>
    </row>
    <row r="4" spans="2:11">
      <c r="B4" s="905"/>
      <c r="C4" s="906"/>
      <c r="D4" s="906"/>
      <c r="E4" s="906"/>
      <c r="F4" s="906"/>
      <c r="G4" s="907"/>
    </row>
    <row r="5" spans="2:11">
      <c r="B5" s="908"/>
      <c r="C5" s="909"/>
      <c r="D5" s="909"/>
      <c r="E5" s="909"/>
      <c r="F5" s="909"/>
      <c r="G5" s="910"/>
    </row>
    <row r="6" spans="2:11" ht="15" customHeight="1">
      <c r="B6" s="911" t="s">
        <v>4977</v>
      </c>
      <c r="C6" s="912"/>
      <c r="D6" s="912"/>
      <c r="E6" s="912"/>
      <c r="F6" s="912"/>
      <c r="G6" s="913"/>
    </row>
    <row r="7" spans="2:11">
      <c r="B7" s="911"/>
      <c r="C7" s="912"/>
      <c r="D7" s="912"/>
      <c r="E7" s="912"/>
      <c r="F7" s="912"/>
      <c r="G7" s="913"/>
    </row>
    <row r="8" spans="2:11" ht="46.5" customHeight="1">
      <c r="B8" s="911"/>
      <c r="C8" s="912"/>
      <c r="D8" s="912"/>
      <c r="E8" s="912"/>
      <c r="F8" s="912"/>
      <c r="G8" s="913"/>
      <c r="K8" s="21"/>
    </row>
    <row r="9" spans="2:11" ht="45">
      <c r="B9" s="426" t="s">
        <v>3525</v>
      </c>
      <c r="C9" s="427" t="s">
        <v>2883</v>
      </c>
      <c r="D9" s="427" t="s">
        <v>4980</v>
      </c>
      <c r="E9" s="427" t="s">
        <v>4983</v>
      </c>
      <c r="F9" s="427" t="s">
        <v>4985</v>
      </c>
      <c r="G9" s="428" t="s">
        <v>4986</v>
      </c>
    </row>
    <row r="10" spans="2:11">
      <c r="B10" s="429">
        <v>1</v>
      </c>
      <c r="C10" s="143" t="s">
        <v>0</v>
      </c>
      <c r="D10" s="430" t="s">
        <v>4981</v>
      </c>
      <c r="E10" s="431">
        <v>116.7</v>
      </c>
      <c r="F10" s="431">
        <v>107.3</v>
      </c>
      <c r="G10" s="432">
        <f>+F10/F$13-1</f>
        <v>7.2999999999999954E-2</v>
      </c>
      <c r="I10" s="23"/>
    </row>
    <row r="11" spans="2:11">
      <c r="B11" s="429">
        <v>2</v>
      </c>
      <c r="C11" s="143" t="s">
        <v>1</v>
      </c>
      <c r="D11" s="430" t="s">
        <v>4981</v>
      </c>
      <c r="E11" s="431">
        <v>60.5</v>
      </c>
      <c r="F11" s="431">
        <v>55.6</v>
      </c>
      <c r="G11" s="432">
        <f t="shared" ref="G11:G40" si="0">+F11/F$13-1</f>
        <v>-0.44399999999999995</v>
      </c>
    </row>
    <row r="12" spans="2:11">
      <c r="B12" s="429">
        <v>3</v>
      </c>
      <c r="C12" s="143" t="s">
        <v>2</v>
      </c>
      <c r="D12" s="430" t="s">
        <v>4981</v>
      </c>
      <c r="E12" s="431">
        <v>140.69999999999999</v>
      </c>
      <c r="F12" s="431">
        <v>129.30000000000001</v>
      </c>
      <c r="G12" s="432">
        <f t="shared" si="0"/>
        <v>0.29300000000000015</v>
      </c>
    </row>
    <row r="13" spans="2:11">
      <c r="B13" s="565">
        <v>4</v>
      </c>
      <c r="C13" s="566" t="s">
        <v>3</v>
      </c>
      <c r="D13" s="567" t="s">
        <v>4981</v>
      </c>
      <c r="E13" s="568">
        <v>108.8</v>
      </c>
      <c r="F13" s="570">
        <v>100</v>
      </c>
      <c r="G13" s="569">
        <f t="shared" si="0"/>
        <v>0</v>
      </c>
      <c r="I13" s="21" t="str">
        <f>+Länderwahl</f>
        <v>Italien</v>
      </c>
    </row>
    <row r="14" spans="2:11">
      <c r="B14" s="429">
        <v>5</v>
      </c>
      <c r="C14" s="143" t="s">
        <v>4</v>
      </c>
      <c r="D14" s="430" t="s">
        <v>4981</v>
      </c>
      <c r="E14" s="431">
        <v>100.2</v>
      </c>
      <c r="F14" s="431">
        <v>92.1</v>
      </c>
      <c r="G14" s="432">
        <f t="shared" si="0"/>
        <v>-7.900000000000007E-2</v>
      </c>
    </row>
    <row r="15" spans="2:11">
      <c r="B15" s="429">
        <v>6</v>
      </c>
      <c r="C15" s="143" t="s">
        <v>5</v>
      </c>
      <c r="D15" s="430" t="s">
        <v>4981</v>
      </c>
      <c r="E15" s="431">
        <v>122.3</v>
      </c>
      <c r="F15" s="431">
        <v>112.4</v>
      </c>
      <c r="G15" s="432">
        <f t="shared" si="0"/>
        <v>0.12400000000000011</v>
      </c>
    </row>
    <row r="16" spans="2:11">
      <c r="B16" s="429">
        <v>7</v>
      </c>
      <c r="C16" s="143" t="s">
        <v>6</v>
      </c>
      <c r="D16" s="430" t="s">
        <v>4981</v>
      </c>
      <c r="E16" s="431">
        <v>111.2</v>
      </c>
      <c r="F16" s="431">
        <v>102.2</v>
      </c>
      <c r="G16" s="432">
        <f t="shared" si="0"/>
        <v>2.200000000000002E-2</v>
      </c>
    </row>
    <row r="17" spans="2:7">
      <c r="B17" s="429">
        <v>8</v>
      </c>
      <c r="C17" s="143" t="s">
        <v>7</v>
      </c>
      <c r="D17" s="430" t="s">
        <v>4981</v>
      </c>
      <c r="E17" s="431">
        <v>86.5</v>
      </c>
      <c r="F17" s="431">
        <v>79.5</v>
      </c>
      <c r="G17" s="432">
        <f t="shared" si="0"/>
        <v>-0.20499999999999996</v>
      </c>
    </row>
    <row r="18" spans="2:7">
      <c r="B18" s="429">
        <v>9</v>
      </c>
      <c r="C18" s="143" t="s">
        <v>8</v>
      </c>
      <c r="D18" s="430" t="s">
        <v>4981</v>
      </c>
      <c r="E18" s="431">
        <v>136.80000000000001</v>
      </c>
      <c r="F18" s="431">
        <v>125.7</v>
      </c>
      <c r="G18" s="432">
        <f t="shared" si="0"/>
        <v>0.25700000000000012</v>
      </c>
    </row>
    <row r="19" spans="2:7">
      <c r="B19" s="429">
        <v>10</v>
      </c>
      <c r="C19" s="143" t="s">
        <v>9</v>
      </c>
      <c r="D19" s="430" t="s">
        <v>4982</v>
      </c>
      <c r="E19" s="431">
        <v>162.1</v>
      </c>
      <c r="F19" s="431">
        <v>149</v>
      </c>
      <c r="G19" s="432">
        <f t="shared" si="0"/>
        <v>0.49</v>
      </c>
    </row>
    <row r="20" spans="2:7">
      <c r="B20" s="429">
        <v>11</v>
      </c>
      <c r="C20" s="143" t="s">
        <v>10</v>
      </c>
      <c r="D20" s="430" t="s">
        <v>4981</v>
      </c>
      <c r="E20" s="431">
        <v>97</v>
      </c>
      <c r="F20" s="431">
        <v>89.2</v>
      </c>
      <c r="G20" s="432">
        <f t="shared" si="0"/>
        <v>-0.10799999999999998</v>
      </c>
    </row>
    <row r="21" spans="2:7">
      <c r="B21" s="429">
        <v>12</v>
      </c>
      <c r="C21" s="143" t="s">
        <v>11</v>
      </c>
      <c r="D21" s="430" t="s">
        <v>4981</v>
      </c>
      <c r="E21" s="431">
        <v>76.599999999999994</v>
      </c>
      <c r="F21" s="431">
        <v>70.400000000000006</v>
      </c>
      <c r="G21" s="432">
        <f t="shared" si="0"/>
        <v>-0.29599999999999993</v>
      </c>
    </row>
    <row r="22" spans="2:7">
      <c r="B22" s="429">
        <v>13</v>
      </c>
      <c r="C22" s="143" t="s">
        <v>12</v>
      </c>
      <c r="D22" s="430" t="s">
        <v>4981</v>
      </c>
      <c r="E22" s="431">
        <v>82.7</v>
      </c>
      <c r="F22" s="431">
        <v>76</v>
      </c>
      <c r="G22" s="432">
        <f t="shared" si="0"/>
        <v>-0.24</v>
      </c>
    </row>
    <row r="23" spans="2:7">
      <c r="B23" s="429">
        <v>14</v>
      </c>
      <c r="C23" s="143" t="s">
        <v>13</v>
      </c>
      <c r="D23" s="430" t="s">
        <v>4982</v>
      </c>
      <c r="E23" s="431" t="s">
        <v>4984</v>
      </c>
      <c r="F23" s="431" t="s">
        <v>4984</v>
      </c>
      <c r="G23" s="432"/>
    </row>
    <row r="24" spans="2:7">
      <c r="B24" s="429">
        <v>15</v>
      </c>
      <c r="C24" s="143" t="s">
        <v>14</v>
      </c>
      <c r="D24" s="430" t="s">
        <v>4981</v>
      </c>
      <c r="E24" s="431">
        <v>81.7</v>
      </c>
      <c r="F24" s="431">
        <v>75.099999999999994</v>
      </c>
      <c r="G24" s="432">
        <f t="shared" si="0"/>
        <v>-0.24900000000000011</v>
      </c>
    </row>
    <row r="25" spans="2:7">
      <c r="B25" s="429">
        <v>16</v>
      </c>
      <c r="C25" s="143" t="s">
        <v>15</v>
      </c>
      <c r="D25" s="430" t="s">
        <v>4981</v>
      </c>
      <c r="E25" s="431">
        <v>131.1</v>
      </c>
      <c r="F25" s="431">
        <v>120.5</v>
      </c>
      <c r="G25" s="432">
        <f t="shared" si="0"/>
        <v>0.20500000000000007</v>
      </c>
    </row>
    <row r="26" spans="2:7">
      <c r="B26" s="429">
        <v>17</v>
      </c>
      <c r="C26" s="143" t="s">
        <v>16</v>
      </c>
      <c r="D26" s="430" t="s">
        <v>4981</v>
      </c>
      <c r="E26" s="431">
        <v>90.6</v>
      </c>
      <c r="F26" s="431">
        <v>83.3</v>
      </c>
      <c r="G26" s="432">
        <f t="shared" si="0"/>
        <v>-0.16700000000000004</v>
      </c>
    </row>
    <row r="27" spans="2:7">
      <c r="B27" s="429">
        <v>18</v>
      </c>
      <c r="C27" s="143" t="s">
        <v>17</v>
      </c>
      <c r="D27" s="430" t="s">
        <v>4981</v>
      </c>
      <c r="E27" s="431">
        <v>115.1</v>
      </c>
      <c r="F27" s="431">
        <v>105.8</v>
      </c>
      <c r="G27" s="432">
        <f t="shared" si="0"/>
        <v>5.8000000000000052E-2</v>
      </c>
    </row>
    <row r="28" spans="2:7">
      <c r="B28" s="429">
        <v>19</v>
      </c>
      <c r="C28" s="143" t="s">
        <v>18</v>
      </c>
      <c r="D28" s="430" t="s">
        <v>4982</v>
      </c>
      <c r="E28" s="431">
        <v>127.2</v>
      </c>
      <c r="F28" s="431">
        <v>116.9</v>
      </c>
      <c r="G28" s="432">
        <f t="shared" si="0"/>
        <v>0.16900000000000004</v>
      </c>
    </row>
    <row r="29" spans="2:7">
      <c r="B29" s="429">
        <v>20</v>
      </c>
      <c r="C29" s="143" t="s">
        <v>19</v>
      </c>
      <c r="D29" s="430" t="s">
        <v>4981</v>
      </c>
      <c r="E29" s="431">
        <v>111.7</v>
      </c>
      <c r="F29" s="431">
        <v>102.7</v>
      </c>
      <c r="G29" s="432">
        <f t="shared" si="0"/>
        <v>2.7000000000000135E-2</v>
      </c>
    </row>
    <row r="30" spans="2:7">
      <c r="B30" s="429">
        <v>21</v>
      </c>
      <c r="C30" s="143" t="s">
        <v>20</v>
      </c>
      <c r="D30" s="430" t="s">
        <v>4981</v>
      </c>
      <c r="E30" s="431">
        <v>72.3</v>
      </c>
      <c r="F30" s="431">
        <v>66.5</v>
      </c>
      <c r="G30" s="432">
        <f t="shared" si="0"/>
        <v>-0.33499999999999996</v>
      </c>
    </row>
    <row r="31" spans="2:7">
      <c r="B31" s="429">
        <v>22</v>
      </c>
      <c r="C31" s="143" t="s">
        <v>21</v>
      </c>
      <c r="D31" s="430" t="s">
        <v>4981</v>
      </c>
      <c r="E31" s="431">
        <v>86.7</v>
      </c>
      <c r="F31" s="431">
        <v>79.7</v>
      </c>
      <c r="G31" s="432">
        <f t="shared" si="0"/>
        <v>-0.20299999999999996</v>
      </c>
    </row>
    <row r="32" spans="2:7">
      <c r="B32" s="429">
        <v>23</v>
      </c>
      <c r="C32" s="143" t="s">
        <v>22</v>
      </c>
      <c r="D32" s="430" t="s">
        <v>4981</v>
      </c>
      <c r="E32" s="431">
        <v>64.099999999999994</v>
      </c>
      <c r="F32" s="431">
        <v>58.9</v>
      </c>
      <c r="G32" s="432">
        <f t="shared" si="0"/>
        <v>-0.41100000000000003</v>
      </c>
    </row>
    <row r="33" spans="2:7">
      <c r="B33" s="429">
        <v>24</v>
      </c>
      <c r="C33" s="143" t="s">
        <v>23</v>
      </c>
      <c r="D33" s="430" t="s">
        <v>4981</v>
      </c>
      <c r="E33" s="431">
        <v>116.4</v>
      </c>
      <c r="F33" s="431">
        <v>107</v>
      </c>
      <c r="G33" s="432">
        <f t="shared" si="0"/>
        <v>7.0000000000000062E-2</v>
      </c>
    </row>
    <row r="34" spans="2:7">
      <c r="B34" s="429">
        <v>25</v>
      </c>
      <c r="C34" s="143" t="s">
        <v>24</v>
      </c>
      <c r="D34" s="430" t="s">
        <v>4982</v>
      </c>
      <c r="E34" s="431">
        <v>173</v>
      </c>
      <c r="F34" s="431">
        <v>159</v>
      </c>
      <c r="G34" s="432">
        <f t="shared" si="0"/>
        <v>0.59000000000000008</v>
      </c>
    </row>
    <row r="35" spans="2:7">
      <c r="B35" s="429">
        <v>26</v>
      </c>
      <c r="C35" s="143" t="s">
        <v>25</v>
      </c>
      <c r="D35" s="430" t="s">
        <v>4981</v>
      </c>
      <c r="E35" s="431">
        <v>84.6</v>
      </c>
      <c r="F35" s="431">
        <v>77.8</v>
      </c>
      <c r="G35" s="432">
        <f t="shared" si="0"/>
        <v>-0.22199999999999998</v>
      </c>
    </row>
    <row r="36" spans="2:7">
      <c r="B36" s="429">
        <v>27</v>
      </c>
      <c r="C36" s="143" t="s">
        <v>26</v>
      </c>
      <c r="D36" s="430" t="s">
        <v>4981</v>
      </c>
      <c r="E36" s="431">
        <v>89.5</v>
      </c>
      <c r="F36" s="431">
        <v>82.3</v>
      </c>
      <c r="G36" s="432">
        <f t="shared" si="0"/>
        <v>-0.17700000000000005</v>
      </c>
    </row>
    <row r="37" spans="2:7">
      <c r="B37" s="429">
        <v>28</v>
      </c>
      <c r="C37" s="143" t="s">
        <v>27</v>
      </c>
      <c r="D37" s="430" t="s">
        <v>4981</v>
      </c>
      <c r="E37" s="431">
        <v>91.3</v>
      </c>
      <c r="F37" s="431">
        <v>83.9</v>
      </c>
      <c r="G37" s="432">
        <f t="shared" si="0"/>
        <v>-0.16099999999999992</v>
      </c>
    </row>
    <row r="38" spans="2:7">
      <c r="B38" s="429">
        <v>29</v>
      </c>
      <c r="C38" s="143" t="s">
        <v>3501</v>
      </c>
      <c r="D38" s="430" t="s">
        <v>4981</v>
      </c>
      <c r="E38" s="431">
        <v>88.5</v>
      </c>
      <c r="F38" s="431">
        <v>81.3</v>
      </c>
      <c r="G38" s="432">
        <f t="shared" si="0"/>
        <v>-0.18700000000000006</v>
      </c>
    </row>
    <row r="39" spans="2:7">
      <c r="B39" s="429">
        <v>30</v>
      </c>
      <c r="C39" s="143" t="s">
        <v>29</v>
      </c>
      <c r="D39" s="430" t="s">
        <v>4981</v>
      </c>
      <c r="E39" s="431">
        <v>74.3</v>
      </c>
      <c r="F39" s="431">
        <v>68.3</v>
      </c>
      <c r="G39" s="432">
        <f t="shared" si="0"/>
        <v>-0.31700000000000006</v>
      </c>
    </row>
    <row r="40" spans="2:7">
      <c r="B40" s="429">
        <v>31</v>
      </c>
      <c r="C40" s="143" t="s">
        <v>30</v>
      </c>
      <c r="D40" s="430" t="s">
        <v>4981</v>
      </c>
      <c r="E40" s="431">
        <v>91.6</v>
      </c>
      <c r="F40" s="431">
        <v>84.2</v>
      </c>
      <c r="G40" s="432">
        <f t="shared" si="0"/>
        <v>-0.15799999999999992</v>
      </c>
    </row>
    <row r="41" spans="2:7" ht="15" customHeight="1">
      <c r="B41" s="914" t="s">
        <v>4978</v>
      </c>
      <c r="C41" s="915"/>
      <c r="D41" s="915"/>
      <c r="E41" s="915"/>
      <c r="F41" s="915"/>
      <c r="G41" s="916"/>
    </row>
    <row r="42" spans="2:7">
      <c r="B42" s="914"/>
      <c r="C42" s="915"/>
      <c r="D42" s="915"/>
      <c r="E42" s="915"/>
      <c r="F42" s="915"/>
      <c r="G42" s="916"/>
    </row>
    <row r="43" spans="2:7">
      <c r="B43" s="914"/>
      <c r="C43" s="915"/>
      <c r="D43" s="915"/>
      <c r="E43" s="915"/>
      <c r="F43" s="915"/>
      <c r="G43" s="916"/>
    </row>
    <row r="44" spans="2:7">
      <c r="B44" s="914"/>
      <c r="C44" s="915"/>
      <c r="D44" s="915"/>
      <c r="E44" s="915"/>
      <c r="F44" s="915"/>
      <c r="G44" s="916"/>
    </row>
    <row r="45" spans="2:7" ht="15" customHeight="1">
      <c r="B45" s="917" t="s">
        <v>4979</v>
      </c>
      <c r="C45" s="918"/>
      <c r="D45" s="918"/>
      <c r="E45" s="918"/>
      <c r="F45" s="918"/>
      <c r="G45" s="919"/>
    </row>
    <row r="46" spans="2:7">
      <c r="B46" s="917"/>
      <c r="C46" s="918"/>
      <c r="D46" s="918"/>
      <c r="E46" s="918"/>
      <c r="F46" s="918"/>
      <c r="G46" s="919"/>
    </row>
    <row r="47" spans="2:7">
      <c r="B47" s="917"/>
      <c r="C47" s="918"/>
      <c r="D47" s="918"/>
      <c r="E47" s="918"/>
      <c r="F47" s="918"/>
      <c r="G47" s="919"/>
    </row>
    <row r="48" spans="2:7" ht="15.75" thickBot="1">
      <c r="B48" s="920"/>
      <c r="C48" s="921"/>
      <c r="D48" s="921"/>
      <c r="E48" s="921"/>
      <c r="F48" s="921"/>
      <c r="G48" s="922"/>
    </row>
    <row r="49"/>
  </sheetData>
  <sheetProtection algorithmName="SHA-512" hashValue="X4rQVui+TBFbBUwMSgUqlMObbl7wYGXd/PXspkqOcz//PvJNS9v/DqVUeGSkN7pkgV47+fUt2G5vWslR7uzpPQ==" saltValue="OcG/5+8E6KLJDMEI4WQi4A==" spinCount="100000" sheet="1" sort="0" autoFilter="0"/>
  <autoFilter ref="B9:G48" xr:uid="{2DD606B0-C8B1-47E2-885D-59BA1351CDFA}"/>
  <mergeCells count="5">
    <mergeCell ref="B1:G1"/>
    <mergeCell ref="B2:G5"/>
    <mergeCell ref="B6:G8"/>
    <mergeCell ref="B41:G44"/>
    <mergeCell ref="B45:G48"/>
  </mergeCells>
  <conditionalFormatting sqref="C10:G31">
    <cfRule type="expression" dxfId="1" priority="1">
      <formula>$I$13=$C10</formula>
    </cfRule>
  </conditionalFormatting>
  <hyperlinks>
    <hyperlink ref="B6" r:id="rId1" tooltip="Comparative price levels of consumer goods and services - Statistics Explained - Eurostat" display="https://ec.europa.eu/eurostat/statistics-explained/index.php?title=Comparative_price_levels_of_consumer_goods_and_services" xr:uid="{EAA53EE7-D86B-4CD7-B0CF-ADFEDCDD9FFF}"/>
  </hyperlinks>
  <pageMargins left="0.7" right="0.7" top="0.78740157499999996" bottom="0.78740157499999996" header="0.3" footer="0.3"/>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A755B-B40A-44E9-A9B4-F00C64A8A7DD}">
  <dimension ref="A1:N53"/>
  <sheetViews>
    <sheetView showGridLines="0" workbookViewId="0">
      <selection activeCell="K14" sqref="K14:K15"/>
    </sheetView>
  </sheetViews>
  <sheetFormatPr baseColWidth="10" defaultColWidth="0" defaultRowHeight="15" zeroHeight="1"/>
  <cols>
    <col min="1" max="1" width="6.42578125" customWidth="1"/>
    <col min="2" max="2" width="13.42578125" customWidth="1"/>
    <col min="3" max="8" width="11.42578125" style="26" customWidth="1"/>
    <col min="9" max="9" width="11.42578125" customWidth="1"/>
    <col min="10" max="10" width="16" customWidth="1"/>
    <col min="11" max="11" width="13.5703125" bestFit="1" customWidth="1"/>
    <col min="12" max="13" width="11.42578125" customWidth="1"/>
    <col min="14" max="14" width="4.85546875" customWidth="1"/>
    <col min="15" max="16384" width="11.42578125" hidden="1"/>
  </cols>
  <sheetData>
    <row r="1" spans="2:13"/>
    <row r="2" spans="2:13" ht="15.75">
      <c r="B2" s="489" t="s">
        <v>5173</v>
      </c>
      <c r="C2" s="506"/>
      <c r="D2" s="506"/>
      <c r="E2" s="507"/>
      <c r="F2" s="506"/>
      <c r="G2" s="506"/>
      <c r="H2" s="507"/>
      <c r="I2" s="490"/>
    </row>
    <row r="3" spans="2:13">
      <c r="B3" s="492" t="s">
        <v>5174</v>
      </c>
      <c r="C3" s="500"/>
      <c r="D3" s="500"/>
      <c r="E3" s="508"/>
      <c r="F3" s="500"/>
      <c r="G3" s="500"/>
      <c r="H3" s="508"/>
      <c r="I3" s="493"/>
    </row>
    <row r="4" spans="2:13">
      <c r="B4" s="501"/>
      <c r="C4" s="923" t="s">
        <v>5175</v>
      </c>
      <c r="D4" s="923"/>
      <c r="E4" s="923"/>
      <c r="F4" s="923" t="s">
        <v>5176</v>
      </c>
      <c r="G4" s="923"/>
      <c r="H4" s="923"/>
      <c r="I4" s="491"/>
    </row>
    <row r="5" spans="2:13">
      <c r="B5" s="924"/>
      <c r="C5" s="502" t="s">
        <v>5177</v>
      </c>
      <c r="D5" s="502" t="s">
        <v>5178</v>
      </c>
      <c r="E5" s="502" t="s">
        <v>5179</v>
      </c>
      <c r="F5" s="502" t="s">
        <v>5177</v>
      </c>
      <c r="G5" s="502" t="s">
        <v>5178</v>
      </c>
      <c r="H5" s="502" t="s">
        <v>5179</v>
      </c>
      <c r="I5" s="490"/>
    </row>
    <row r="6" spans="2:13">
      <c r="B6" s="924"/>
      <c r="C6" s="502">
        <v>2024</v>
      </c>
      <c r="D6" s="502">
        <v>2024</v>
      </c>
      <c r="E6" s="502">
        <v>2024</v>
      </c>
      <c r="F6" s="502">
        <v>2024</v>
      </c>
      <c r="G6" s="502">
        <v>2024</v>
      </c>
      <c r="H6" s="502">
        <v>2024</v>
      </c>
      <c r="I6" s="491"/>
    </row>
    <row r="7" spans="2:13">
      <c r="B7" s="503" t="s">
        <v>5180</v>
      </c>
      <c r="C7" s="509">
        <v>81.5</v>
      </c>
      <c r="D7" s="509">
        <v>78.900000000000006</v>
      </c>
      <c r="E7" s="509">
        <v>84.1</v>
      </c>
      <c r="F7" s="509">
        <v>20.2</v>
      </c>
      <c r="G7" s="509">
        <v>18.399999999999999</v>
      </c>
      <c r="H7" s="509">
        <v>21.8</v>
      </c>
      <c r="I7" s="491"/>
    </row>
    <row r="8" spans="2:13">
      <c r="B8" s="504" t="s">
        <v>0</v>
      </c>
      <c r="C8" s="510">
        <v>82.369448991051073</v>
      </c>
      <c r="D8" s="510">
        <v>80.271441582800136</v>
      </c>
      <c r="E8" s="510">
        <v>84.413594973024033</v>
      </c>
      <c r="F8" s="510">
        <v>20.644201980947496</v>
      </c>
      <c r="G8" s="510">
        <v>19.11460468050166</v>
      </c>
      <c r="H8" s="510">
        <v>22.019407157147782</v>
      </c>
      <c r="I8" s="491"/>
    </row>
    <row r="9" spans="2:13">
      <c r="B9" s="504" t="s">
        <v>1</v>
      </c>
      <c r="C9" s="510">
        <v>75.806485523583945</v>
      </c>
      <c r="D9" s="510">
        <v>72.173822332610342</v>
      </c>
      <c r="E9" s="510">
        <v>79.523607616331333</v>
      </c>
      <c r="F9" s="510">
        <v>16.93619073925651</v>
      </c>
      <c r="G9" s="510">
        <v>14.668007171920816</v>
      </c>
      <c r="H9" s="510">
        <v>18.787656925792717</v>
      </c>
      <c r="I9" s="491"/>
    </row>
    <row r="10" spans="2:13">
      <c r="B10" s="504" t="s">
        <v>3501</v>
      </c>
      <c r="C10" s="510">
        <v>80.09230681749888</v>
      </c>
      <c r="D10" s="510">
        <v>77.135250244320844</v>
      </c>
      <c r="E10" s="510">
        <v>83.007761365500997</v>
      </c>
      <c r="F10" s="510">
        <v>18.923607604640178</v>
      </c>
      <c r="G10" s="510">
        <v>16.93315661566891</v>
      </c>
      <c r="H10" s="510">
        <v>20.615474911723616</v>
      </c>
      <c r="I10" s="491"/>
    </row>
    <row r="11" spans="2:13">
      <c r="B11" s="504" t="s">
        <v>2</v>
      </c>
      <c r="C11" s="510">
        <v>82.024238889303561</v>
      </c>
      <c r="D11" s="510">
        <v>80.159510073215429</v>
      </c>
      <c r="E11" s="510">
        <v>83.883081547808331</v>
      </c>
      <c r="F11" s="510">
        <v>20.069218603351914</v>
      </c>
      <c r="G11" s="510">
        <v>18.732151626392763</v>
      </c>
      <c r="H11" s="510">
        <v>21.321405825827334</v>
      </c>
      <c r="I11" s="491"/>
    </row>
    <row r="12" spans="2:13">
      <c r="B12" s="505" t="s">
        <v>3</v>
      </c>
      <c r="C12" s="511">
        <v>81.166637141245616</v>
      </c>
      <c r="D12" s="511">
        <v>78.861453907505137</v>
      </c>
      <c r="E12" s="511">
        <v>83.460505706472503</v>
      </c>
      <c r="F12" s="511">
        <v>19.657912199389724</v>
      </c>
      <c r="G12" s="511">
        <v>18.01773421163805</v>
      </c>
      <c r="H12" s="511">
        <v>21.150511619564888</v>
      </c>
      <c r="I12" s="925" t="s">
        <v>5192</v>
      </c>
      <c r="J12" s="926"/>
      <c r="K12" s="926"/>
      <c r="L12" s="926"/>
      <c r="M12" s="926"/>
    </row>
    <row r="13" spans="2:13">
      <c r="B13" s="504" t="s">
        <v>4</v>
      </c>
      <c r="C13" s="510">
        <v>79.428139477126635</v>
      </c>
      <c r="D13" s="510">
        <v>75.058227068298621</v>
      </c>
      <c r="E13" s="510">
        <v>83.416526799930296</v>
      </c>
      <c r="F13" s="510">
        <v>19.213328579309223</v>
      </c>
      <c r="G13" s="510">
        <v>16.264818502428913</v>
      </c>
      <c r="H13" s="510">
        <v>21.266230831020337</v>
      </c>
      <c r="I13" s="378" t="s">
        <v>2883</v>
      </c>
      <c r="J13" s="740" t="s">
        <v>5190</v>
      </c>
      <c r="K13" s="740"/>
      <c r="L13" s="740" t="s">
        <v>5191</v>
      </c>
      <c r="M13" s="740"/>
    </row>
    <row r="14" spans="2:13">
      <c r="B14" s="504" t="s">
        <v>8</v>
      </c>
      <c r="C14" s="510">
        <v>83.057003776779212</v>
      </c>
      <c r="D14" s="510">
        <v>81.376410990972971</v>
      </c>
      <c r="E14" s="510">
        <v>84.732663070886474</v>
      </c>
      <c r="F14" s="510">
        <v>21.006289831384848</v>
      </c>
      <c r="G14" s="510">
        <v>19.764165891118797</v>
      </c>
      <c r="H14" s="510">
        <v>22.20616706625156</v>
      </c>
      <c r="I14" s="562" t="str">
        <f>Länderwahl</f>
        <v>Italien</v>
      </c>
      <c r="J14" s="563">
        <f>ROUND(VLOOKUP($I$14,LXYD_EU,CHOOSE(GeschlechtsNr_Pfl,3,4,2),FALSE),1)</f>
        <v>81.599999999999994</v>
      </c>
      <c r="K14" s="927">
        <f>+ROUND(J14/J15-1,3)</f>
        <v>3.5000000000000003E-2</v>
      </c>
      <c r="L14" s="564">
        <f>ROUND(VLOOKUP($I$14,LXYD_EU,CHOOSE(GeschlechtsNr_Pfl,6,7,5),FALSE),1)</f>
        <v>19.899999999999999</v>
      </c>
      <c r="M14" s="927">
        <f>ROUND(L14/L15-1,3)</f>
        <v>0.106</v>
      </c>
    </row>
    <row r="15" spans="2:13">
      <c r="B15" s="504" t="s">
        <v>7</v>
      </c>
      <c r="C15" s="510">
        <v>81.909074242229323</v>
      </c>
      <c r="D15" s="510">
        <v>79.405475991611269</v>
      </c>
      <c r="E15" s="510">
        <v>84.416202228469288</v>
      </c>
      <c r="F15" s="510">
        <v>20.314651579358117</v>
      </c>
      <c r="G15" s="510">
        <v>18.70247429963376</v>
      </c>
      <c r="H15" s="510">
        <v>21.801058311852881</v>
      </c>
      <c r="I15" s="517" t="s">
        <v>3</v>
      </c>
      <c r="J15" s="518">
        <f>VLOOKUP(I15,LXYD_EU,CHOOSE(GeschlechtsNr_Pfl,3,4,2),FALSE)</f>
        <v>78.861453907505137</v>
      </c>
      <c r="K15" s="927"/>
      <c r="L15" s="519">
        <f>ROUND(VLOOKUP($I$15,LXYD_EU,CHOOSE(GeschlechtsNr_Pfl,6,7,5),FALSE),1)</f>
        <v>18</v>
      </c>
      <c r="M15" s="927"/>
    </row>
    <row r="16" spans="2:13">
      <c r="B16" s="504" t="s">
        <v>27</v>
      </c>
      <c r="C16" s="510">
        <v>84.006316698666765</v>
      </c>
      <c r="D16" s="510">
        <v>81.367179060799643</v>
      </c>
      <c r="E16" s="510">
        <v>86.536803010446476</v>
      </c>
      <c r="F16" s="510">
        <v>21.864989950642244</v>
      </c>
      <c r="G16" s="510">
        <v>19.84965929004024</v>
      </c>
      <c r="H16" s="510">
        <v>23.6507202277289</v>
      </c>
      <c r="I16" s="491"/>
    </row>
    <row r="17" spans="2:9">
      <c r="B17" s="504" t="s">
        <v>6</v>
      </c>
      <c r="C17" s="510">
        <v>83.010903274294463</v>
      </c>
      <c r="D17" s="510">
        <v>80.153038360562206</v>
      </c>
      <c r="E17" s="510">
        <v>85.76379191536428</v>
      </c>
      <c r="F17" s="510">
        <v>21.864989969863657</v>
      </c>
      <c r="G17" s="510">
        <v>19.891047488444084</v>
      </c>
      <c r="H17" s="510">
        <v>23.591793133734857</v>
      </c>
      <c r="I17" s="491"/>
    </row>
    <row r="18" spans="2:9">
      <c r="B18" s="504" t="s">
        <v>11</v>
      </c>
      <c r="C18" s="510">
        <v>78.948766323737132</v>
      </c>
      <c r="D18" s="510">
        <v>76.042665087967151</v>
      </c>
      <c r="E18" s="510">
        <v>81.824653885880238</v>
      </c>
      <c r="F18" s="510">
        <v>17.981521777060671</v>
      </c>
      <c r="G18" s="510">
        <v>16.137625361319706</v>
      </c>
      <c r="H18" s="510">
        <v>19.56799051074929</v>
      </c>
      <c r="I18" s="491"/>
    </row>
    <row r="19" spans="2:9">
      <c r="B19" s="504" t="s">
        <v>10</v>
      </c>
      <c r="C19" s="510">
        <v>83.703003978963224</v>
      </c>
      <c r="D19" s="510">
        <v>81.636852110284195</v>
      </c>
      <c r="E19" s="510">
        <v>85.659603086275411</v>
      </c>
      <c r="F19" s="510">
        <v>21.387257797623068</v>
      </c>
      <c r="G19" s="510">
        <v>19.863780983178589</v>
      </c>
      <c r="H19" s="510">
        <v>22.721681768498453</v>
      </c>
      <c r="I19" s="491"/>
    </row>
    <row r="20" spans="2:9">
      <c r="B20" s="504" t="s">
        <v>30</v>
      </c>
      <c r="C20" s="510">
        <v>83.54989660801948</v>
      </c>
      <c r="D20" s="510">
        <v>81.496533825210676</v>
      </c>
      <c r="E20" s="510">
        <v>85.617982167034356</v>
      </c>
      <c r="F20" s="512">
        <v>21.166468751278366</v>
      </c>
      <c r="G20" s="512">
        <v>19.848983798784989</v>
      </c>
      <c r="H20" s="512">
        <v>22.454141566938908</v>
      </c>
      <c r="I20" s="491"/>
    </row>
    <row r="21" spans="2:9">
      <c r="B21" s="504" t="s">
        <v>14</v>
      </c>
      <c r="C21" s="510">
        <v>76.422991365078673</v>
      </c>
      <c r="D21" s="510">
        <v>71.394948071352474</v>
      </c>
      <c r="E21" s="510">
        <v>81.211783066471895</v>
      </c>
      <c r="F21" s="510">
        <v>17.813351112055937</v>
      </c>
      <c r="G21" s="510">
        <v>14.905789621196655</v>
      </c>
      <c r="H21" s="510">
        <v>19.78095713981946</v>
      </c>
      <c r="I21" s="491"/>
    </row>
    <row r="22" spans="2:9">
      <c r="B22" s="504" t="s">
        <v>5181</v>
      </c>
      <c r="C22" s="510">
        <v>77.456384540297421</v>
      </c>
      <c r="D22" s="510">
        <v>73.008943733656082</v>
      </c>
      <c r="E22" s="510">
        <v>81.64800278286026</v>
      </c>
      <c r="F22" s="510">
        <v>18.270954332952037</v>
      </c>
      <c r="G22" s="510">
        <v>15.359428548998309</v>
      </c>
      <c r="H22" s="510">
        <v>20.343223100032461</v>
      </c>
      <c r="I22" s="491"/>
    </row>
    <row r="23" spans="2:9">
      <c r="B23" s="504" t="s">
        <v>15</v>
      </c>
      <c r="C23" s="510">
        <v>83.231158565560364</v>
      </c>
      <c r="D23" s="510">
        <v>80.958185505334825</v>
      </c>
      <c r="E23" s="510">
        <v>85.505914167578837</v>
      </c>
      <c r="F23" s="510">
        <v>21.0717243184707</v>
      </c>
      <c r="G23" s="510">
        <v>19.48240761512703</v>
      </c>
      <c r="H23" s="510">
        <v>22.526958646485344</v>
      </c>
      <c r="I23" s="491"/>
    </row>
    <row r="24" spans="2:9">
      <c r="B24" s="504" t="s">
        <v>29</v>
      </c>
      <c r="C24" s="510">
        <v>76.831289940785538</v>
      </c>
      <c r="D24" s="510">
        <v>73.655030931290625</v>
      </c>
      <c r="E24" s="510">
        <v>79.867897561088611</v>
      </c>
      <c r="F24" s="510">
        <v>16.884152643813103</v>
      </c>
      <c r="G24" s="510">
        <v>14.714554579943849</v>
      </c>
      <c r="H24" s="510">
        <v>18.568896861558024</v>
      </c>
      <c r="I24" s="491"/>
    </row>
    <row r="25" spans="2:9">
      <c r="B25" s="504" t="s">
        <v>5182</v>
      </c>
      <c r="C25" s="510">
        <v>82.986267195804686</v>
      </c>
      <c r="D25" s="510">
        <v>81.238759594494894</v>
      </c>
      <c r="E25" s="510">
        <v>84.782312034487589</v>
      </c>
      <c r="F25" s="510">
        <v>20.800541619197435</v>
      </c>
      <c r="G25" s="510">
        <v>19.438880325827654</v>
      </c>
      <c r="H25" s="510">
        <v>22.078563338036545</v>
      </c>
      <c r="I25" s="491"/>
    </row>
    <row r="26" spans="2:9">
      <c r="B26" s="504" t="s">
        <v>17</v>
      </c>
      <c r="C26" s="510">
        <v>81.912487702363691</v>
      </c>
      <c r="D26" s="510">
        <v>80.517047371070547</v>
      </c>
      <c r="E26" s="510">
        <v>83.273844658932759</v>
      </c>
      <c r="F26" s="510">
        <v>19.941580380806105</v>
      </c>
      <c r="G26" s="510">
        <v>18.893275359058464</v>
      </c>
      <c r="H26" s="510">
        <v>20.913390110415623</v>
      </c>
      <c r="I26" s="491"/>
    </row>
    <row r="27" spans="2:9">
      <c r="B27" s="504" t="s">
        <v>19</v>
      </c>
      <c r="C27" s="510">
        <v>82.109119873577143</v>
      </c>
      <c r="D27" s="510">
        <v>79.840494677366308</v>
      </c>
      <c r="E27" s="510">
        <v>84.318001889441362</v>
      </c>
      <c r="F27" s="510">
        <v>20.325607895365422</v>
      </c>
      <c r="G27" s="510">
        <v>18.759717394304289</v>
      </c>
      <c r="H27" s="510">
        <v>21.710800902194102</v>
      </c>
      <c r="I27" s="491"/>
    </row>
    <row r="28" spans="2:9">
      <c r="B28" s="504" t="s">
        <v>20</v>
      </c>
      <c r="C28" s="510">
        <v>78.509367696669045</v>
      </c>
      <c r="D28" s="510">
        <v>74.773687840699324</v>
      </c>
      <c r="E28" s="510">
        <v>82.213108293074825</v>
      </c>
      <c r="F28" s="510">
        <v>18.545873277759476</v>
      </c>
      <c r="G28" s="510">
        <v>16.3049344585372</v>
      </c>
      <c r="H28" s="510">
        <v>20.348089003052582</v>
      </c>
      <c r="I28" s="491"/>
    </row>
    <row r="29" spans="2:9">
      <c r="B29" s="504" t="s">
        <v>21</v>
      </c>
      <c r="C29" s="510">
        <v>82.542899353648934</v>
      </c>
      <c r="D29" s="510">
        <v>79.72408479436227</v>
      </c>
      <c r="E29" s="510">
        <v>85.221043902802336</v>
      </c>
      <c r="F29" s="510">
        <v>21.062725287674844</v>
      </c>
      <c r="G29" s="510">
        <v>19.252646556239849</v>
      </c>
      <c r="H29" s="510">
        <v>22.637277145000336</v>
      </c>
      <c r="I29" s="491"/>
    </row>
    <row r="30" spans="2:9">
      <c r="B30" s="504" t="s">
        <v>22</v>
      </c>
      <c r="C30" s="513">
        <v>76.463302983866043</v>
      </c>
      <c r="D30" s="513">
        <v>72.761024635615883</v>
      </c>
      <c r="E30" s="510">
        <v>80.262956851779933</v>
      </c>
      <c r="F30" s="513">
        <v>17.264925663704542</v>
      </c>
      <c r="G30" s="513">
        <v>15.051725849228932</v>
      </c>
      <c r="H30" s="510">
        <v>19.070063258293452</v>
      </c>
      <c r="I30" s="491"/>
    </row>
    <row r="31" spans="2:9">
      <c r="B31" s="504" t="s">
        <v>26</v>
      </c>
      <c r="C31" s="510">
        <v>82.113480973252919</v>
      </c>
      <c r="D31" s="510">
        <v>79.489380843034382</v>
      </c>
      <c r="E31" s="510">
        <v>84.73755599221758</v>
      </c>
      <c r="F31" s="510">
        <v>20.249684411115368</v>
      </c>
      <c r="G31" s="510">
        <v>18.334622854303475</v>
      </c>
      <c r="H31" s="510">
        <v>21.949330885760912</v>
      </c>
      <c r="I31" s="491"/>
    </row>
    <row r="32" spans="2:9">
      <c r="B32" s="504" t="s">
        <v>25</v>
      </c>
      <c r="C32" s="510">
        <v>78.449023339296147</v>
      </c>
      <c r="D32" s="510">
        <v>75.180816310287938</v>
      </c>
      <c r="E32" s="510">
        <v>81.699895361846956</v>
      </c>
      <c r="F32" s="510">
        <v>18.298582436697384</v>
      </c>
      <c r="G32" s="510">
        <v>16.293871640925804</v>
      </c>
      <c r="H32" s="510">
        <v>19.946833919983874</v>
      </c>
      <c r="I32" s="491"/>
    </row>
    <row r="33" spans="2:9">
      <c r="B33" s="504" t="s">
        <v>5183</v>
      </c>
      <c r="C33" s="510">
        <v>82.20871903505271</v>
      </c>
      <c r="D33" s="510">
        <v>79.640668181437007</v>
      </c>
      <c r="E33" s="510">
        <v>84.774816313184857</v>
      </c>
      <c r="F33" s="510">
        <v>20.552519144487771</v>
      </c>
      <c r="G33" s="510">
        <v>18.74569687307622</v>
      </c>
      <c r="H33" s="510">
        <v>22.186851062209765</v>
      </c>
      <c r="I33" s="491"/>
    </row>
    <row r="34" spans="2:9">
      <c r="B34" s="504" t="s">
        <v>23</v>
      </c>
      <c r="C34" s="510">
        <v>83.824635458603765</v>
      </c>
      <c r="D34" s="510">
        <v>82.28268969862431</v>
      </c>
      <c r="E34" s="510">
        <v>85.346507666767479</v>
      </c>
      <c r="F34" s="510">
        <v>21.326111002211363</v>
      </c>
      <c r="G34" s="510">
        <v>20.184069499591825</v>
      </c>
      <c r="H34" s="510">
        <v>22.385820878953066</v>
      </c>
      <c r="I34" s="491"/>
    </row>
    <row r="35" spans="2:9">
      <c r="B35" s="504" t="s">
        <v>9</v>
      </c>
      <c r="C35" s="510">
        <v>82.8</v>
      </c>
      <c r="D35" s="510">
        <v>81.099999999999994</v>
      </c>
      <c r="E35" s="510">
        <v>84.5</v>
      </c>
      <c r="F35" s="510">
        <v>20.6</v>
      </c>
      <c r="G35" s="510">
        <v>19.7</v>
      </c>
      <c r="H35" s="510">
        <v>21.6</v>
      </c>
      <c r="I35" s="495"/>
    </row>
    <row r="36" spans="2:9">
      <c r="B36" s="504" t="s">
        <v>13</v>
      </c>
      <c r="C36" s="510">
        <v>84.2</v>
      </c>
      <c r="D36" s="510">
        <v>82.2</v>
      </c>
      <c r="E36" s="510">
        <v>86.3</v>
      </c>
      <c r="F36" s="510">
        <v>21.5</v>
      </c>
      <c r="G36" s="510">
        <v>19.899999999999999</v>
      </c>
      <c r="H36" s="510">
        <v>23.1</v>
      </c>
      <c r="I36" s="495"/>
    </row>
    <row r="37" spans="2:9">
      <c r="B37" s="504" t="s">
        <v>18</v>
      </c>
      <c r="C37" s="510">
        <v>83.2</v>
      </c>
      <c r="D37" s="510">
        <v>81.599999999999994</v>
      </c>
      <c r="E37" s="510">
        <v>84.8</v>
      </c>
      <c r="F37" s="510">
        <v>20.9</v>
      </c>
      <c r="G37" s="510">
        <v>19.8</v>
      </c>
      <c r="H37" s="510">
        <v>21.9</v>
      </c>
      <c r="I37" s="495"/>
    </row>
    <row r="38" spans="2:9">
      <c r="B38" s="504" t="s">
        <v>24</v>
      </c>
      <c r="C38" s="510">
        <v>84.2</v>
      </c>
      <c r="D38" s="510">
        <v>82.4</v>
      </c>
      <c r="E38" s="510">
        <v>85.9</v>
      </c>
      <c r="F38" s="510">
        <v>21.8</v>
      </c>
      <c r="G38" s="510">
        <v>20.399999999999999</v>
      </c>
      <c r="H38" s="510">
        <v>23</v>
      </c>
      <c r="I38" s="495"/>
    </row>
    <row r="39" spans="2:9">
      <c r="B39" s="504" t="s">
        <v>3590</v>
      </c>
      <c r="C39" s="510">
        <v>77.599999999999994</v>
      </c>
      <c r="D39" s="510">
        <v>75.2</v>
      </c>
      <c r="E39" s="510">
        <v>80.099999999999994</v>
      </c>
      <c r="F39" s="510">
        <v>17.100000000000001</v>
      </c>
      <c r="G39" s="510">
        <v>15.7</v>
      </c>
      <c r="H39" s="510">
        <v>18.3</v>
      </c>
      <c r="I39" s="491"/>
    </row>
    <row r="40" spans="2:9">
      <c r="B40" s="504" t="s">
        <v>5184</v>
      </c>
      <c r="C40" s="510"/>
      <c r="D40" s="510"/>
      <c r="E40" s="510"/>
      <c r="F40" s="510"/>
      <c r="G40" s="510"/>
      <c r="H40" s="510"/>
      <c r="I40" s="491"/>
    </row>
    <row r="41" spans="2:9">
      <c r="B41" s="504" t="s">
        <v>3780</v>
      </c>
      <c r="C41" s="510">
        <v>74.900000000000006</v>
      </c>
      <c r="D41" s="510">
        <v>70.5</v>
      </c>
      <c r="E41" s="510">
        <v>79.3</v>
      </c>
      <c r="F41" s="510">
        <v>16.3</v>
      </c>
      <c r="G41" s="510">
        <v>14</v>
      </c>
      <c r="H41" s="510">
        <v>18</v>
      </c>
      <c r="I41" s="491"/>
    </row>
    <row r="42" spans="2:9">
      <c r="B42" s="504" t="s">
        <v>3530</v>
      </c>
      <c r="C42" s="510">
        <v>80.400000000000006</v>
      </c>
      <c r="D42" s="510">
        <v>78.400000000000006</v>
      </c>
      <c r="E42" s="510">
        <v>82.4</v>
      </c>
      <c r="F42" s="510">
        <v>19.100000000000001</v>
      </c>
      <c r="G42" s="510">
        <v>18.3</v>
      </c>
      <c r="H42" s="510">
        <v>20</v>
      </c>
      <c r="I42" s="491"/>
    </row>
    <row r="43" spans="2:9">
      <c r="B43" s="504" t="s">
        <v>3622</v>
      </c>
      <c r="C43" s="510">
        <v>76.2</v>
      </c>
      <c r="D43" s="510">
        <v>73.900000000000006</v>
      </c>
      <c r="E43" s="510">
        <v>78.5</v>
      </c>
      <c r="F43" s="510">
        <v>16.2</v>
      </c>
      <c r="G43" s="510">
        <v>15.1</v>
      </c>
      <c r="H43" s="510">
        <v>17.3</v>
      </c>
      <c r="I43" s="491"/>
    </row>
    <row r="44" spans="2:9">
      <c r="B44" s="504" t="s">
        <v>3628</v>
      </c>
      <c r="C44" s="510">
        <v>79</v>
      </c>
      <c r="D44" s="510">
        <v>76.400000000000006</v>
      </c>
      <c r="E44" s="510">
        <v>81.7</v>
      </c>
      <c r="F44" s="510">
        <v>18.399999999999999</v>
      </c>
      <c r="G44" s="510">
        <v>16.7</v>
      </c>
      <c r="H44" s="510">
        <v>20</v>
      </c>
      <c r="I44" s="491"/>
    </row>
    <row r="45" spans="2:9">
      <c r="B45" s="490"/>
      <c r="C45" s="514"/>
      <c r="D45" s="515"/>
      <c r="E45" s="516"/>
      <c r="F45" s="500"/>
      <c r="G45" s="500"/>
      <c r="H45" s="508"/>
      <c r="I45" s="494"/>
    </row>
    <row r="46" spans="2:9">
      <c r="B46" s="496" t="s">
        <v>5185</v>
      </c>
      <c r="C46" s="500"/>
      <c r="D46" s="500"/>
      <c r="E46" s="508"/>
      <c r="F46" s="500"/>
      <c r="G46" s="500"/>
      <c r="H46" s="508"/>
      <c r="I46" s="491"/>
    </row>
    <row r="47" spans="2:9">
      <c r="B47" s="493" t="s">
        <v>5186</v>
      </c>
      <c r="C47" s="500"/>
      <c r="D47" s="500"/>
      <c r="E47" s="508"/>
      <c r="F47" s="500"/>
      <c r="G47" s="500"/>
      <c r="H47" s="508"/>
      <c r="I47" s="491"/>
    </row>
    <row r="48" spans="2:9">
      <c r="B48" s="497" t="s">
        <v>5187</v>
      </c>
      <c r="C48" s="500"/>
      <c r="D48" s="500"/>
      <c r="E48" s="508"/>
      <c r="F48" s="500"/>
      <c r="G48" s="500"/>
      <c r="H48" s="508"/>
      <c r="I48" s="491"/>
    </row>
    <row r="49" spans="2:9">
      <c r="B49" s="491"/>
      <c r="C49" s="500"/>
      <c r="D49" s="500"/>
      <c r="E49" s="508"/>
      <c r="F49" s="500"/>
      <c r="G49" s="500"/>
      <c r="H49" s="508"/>
      <c r="I49" s="491"/>
    </row>
    <row r="50" spans="2:9">
      <c r="B50" s="491"/>
      <c r="C50" s="500"/>
      <c r="D50" s="500"/>
      <c r="E50" s="508"/>
      <c r="F50" s="500"/>
      <c r="G50" s="500"/>
      <c r="H50" s="508"/>
      <c r="I50" s="491"/>
    </row>
    <row r="51" spans="2:9">
      <c r="B51" s="498" t="s">
        <v>5188</v>
      </c>
      <c r="C51" s="500"/>
      <c r="D51" s="500"/>
      <c r="E51" s="508"/>
      <c r="F51" s="500"/>
      <c r="G51" s="500"/>
      <c r="H51" s="508"/>
      <c r="I51" s="491"/>
    </row>
    <row r="52" spans="2:9">
      <c r="B52" s="499" t="s">
        <v>5189</v>
      </c>
      <c r="C52" s="500"/>
      <c r="D52" s="500"/>
      <c r="E52" s="508"/>
      <c r="F52" s="500"/>
      <c r="G52" s="500"/>
      <c r="H52" s="508"/>
      <c r="I52" s="491"/>
    </row>
    <row r="53" spans="2:9"/>
  </sheetData>
  <mergeCells count="8">
    <mergeCell ref="C4:E4"/>
    <mergeCell ref="B5:B6"/>
    <mergeCell ref="F4:H4"/>
    <mergeCell ref="I12:M12"/>
    <mergeCell ref="K14:K15"/>
    <mergeCell ref="M14:M15"/>
    <mergeCell ref="L13:M13"/>
    <mergeCell ref="J13:K13"/>
  </mergeCells>
  <conditionalFormatting sqref="B8:H44">
    <cfRule type="expression" dxfId="0" priority="1">
      <formula>$I$14=$B8</formula>
    </cfRule>
  </conditionalFormatting>
  <pageMargins left="0.7" right="0.7" top="0.78740157499999996" bottom="0.78740157499999996"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3F619-6F49-491B-9357-015075AA8C99}">
  <sheetPr codeName="Tabelle59"/>
  <dimension ref="A1:AH142"/>
  <sheetViews>
    <sheetView topLeftCell="G1" workbookViewId="0">
      <selection activeCell="T5" sqref="T5"/>
    </sheetView>
  </sheetViews>
  <sheetFormatPr baseColWidth="10" defaultColWidth="0" defaultRowHeight="15"/>
  <cols>
    <col min="1" max="1" width="3.85546875" style="184" customWidth="1"/>
    <col min="2" max="2" width="7.5703125" style="206" customWidth="1"/>
    <col min="3" max="6" width="9.42578125" style="184" customWidth="1"/>
    <col min="7" max="7" width="8.28515625" style="184" customWidth="1"/>
    <col min="8" max="9" width="9.28515625" style="184" customWidth="1"/>
    <col min="10" max="10" width="8.28515625" style="206" customWidth="1"/>
    <col min="11" max="14" width="9.85546875" style="184" customWidth="1"/>
    <col min="15" max="15" width="11.5703125" style="184" customWidth="1"/>
    <col min="16" max="16" width="8.28515625" style="184" customWidth="1"/>
    <col min="17" max="17" width="8.85546875" style="184" customWidth="1"/>
    <col min="18" max="18" width="12.140625" style="185" bestFit="1" customWidth="1"/>
    <col min="19" max="19" width="11" style="185" customWidth="1"/>
    <col min="20" max="20" width="11.5703125" style="185" customWidth="1"/>
    <col min="21" max="22" width="13.5703125" style="236" customWidth="1"/>
    <col min="23" max="26" width="8.28515625" style="184" customWidth="1"/>
    <col min="27" max="27" width="9.85546875" style="186" customWidth="1"/>
    <col min="28" max="29" width="9.85546875" style="184" hidden="1" customWidth="1"/>
    <col min="30" max="30" width="12.140625" style="184" hidden="1" customWidth="1"/>
    <col min="31" max="31" width="7.140625" style="184" hidden="1" customWidth="1"/>
    <col min="32" max="32" width="9.85546875" style="184" hidden="1" customWidth="1"/>
    <col min="33" max="16384" width="12" style="184" hidden="1"/>
  </cols>
  <sheetData>
    <row r="1" spans="1:31">
      <c r="B1" s="42" t="s">
        <v>4247</v>
      </c>
      <c r="J1" s="184"/>
      <c r="R1" s="184"/>
      <c r="S1" s="932" t="s">
        <v>4248</v>
      </c>
      <c r="T1" s="932"/>
      <c r="U1" s="932"/>
      <c r="V1" s="932"/>
      <c r="W1" s="932"/>
      <c r="X1" s="932"/>
      <c r="Y1" s="185"/>
      <c r="Z1" s="185"/>
    </row>
    <row r="2" spans="1:31" ht="27.6" customHeight="1" thickBot="1">
      <c r="B2" s="933" t="s">
        <v>4249</v>
      </c>
      <c r="C2" s="933"/>
      <c r="D2" s="933"/>
      <c r="E2" s="933"/>
      <c r="F2" s="933"/>
      <c r="G2" s="933"/>
      <c r="H2" s="933"/>
      <c r="I2" s="933"/>
      <c r="J2" s="933"/>
      <c r="K2" s="933"/>
      <c r="L2" s="933"/>
      <c r="M2" s="933"/>
      <c r="N2" s="933"/>
      <c r="O2" s="933"/>
      <c r="P2" s="933"/>
      <c r="Q2" s="933"/>
      <c r="R2" s="933"/>
      <c r="S2" s="933"/>
      <c r="T2" s="933"/>
      <c r="U2" s="933"/>
      <c r="V2" s="933"/>
      <c r="W2" s="933"/>
      <c r="X2" s="933"/>
      <c r="Y2" s="187"/>
      <c r="Z2" s="187"/>
    </row>
    <row r="3" spans="1:31" ht="28.35" customHeight="1">
      <c r="B3" s="934" t="s">
        <v>4250</v>
      </c>
      <c r="C3" s="935"/>
      <c r="D3" s="935"/>
      <c r="E3" s="935" t="s">
        <v>4251</v>
      </c>
      <c r="F3" s="936"/>
      <c r="G3" s="937" t="s">
        <v>4252</v>
      </c>
      <c r="H3" s="938"/>
      <c r="I3" s="938"/>
      <c r="J3" s="939" t="s">
        <v>4253</v>
      </c>
      <c r="K3" s="939"/>
      <c r="L3" s="939"/>
      <c r="M3" s="940" t="s">
        <v>4254</v>
      </c>
      <c r="N3" s="940"/>
      <c r="O3" s="934" t="s">
        <v>4255</v>
      </c>
      <c r="P3" s="935"/>
      <c r="Q3" s="941" t="s">
        <v>4256</v>
      </c>
      <c r="R3" s="942"/>
      <c r="S3" s="942"/>
      <c r="T3" s="188"/>
      <c r="U3" s="943" t="s">
        <v>4257</v>
      </c>
      <c r="V3" s="943"/>
      <c r="W3" s="943" t="s">
        <v>4258</v>
      </c>
      <c r="X3" s="929"/>
      <c r="Y3" s="928" t="s">
        <v>4259</v>
      </c>
      <c r="Z3" s="929"/>
      <c r="AB3" s="741" t="s">
        <v>4260</v>
      </c>
      <c r="AC3" s="741"/>
      <c r="AD3" s="741" t="s">
        <v>4261</v>
      </c>
      <c r="AE3" s="741"/>
    </row>
    <row r="4" spans="1:31" s="189" customFormat="1" ht="28.35" customHeight="1" thickBot="1">
      <c r="B4" s="190" t="s">
        <v>4262</v>
      </c>
      <c r="C4" s="189" t="s">
        <v>4263</v>
      </c>
      <c r="D4" s="189" t="s">
        <v>4264</v>
      </c>
      <c r="E4" s="191">
        <v>0.01</v>
      </c>
      <c r="F4" s="192">
        <v>1.2</v>
      </c>
      <c r="G4" s="190" t="s">
        <v>4265</v>
      </c>
      <c r="H4" s="189" t="s">
        <v>4263</v>
      </c>
      <c r="I4" s="189" t="s">
        <v>4264</v>
      </c>
      <c r="J4" s="193" t="s">
        <v>4262</v>
      </c>
      <c r="K4" s="194" t="s">
        <v>4263</v>
      </c>
      <c r="L4" s="194" t="s">
        <v>4266</v>
      </c>
      <c r="M4" s="194" t="s">
        <v>4263</v>
      </c>
      <c r="N4" s="194" t="s">
        <v>4264</v>
      </c>
      <c r="O4" s="193" t="s">
        <v>4262</v>
      </c>
      <c r="P4" s="194" t="s">
        <v>4267</v>
      </c>
      <c r="Q4" s="195" t="s">
        <v>4262</v>
      </c>
      <c r="R4" s="196" t="s">
        <v>4268</v>
      </c>
      <c r="S4" s="196" t="s">
        <v>4269</v>
      </c>
      <c r="T4" s="196"/>
      <c r="U4" s="196" t="s">
        <v>4268</v>
      </c>
      <c r="V4" s="196" t="s">
        <v>4269</v>
      </c>
      <c r="W4" s="196" t="s">
        <v>4268</v>
      </c>
      <c r="X4" s="197" t="s">
        <v>4269</v>
      </c>
      <c r="Y4" s="198" t="s">
        <v>4268</v>
      </c>
      <c r="Z4" s="199" t="s">
        <v>4269</v>
      </c>
      <c r="AA4" s="200"/>
      <c r="AB4" s="1">
        <v>17</v>
      </c>
      <c r="AC4" s="1">
        <v>3.1</v>
      </c>
      <c r="AD4" s="930" t="s">
        <v>4270</v>
      </c>
      <c r="AE4" s="931"/>
    </row>
    <row r="5" spans="1:31" s="217" customFormat="1">
      <c r="A5" s="184"/>
      <c r="B5" s="201">
        <v>1970</v>
      </c>
      <c r="C5" s="202"/>
      <c r="D5" s="202"/>
      <c r="E5" s="202"/>
      <c r="F5" s="202"/>
      <c r="G5" s="203">
        <v>28126</v>
      </c>
      <c r="H5" s="204">
        <v>12.884555406144706</v>
      </c>
      <c r="I5" s="205">
        <v>0</v>
      </c>
      <c r="J5" s="206">
        <v>1970</v>
      </c>
      <c r="K5" s="207">
        <v>6822.1675708011435</v>
      </c>
      <c r="L5" s="207"/>
      <c r="M5" s="207">
        <v>11043.90463383832</v>
      </c>
      <c r="N5" s="207"/>
      <c r="O5" s="203">
        <v>25569</v>
      </c>
      <c r="P5" s="208">
        <v>0.17</v>
      </c>
      <c r="Q5" s="203">
        <v>28126</v>
      </c>
      <c r="R5" s="209">
        <v>2295.7516757591407</v>
      </c>
      <c r="S5" s="209"/>
      <c r="T5" s="203">
        <v>28126</v>
      </c>
      <c r="U5" s="210">
        <v>2.2271220000000001E-4</v>
      </c>
      <c r="V5" s="210"/>
      <c r="W5" s="211">
        <f>1000/$R5*VLOOKUP(Q5,G$5:$I63,2)</f>
        <v>5.6123471637602727</v>
      </c>
      <c r="X5" s="212" t="str">
        <f>IFERROR(1000/$S5*VLOOKUP($Q5,G$5:$I63,3),"")</f>
        <v/>
      </c>
      <c r="Y5" s="213">
        <f>1000/W5</f>
        <v>178.17857142857142</v>
      </c>
      <c r="Z5" s="214"/>
      <c r="AA5" s="186"/>
      <c r="AB5" s="215">
        <v>18</v>
      </c>
      <c r="AC5" s="215">
        <v>3</v>
      </c>
      <c r="AD5" s="215"/>
      <c r="AE5" s="216"/>
    </row>
    <row r="6" spans="1:31" s="217" customFormat="1">
      <c r="A6" s="184"/>
      <c r="B6" s="218">
        <v>1971</v>
      </c>
      <c r="C6" s="219"/>
      <c r="D6" s="219"/>
      <c r="E6" s="219"/>
      <c r="F6" s="219"/>
      <c r="G6" s="220">
        <v>28491</v>
      </c>
      <c r="H6" s="221">
        <v>13.809993711109863</v>
      </c>
      <c r="I6" s="222">
        <v>0</v>
      </c>
      <c r="J6" s="223">
        <v>1971</v>
      </c>
      <c r="K6" s="219">
        <v>7634.0990781407381</v>
      </c>
      <c r="L6" s="219"/>
      <c r="M6" s="219">
        <v>11657.454891273781</v>
      </c>
      <c r="N6" s="219"/>
      <c r="O6" s="220">
        <v>25934</v>
      </c>
      <c r="P6" s="224">
        <v>0.17</v>
      </c>
      <c r="Q6" s="220">
        <v>28491</v>
      </c>
      <c r="R6" s="225">
        <v>2415.1178783432101</v>
      </c>
      <c r="S6" s="225"/>
      <c r="T6" s="220">
        <v>28491</v>
      </c>
      <c r="U6" s="226">
        <v>2.117047E-4</v>
      </c>
      <c r="V6" s="226"/>
      <c r="W6" s="227">
        <f>1000/$R6*VLOOKUP(Q6,G$5:$I64,2)</f>
        <v>5.7181447890997461</v>
      </c>
      <c r="X6" s="228" t="str">
        <f>IFERROR(1000/$S6*VLOOKUP($Q6,G$5:$I64,3),"")</f>
        <v/>
      </c>
      <c r="Y6" s="229">
        <f>1000/W6</f>
        <v>174.88189559422437</v>
      </c>
      <c r="Z6" s="228"/>
      <c r="AA6" s="186"/>
      <c r="AB6" s="215">
        <v>19</v>
      </c>
      <c r="AC6" s="215">
        <v>2.9</v>
      </c>
      <c r="AD6" s="215"/>
      <c r="AE6" s="216"/>
    </row>
    <row r="7" spans="1:31" s="217" customFormat="1">
      <c r="A7" s="184"/>
      <c r="B7" s="230">
        <v>1972</v>
      </c>
      <c r="C7" s="207"/>
      <c r="D7" s="207"/>
      <c r="E7" s="207"/>
      <c r="F7" s="207"/>
      <c r="G7" s="231">
        <v>28672</v>
      </c>
      <c r="H7" s="232">
        <v>13.467428150708395</v>
      </c>
      <c r="I7" s="233">
        <v>0</v>
      </c>
      <c r="J7" s="206">
        <v>1972</v>
      </c>
      <c r="K7" s="207">
        <v>8351.9528793402296</v>
      </c>
      <c r="L7" s="207"/>
      <c r="M7" s="207">
        <v>12884.555406144706</v>
      </c>
      <c r="N7" s="207"/>
      <c r="O7" s="231">
        <v>26299</v>
      </c>
      <c r="P7" s="234">
        <v>0.17</v>
      </c>
      <c r="Q7" s="231">
        <v>28856</v>
      </c>
      <c r="R7" s="235">
        <v>2547.9208315651158</v>
      </c>
      <c r="S7" s="235"/>
      <c r="T7" s="231">
        <v>28856</v>
      </c>
      <c r="U7" s="236">
        <v>2.006702E-4</v>
      </c>
      <c r="V7" s="236"/>
      <c r="W7" s="237">
        <f>1000/$R7*VLOOKUP(Q7,G$5:$I65,2)</f>
        <v>5.2856540846427063</v>
      </c>
      <c r="X7" s="214" t="str">
        <f>IFERROR(1000/$S7*VLOOKUP($Q7,G$5:$I65,3),"")</f>
        <v/>
      </c>
      <c r="Y7" s="213">
        <f>1000/W7</f>
        <v>189.19134396355355</v>
      </c>
      <c r="Z7" s="214"/>
      <c r="AA7" s="186"/>
      <c r="AB7" s="215">
        <v>20</v>
      </c>
      <c r="AC7" s="215">
        <v>2.8</v>
      </c>
      <c r="AD7" s="215"/>
      <c r="AE7" s="216"/>
    </row>
    <row r="8" spans="1:31" s="217" customFormat="1">
      <c r="A8" s="184"/>
      <c r="B8" s="218">
        <v>1973</v>
      </c>
      <c r="C8" s="219"/>
      <c r="D8" s="219"/>
      <c r="E8" s="219"/>
      <c r="F8" s="219"/>
      <c r="G8" s="220">
        <v>29037</v>
      </c>
      <c r="H8" s="221">
        <v>13.467428150708395</v>
      </c>
      <c r="I8" s="222">
        <v>0</v>
      </c>
      <c r="J8" s="223">
        <v>1973</v>
      </c>
      <c r="K8" s="219">
        <v>9354.0849664848174</v>
      </c>
      <c r="L8" s="219"/>
      <c r="M8" s="219">
        <v>14111.65592101563</v>
      </c>
      <c r="N8" s="219"/>
      <c r="O8" s="220">
        <v>26665</v>
      </c>
      <c r="P8" s="224">
        <v>0.18</v>
      </c>
      <c r="Q8" s="220">
        <v>29221</v>
      </c>
      <c r="R8" s="225">
        <v>2713.5794010726904</v>
      </c>
      <c r="S8" s="225"/>
      <c r="T8" s="220">
        <v>29221</v>
      </c>
      <c r="U8" s="226">
        <v>1.8841969999999999E-4</v>
      </c>
      <c r="V8" s="226"/>
      <c r="W8" s="227">
        <f>1000/$R8*VLOOKUP(Q8,G$5:$I66,2)</f>
        <v>5.1608162342434012</v>
      </c>
      <c r="X8" s="228" t="str">
        <f>IFERROR(1000/$S8*VLOOKUP($Q8,G$5:$I66,3),"")</f>
        <v/>
      </c>
      <c r="Y8" s="229">
        <f>1000/W8</f>
        <v>193.76779846659363</v>
      </c>
      <c r="Z8" s="228"/>
      <c r="AA8" s="186"/>
      <c r="AB8" s="215">
        <v>21</v>
      </c>
      <c r="AC8" s="215">
        <v>2.7</v>
      </c>
      <c r="AD8" s="215"/>
      <c r="AE8" s="216"/>
    </row>
    <row r="9" spans="1:31" s="217" customFormat="1">
      <c r="A9" s="184"/>
      <c r="B9" s="230">
        <v>1974</v>
      </c>
      <c r="C9" s="207"/>
      <c r="D9" s="207"/>
      <c r="E9" s="207"/>
      <c r="F9" s="207"/>
      <c r="G9" s="231">
        <v>29221</v>
      </c>
      <c r="H9" s="232">
        <v>14.004284625964425</v>
      </c>
      <c r="I9" s="233">
        <v>0</v>
      </c>
      <c r="J9" s="206">
        <v>1974</v>
      </c>
      <c r="K9" s="207">
        <v>15482.429454502691</v>
      </c>
      <c r="L9" s="207"/>
      <c r="M9" s="207">
        <v>15338.756435886555</v>
      </c>
      <c r="N9" s="207"/>
      <c r="O9" s="231">
        <v>27030</v>
      </c>
      <c r="P9" s="234">
        <v>0.18</v>
      </c>
      <c r="Q9" s="231">
        <v>29587</v>
      </c>
      <c r="R9" s="235">
        <v>2922.8000388581831</v>
      </c>
      <c r="S9" s="235"/>
      <c r="T9" s="231">
        <v>29587</v>
      </c>
      <c r="U9" s="236">
        <v>1.749322E-4</v>
      </c>
      <c r="V9" s="236"/>
      <c r="W9" s="237">
        <f>1000/$R9*VLOOKUP(Q9,G$5:$I67,2)</f>
        <v>4.9820694480888656</v>
      </c>
      <c r="X9" s="214" t="str">
        <f>IFERROR(1000/$S9*VLOOKUP($Q9,G$5:$I67,3),"")</f>
        <v/>
      </c>
      <c r="Y9" s="213">
        <f t="shared" ref="Y9:Z55" si="0">1000/W9</f>
        <v>200.71980337078651</v>
      </c>
      <c r="Z9" s="214"/>
      <c r="AA9" s="186"/>
      <c r="AB9" s="215">
        <v>22</v>
      </c>
      <c r="AC9" s="215">
        <v>2.6</v>
      </c>
      <c r="AD9" s="215"/>
      <c r="AE9" s="216"/>
    </row>
    <row r="10" spans="1:31" s="217" customFormat="1">
      <c r="A10" s="184"/>
      <c r="B10" s="218">
        <v>1975</v>
      </c>
      <c r="C10" s="219"/>
      <c r="D10" s="219"/>
      <c r="E10" s="219"/>
      <c r="F10" s="219"/>
      <c r="G10" s="220">
        <v>29587</v>
      </c>
      <c r="H10" s="221">
        <v>14.561592776468302</v>
      </c>
      <c r="I10" s="222">
        <v>0</v>
      </c>
      <c r="J10" s="223">
        <v>1975</v>
      </c>
      <c r="K10" s="219">
        <v>11150.253345127134</v>
      </c>
      <c r="L10" s="219"/>
      <c r="M10" s="219">
        <v>17179.407208192941</v>
      </c>
      <c r="N10" s="219"/>
      <c r="O10" s="220">
        <v>27395</v>
      </c>
      <c r="P10" s="224">
        <v>0.18</v>
      </c>
      <c r="Q10" s="220">
        <v>29952</v>
      </c>
      <c r="R10" s="225">
        <v>2963.2636783360517</v>
      </c>
      <c r="S10" s="225"/>
      <c r="T10" s="220">
        <v>29952</v>
      </c>
      <c r="U10" s="226">
        <v>1.725435E-4</v>
      </c>
      <c r="V10" s="226"/>
      <c r="W10" s="227">
        <f>1000/$R10*VLOOKUP(Q10,G$5:$I68,2)</f>
        <v>4.9140388291888382</v>
      </c>
      <c r="X10" s="228" t="str">
        <f>IFERROR(1000/$S10*VLOOKUP($Q10,G$5:$I68,3),"")</f>
        <v/>
      </c>
      <c r="Y10" s="229">
        <f t="shared" si="0"/>
        <v>203.498595505618</v>
      </c>
      <c r="Z10" s="228"/>
      <c r="AA10" s="186"/>
      <c r="AB10" s="215">
        <v>23</v>
      </c>
      <c r="AC10" s="215">
        <v>2.5</v>
      </c>
      <c r="AD10" s="215"/>
      <c r="AE10" s="216"/>
    </row>
    <row r="11" spans="1:31" s="217" customFormat="1">
      <c r="A11" s="184"/>
      <c r="B11" s="230">
        <v>1976</v>
      </c>
      <c r="C11" s="207"/>
      <c r="D11" s="207"/>
      <c r="E11" s="207"/>
      <c r="F11" s="207"/>
      <c r="G11" s="231">
        <v>30133</v>
      </c>
      <c r="H11" s="232">
        <v>15.400111461630102</v>
      </c>
      <c r="I11" s="233">
        <v>0</v>
      </c>
      <c r="J11" s="206">
        <v>1976</v>
      </c>
      <c r="K11" s="207">
        <v>11930.996047713759</v>
      </c>
      <c r="L11" s="207"/>
      <c r="M11" s="207">
        <v>19020.057980499329</v>
      </c>
      <c r="N11" s="207"/>
      <c r="O11" s="231">
        <v>27760</v>
      </c>
      <c r="P11" s="234">
        <v>0.18</v>
      </c>
      <c r="Q11" s="231">
        <v>30317</v>
      </c>
      <c r="R11" s="235">
        <v>3064.0393081198263</v>
      </c>
      <c r="S11" s="235"/>
      <c r="T11" s="231">
        <v>30317</v>
      </c>
      <c r="U11" s="236">
        <v>1.6686859999999999E-4</v>
      </c>
      <c r="V11" s="236"/>
      <c r="W11" s="237">
        <f>1000/$R11*VLOOKUP(Q11,G$5:$I69,2)</f>
        <v>5.0260815586860108</v>
      </c>
      <c r="X11" s="214" t="str">
        <f>IFERROR(1000/$S11*VLOOKUP($Q11,G$5:$I69,3),"")</f>
        <v/>
      </c>
      <c r="Y11" s="213">
        <f t="shared" si="0"/>
        <v>198.96215139442228</v>
      </c>
      <c r="Z11" s="214"/>
      <c r="AA11" s="186"/>
      <c r="AB11" s="215">
        <v>24</v>
      </c>
      <c r="AC11" s="215">
        <v>2.4</v>
      </c>
      <c r="AD11" s="215"/>
      <c r="AE11" s="216"/>
    </row>
    <row r="12" spans="1:31" s="217" customFormat="1">
      <c r="A12" s="184"/>
      <c r="B12" s="218">
        <v>1977</v>
      </c>
      <c r="C12" s="219"/>
      <c r="D12" s="219"/>
      <c r="E12" s="219"/>
      <c r="F12" s="219"/>
      <c r="G12" s="220">
        <v>30498</v>
      </c>
      <c r="H12" s="221">
        <v>16.26419474085171</v>
      </c>
      <c r="I12" s="222">
        <v>0</v>
      </c>
      <c r="J12" s="223">
        <v>1977</v>
      </c>
      <c r="K12" s="219">
        <v>12754.17597643967</v>
      </c>
      <c r="L12" s="219"/>
      <c r="M12" s="219">
        <v>20860.708752805716</v>
      </c>
      <c r="N12" s="219"/>
      <c r="O12" s="220">
        <v>28126</v>
      </c>
      <c r="P12" s="224">
        <v>0.18</v>
      </c>
      <c r="Q12" s="220">
        <v>30560</v>
      </c>
      <c r="R12" s="225">
        <v>3149.1515111231547</v>
      </c>
      <c r="S12" s="225"/>
      <c r="T12" s="220">
        <v>30560</v>
      </c>
      <c r="U12" s="226">
        <v>1.6235859999999999E-4</v>
      </c>
      <c r="V12" s="226"/>
      <c r="W12" s="227">
        <f>1000/$R12*VLOOKUP(Q12,G$5:$I70,2)</f>
        <v>5.1646275777474528</v>
      </c>
      <c r="X12" s="228" t="str">
        <f>IFERROR(1000/$S12*VLOOKUP($Q12,G$5:$I70,3),"")</f>
        <v/>
      </c>
      <c r="Y12" s="229">
        <f t="shared" si="0"/>
        <v>193.62480352090537</v>
      </c>
      <c r="Z12" s="228"/>
      <c r="AA12" s="186"/>
      <c r="AB12" s="215">
        <v>25</v>
      </c>
      <c r="AC12" s="215">
        <v>2.4</v>
      </c>
      <c r="AD12" s="215"/>
      <c r="AE12" s="216"/>
    </row>
    <row r="13" spans="1:31" s="217" customFormat="1">
      <c r="A13" s="184"/>
      <c r="B13" s="230">
        <v>1978</v>
      </c>
      <c r="C13" s="207">
        <v>997</v>
      </c>
      <c r="D13" s="207">
        <v>0</v>
      </c>
      <c r="E13" s="207">
        <f t="shared" ref="E13:E61" si="1">+C13*0.01</f>
        <v>9.9700000000000006</v>
      </c>
      <c r="F13" s="207">
        <f t="shared" ref="F13:F61" si="2">+C13*1.2</f>
        <v>1196.3999999999999</v>
      </c>
      <c r="G13" s="231">
        <v>30864</v>
      </c>
      <c r="H13" s="232">
        <v>16.816389972543625</v>
      </c>
      <c r="I13" s="233">
        <v>0</v>
      </c>
      <c r="J13" s="206">
        <v>1978</v>
      </c>
      <c r="K13" s="207">
        <v>13417.321546351166</v>
      </c>
      <c r="L13" s="207"/>
      <c r="M13" s="207">
        <v>22701.359525112101</v>
      </c>
      <c r="N13" s="207"/>
      <c r="O13" s="231">
        <v>28491</v>
      </c>
      <c r="P13" s="234">
        <v>0.18</v>
      </c>
      <c r="Q13" s="231">
        <v>30682</v>
      </c>
      <c r="R13" s="235">
        <v>3243.6459201464345</v>
      </c>
      <c r="S13" s="235"/>
      <c r="T13" s="231">
        <v>30682</v>
      </c>
      <c r="U13" s="236">
        <v>1.5762879999999999E-4</v>
      </c>
      <c r="V13" s="236"/>
      <c r="W13" s="237">
        <f>1000/$R13*VLOOKUP(Q13,G$5:$I71,2)</f>
        <v>5.0141708254387591</v>
      </c>
      <c r="X13" s="214" t="str">
        <f>IFERROR(1000/$S13*VLOOKUP($Q13,G$5:$I71,3),"")</f>
        <v/>
      </c>
      <c r="Y13" s="213">
        <f t="shared" si="0"/>
        <v>199.43476894058475</v>
      </c>
      <c r="Z13" s="214"/>
      <c r="AA13" s="186"/>
      <c r="AB13" s="215">
        <v>26</v>
      </c>
      <c r="AC13" s="215">
        <v>2.2999999999999998</v>
      </c>
      <c r="AD13" s="215"/>
      <c r="AE13" s="216"/>
    </row>
    <row r="14" spans="1:31" s="217" customFormat="1">
      <c r="A14" s="184"/>
      <c r="B14" s="218">
        <v>1979</v>
      </c>
      <c r="C14" s="219">
        <v>1074</v>
      </c>
      <c r="D14" s="219">
        <v>0</v>
      </c>
      <c r="E14" s="219">
        <f t="shared" si="1"/>
        <v>10.74</v>
      </c>
      <c r="F14" s="219">
        <f t="shared" si="2"/>
        <v>1288.8</v>
      </c>
      <c r="G14" s="220">
        <v>31229</v>
      </c>
      <c r="H14" s="221">
        <v>17.317456016115919</v>
      </c>
      <c r="I14" s="222">
        <v>0</v>
      </c>
      <c r="J14" s="223">
        <v>1979</v>
      </c>
      <c r="K14" s="219">
        <v>14155.627022798506</v>
      </c>
      <c r="L14" s="219"/>
      <c r="M14" s="219">
        <v>24542.010297418488</v>
      </c>
      <c r="N14" s="219"/>
      <c r="O14" s="220">
        <v>28856</v>
      </c>
      <c r="P14" s="224">
        <v>0.18</v>
      </c>
      <c r="Q14" s="220">
        <v>31048</v>
      </c>
      <c r="R14" s="225">
        <v>3373.750274819386</v>
      </c>
      <c r="S14" s="225"/>
      <c r="T14" s="220">
        <v>31048</v>
      </c>
      <c r="U14" s="226">
        <v>1.5155E-4</v>
      </c>
      <c r="V14" s="226"/>
      <c r="W14" s="227">
        <f>1000/$R14*VLOOKUP(Q14,G$5:$I72,2)</f>
        <v>4.984479763678979</v>
      </c>
      <c r="X14" s="228" t="str">
        <f>IFERROR(1000/$S14*VLOOKUP($Q14,G$5:$I72,3),"")</f>
        <v/>
      </c>
      <c r="Y14" s="229">
        <f t="shared" si="0"/>
        <v>200.62274247491641</v>
      </c>
      <c r="Z14" s="228"/>
      <c r="AA14" s="186"/>
      <c r="AB14" s="215">
        <v>27</v>
      </c>
      <c r="AC14" s="215">
        <v>2.2000000000000002</v>
      </c>
      <c r="AD14" s="215"/>
      <c r="AE14" s="216"/>
    </row>
    <row r="15" spans="1:31" s="217" customFormat="1">
      <c r="A15" s="184"/>
      <c r="B15" s="230">
        <v>1980</v>
      </c>
      <c r="C15" s="207">
        <v>1125</v>
      </c>
      <c r="D15" s="207">
        <v>0</v>
      </c>
      <c r="E15" s="207">
        <f t="shared" si="1"/>
        <v>11.25</v>
      </c>
      <c r="F15" s="207">
        <f t="shared" si="2"/>
        <v>1350</v>
      </c>
      <c r="G15" s="231">
        <v>31594</v>
      </c>
      <c r="H15" s="232">
        <v>17.823634978500177</v>
      </c>
      <c r="I15" s="233">
        <v>0</v>
      </c>
      <c r="J15" s="206">
        <v>1980</v>
      </c>
      <c r="K15" s="207">
        <v>15075.441117070503</v>
      </c>
      <c r="L15" s="207"/>
      <c r="M15" s="207">
        <v>25769.110812289411</v>
      </c>
      <c r="N15" s="207"/>
      <c r="O15" s="231">
        <v>29221</v>
      </c>
      <c r="P15" s="234">
        <v>0.18</v>
      </c>
      <c r="Q15" s="231">
        <v>31199</v>
      </c>
      <c r="R15" s="235">
        <v>3463.9575014188354</v>
      </c>
      <c r="S15" s="235"/>
      <c r="T15" s="231">
        <v>31199</v>
      </c>
      <c r="U15" s="236">
        <v>1.476034E-4</v>
      </c>
      <c r="V15" s="236"/>
      <c r="W15" s="237">
        <f>1000/$R15*VLOOKUP(Q15,G$5:$I73,2)</f>
        <v>4.8546756031665046</v>
      </c>
      <c r="X15" s="214" t="str">
        <f>IFERROR(1000/$S15*VLOOKUP($Q15,G$5:$I73,3),"")</f>
        <v/>
      </c>
      <c r="Y15" s="213">
        <f t="shared" si="0"/>
        <v>205.98698692611742</v>
      </c>
      <c r="Z15" s="214"/>
      <c r="AA15" s="186"/>
      <c r="AB15" s="215">
        <v>28</v>
      </c>
      <c r="AC15" s="215">
        <v>2.2000000000000002</v>
      </c>
      <c r="AD15" s="215"/>
      <c r="AE15" s="216"/>
    </row>
    <row r="16" spans="1:31" s="217" customFormat="1">
      <c r="A16" s="184"/>
      <c r="B16" s="218">
        <v>1981</v>
      </c>
      <c r="C16" s="219">
        <v>1196</v>
      </c>
      <c r="D16" s="219">
        <v>0</v>
      </c>
      <c r="E16" s="219">
        <f t="shared" si="1"/>
        <v>11.96</v>
      </c>
      <c r="F16" s="219">
        <f t="shared" si="2"/>
        <v>1435.2</v>
      </c>
      <c r="G16" s="220">
        <v>31959</v>
      </c>
      <c r="H16" s="221">
        <v>18.498540261679185</v>
      </c>
      <c r="I16" s="222">
        <v>0</v>
      </c>
      <c r="J16" s="223">
        <v>1981</v>
      </c>
      <c r="K16" s="219">
        <v>15798.919128963151</v>
      </c>
      <c r="L16" s="219"/>
      <c r="M16" s="219">
        <v>26996.211327160338</v>
      </c>
      <c r="N16" s="219"/>
      <c r="O16" s="220">
        <v>29587</v>
      </c>
      <c r="P16" s="224">
        <v>0.185</v>
      </c>
      <c r="Q16" s="220">
        <v>31413</v>
      </c>
      <c r="R16" s="225">
        <v>3595.6008446541878</v>
      </c>
      <c r="S16" s="225"/>
      <c r="T16" s="220">
        <v>31413</v>
      </c>
      <c r="U16" s="226">
        <v>1.4219929999999999E-4</v>
      </c>
      <c r="V16" s="226"/>
      <c r="W16" s="227">
        <f>1000/$R16*VLOOKUP(Q16,G$5:$I74,2)</f>
        <v>4.8162898954323312</v>
      </c>
      <c r="X16" s="228" t="str">
        <f>IFERROR(1000/$S16*VLOOKUP($Q16,G$5:$I74,3),"")</f>
        <v/>
      </c>
      <c r="Y16" s="229">
        <f t="shared" si="0"/>
        <v>207.62869796279895</v>
      </c>
      <c r="Z16" s="228"/>
      <c r="AA16" s="186"/>
      <c r="AB16" s="215">
        <v>29</v>
      </c>
      <c r="AC16" s="215">
        <v>2.1</v>
      </c>
      <c r="AD16" s="215"/>
      <c r="AE16" s="216"/>
    </row>
    <row r="17" spans="1:31" s="217" customFormat="1">
      <c r="A17" s="184"/>
      <c r="B17" s="230">
        <v>1982</v>
      </c>
      <c r="C17" s="207">
        <v>1258</v>
      </c>
      <c r="D17" s="207">
        <v>0</v>
      </c>
      <c r="E17" s="207">
        <f t="shared" si="1"/>
        <v>12.58</v>
      </c>
      <c r="F17" s="207">
        <f t="shared" si="2"/>
        <v>1509.6</v>
      </c>
      <c r="G17" s="231">
        <v>32325</v>
      </c>
      <c r="H17" s="232">
        <v>19.055848412183064</v>
      </c>
      <c r="I17" s="233">
        <v>0</v>
      </c>
      <c r="J17" s="206">
        <v>1982</v>
      </c>
      <c r="K17" s="207">
        <v>16462.575990755842</v>
      </c>
      <c r="L17" s="207"/>
      <c r="M17" s="207">
        <v>28836.862099466722</v>
      </c>
      <c r="N17" s="207"/>
      <c r="O17" s="231">
        <v>29952</v>
      </c>
      <c r="P17" s="234">
        <v>0.18</v>
      </c>
      <c r="Q17" s="231">
        <v>31778</v>
      </c>
      <c r="R17" s="235">
        <v>3607.0425343715965</v>
      </c>
      <c r="S17" s="235"/>
      <c r="T17" s="231">
        <v>31778</v>
      </c>
      <c r="U17" s="236">
        <v>1.4174820000000001E-4</v>
      </c>
      <c r="V17" s="236"/>
      <c r="W17" s="237">
        <f>1000/$R17*VLOOKUP(Q17,G$5:$I75,2)</f>
        <v>4.9413431665022864</v>
      </c>
      <c r="X17" s="214" t="str">
        <f>IFERROR(1000/$S17*VLOOKUP($Q17,G$5:$I75,3),"")</f>
        <v/>
      </c>
      <c r="Y17" s="213">
        <f t="shared" si="0"/>
        <v>202.37412507171541</v>
      </c>
      <c r="Z17" s="214"/>
      <c r="AA17" s="186"/>
      <c r="AB17" s="215">
        <v>30</v>
      </c>
      <c r="AC17" s="215">
        <v>2</v>
      </c>
      <c r="AD17" s="215"/>
      <c r="AE17" s="216"/>
    </row>
    <row r="18" spans="1:31" s="217" customFormat="1">
      <c r="A18" s="184"/>
      <c r="B18" s="218">
        <v>1983</v>
      </c>
      <c r="C18" s="219">
        <v>1319</v>
      </c>
      <c r="D18" s="219">
        <v>0</v>
      </c>
      <c r="E18" s="219">
        <f t="shared" si="1"/>
        <v>13.19</v>
      </c>
      <c r="F18" s="219">
        <f t="shared" si="2"/>
        <v>1582.8</v>
      </c>
      <c r="G18" s="220">
        <v>32690</v>
      </c>
      <c r="H18" s="221">
        <v>19.628495319122827</v>
      </c>
      <c r="I18" s="222">
        <v>0</v>
      </c>
      <c r="J18" s="223">
        <v>1983</v>
      </c>
      <c r="K18" s="219">
        <v>17022.440600665701</v>
      </c>
      <c r="L18" s="219"/>
      <c r="M18" s="219">
        <v>30677.51287177311</v>
      </c>
      <c r="N18" s="219"/>
      <c r="O18" s="220">
        <v>30317</v>
      </c>
      <c r="P18" s="224">
        <v>0.18</v>
      </c>
      <c r="Q18" s="220">
        <v>32143</v>
      </c>
      <c r="R18" s="225">
        <v>3718.9080850585174</v>
      </c>
      <c r="S18" s="225"/>
      <c r="T18" s="220">
        <v>32143</v>
      </c>
      <c r="U18" s="226">
        <v>1.374844E-4</v>
      </c>
      <c r="V18" s="226"/>
      <c r="W18" s="227">
        <f>1000/$R18*VLOOKUP(Q18,G$5:$I76,2)</f>
        <v>4.9741859273158431</v>
      </c>
      <c r="X18" s="228" t="str">
        <f>IFERROR(1000/$S18*VLOOKUP($Q18,G$5:$I76,3),"")</f>
        <v/>
      </c>
      <c r="Y18" s="229">
        <f t="shared" si="0"/>
        <v>201.03792150359311</v>
      </c>
      <c r="Z18" s="228"/>
      <c r="AA18" s="186"/>
      <c r="AB18" s="215">
        <v>31</v>
      </c>
      <c r="AC18" s="215">
        <v>2</v>
      </c>
      <c r="AD18" s="215"/>
      <c r="AE18" s="216"/>
    </row>
    <row r="19" spans="1:31" s="217" customFormat="1">
      <c r="A19" s="184"/>
      <c r="B19" s="230">
        <v>1984</v>
      </c>
      <c r="C19" s="207">
        <v>1396</v>
      </c>
      <c r="D19" s="207">
        <v>0</v>
      </c>
      <c r="E19" s="207">
        <f t="shared" si="1"/>
        <v>13.96</v>
      </c>
      <c r="F19" s="207">
        <f t="shared" si="2"/>
        <v>1675.2</v>
      </c>
      <c r="G19" s="231">
        <v>33055</v>
      </c>
      <c r="H19" s="232">
        <v>20.236932657746326</v>
      </c>
      <c r="I19" s="233">
        <v>8.1551055050796855</v>
      </c>
      <c r="J19" s="206">
        <v>1984</v>
      </c>
      <c r="K19" s="207">
        <v>17533.221189980726</v>
      </c>
      <c r="L19" s="207"/>
      <c r="M19" s="207">
        <v>31904.613386644036</v>
      </c>
      <c r="N19" s="207"/>
      <c r="O19" s="231">
        <v>30682</v>
      </c>
      <c r="P19" s="234">
        <v>0.185</v>
      </c>
      <c r="Q19" s="231">
        <v>32509</v>
      </c>
      <c r="R19" s="235">
        <v>3830.4868010000869</v>
      </c>
      <c r="S19" s="235"/>
      <c r="T19" s="231">
        <v>32509</v>
      </c>
      <c r="U19" s="236">
        <v>1.334796E-4</v>
      </c>
      <c r="V19" s="236"/>
      <c r="W19" s="237">
        <f>1000/$R19*VLOOKUP(Q19,G$5:$I77,2)</f>
        <v>4.9747850344263931</v>
      </c>
      <c r="X19" s="214" t="str">
        <f>IFERROR(1000/$S19*VLOOKUP($Q19,G$5:$I77,3),"")</f>
        <v/>
      </c>
      <c r="Y19" s="213">
        <f t="shared" si="0"/>
        <v>201.01371075932386</v>
      </c>
      <c r="Z19" s="214"/>
      <c r="AA19" s="186"/>
      <c r="AB19" s="215">
        <v>32</v>
      </c>
      <c r="AC19" s="215">
        <v>1.9</v>
      </c>
      <c r="AD19" s="215"/>
      <c r="AE19" s="216"/>
    </row>
    <row r="20" spans="1:31" s="217" customFormat="1">
      <c r="A20" s="184"/>
      <c r="B20" s="218">
        <v>1985</v>
      </c>
      <c r="C20" s="219">
        <v>1432</v>
      </c>
      <c r="D20" s="219">
        <v>0</v>
      </c>
      <c r="E20" s="219">
        <f t="shared" si="1"/>
        <v>14.32</v>
      </c>
      <c r="F20" s="219">
        <f t="shared" si="2"/>
        <v>1718.3999999999999</v>
      </c>
      <c r="G20" s="220">
        <v>33239</v>
      </c>
      <c r="H20" s="221">
        <v>20.236932657746326</v>
      </c>
      <c r="I20" s="222">
        <v>9.3822060199506101</v>
      </c>
      <c r="J20" s="223">
        <v>1985</v>
      </c>
      <c r="K20" s="219">
        <v>18041.445319889765</v>
      </c>
      <c r="L20" s="219"/>
      <c r="M20" s="219">
        <v>33131.713901514959</v>
      </c>
      <c r="N20" s="219"/>
      <c r="O20" s="220">
        <v>31048</v>
      </c>
      <c r="P20" s="224">
        <v>0.187</v>
      </c>
      <c r="Q20" s="220">
        <v>32874</v>
      </c>
      <c r="R20" s="225">
        <v>4010.5234094987809</v>
      </c>
      <c r="S20" s="225"/>
      <c r="T20" s="220">
        <v>32874</v>
      </c>
      <c r="U20" s="226">
        <v>1.2748760000000001E-4</v>
      </c>
      <c r="V20" s="226"/>
      <c r="W20" s="227">
        <f>1000/$R20*VLOOKUP(Q20,G$5:$I78,2)</f>
        <v>4.894247786369589</v>
      </c>
      <c r="X20" s="228" t="str">
        <f>IFERROR(1000/$S20*VLOOKUP($Q20,G$5:$I78,3),"")</f>
        <v/>
      </c>
      <c r="Y20" s="229">
        <f t="shared" si="0"/>
        <v>204.32148997134675</v>
      </c>
      <c r="Z20" s="228"/>
      <c r="AA20" s="186"/>
      <c r="AB20" s="215">
        <v>33</v>
      </c>
      <c r="AC20" s="215">
        <v>1.9</v>
      </c>
      <c r="AD20" s="215"/>
      <c r="AE20" s="216"/>
    </row>
    <row r="21" spans="1:31" s="217" customFormat="1">
      <c r="A21" s="184"/>
      <c r="B21" s="230">
        <v>1986</v>
      </c>
      <c r="C21" s="207">
        <v>1467</v>
      </c>
      <c r="D21" s="207">
        <v>0</v>
      </c>
      <c r="E21" s="207">
        <f t="shared" si="1"/>
        <v>14.67</v>
      </c>
      <c r="F21" s="207">
        <f t="shared" si="2"/>
        <v>1760.3999999999999</v>
      </c>
      <c r="G21" s="231">
        <v>33420</v>
      </c>
      <c r="H21" s="232">
        <v>21.187935556771293</v>
      </c>
      <c r="I21" s="233">
        <v>10.788258693240211</v>
      </c>
      <c r="J21" s="206">
        <v>1986</v>
      </c>
      <c r="K21" s="207">
        <v>18727.087732573895</v>
      </c>
      <c r="L21" s="207"/>
      <c r="M21" s="207">
        <v>34358.814416385881</v>
      </c>
      <c r="N21" s="207"/>
      <c r="O21" s="231">
        <v>31413</v>
      </c>
      <c r="P21" s="234">
        <v>0.192</v>
      </c>
      <c r="Q21" s="231">
        <v>33239</v>
      </c>
      <c r="R21" s="235">
        <v>4198.9738371944386</v>
      </c>
      <c r="S21" s="235"/>
      <c r="T21" s="231">
        <v>33239</v>
      </c>
      <c r="U21" s="236">
        <v>1.2176590000000001E-4</v>
      </c>
      <c r="V21" s="236"/>
      <c r="W21" s="237">
        <f>1000/$R21*VLOOKUP(Q21,G$5:$I79,2)</f>
        <v>4.8194948200171961</v>
      </c>
      <c r="X21" s="214" t="str">
        <f>IFERROR(1000/$S21*VLOOKUP($Q21,G$5:$I79,3),"")</f>
        <v/>
      </c>
      <c r="Y21" s="213">
        <f t="shared" si="0"/>
        <v>207.49062657908033</v>
      </c>
      <c r="Z21" s="214"/>
      <c r="AA21" s="186"/>
      <c r="AB21" s="215">
        <v>34</v>
      </c>
      <c r="AC21" s="215">
        <v>1.8</v>
      </c>
      <c r="AD21" s="215"/>
      <c r="AE21" s="216"/>
    </row>
    <row r="22" spans="1:31" s="217" customFormat="1">
      <c r="A22" s="184"/>
      <c r="B22" s="218">
        <v>1987</v>
      </c>
      <c r="C22" s="219">
        <v>1539</v>
      </c>
      <c r="D22" s="219">
        <v>0</v>
      </c>
      <c r="E22" s="219">
        <f t="shared" si="1"/>
        <v>15.39</v>
      </c>
      <c r="F22" s="219">
        <f t="shared" si="2"/>
        <v>1846.8</v>
      </c>
      <c r="G22" s="220">
        <v>33604</v>
      </c>
      <c r="H22" s="221">
        <v>21.187935556771293</v>
      </c>
      <c r="I22" s="222">
        <v>12.05114963979487</v>
      </c>
      <c r="J22" s="223">
        <v>1987</v>
      </c>
      <c r="K22" s="219">
        <v>19288.997510008539</v>
      </c>
      <c r="L22" s="219"/>
      <c r="M22" s="219">
        <v>34972.364673821343</v>
      </c>
      <c r="N22" s="219"/>
      <c r="O22" s="220">
        <v>31778</v>
      </c>
      <c r="P22" s="224">
        <v>0.187</v>
      </c>
      <c r="Q22" s="220">
        <v>33329</v>
      </c>
      <c r="R22" s="225">
        <v>3974.429781729496</v>
      </c>
      <c r="S22" s="225"/>
      <c r="T22" s="220">
        <v>33329</v>
      </c>
      <c r="U22" s="226">
        <v>1.2864530000000001E-4</v>
      </c>
      <c r="V22" s="226"/>
      <c r="W22" s="227">
        <f>1000/$R22*VLOOKUP(Q22,G$5:$I80,2)</f>
        <v>5.0917826629560201</v>
      </c>
      <c r="X22" s="228" t="str">
        <f>IFERROR(1000/$S22*VLOOKUP($Q22,G$5:$I80,3),"")</f>
        <v/>
      </c>
      <c r="Y22" s="229">
        <f t="shared" si="0"/>
        <v>196.39487114704397</v>
      </c>
      <c r="Z22" s="228"/>
      <c r="AA22" s="186"/>
      <c r="AB22" s="215">
        <v>35</v>
      </c>
      <c r="AC22" s="215">
        <v>1.7</v>
      </c>
      <c r="AD22" s="215"/>
      <c r="AE22" s="216"/>
    </row>
    <row r="23" spans="1:31" s="217" customFormat="1">
      <c r="A23" s="184"/>
      <c r="B23" s="230">
        <v>1988</v>
      </c>
      <c r="C23" s="207">
        <v>1575</v>
      </c>
      <c r="D23" s="207">
        <v>0</v>
      </c>
      <c r="E23" s="207">
        <f t="shared" si="1"/>
        <v>15.75</v>
      </c>
      <c r="F23" s="207">
        <f t="shared" si="2"/>
        <v>1890</v>
      </c>
      <c r="G23" s="231">
        <v>33786</v>
      </c>
      <c r="H23" s="232">
        <v>21.796372895394796</v>
      </c>
      <c r="I23" s="233">
        <v>13.585025283383526</v>
      </c>
      <c r="J23" s="206">
        <v>1988</v>
      </c>
      <c r="K23" s="207">
        <v>19887.209011008115</v>
      </c>
      <c r="L23" s="207"/>
      <c r="M23" s="207">
        <v>36813.015446127734</v>
      </c>
      <c r="N23" s="207"/>
      <c r="O23" s="231">
        <v>32143</v>
      </c>
      <c r="P23" s="234">
        <v>0.187</v>
      </c>
      <c r="Q23" s="231">
        <v>33604</v>
      </c>
      <c r="R23" s="235">
        <v>4152.8931451097487</v>
      </c>
      <c r="S23" s="235">
        <v>2834.352423267871</v>
      </c>
      <c r="T23" s="231">
        <v>33604</v>
      </c>
      <c r="U23" s="236">
        <v>1.2311700000000001E-4</v>
      </c>
      <c r="V23" s="236">
        <v>1.8039109999999999E-4</v>
      </c>
      <c r="W23" s="237">
        <f>1000/$R23*VLOOKUP(Q23,G$5:$I81,2)</f>
        <v>5.1019698355882834</v>
      </c>
      <c r="X23" s="214">
        <f>IFERROR(1000/$S23*VLOOKUP($Q23,G$5:$I81,3),"")</f>
        <v>4.2518176430228385</v>
      </c>
      <c r="Y23" s="213">
        <f t="shared" si="0"/>
        <v>196.00272683397682</v>
      </c>
      <c r="Z23" s="214">
        <f>1000/X23</f>
        <v>235.19352991090369</v>
      </c>
      <c r="AA23" s="186"/>
      <c r="AB23" s="215">
        <v>36</v>
      </c>
      <c r="AC23" s="215">
        <v>1.7</v>
      </c>
      <c r="AD23" s="215"/>
      <c r="AE23" s="216"/>
    </row>
    <row r="24" spans="1:31" s="217" customFormat="1">
      <c r="A24" s="184"/>
      <c r="B24" s="218">
        <v>1989</v>
      </c>
      <c r="C24" s="219">
        <v>1611</v>
      </c>
      <c r="D24" s="219">
        <v>0</v>
      </c>
      <c r="E24" s="219">
        <f t="shared" si="1"/>
        <v>16.11</v>
      </c>
      <c r="F24" s="219">
        <f t="shared" si="2"/>
        <v>1933.1999999999998</v>
      </c>
      <c r="G24" s="220">
        <v>33970</v>
      </c>
      <c r="H24" s="221">
        <v>21.796372895394796</v>
      </c>
      <c r="I24" s="222">
        <v>14.4133181309214</v>
      </c>
      <c r="J24" s="223">
        <v>1989</v>
      </c>
      <c r="K24" s="219">
        <v>20483.886636364103</v>
      </c>
      <c r="L24" s="219"/>
      <c r="M24" s="219">
        <v>37426.565703563196</v>
      </c>
      <c r="N24" s="219"/>
      <c r="O24" s="220">
        <v>32509</v>
      </c>
      <c r="P24" s="224">
        <v>0.187</v>
      </c>
      <c r="Q24" s="220">
        <v>33970</v>
      </c>
      <c r="R24" s="225">
        <v>4443.6505217733647</v>
      </c>
      <c r="S24" s="225">
        <v>3234.333300951514</v>
      </c>
      <c r="T24" s="220">
        <v>33970</v>
      </c>
      <c r="U24" s="226">
        <v>1.150612E-4</v>
      </c>
      <c r="V24" s="226">
        <v>1.580826E-4</v>
      </c>
      <c r="W24" s="227">
        <f>1000/$R24*VLOOKUP(Q24,G$5:$I82,2)</f>
        <v>4.9050601051084319</v>
      </c>
      <c r="X24" s="228">
        <f>IFERROR(1000/$S24*VLOOKUP($Q24,G$5:$I82,3),"")</f>
        <v>4.456349049333018</v>
      </c>
      <c r="Y24" s="229">
        <f t="shared" si="0"/>
        <v>203.87110016420357</v>
      </c>
      <c r="Z24" s="228">
        <f t="shared" si="0"/>
        <v>224.3989393401915</v>
      </c>
      <c r="AA24" s="186"/>
      <c r="AB24" s="215">
        <v>37</v>
      </c>
      <c r="AC24" s="215">
        <v>1.6</v>
      </c>
      <c r="AD24" s="215"/>
      <c r="AE24" s="216"/>
    </row>
    <row r="25" spans="1:31" s="217" customFormat="1">
      <c r="A25" s="184"/>
      <c r="B25" s="230">
        <v>1990</v>
      </c>
      <c r="C25" s="207">
        <v>1682.1502891355588</v>
      </c>
      <c r="D25" s="207">
        <v>0</v>
      </c>
      <c r="E25" s="207">
        <f t="shared" si="1"/>
        <v>16.821502891355589</v>
      </c>
      <c r="F25" s="207">
        <f t="shared" si="2"/>
        <v>2018.5803469626703</v>
      </c>
      <c r="G25" s="231">
        <v>34151</v>
      </c>
      <c r="H25" s="232">
        <v>22.747375794419764</v>
      </c>
      <c r="I25" s="233">
        <v>16.448259818082349</v>
      </c>
      <c r="J25" s="206">
        <v>1990</v>
      </c>
      <c r="K25" s="207">
        <v>21446.64924865658</v>
      </c>
      <c r="L25" s="207"/>
      <c r="M25" s="207">
        <v>38653.666218434118</v>
      </c>
      <c r="N25" s="207">
        <v>16565.856950757479</v>
      </c>
      <c r="O25" s="231">
        <v>32874</v>
      </c>
      <c r="P25" s="234">
        <v>0.187</v>
      </c>
      <c r="Q25" s="231">
        <v>34335</v>
      </c>
      <c r="R25" s="235">
        <v>5092.6634727967157</v>
      </c>
      <c r="S25" s="235">
        <v>3943.8267640848135</v>
      </c>
      <c r="T25" s="231">
        <v>34335</v>
      </c>
      <c r="U25" s="236">
        <v>1.003977E-4</v>
      </c>
      <c r="V25" s="236">
        <v>1.2964359999999999E-4</v>
      </c>
      <c r="W25" s="237">
        <f>1000/$R25*VLOOKUP(Q25,G$5:$I83,2)</f>
        <v>4.466695259941786</v>
      </c>
      <c r="X25" s="214">
        <f>IFERROR(1000/$S25*VLOOKUP($Q25,G$5:$I83,3),"")</f>
        <v>4.3223174694991089</v>
      </c>
      <c r="Y25" s="213">
        <f t="shared" si="0"/>
        <v>223.87916385704651</v>
      </c>
      <c r="Z25" s="214">
        <f t="shared" si="0"/>
        <v>231.35736952609471</v>
      </c>
      <c r="AA25" s="186"/>
      <c r="AB25" s="215">
        <v>38</v>
      </c>
      <c r="AC25" s="215">
        <v>1.6</v>
      </c>
      <c r="AD25" s="215"/>
      <c r="AE25" s="216"/>
    </row>
    <row r="26" spans="1:31" s="217" customFormat="1">
      <c r="A26" s="184"/>
      <c r="B26" s="218">
        <v>1991</v>
      </c>
      <c r="C26" s="219">
        <v>1717.9407208192943</v>
      </c>
      <c r="D26" s="219">
        <v>0</v>
      </c>
      <c r="E26" s="219">
        <f t="shared" si="1"/>
        <v>17.179407208192941</v>
      </c>
      <c r="F26" s="219">
        <f t="shared" si="2"/>
        <v>2061.5288649831532</v>
      </c>
      <c r="G26" s="220">
        <v>34335</v>
      </c>
      <c r="H26" s="221">
        <v>22.747375794419764</v>
      </c>
      <c r="I26" s="222">
        <v>17.046471319081927</v>
      </c>
      <c r="J26" s="223">
        <v>1991</v>
      </c>
      <c r="K26" s="219">
        <v>22712.09665461722</v>
      </c>
      <c r="L26" s="219"/>
      <c r="M26" s="219">
        <v>39880.766733305041</v>
      </c>
      <c r="N26" s="219">
        <v>18406.507723063867</v>
      </c>
      <c r="O26" s="220">
        <v>33239</v>
      </c>
      <c r="P26" s="224">
        <v>0.187</v>
      </c>
      <c r="Q26" s="220">
        <v>34700</v>
      </c>
      <c r="R26" s="225">
        <v>4847.4519769100589</v>
      </c>
      <c r="S26" s="225">
        <v>3940.3771800207587</v>
      </c>
      <c r="T26" s="220">
        <v>34700</v>
      </c>
      <c r="U26" s="226">
        <v>1.0547640000000001E-4</v>
      </c>
      <c r="V26" s="226">
        <v>1.2975709999999999E-4</v>
      </c>
      <c r="W26" s="227">
        <f>1000/$R26*VLOOKUP(Q26,G$5:$I84,2)</f>
        <v>4.8519153252175551</v>
      </c>
      <c r="X26" s="228">
        <f>IFERROR(1000/$S26*VLOOKUP($Q26,G$5:$I84,3),"")</f>
        <v>4.4701317925907125</v>
      </c>
      <c r="Y26" s="229">
        <f t="shared" si="0"/>
        <v>206.1041739130435</v>
      </c>
      <c r="Z26" s="228">
        <f t="shared" si="0"/>
        <v>223.70705079825831</v>
      </c>
      <c r="AA26" s="186"/>
      <c r="AB26" s="215">
        <v>39</v>
      </c>
      <c r="AC26" s="215">
        <v>1.6</v>
      </c>
      <c r="AD26" s="215"/>
      <c r="AE26" s="216"/>
    </row>
    <row r="27" spans="1:31" s="217" customFormat="1">
      <c r="A27" s="184"/>
      <c r="B27" s="230">
        <v>1992</v>
      </c>
      <c r="C27" s="207">
        <v>1789.5215841867648</v>
      </c>
      <c r="D27" s="207">
        <v>1073.7129505120588</v>
      </c>
      <c r="E27" s="207">
        <f t="shared" si="1"/>
        <v>17.89521584186765</v>
      </c>
      <c r="F27" s="207">
        <f t="shared" si="2"/>
        <v>2147.4259010241176</v>
      </c>
      <c r="G27" s="231">
        <v>34516</v>
      </c>
      <c r="H27" s="232">
        <v>23.519426535026049</v>
      </c>
      <c r="I27" s="233">
        <v>17.634456982457579</v>
      </c>
      <c r="J27" s="206">
        <v>1992</v>
      </c>
      <c r="K27" s="207">
        <v>23938.685877606949</v>
      </c>
      <c r="L27" s="207"/>
      <c r="M27" s="207">
        <v>41721.417505611433</v>
      </c>
      <c r="N27" s="207">
        <v>29450.412356902187</v>
      </c>
      <c r="O27" s="231">
        <v>33329</v>
      </c>
      <c r="P27" s="234">
        <v>0.17699999999999999</v>
      </c>
      <c r="Q27" s="231">
        <v>35065</v>
      </c>
      <c r="R27" s="235">
        <v>5017.172249121857</v>
      </c>
      <c r="S27" s="235">
        <v>4266.3029506654466</v>
      </c>
      <c r="T27" s="231">
        <v>35065</v>
      </c>
      <c r="U27" s="236">
        <v>1.019084E-4</v>
      </c>
      <c r="V27" s="236">
        <v>1.1984429999999999E-4</v>
      </c>
      <c r="W27" s="237">
        <f>1000/$R27*VLOOKUP(Q27,G$5:$I85,2)</f>
        <v>4.7112242701729654</v>
      </c>
      <c r="X27" s="214">
        <f>IFERROR(1000/$S27*VLOOKUP($Q27,G$5:$I85,3),"")</f>
        <v>4.5444939937836555</v>
      </c>
      <c r="Y27" s="213">
        <f t="shared" si="0"/>
        <v>212.25905256327067</v>
      </c>
      <c r="Z27" s="214">
        <f t="shared" si="0"/>
        <v>220.04650052742613</v>
      </c>
      <c r="AA27" s="186"/>
      <c r="AB27" s="215">
        <v>40</v>
      </c>
      <c r="AC27" s="215">
        <v>1.5</v>
      </c>
      <c r="AD27" s="215"/>
      <c r="AE27" s="216"/>
    </row>
    <row r="28" spans="1:31" s="217" customFormat="1">
      <c r="A28" s="184"/>
      <c r="B28" s="218">
        <v>1993</v>
      </c>
      <c r="C28" s="219">
        <v>1896.8928792379706</v>
      </c>
      <c r="D28" s="219">
        <v>1395.8268356656765</v>
      </c>
      <c r="E28" s="219">
        <f t="shared" si="1"/>
        <v>18.968928792379707</v>
      </c>
      <c r="F28" s="219">
        <f t="shared" si="2"/>
        <v>2276.2714550855649</v>
      </c>
      <c r="G28" s="220">
        <v>34700</v>
      </c>
      <c r="H28" s="221">
        <v>23.519426535026049</v>
      </c>
      <c r="I28" s="222">
        <v>17.61400530720973</v>
      </c>
      <c r="J28" s="223">
        <v>1993</v>
      </c>
      <c r="K28" s="219">
        <v>24633.020252271413</v>
      </c>
      <c r="L28" s="219"/>
      <c r="M28" s="219">
        <v>44175.618535353278</v>
      </c>
      <c r="N28" s="219">
        <v>32518.163644079497</v>
      </c>
      <c r="O28" s="220">
        <v>33604</v>
      </c>
      <c r="P28" s="224">
        <v>0.17699999999999999</v>
      </c>
      <c r="Q28" s="220">
        <v>35431</v>
      </c>
      <c r="R28" s="225">
        <v>5584.6459048076777</v>
      </c>
      <c r="S28" s="225">
        <v>4798.6302490502758</v>
      </c>
      <c r="T28" s="220">
        <v>35431</v>
      </c>
      <c r="U28" s="226">
        <v>9.1553100000000003E-5</v>
      </c>
      <c r="V28" s="226">
        <v>1.0654949999999999E-4</v>
      </c>
      <c r="W28" s="227">
        <f>1000/$R28*VLOOKUP(Q28,G$5:$I86,2)</f>
        <v>4.2727851509592298</v>
      </c>
      <c r="X28" s="228">
        <f>IFERROR(1000/$S28*VLOOKUP($Q28,G$5:$I86,3),"")</f>
        <v>4.0893716293716613</v>
      </c>
      <c r="Y28" s="229">
        <f t="shared" si="0"/>
        <v>234.03938290122133</v>
      </c>
      <c r="Z28" s="228">
        <f t="shared" si="0"/>
        <v>244.5363470557582</v>
      </c>
      <c r="AA28" s="186"/>
      <c r="AB28" s="215">
        <v>41</v>
      </c>
      <c r="AC28" s="215">
        <v>1.5</v>
      </c>
      <c r="AD28" s="215"/>
      <c r="AE28" s="216"/>
    </row>
    <row r="29" spans="1:31" s="217" customFormat="1">
      <c r="A29" s="184"/>
      <c r="B29" s="230">
        <v>1994</v>
      </c>
      <c r="C29" s="207">
        <v>2004.2641742891765</v>
      </c>
      <c r="D29" s="207">
        <v>1574.7789940843529</v>
      </c>
      <c r="E29" s="207">
        <f t="shared" si="1"/>
        <v>20.042641742891764</v>
      </c>
      <c r="F29" s="207">
        <f t="shared" si="2"/>
        <v>2405.1170091470117</v>
      </c>
      <c r="G29" s="231">
        <v>34881</v>
      </c>
      <c r="H29" s="232">
        <v>23.637023667701179</v>
      </c>
      <c r="I29" s="233">
        <v>18.575234043858618</v>
      </c>
      <c r="J29" s="206">
        <v>1994</v>
      </c>
      <c r="K29" s="207">
        <v>25125.90562574457</v>
      </c>
      <c r="L29" s="207"/>
      <c r="M29" s="207">
        <v>46629.819565095124</v>
      </c>
      <c r="N29" s="207">
        <v>36199.465188692273</v>
      </c>
      <c r="O29" s="231">
        <v>33970</v>
      </c>
      <c r="P29" s="234">
        <v>0.17499999999999999</v>
      </c>
      <c r="Q29" s="231">
        <v>35796</v>
      </c>
      <c r="R29" s="235">
        <v>5578.3145774428249</v>
      </c>
      <c r="S29" s="235">
        <v>4648.2081264731596</v>
      </c>
      <c r="T29" s="231">
        <v>35796</v>
      </c>
      <c r="U29" s="236">
        <v>9.16571E-5</v>
      </c>
      <c r="V29" s="236">
        <v>1.099976E-4</v>
      </c>
      <c r="W29" s="237">
        <f>1000/$R29*VLOOKUP(Q29,G$5:$I87,2)</f>
        <v>4.3482106480749501</v>
      </c>
      <c r="X29" s="214">
        <f>IFERROR(1000/$S29*VLOOKUP($Q29,G$5:$I87,3),"")</f>
        <v>4.4560040221293677</v>
      </c>
      <c r="Y29" s="213">
        <f t="shared" si="0"/>
        <v>229.97965851602024</v>
      </c>
      <c r="Z29" s="214">
        <f t="shared" si="0"/>
        <v>224.41631449024931</v>
      </c>
      <c r="AA29" s="186"/>
      <c r="AB29" s="215">
        <v>42</v>
      </c>
      <c r="AC29" s="215">
        <v>1.4</v>
      </c>
      <c r="AD29" s="215"/>
      <c r="AE29" s="216"/>
    </row>
    <row r="30" spans="1:31" s="217" customFormat="1">
      <c r="A30" s="184"/>
      <c r="B30" s="218">
        <v>1995</v>
      </c>
      <c r="C30" s="219">
        <v>2075.845037656647</v>
      </c>
      <c r="D30" s="219">
        <v>1682.1502891355588</v>
      </c>
      <c r="E30" s="219">
        <f t="shared" si="1"/>
        <v>20.758450376566472</v>
      </c>
      <c r="F30" s="219">
        <f t="shared" si="2"/>
        <v>2491.0140451879765</v>
      </c>
      <c r="G30" s="220">
        <v>35065</v>
      </c>
      <c r="H30" s="221">
        <v>23.637023667701179</v>
      </c>
      <c r="I30" s="222">
        <v>19.388188134960608</v>
      </c>
      <c r="J30" s="223">
        <v>1995</v>
      </c>
      <c r="K30" s="219">
        <v>25904.603160806411</v>
      </c>
      <c r="L30" s="219"/>
      <c r="M30" s="219">
        <v>47856.920079966054</v>
      </c>
      <c r="N30" s="219">
        <v>39267.21647586958</v>
      </c>
      <c r="O30" s="220">
        <v>34335</v>
      </c>
      <c r="P30" s="224">
        <v>0.192</v>
      </c>
      <c r="Q30" s="220">
        <v>36161</v>
      </c>
      <c r="R30" s="225">
        <v>5509.5003144445072</v>
      </c>
      <c r="S30" s="225">
        <v>4646.6225080911936</v>
      </c>
      <c r="T30" s="220">
        <v>36161</v>
      </c>
      <c r="U30" s="226">
        <v>9.2801900000000003E-5</v>
      </c>
      <c r="V30" s="226">
        <v>1.100352E-4</v>
      </c>
      <c r="W30" s="227">
        <f>1000/$R30*VLOOKUP(Q30,G$5:$I88,2)</f>
        <v>4.422008666580175</v>
      </c>
      <c r="X30" s="228">
        <f>IFERROR(1000/$S30*VLOOKUP($Q30,G$5:$I88,3),"")</f>
        <v>4.4971372535862857</v>
      </c>
      <c r="Y30" s="229">
        <f t="shared" si="0"/>
        <v>226.14157397691503</v>
      </c>
      <c r="Z30" s="228">
        <f t="shared" si="0"/>
        <v>222.36368240763395</v>
      </c>
      <c r="AA30" s="186"/>
      <c r="AB30" s="215">
        <v>43</v>
      </c>
      <c r="AC30" s="215">
        <v>1.4</v>
      </c>
      <c r="AD30" s="215"/>
      <c r="AE30" s="216"/>
    </row>
    <row r="31" spans="1:31" s="217" customFormat="1">
      <c r="A31" s="184"/>
      <c r="B31" s="230">
        <v>1996</v>
      </c>
      <c r="C31" s="207">
        <v>2111.6354693403823</v>
      </c>
      <c r="D31" s="207">
        <v>1789.5215841867648</v>
      </c>
      <c r="E31" s="207">
        <f t="shared" si="1"/>
        <v>21.116354693403824</v>
      </c>
      <c r="F31" s="207">
        <f t="shared" si="2"/>
        <v>2533.9625632084585</v>
      </c>
      <c r="G31" s="231">
        <v>35247</v>
      </c>
      <c r="H31" s="232">
        <v>23.861992095427517</v>
      </c>
      <c r="I31" s="233">
        <v>19.623382400310867</v>
      </c>
      <c r="J31" s="206">
        <v>1996</v>
      </c>
      <c r="K31" s="207">
        <v>26422.541836458178</v>
      </c>
      <c r="L31" s="207"/>
      <c r="M31" s="207">
        <v>49084.020594836977</v>
      </c>
      <c r="N31" s="207">
        <v>41721.417505611433</v>
      </c>
      <c r="O31" s="231">
        <v>34700</v>
      </c>
      <c r="P31" s="234">
        <v>0.186</v>
      </c>
      <c r="Q31" s="231">
        <v>36251</v>
      </c>
      <c r="R31" s="235">
        <v>5292.3771493432459</v>
      </c>
      <c r="S31" s="235">
        <v>4463.5043945537191</v>
      </c>
      <c r="T31" s="231">
        <v>36251</v>
      </c>
      <c r="U31" s="236">
        <v>9.6609100000000003E-5</v>
      </c>
      <c r="V31" s="236">
        <v>1.145494E-4</v>
      </c>
      <c r="W31" s="237">
        <f>1000/$R31*VLOOKUP(Q31,G$5:$I89,2)</f>
        <v>4.6034244067475667</v>
      </c>
      <c r="X31" s="214">
        <f>IFERROR(1000/$S31*VLOOKUP($Q31,G$5:$I89,3),"")</f>
        <v>4.6816351766085296</v>
      </c>
      <c r="Y31" s="213">
        <f t="shared" si="0"/>
        <v>217.22959076600213</v>
      </c>
      <c r="Z31" s="214">
        <f t="shared" si="0"/>
        <v>213.6005823342305</v>
      </c>
      <c r="AA31" s="186"/>
      <c r="AB31" s="215">
        <v>44</v>
      </c>
      <c r="AC31" s="215">
        <v>1.3</v>
      </c>
      <c r="AD31" s="215"/>
      <c r="AE31" s="216"/>
    </row>
    <row r="32" spans="1:31" s="217" customFormat="1">
      <c r="A32" s="184"/>
      <c r="B32" s="218">
        <v>1997</v>
      </c>
      <c r="C32" s="219">
        <v>2183.2163327078529</v>
      </c>
      <c r="D32" s="219">
        <v>1861.1024475542354</v>
      </c>
      <c r="E32" s="219">
        <f t="shared" si="1"/>
        <v>21.832163327078529</v>
      </c>
      <c r="F32" s="219">
        <f t="shared" si="2"/>
        <v>2619.8595992494234</v>
      </c>
      <c r="G32" s="220">
        <v>35612</v>
      </c>
      <c r="H32" s="221">
        <v>24.255686843948606</v>
      </c>
      <c r="I32" s="222">
        <v>20.712434107258812</v>
      </c>
      <c r="J32" s="223">
        <v>1997</v>
      </c>
      <c r="K32" s="219">
        <v>26660.292561214421</v>
      </c>
      <c r="L32" s="219"/>
      <c r="M32" s="219">
        <v>50311.121109707899</v>
      </c>
      <c r="N32" s="219">
        <v>43562.068277917817</v>
      </c>
      <c r="O32" s="220">
        <v>35065</v>
      </c>
      <c r="P32" s="224">
        <v>0.192</v>
      </c>
      <c r="Q32" s="220">
        <v>36526</v>
      </c>
      <c r="R32" s="225">
        <v>5379.3064836923459</v>
      </c>
      <c r="S32" s="225">
        <v>4423.7718002075844</v>
      </c>
      <c r="T32" s="220">
        <v>36526</v>
      </c>
      <c r="U32" s="226">
        <f>0.0000950479*1.95583</f>
        <v>1.8589753425699999E-4</v>
      </c>
      <c r="V32" s="226">
        <v>1.155783E-4</v>
      </c>
      <c r="W32" s="227">
        <f>1000/$R32*VLOOKUP(Q32,G$5:$I90,2)</f>
        <v>4.5898639569645843</v>
      </c>
      <c r="X32" s="228">
        <f>IFERROR(1000/$S32*VLOOKUP($Q32,G$5:$I90,3),"")</f>
        <v>4.8554430244447104</v>
      </c>
      <c r="Y32" s="229">
        <f t="shared" si="0"/>
        <v>217.8713812383516</v>
      </c>
      <c r="Z32" s="228">
        <f t="shared" si="0"/>
        <v>205.95442989764345</v>
      </c>
      <c r="AA32" s="186"/>
      <c r="AB32" s="215">
        <v>45</v>
      </c>
      <c r="AC32" s="215">
        <v>1.3</v>
      </c>
      <c r="AD32" s="215"/>
      <c r="AE32" s="216"/>
    </row>
    <row r="33" spans="1:34" s="217" customFormat="1">
      <c r="A33" s="184"/>
      <c r="B33" s="230">
        <v>1998</v>
      </c>
      <c r="C33" s="207">
        <v>2219.0067643915881</v>
      </c>
      <c r="D33" s="207">
        <v>1861.1024475542354</v>
      </c>
      <c r="E33" s="207">
        <f t="shared" si="1"/>
        <v>22.190067643915881</v>
      </c>
      <c r="F33" s="207">
        <f t="shared" si="2"/>
        <v>2662.8081172699058</v>
      </c>
      <c r="G33" s="231">
        <v>35977</v>
      </c>
      <c r="H33" s="232">
        <v>24.363058138999811</v>
      </c>
      <c r="I33" s="233">
        <v>20.89649918448945</v>
      </c>
      <c r="J33" s="206">
        <v>1998</v>
      </c>
      <c r="K33" s="207">
        <v>27060.122812309863</v>
      </c>
      <c r="L33" s="207"/>
      <c r="M33" s="207">
        <v>51538.221624578822</v>
      </c>
      <c r="N33" s="207">
        <v>42948.518020482355</v>
      </c>
      <c r="O33" s="231">
        <v>35431</v>
      </c>
      <c r="P33" s="234">
        <v>0.20300000000000001</v>
      </c>
      <c r="Q33" s="231">
        <v>36892</v>
      </c>
      <c r="R33" s="235">
        <v>5340.2616791847968</v>
      </c>
      <c r="S33" s="235">
        <v>4473.7050254879005</v>
      </c>
      <c r="T33" s="231">
        <v>36892</v>
      </c>
      <c r="U33" s="236">
        <f>0.0000957429*1.95583</f>
        <v>1.87256836107E-4</v>
      </c>
      <c r="V33" s="236">
        <v>1.142882E-4</v>
      </c>
      <c r="W33" s="237">
        <f>1000/$R33*VLOOKUP(Q33,G$5:$I91,2)</f>
        <v>4.651187728370636</v>
      </c>
      <c r="X33" s="214">
        <f>IFERROR(1000/$S33*VLOOKUP($Q33,G$5:$I91,3),"")</f>
        <v>4.8298210937579018</v>
      </c>
      <c r="Y33" s="213">
        <f t="shared" si="0"/>
        <v>214.99884726224786</v>
      </c>
      <c r="Z33" s="214">
        <f t="shared" si="0"/>
        <v>207.04700662565074</v>
      </c>
      <c r="AA33" s="186"/>
      <c r="AB33" s="215">
        <v>46</v>
      </c>
      <c r="AC33" s="215">
        <v>1.3</v>
      </c>
      <c r="AD33" s="215"/>
      <c r="AE33" s="216"/>
    </row>
    <row r="34" spans="1:34" s="217" customFormat="1">
      <c r="A34" s="184"/>
      <c r="B34" s="218">
        <v>1999</v>
      </c>
      <c r="C34" s="219">
        <v>2254.7971960753234</v>
      </c>
      <c r="D34" s="219">
        <v>1896.8928792379706</v>
      </c>
      <c r="E34" s="219">
        <f t="shared" si="1"/>
        <v>22.547971960753234</v>
      </c>
      <c r="F34" s="219">
        <f t="shared" si="2"/>
        <v>2705.7566352903882</v>
      </c>
      <c r="G34" s="220">
        <v>36342</v>
      </c>
      <c r="H34" s="221">
        <v>24.690284942965391</v>
      </c>
      <c r="I34" s="222">
        <v>21.479371929053137</v>
      </c>
      <c r="J34" s="223">
        <v>1999</v>
      </c>
      <c r="K34" s="219">
        <v>27357.694687166062</v>
      </c>
      <c r="L34" s="219"/>
      <c r="M34" s="219">
        <v>52151.771882014284</v>
      </c>
      <c r="N34" s="219">
        <v>44175.618535353278</v>
      </c>
      <c r="O34" s="220">
        <v>35796</v>
      </c>
      <c r="P34" s="224">
        <v>0.20300000000000001</v>
      </c>
      <c r="Q34" s="220">
        <v>37257</v>
      </c>
      <c r="R34" s="225">
        <v>5446.9380000000001</v>
      </c>
      <c r="S34" s="225">
        <v>4545.5545000000002</v>
      </c>
      <c r="T34" s="220">
        <v>37257</v>
      </c>
      <c r="U34" s="226">
        <v>1.8358940000000001E-4</v>
      </c>
      <c r="V34" s="226">
        <v>2.199952E-4</v>
      </c>
      <c r="W34" s="227">
        <f>1000/$R34*VLOOKUP(Q34,G$5:$I92,2)</f>
        <v>4.6473929091949957</v>
      </c>
      <c r="X34" s="228">
        <f>IFERROR(1000/$S34*VLOOKUP($Q34,G$5:$I92,3),"")</f>
        <v>4.8535870978154216</v>
      </c>
      <c r="Y34" s="229">
        <f t="shared" si="0"/>
        <v>215.17440413128665</v>
      </c>
      <c r="Z34" s="228">
        <f t="shared" si="0"/>
        <v>206.03318326152953</v>
      </c>
      <c r="AA34" s="186"/>
      <c r="AB34" s="215">
        <v>47</v>
      </c>
      <c r="AC34" s="215">
        <v>1.2</v>
      </c>
      <c r="AD34" s="215"/>
      <c r="AE34" s="216"/>
    </row>
    <row r="35" spans="1:34" s="217" customFormat="1">
      <c r="A35" s="184"/>
      <c r="B35" s="230">
        <v>2000</v>
      </c>
      <c r="C35" s="207">
        <v>2290.5876277590587</v>
      </c>
      <c r="D35" s="207">
        <v>1861.1024475542354</v>
      </c>
      <c r="E35" s="207">
        <f t="shared" si="1"/>
        <v>22.905876277590586</v>
      </c>
      <c r="F35" s="207">
        <f t="shared" si="2"/>
        <v>2748.7051533108702</v>
      </c>
      <c r="G35" s="231">
        <v>36708</v>
      </c>
      <c r="H35" s="232">
        <v>24.838559588512293</v>
      </c>
      <c r="I35" s="233">
        <v>21.607194899352194</v>
      </c>
      <c r="J35" s="206">
        <v>2000</v>
      </c>
      <c r="K35" s="207">
        <v>27740.65230618203</v>
      </c>
      <c r="L35" s="207"/>
      <c r="M35" s="207">
        <v>52765.322139449752</v>
      </c>
      <c r="N35" s="207">
        <v>43562.068277917817</v>
      </c>
      <c r="O35" s="231">
        <v>36161</v>
      </c>
      <c r="P35" s="234">
        <v>0.20300000000000001</v>
      </c>
      <c r="Q35" s="231">
        <v>37622</v>
      </c>
      <c r="R35" s="235">
        <v>5699.85</v>
      </c>
      <c r="S35" s="235">
        <v>4770.1481000000003</v>
      </c>
      <c r="T35" s="231">
        <v>37622</v>
      </c>
      <c r="U35" s="236">
        <v>1.7544319999999999E-4</v>
      </c>
      <c r="V35" s="236">
        <v>2.0963709999999999E-4</v>
      </c>
      <c r="W35" s="237">
        <f>1000/$R35*VLOOKUP(Q35,G$5:$I93,2)</f>
        <v>4.5369614989868152</v>
      </c>
      <c r="X35" s="214">
        <f>IFERROR(1000/$S35*VLOOKUP($Q35,G$5:$I93,3),"")</f>
        <v>4.7587621021661777</v>
      </c>
      <c r="Y35" s="213">
        <f t="shared" si="0"/>
        <v>220.41183294663574</v>
      </c>
      <c r="Z35" s="214">
        <f t="shared" si="0"/>
        <v>210.13868281938326</v>
      </c>
      <c r="AA35" s="186"/>
      <c r="AB35" s="215">
        <v>48</v>
      </c>
      <c r="AC35" s="215">
        <v>1.2</v>
      </c>
      <c r="AD35" s="215"/>
      <c r="AE35" s="216"/>
    </row>
    <row r="36" spans="1:34" s="217" customFormat="1">
      <c r="A36" s="184"/>
      <c r="B36" s="218">
        <v>2001</v>
      </c>
      <c r="C36" s="219">
        <v>2290.5876277590587</v>
      </c>
      <c r="D36" s="219">
        <v>1932.6833109217059</v>
      </c>
      <c r="E36" s="219">
        <f t="shared" si="1"/>
        <v>22.905876277590586</v>
      </c>
      <c r="F36" s="219">
        <f t="shared" si="2"/>
        <v>2748.7051533108702</v>
      </c>
      <c r="G36" s="220">
        <v>37073</v>
      </c>
      <c r="H36" s="221">
        <v>25.314061038024775</v>
      </c>
      <c r="I36" s="222">
        <v>22.062244673616828</v>
      </c>
      <c r="J36" s="223">
        <v>2001</v>
      </c>
      <c r="K36" s="219">
        <v>28231.4925121304</v>
      </c>
      <c r="L36" s="219"/>
      <c r="M36" s="219">
        <v>53378.872396885214</v>
      </c>
      <c r="N36" s="219">
        <v>44789.16879278874</v>
      </c>
      <c r="O36" s="220">
        <v>36526</v>
      </c>
      <c r="P36" s="224">
        <v>0.193</v>
      </c>
      <c r="Q36" s="220">
        <v>37987</v>
      </c>
      <c r="R36" s="225">
        <v>5738.46</v>
      </c>
      <c r="S36" s="225">
        <v>4817.3774000000003</v>
      </c>
      <c r="T36" s="220">
        <v>37987</v>
      </c>
      <c r="U36" s="226">
        <v>1.7426280000000001E-4</v>
      </c>
      <c r="V36" s="226">
        <v>2.0758180000000001E-4</v>
      </c>
      <c r="W36" s="227">
        <f>1000/$R36*VLOOKUP(Q36,G$5:$I94,2)</f>
        <v>4.5534864754655429</v>
      </c>
      <c r="X36" s="228">
        <f>IFERROR(1000/$S36*VLOOKUP($Q36,G$5:$I94,3),"")</f>
        <v>4.7681545564605337</v>
      </c>
      <c r="Y36" s="229">
        <f t="shared" si="0"/>
        <v>219.61194029850748</v>
      </c>
      <c r="Z36" s="228">
        <f t="shared" si="0"/>
        <v>209.72474531998259</v>
      </c>
      <c r="AA36" s="186"/>
      <c r="AB36" s="215">
        <v>49</v>
      </c>
      <c r="AC36" s="215">
        <v>1.2</v>
      </c>
      <c r="AD36" s="215"/>
      <c r="AE36" s="216"/>
    </row>
    <row r="37" spans="1:34" s="217" customFormat="1">
      <c r="A37" s="184"/>
      <c r="B37" s="230">
        <v>2002</v>
      </c>
      <c r="C37" s="207">
        <v>2345</v>
      </c>
      <c r="D37" s="207">
        <v>1960</v>
      </c>
      <c r="E37" s="207">
        <f t="shared" si="1"/>
        <v>23.45</v>
      </c>
      <c r="F37" s="207">
        <f t="shared" si="2"/>
        <v>2814</v>
      </c>
      <c r="G37" s="231">
        <v>37438</v>
      </c>
      <c r="H37" s="232">
        <v>25.86</v>
      </c>
      <c r="I37" s="233">
        <v>22.7</v>
      </c>
      <c r="J37" s="206">
        <v>2002</v>
      </c>
      <c r="K37" s="207">
        <v>28626</v>
      </c>
      <c r="L37" s="207">
        <v>23911</v>
      </c>
      <c r="M37" s="207">
        <v>54000</v>
      </c>
      <c r="N37" s="207">
        <v>45000</v>
      </c>
      <c r="O37" s="231">
        <v>36892</v>
      </c>
      <c r="P37" s="234">
        <v>0.191</v>
      </c>
      <c r="Q37" s="231">
        <v>38353</v>
      </c>
      <c r="R37" s="235">
        <v>5765.9549999999999</v>
      </c>
      <c r="S37" s="235">
        <v>4851.4556000000002</v>
      </c>
      <c r="T37" s="231">
        <v>38353</v>
      </c>
      <c r="U37" s="236">
        <v>1.7343179999999999E-4</v>
      </c>
      <c r="V37" s="236">
        <v>2.061237E-4</v>
      </c>
      <c r="W37" s="237">
        <f>1000/$R37*VLOOKUP(Q37,G$5:$I95,2)</f>
        <v>4.5317731407893405</v>
      </c>
      <c r="X37" s="214">
        <f>IFERROR(1000/$S37*VLOOKUP($Q37,G$5:$I95,3),"")</f>
        <v>4.7346614900484711</v>
      </c>
      <c r="Y37" s="213">
        <f t="shared" si="0"/>
        <v>220.6641791044776</v>
      </c>
      <c r="Z37" s="214">
        <f t="shared" si="0"/>
        <v>211.20834131475837</v>
      </c>
      <c r="AA37" s="186"/>
      <c r="AB37" s="215">
        <v>50</v>
      </c>
      <c r="AC37" s="215">
        <v>1.1000000000000001</v>
      </c>
      <c r="AD37" s="215"/>
      <c r="AE37" s="216"/>
    </row>
    <row r="38" spans="1:34" s="217" customFormat="1">
      <c r="A38" s="184"/>
      <c r="B38" s="218">
        <v>2003</v>
      </c>
      <c r="C38" s="219">
        <v>2380</v>
      </c>
      <c r="D38" s="219">
        <v>1995</v>
      </c>
      <c r="E38" s="219">
        <f t="shared" si="1"/>
        <v>23.8</v>
      </c>
      <c r="F38" s="219">
        <f t="shared" si="2"/>
        <v>2856</v>
      </c>
      <c r="G38" s="220">
        <v>37803</v>
      </c>
      <c r="H38" s="221">
        <v>26.13</v>
      </c>
      <c r="I38" s="222">
        <v>22.97</v>
      </c>
      <c r="J38" s="223">
        <v>2003</v>
      </c>
      <c r="K38" s="219">
        <v>28938</v>
      </c>
      <c r="L38" s="219">
        <v>24230</v>
      </c>
      <c r="M38" s="219">
        <v>61200</v>
      </c>
      <c r="N38" s="219">
        <v>51000</v>
      </c>
      <c r="O38" s="220">
        <v>37257</v>
      </c>
      <c r="P38" s="224">
        <v>0.191</v>
      </c>
      <c r="Q38" s="220">
        <v>38718</v>
      </c>
      <c r="R38" s="225">
        <v>5714.28</v>
      </c>
      <c r="S38" s="225">
        <v>4797.4813000000004</v>
      </c>
      <c r="T38" s="220">
        <v>38718</v>
      </c>
      <c r="U38" s="226">
        <v>1.7500020000000001E-4</v>
      </c>
      <c r="V38" s="226">
        <v>2.084427E-4</v>
      </c>
      <c r="W38" s="227">
        <f>1000/$R38*VLOOKUP(Q38,G$5:$I96,2)</f>
        <v>4.5727545727545724</v>
      </c>
      <c r="X38" s="228">
        <f>IFERROR(1000/$S38*VLOOKUP($Q38,G$5:$I96,3),"")</f>
        <v>4.7879290326780426</v>
      </c>
      <c r="Y38" s="229">
        <f t="shared" si="0"/>
        <v>218.68656716417911</v>
      </c>
      <c r="Z38" s="228">
        <f t="shared" si="0"/>
        <v>208.85856769699609</v>
      </c>
      <c r="AA38" s="186"/>
      <c r="AB38" s="215">
        <v>51</v>
      </c>
      <c r="AC38" s="215">
        <v>1.1000000000000001</v>
      </c>
      <c r="AD38" s="238">
        <v>37803</v>
      </c>
      <c r="AE38" s="216">
        <v>2.3E-2</v>
      </c>
    </row>
    <row r="39" spans="1:34" s="217" customFormat="1">
      <c r="A39" s="184"/>
      <c r="B39" s="230">
        <v>2004</v>
      </c>
      <c r="C39" s="207">
        <v>2415</v>
      </c>
      <c r="D39" s="207">
        <v>2030</v>
      </c>
      <c r="E39" s="207">
        <f t="shared" si="1"/>
        <v>24.150000000000002</v>
      </c>
      <c r="F39" s="207">
        <f t="shared" si="2"/>
        <v>2898</v>
      </c>
      <c r="G39" s="231">
        <v>38169</v>
      </c>
      <c r="H39" s="232">
        <v>26.13</v>
      </c>
      <c r="I39" s="233">
        <v>22.97</v>
      </c>
      <c r="J39" s="206">
        <v>2004</v>
      </c>
      <c r="K39" s="207">
        <v>29060</v>
      </c>
      <c r="L39" s="207">
        <v>24355</v>
      </c>
      <c r="M39" s="207">
        <v>61800</v>
      </c>
      <c r="N39" s="207">
        <v>52200</v>
      </c>
      <c r="O39" s="231">
        <v>37622</v>
      </c>
      <c r="P39" s="234">
        <v>0.19500000000000001</v>
      </c>
      <c r="Q39" s="231">
        <v>39083</v>
      </c>
      <c r="R39" s="235">
        <v>5868.1120000000001</v>
      </c>
      <c r="S39" s="235">
        <v>5049.1413000000002</v>
      </c>
      <c r="T39" s="231">
        <v>39083</v>
      </c>
      <c r="U39" s="236">
        <v>1.7041260000000001E-4</v>
      </c>
      <c r="V39" s="236">
        <v>1.9805349999999999E-4</v>
      </c>
      <c r="W39" s="237">
        <f>1000/$R39*VLOOKUP(Q39,G$5:$I97,2)</f>
        <v>4.4528802449578331</v>
      </c>
      <c r="X39" s="214">
        <f>IFERROR(1000/$S39*VLOOKUP($Q39,G$5:$I97,3),"")</f>
        <v>4.5492884106848024</v>
      </c>
      <c r="Y39" s="213">
        <f t="shared" si="0"/>
        <v>224.57374665135859</v>
      </c>
      <c r="Z39" s="214">
        <f t="shared" si="0"/>
        <v>219.81459730082719</v>
      </c>
      <c r="AA39" s="186"/>
      <c r="AB39" s="215">
        <v>52</v>
      </c>
      <c r="AC39" s="215">
        <v>1.1000000000000001</v>
      </c>
      <c r="AD39" s="238">
        <v>38078</v>
      </c>
      <c r="AE39" s="216">
        <v>8.9999999999999993E-3</v>
      </c>
    </row>
    <row r="40" spans="1:34" s="217" customFormat="1">
      <c r="A40" s="184"/>
      <c r="B40" s="218">
        <v>2005</v>
      </c>
      <c r="C40" s="219">
        <v>2415</v>
      </c>
      <c r="D40" s="219">
        <v>2030</v>
      </c>
      <c r="E40" s="219">
        <f t="shared" si="1"/>
        <v>24.150000000000002</v>
      </c>
      <c r="F40" s="219">
        <f t="shared" si="2"/>
        <v>2898</v>
      </c>
      <c r="G40" s="220">
        <v>38534</v>
      </c>
      <c r="H40" s="221">
        <v>26.13</v>
      </c>
      <c r="I40" s="222">
        <v>22.97</v>
      </c>
      <c r="J40" s="223">
        <v>2005</v>
      </c>
      <c r="K40" s="219">
        <v>29202</v>
      </c>
      <c r="L40" s="219">
        <v>24691</v>
      </c>
      <c r="M40" s="219">
        <v>62400</v>
      </c>
      <c r="N40" s="219">
        <v>52800</v>
      </c>
      <c r="O40" s="220">
        <v>37987</v>
      </c>
      <c r="P40" s="224">
        <v>0.19500000000000001</v>
      </c>
      <c r="Q40" s="220">
        <v>39448</v>
      </c>
      <c r="R40" s="225">
        <v>5986.7160000000003</v>
      </c>
      <c r="S40" s="225">
        <v>5061.9084999999995</v>
      </c>
      <c r="T40" s="220">
        <v>39448</v>
      </c>
      <c r="U40" s="226">
        <v>1.670365E-4</v>
      </c>
      <c r="V40" s="226">
        <v>1.9755409999999999E-4</v>
      </c>
      <c r="W40" s="227">
        <f>1000/$R40*VLOOKUP(Q40,G$5:$I98,2)</f>
        <v>4.3880484726517839</v>
      </c>
      <c r="X40" s="228">
        <f>IFERROR(1000/$S40*VLOOKUP($Q40,G$5:$I98,3),"")</f>
        <v>4.5615206201376424</v>
      </c>
      <c r="Y40" s="229">
        <f t="shared" si="0"/>
        <v>227.89173962695091</v>
      </c>
      <c r="Z40" s="228">
        <f t="shared" si="0"/>
        <v>219.22514075357296</v>
      </c>
      <c r="AA40" s="186"/>
      <c r="AB40" s="215">
        <v>53</v>
      </c>
      <c r="AC40" s="215">
        <v>1</v>
      </c>
      <c r="AD40" s="238">
        <v>38200</v>
      </c>
      <c r="AE40" s="216">
        <v>8.9999999999999993E-3</v>
      </c>
    </row>
    <row r="41" spans="1:34" s="217" customFormat="1">
      <c r="A41" s="184"/>
      <c r="B41" s="230">
        <v>2006</v>
      </c>
      <c r="C41" s="207">
        <v>2450</v>
      </c>
      <c r="D41" s="207">
        <v>2065</v>
      </c>
      <c r="E41" s="207">
        <f t="shared" si="1"/>
        <v>24.5</v>
      </c>
      <c r="F41" s="207">
        <f t="shared" si="2"/>
        <v>2940</v>
      </c>
      <c r="G41" s="231">
        <v>38899</v>
      </c>
      <c r="H41" s="232">
        <v>26.13</v>
      </c>
      <c r="I41" s="233">
        <v>22.97</v>
      </c>
      <c r="J41" s="206">
        <v>2006</v>
      </c>
      <c r="K41" s="207">
        <v>29494</v>
      </c>
      <c r="L41" s="207">
        <v>24938</v>
      </c>
      <c r="M41" s="207">
        <v>63000</v>
      </c>
      <c r="N41" s="207">
        <v>52800</v>
      </c>
      <c r="O41" s="231">
        <v>38353</v>
      </c>
      <c r="P41" s="234">
        <v>0.19500000000000001</v>
      </c>
      <c r="Q41" s="231">
        <v>39814</v>
      </c>
      <c r="R41" s="235">
        <v>6144.9210000000003</v>
      </c>
      <c r="S41" s="235">
        <v>5177.7223999999997</v>
      </c>
      <c r="T41" s="231">
        <v>39814</v>
      </c>
      <c r="U41" s="236">
        <v>1.62736E-4</v>
      </c>
      <c r="V41" s="236">
        <v>1.9313509999999999E-4</v>
      </c>
      <c r="W41" s="237">
        <f>1000/$R41*VLOOKUP(Q41,G$5:$I99,2)</f>
        <v>4.3222687484509557</v>
      </c>
      <c r="X41" s="214">
        <f>IFERROR(1000/$S41*VLOOKUP($Q41,G$5:$I99,3),"")</f>
        <v>4.5077735337838893</v>
      </c>
      <c r="Y41" s="213">
        <f t="shared" si="0"/>
        <v>231.35997740963859</v>
      </c>
      <c r="Z41" s="214">
        <f t="shared" si="0"/>
        <v>221.83900599828621</v>
      </c>
      <c r="AA41" s="186"/>
      <c r="AB41" s="215">
        <v>54</v>
      </c>
      <c r="AC41" s="215">
        <v>1</v>
      </c>
      <c r="AD41" s="238">
        <v>39448</v>
      </c>
      <c r="AE41" s="216">
        <v>4.1799999999999997E-2</v>
      </c>
    </row>
    <row r="42" spans="1:34" s="217" customFormat="1">
      <c r="A42" s="184"/>
      <c r="B42" s="218">
        <v>2007</v>
      </c>
      <c r="C42" s="219">
        <v>2450</v>
      </c>
      <c r="D42" s="219">
        <v>2100</v>
      </c>
      <c r="E42" s="219">
        <f t="shared" si="1"/>
        <v>24.5</v>
      </c>
      <c r="F42" s="219">
        <f t="shared" si="2"/>
        <v>2940</v>
      </c>
      <c r="G42" s="220">
        <v>39264</v>
      </c>
      <c r="H42" s="221">
        <v>26.27</v>
      </c>
      <c r="I42" s="222">
        <v>23.09</v>
      </c>
      <c r="J42" s="223">
        <v>2007</v>
      </c>
      <c r="K42" s="219">
        <v>29951</v>
      </c>
      <c r="L42" s="219">
        <v>24294</v>
      </c>
      <c r="M42" s="219">
        <v>63000</v>
      </c>
      <c r="N42" s="219">
        <v>54600</v>
      </c>
      <c r="O42" s="220">
        <v>38718</v>
      </c>
      <c r="P42" s="224">
        <v>0.19500000000000001</v>
      </c>
      <c r="Q42" s="220">
        <v>40179</v>
      </c>
      <c r="R42" s="225">
        <v>6368.5969999999998</v>
      </c>
      <c r="S42" s="225">
        <v>5356.7138000000004</v>
      </c>
      <c r="T42" s="220">
        <v>40179</v>
      </c>
      <c r="U42" s="226">
        <v>1.5702049999999999E-4</v>
      </c>
      <c r="V42" s="226">
        <v>1.866816E-4</v>
      </c>
      <c r="W42" s="227">
        <f>1000/$R42*VLOOKUP(Q42,G$5:$I100,2)</f>
        <v>4.2709563817588085</v>
      </c>
      <c r="X42" s="228">
        <f>IFERROR(1000/$S42*VLOOKUP($Q42,G$5:$I100,3),"")</f>
        <v>4.5046274452818436</v>
      </c>
      <c r="Y42" s="229">
        <f t="shared" si="0"/>
        <v>234.13959558823527</v>
      </c>
      <c r="Z42" s="228">
        <f t="shared" si="0"/>
        <v>221.99394115209287</v>
      </c>
      <c r="AA42" s="186"/>
      <c r="AB42" s="215">
        <v>55</v>
      </c>
      <c r="AC42" s="215">
        <v>1</v>
      </c>
      <c r="AD42" s="238">
        <v>39814</v>
      </c>
      <c r="AE42" s="216">
        <v>2.7E-2</v>
      </c>
      <c r="AG42" s="217" t="s">
        <v>4271</v>
      </c>
    </row>
    <row r="43" spans="1:34" s="217" customFormat="1">
      <c r="A43" s="184"/>
      <c r="B43" s="230">
        <v>2008</v>
      </c>
      <c r="C43" s="207">
        <v>2485</v>
      </c>
      <c r="D43" s="207">
        <v>2100</v>
      </c>
      <c r="E43" s="207">
        <f t="shared" si="1"/>
        <v>24.85</v>
      </c>
      <c r="F43" s="207">
        <f t="shared" si="2"/>
        <v>2982</v>
      </c>
      <c r="G43" s="231">
        <v>39630</v>
      </c>
      <c r="H43" s="232">
        <v>26.56</v>
      </c>
      <c r="I43" s="233">
        <v>23.34</v>
      </c>
      <c r="J43" s="206">
        <v>2008</v>
      </c>
      <c r="K43" s="207">
        <v>30625</v>
      </c>
      <c r="L43" s="207">
        <v>25829</v>
      </c>
      <c r="M43" s="207">
        <v>63600</v>
      </c>
      <c r="N43" s="207">
        <v>54000</v>
      </c>
      <c r="O43" s="231">
        <v>39083</v>
      </c>
      <c r="P43" s="234">
        <v>0.19900000000000001</v>
      </c>
      <c r="Q43" s="231">
        <v>40544</v>
      </c>
      <c r="R43" s="235">
        <v>6023.3320000000003</v>
      </c>
      <c r="S43" s="235">
        <v>5270.2178999999996</v>
      </c>
      <c r="T43" s="231">
        <v>40544</v>
      </c>
      <c r="U43" s="236">
        <v>1.6602106608103287E-4</v>
      </c>
      <c r="V43" s="236">
        <v>1.8974547522978132E-4</v>
      </c>
      <c r="W43" s="237">
        <f>1000/$R43*VLOOKUP(Q43,G$5:$I101,2)</f>
        <v>4.5157729974040937</v>
      </c>
      <c r="X43" s="214">
        <f>IFERROR(1000/$S43*VLOOKUP($Q43,G$5:$I101,3),"")</f>
        <v>4.5785583172946227</v>
      </c>
      <c r="Y43" s="213">
        <f t="shared" si="0"/>
        <v>221.44602941176475</v>
      </c>
      <c r="Z43" s="214">
        <f t="shared" si="0"/>
        <v>218.40936179030254</v>
      </c>
      <c r="AA43" s="186"/>
      <c r="AB43" s="215">
        <v>56</v>
      </c>
      <c r="AC43" s="215">
        <v>1</v>
      </c>
      <c r="AD43" s="238">
        <v>40179</v>
      </c>
      <c r="AE43" s="216">
        <v>1.0999999999999999E-2</v>
      </c>
      <c r="AG43" s="239">
        <v>1</v>
      </c>
      <c r="AH43" s="240">
        <v>0.97399999999999998</v>
      </c>
    </row>
    <row r="44" spans="1:34" s="217" customFormat="1">
      <c r="A44" s="184"/>
      <c r="B44" s="218">
        <v>2009</v>
      </c>
      <c r="C44" s="219">
        <v>2520</v>
      </c>
      <c r="D44" s="219">
        <v>2135</v>
      </c>
      <c r="E44" s="219">
        <f t="shared" si="1"/>
        <v>25.2</v>
      </c>
      <c r="F44" s="219">
        <f t="shared" si="2"/>
        <v>3024</v>
      </c>
      <c r="G44" s="220">
        <v>39995</v>
      </c>
      <c r="H44" s="221">
        <v>27.2</v>
      </c>
      <c r="I44" s="222">
        <v>24.13</v>
      </c>
      <c r="J44" s="223">
        <v>2009</v>
      </c>
      <c r="K44" s="219">
        <v>30506</v>
      </c>
      <c r="L44" s="219">
        <v>26047</v>
      </c>
      <c r="M44" s="219">
        <v>64800</v>
      </c>
      <c r="N44" s="219">
        <v>54600</v>
      </c>
      <c r="O44" s="220">
        <v>39448</v>
      </c>
      <c r="P44" s="224">
        <v>0.19900000000000001</v>
      </c>
      <c r="Q44" s="220">
        <v>40909</v>
      </c>
      <c r="R44" s="225">
        <v>6359.4160000000002</v>
      </c>
      <c r="S44" s="225">
        <v>5410.4270999999999</v>
      </c>
      <c r="T44" s="220">
        <v>40909</v>
      </c>
      <c r="U44" s="226">
        <v>1.5724709999999999E-4</v>
      </c>
      <c r="V44" s="226">
        <v>1.8482829999999999E-4</v>
      </c>
      <c r="W44" s="227">
        <f>1000/$R44*VLOOKUP(Q44,G$5:$I102,2)</f>
        <v>4.3194658125840482</v>
      </c>
      <c r="X44" s="228">
        <f>IFERROR(1000/$S44*VLOOKUP($Q44,G$5:$I102,3),"")</f>
        <v>4.5042654765646875</v>
      </c>
      <c r="Y44" s="229">
        <f t="shared" si="0"/>
        <v>231.51010874693478</v>
      </c>
      <c r="Z44" s="228">
        <f t="shared" si="0"/>
        <v>222.01178087812886</v>
      </c>
      <c r="AA44" s="186"/>
      <c r="AB44" s="215">
        <v>57</v>
      </c>
      <c r="AC44" s="215">
        <v>0.9</v>
      </c>
      <c r="AD44" s="238">
        <v>40544</v>
      </c>
      <c r="AE44" s="216">
        <v>5.0000000000000001E-3</v>
      </c>
      <c r="AG44" s="241">
        <v>2</v>
      </c>
      <c r="AH44" s="242">
        <v>1.897</v>
      </c>
    </row>
    <row r="45" spans="1:34" s="217" customFormat="1">
      <c r="A45" s="184"/>
      <c r="B45" s="230">
        <v>2010</v>
      </c>
      <c r="C45" s="207">
        <v>2555</v>
      </c>
      <c r="D45" s="207">
        <v>2170</v>
      </c>
      <c r="E45" s="207">
        <f t="shared" si="1"/>
        <v>25.55</v>
      </c>
      <c r="F45" s="207">
        <f t="shared" si="2"/>
        <v>3066</v>
      </c>
      <c r="G45" s="231">
        <v>40360</v>
      </c>
      <c r="H45" s="232">
        <v>27.2</v>
      </c>
      <c r="I45" s="233">
        <v>24.13</v>
      </c>
      <c r="J45" s="206">
        <v>2010</v>
      </c>
      <c r="K45" s="207">
        <v>31144</v>
      </c>
      <c r="L45" s="207">
        <v>27292.341804536925</v>
      </c>
      <c r="M45" s="207">
        <v>66000</v>
      </c>
      <c r="N45" s="207">
        <v>55800</v>
      </c>
      <c r="O45" s="231">
        <v>39814</v>
      </c>
      <c r="P45" s="234">
        <v>0.19900000000000001</v>
      </c>
      <c r="Q45" s="231">
        <v>41275</v>
      </c>
      <c r="R45" s="235">
        <v>6439.4189999999999</v>
      </c>
      <c r="S45" s="235">
        <v>5472.4390000000003</v>
      </c>
      <c r="T45" s="231">
        <v>41275</v>
      </c>
      <c r="U45" s="236">
        <v>1.5529350000000001E-4</v>
      </c>
      <c r="V45" s="236">
        <v>1.8273390000000001E-4</v>
      </c>
      <c r="W45" s="237">
        <f>1000/$R45*VLOOKUP(Q45,G$5:$I103,2)</f>
        <v>4.3590889178045416</v>
      </c>
      <c r="X45" s="214">
        <f>IFERROR(1000/$S45*VLOOKUP($Q45,G$5:$I103,3),"")</f>
        <v>4.5537282370803949</v>
      </c>
      <c r="Y45" s="213">
        <f t="shared" si="0"/>
        <v>229.40573566084785</v>
      </c>
      <c r="Z45" s="214">
        <f t="shared" si="0"/>
        <v>219.60028089887641</v>
      </c>
      <c r="AA45" s="186"/>
      <c r="AB45" s="215">
        <v>58</v>
      </c>
      <c r="AC45" s="215">
        <v>0.9</v>
      </c>
      <c r="AD45" s="238">
        <v>40756</v>
      </c>
      <c r="AE45" s="216">
        <v>2E-3</v>
      </c>
      <c r="AG45" s="241">
        <v>3</v>
      </c>
      <c r="AH45" s="242">
        <v>2.7719999999999998</v>
      </c>
    </row>
    <row r="46" spans="1:34" s="217" customFormat="1">
      <c r="A46" s="184"/>
      <c r="B46" s="218">
        <v>2011</v>
      </c>
      <c r="C46" s="219">
        <v>2555</v>
      </c>
      <c r="D46" s="219">
        <v>2240</v>
      </c>
      <c r="E46" s="219">
        <f t="shared" si="1"/>
        <v>25.55</v>
      </c>
      <c r="F46" s="219">
        <f t="shared" si="2"/>
        <v>3066</v>
      </c>
      <c r="G46" s="220">
        <v>40725</v>
      </c>
      <c r="H46" s="221">
        <v>27.469280000000001</v>
      </c>
      <c r="I46" s="222">
        <v>24.37</v>
      </c>
      <c r="J46" s="223">
        <v>2011</v>
      </c>
      <c r="K46" s="219">
        <v>32100</v>
      </c>
      <c r="L46" s="219">
        <v>26484</v>
      </c>
      <c r="M46" s="219">
        <v>66000</v>
      </c>
      <c r="N46" s="219">
        <v>57600</v>
      </c>
      <c r="O46" s="220">
        <v>40179</v>
      </c>
      <c r="P46" s="224">
        <v>0.19900000000000001</v>
      </c>
      <c r="Q46" s="220">
        <v>41640</v>
      </c>
      <c r="R46" s="225">
        <v>6523.1459999999997</v>
      </c>
      <c r="S46" s="225">
        <v>5592.0668666952415</v>
      </c>
      <c r="T46" s="220">
        <v>41640</v>
      </c>
      <c r="U46" s="226">
        <v>1.5330026340051257E-4</v>
      </c>
      <c r="V46" s="226">
        <v>1.7882475725669795E-4</v>
      </c>
      <c r="W46" s="227">
        <f>1000/$R46*VLOOKUP(Q46,G$5:$I104,2)</f>
        <v>4.3138694120904244</v>
      </c>
      <c r="X46" s="228">
        <f>IFERROR(1000/$S46*VLOOKUP($Q46,G$5:$I104,3),"")</f>
        <v>4.6029492517874049</v>
      </c>
      <c r="Y46" s="229">
        <f t="shared" si="0"/>
        <v>231.81044776119401</v>
      </c>
      <c r="Z46" s="228">
        <f t="shared" si="0"/>
        <v>217.25201502312515</v>
      </c>
      <c r="AA46" s="186"/>
      <c r="AB46" s="215">
        <v>59</v>
      </c>
      <c r="AC46" s="215">
        <v>0.9</v>
      </c>
      <c r="AD46" s="238">
        <v>40969</v>
      </c>
      <c r="AE46" s="216">
        <v>3.2000000000000001E-2</v>
      </c>
      <c r="AG46" s="241">
        <v>4</v>
      </c>
      <c r="AH46" s="242">
        <v>3.6019999999999999</v>
      </c>
    </row>
    <row r="47" spans="1:34" s="217" customFormat="1">
      <c r="A47" s="184"/>
      <c r="B47" s="230">
        <v>2012</v>
      </c>
      <c r="C47" s="207">
        <v>2625</v>
      </c>
      <c r="D47" s="207">
        <v>2240</v>
      </c>
      <c r="E47" s="207">
        <f t="shared" si="1"/>
        <v>26.25</v>
      </c>
      <c r="F47" s="207">
        <f t="shared" si="2"/>
        <v>3150</v>
      </c>
      <c r="G47" s="231">
        <v>41091</v>
      </c>
      <c r="H47" s="232">
        <v>28.07</v>
      </c>
      <c r="I47" s="233">
        <v>24.92</v>
      </c>
      <c r="J47" s="206">
        <v>2012</v>
      </c>
      <c r="K47" s="207">
        <v>33002</v>
      </c>
      <c r="L47" s="207">
        <v>28077.25029777097</v>
      </c>
      <c r="M47" s="207">
        <v>67200</v>
      </c>
      <c r="N47" s="207">
        <v>57600</v>
      </c>
      <c r="O47" s="231">
        <v>40544</v>
      </c>
      <c r="P47" s="234">
        <v>0.19900000000000001</v>
      </c>
      <c r="Q47" s="231">
        <v>42005</v>
      </c>
      <c r="R47" s="235">
        <v>6544.8130000000001</v>
      </c>
      <c r="S47" s="235">
        <v>5585.7412000000004</v>
      </c>
      <c r="T47" s="231">
        <v>42005</v>
      </c>
      <c r="U47" s="236">
        <v>1.5279280000000001E-4</v>
      </c>
      <c r="V47" s="236">
        <v>1.790273E-4</v>
      </c>
      <c r="W47" s="237">
        <f>1000/$R47*VLOOKUP(Q47,G$5:$I105,2)</f>
        <v>4.3714006802027798</v>
      </c>
      <c r="X47" s="214">
        <f>IFERROR(1000/$S47*VLOOKUP($Q47,G$5:$I105,3),"")</f>
        <v>4.7245296649261155</v>
      </c>
      <c r="Y47" s="213">
        <f t="shared" si="0"/>
        <v>228.75962950017478</v>
      </c>
      <c r="Z47" s="214">
        <f t="shared" si="0"/>
        <v>211.66128078817735</v>
      </c>
      <c r="AA47" s="186"/>
      <c r="AB47" s="215">
        <v>60</v>
      </c>
      <c r="AC47" s="215">
        <v>0.9</v>
      </c>
      <c r="AD47" s="238">
        <v>41275</v>
      </c>
      <c r="AE47" s="216">
        <v>1.0999999999999999E-2</v>
      </c>
      <c r="AG47" s="241">
        <v>5</v>
      </c>
      <c r="AH47" s="242">
        <v>4.3879999999999999</v>
      </c>
    </row>
    <row r="48" spans="1:34" s="217" customFormat="1">
      <c r="A48" s="184"/>
      <c r="B48" s="218">
        <v>2013</v>
      </c>
      <c r="C48" s="219">
        <v>2695</v>
      </c>
      <c r="D48" s="219">
        <v>2275</v>
      </c>
      <c r="E48" s="219">
        <f t="shared" si="1"/>
        <v>26.95</v>
      </c>
      <c r="F48" s="219">
        <f t="shared" si="2"/>
        <v>3234</v>
      </c>
      <c r="G48" s="220">
        <v>41456</v>
      </c>
      <c r="H48" s="221">
        <v>28.14</v>
      </c>
      <c r="I48" s="222">
        <v>25.74</v>
      </c>
      <c r="J48" s="223">
        <v>2013</v>
      </c>
      <c r="K48" s="219">
        <v>33659</v>
      </c>
      <c r="L48" s="219">
        <v>28955</v>
      </c>
      <c r="M48" s="219">
        <v>69600</v>
      </c>
      <c r="N48" s="219">
        <v>58800</v>
      </c>
      <c r="O48" s="220">
        <v>40909</v>
      </c>
      <c r="P48" s="224">
        <v>0.19600000000000001</v>
      </c>
      <c r="Q48" s="220">
        <v>42370</v>
      </c>
      <c r="R48" s="225">
        <v>6781.9290000000001</v>
      </c>
      <c r="S48" s="225">
        <v>5908.1183000000001</v>
      </c>
      <c r="T48" s="220">
        <v>42370</v>
      </c>
      <c r="U48" s="226">
        <v>1.474507E-4</v>
      </c>
      <c r="V48" s="226">
        <v>1.692586E-4</v>
      </c>
      <c r="W48" s="227">
        <f>1000/$R48*VLOOKUP(Q48,G$5:$I106,2)</f>
        <v>4.3070341786238098</v>
      </c>
      <c r="X48" s="228">
        <f>IFERROR(1000/$S48*VLOOKUP($Q48,G$5:$I106,3),"")</f>
        <v>4.5784458987559544</v>
      </c>
      <c r="Y48" s="229">
        <f t="shared" si="0"/>
        <v>232.17832933926741</v>
      </c>
      <c r="Z48" s="228">
        <f t="shared" si="0"/>
        <v>218.41472458410351</v>
      </c>
      <c r="AA48" s="186"/>
      <c r="AB48" s="215">
        <v>61</v>
      </c>
      <c r="AC48" s="215">
        <v>0.9</v>
      </c>
      <c r="AD48" s="238">
        <v>41699</v>
      </c>
      <c r="AE48" s="216">
        <v>2.7E-2</v>
      </c>
      <c r="AG48" s="241">
        <v>7</v>
      </c>
      <c r="AH48" s="242">
        <v>5.8390000000000004</v>
      </c>
    </row>
    <row r="49" spans="1:34" s="217" customFormat="1">
      <c r="A49" s="184"/>
      <c r="B49" s="230">
        <v>2014</v>
      </c>
      <c r="C49" s="207">
        <v>2765</v>
      </c>
      <c r="D49" s="207">
        <v>2345</v>
      </c>
      <c r="E49" s="207">
        <f t="shared" si="1"/>
        <v>27.650000000000002</v>
      </c>
      <c r="F49" s="207">
        <f t="shared" si="2"/>
        <v>3318</v>
      </c>
      <c r="G49" s="231">
        <v>41821</v>
      </c>
      <c r="H49" s="232">
        <v>28.61</v>
      </c>
      <c r="I49" s="233">
        <v>26.39</v>
      </c>
      <c r="J49" s="206">
        <v>2014</v>
      </c>
      <c r="K49" s="207">
        <v>34514</v>
      </c>
      <c r="L49" s="207">
        <v>29587.655379339903</v>
      </c>
      <c r="M49" s="207">
        <v>71400</v>
      </c>
      <c r="N49" s="207">
        <v>60000</v>
      </c>
      <c r="O49" s="231">
        <v>41275</v>
      </c>
      <c r="P49" s="234">
        <v>0.189</v>
      </c>
      <c r="Q49" s="231">
        <v>42736</v>
      </c>
      <c r="R49" s="235">
        <v>6938.2610000000004</v>
      </c>
      <c r="S49" s="235">
        <v>6198.7501000000002</v>
      </c>
      <c r="T49" s="231">
        <v>42736</v>
      </c>
      <c r="U49" s="236">
        <v>1.4412830000000001E-4</v>
      </c>
      <c r="V49" s="236">
        <v>1.6132280000000001E-4</v>
      </c>
      <c r="W49" s="237">
        <f>1000/$R49*VLOOKUP(Q49,G$5:$I107,2)</f>
        <v>4.3887077756227386</v>
      </c>
      <c r="X49" s="214">
        <f>IFERROR(1000/$S49*VLOOKUP($Q49,G$5:$I107,3),"")</f>
        <v>4.623512730413184</v>
      </c>
      <c r="Y49" s="213">
        <f t="shared" si="0"/>
        <v>227.85750410509033</v>
      </c>
      <c r="Z49" s="214">
        <f t="shared" si="0"/>
        <v>216.28576762037684</v>
      </c>
      <c r="AA49" s="186"/>
      <c r="AB49" s="215">
        <v>62</v>
      </c>
      <c r="AC49" s="215">
        <v>0.8</v>
      </c>
      <c r="AD49" s="238">
        <v>42064</v>
      </c>
      <c r="AE49" s="216">
        <v>2.1999999999999999E-2</v>
      </c>
      <c r="AG49" s="241">
        <v>8</v>
      </c>
      <c r="AH49" s="242">
        <v>6.5090000000000003</v>
      </c>
    </row>
    <row r="50" spans="1:34" s="217" customFormat="1">
      <c r="A50" s="184"/>
      <c r="B50" s="218">
        <v>2015</v>
      </c>
      <c r="C50" s="219">
        <v>2835</v>
      </c>
      <c r="D50" s="219">
        <v>2835</v>
      </c>
      <c r="E50" s="219">
        <f t="shared" si="1"/>
        <v>28.35</v>
      </c>
      <c r="F50" s="219">
        <f t="shared" si="2"/>
        <v>3402</v>
      </c>
      <c r="G50" s="220">
        <v>42186</v>
      </c>
      <c r="H50" s="221">
        <v>29.21</v>
      </c>
      <c r="I50" s="222">
        <v>27.05</v>
      </c>
      <c r="J50" s="223">
        <v>2015</v>
      </c>
      <c r="K50" s="219">
        <v>35363</v>
      </c>
      <c r="L50" s="219">
        <v>29870</v>
      </c>
      <c r="M50" s="219">
        <v>72600</v>
      </c>
      <c r="N50" s="219">
        <v>62400</v>
      </c>
      <c r="O50" s="220">
        <v>41640</v>
      </c>
      <c r="P50" s="224">
        <v>0.189</v>
      </c>
      <c r="Q50" s="220">
        <v>43101</v>
      </c>
      <c r="R50" s="225">
        <v>7044.3779999999997</v>
      </c>
      <c r="S50" s="225">
        <v>6262.7826999999997</v>
      </c>
      <c r="T50" s="220">
        <v>43101</v>
      </c>
      <c r="U50" s="226">
        <v>1.419572E-4</v>
      </c>
      <c r="V50" s="226">
        <v>1.5967339999999999E-4</v>
      </c>
      <c r="W50" s="227">
        <f>1000/$R50*VLOOKUP(Q50,G$5:$I108,2)</f>
        <v>4.4049311379940148</v>
      </c>
      <c r="X50" s="228">
        <f>IFERROR(1000/$S50*VLOOKUP($Q50,G$5:$I108,3),"")</f>
        <v>4.7407041601491304</v>
      </c>
      <c r="Y50" s="229">
        <f t="shared" si="0"/>
        <v>227.01830486625843</v>
      </c>
      <c r="Z50" s="228">
        <f t="shared" si="0"/>
        <v>210.93912765240819</v>
      </c>
      <c r="AA50" s="186"/>
      <c r="AB50" s="215">
        <v>63</v>
      </c>
      <c r="AC50" s="215">
        <v>0.8</v>
      </c>
      <c r="AD50" s="238">
        <v>42430</v>
      </c>
      <c r="AE50" s="216">
        <v>2.1999999999999999E-2</v>
      </c>
      <c r="AG50" s="241">
        <v>9</v>
      </c>
      <c r="AH50" s="242">
        <v>7.1429999999999998</v>
      </c>
    </row>
    <row r="51" spans="1:34" s="217" customFormat="1">
      <c r="A51" s="184"/>
      <c r="B51" s="230">
        <v>2016</v>
      </c>
      <c r="C51" s="207">
        <v>2905</v>
      </c>
      <c r="D51" s="207">
        <v>2520</v>
      </c>
      <c r="E51" s="207">
        <f t="shared" si="1"/>
        <v>29.05</v>
      </c>
      <c r="F51" s="207">
        <f t="shared" si="2"/>
        <v>3486</v>
      </c>
      <c r="G51" s="231">
        <v>42552</v>
      </c>
      <c r="H51" s="232">
        <v>30.45</v>
      </c>
      <c r="I51" s="233">
        <v>28.66</v>
      </c>
      <c r="J51" s="206">
        <v>2016</v>
      </c>
      <c r="K51" s="207">
        <v>36187</v>
      </c>
      <c r="L51" s="207">
        <v>31594.215524000352</v>
      </c>
      <c r="M51" s="207">
        <v>74400</v>
      </c>
      <c r="N51" s="207">
        <v>64800</v>
      </c>
      <c r="O51" s="231">
        <v>42005</v>
      </c>
      <c r="P51" s="234">
        <v>0.187</v>
      </c>
      <c r="Q51" s="231">
        <v>43466</v>
      </c>
      <c r="R51" s="235">
        <v>7235.5860000000002</v>
      </c>
      <c r="S51" s="235">
        <v>6674.8948</v>
      </c>
      <c r="T51" s="231">
        <v>43466</v>
      </c>
      <c r="U51" s="236">
        <f>1/7235.586</f>
        <v>1.3820580668932688E-4</v>
      </c>
      <c r="V51" s="236">
        <v>1.4981510000000001E-4</v>
      </c>
      <c r="W51" s="237">
        <f>1000/$R51*VLOOKUP(Q51,G$5:$I109,2)</f>
        <v>4.4267319882591405</v>
      </c>
      <c r="X51" s="214">
        <f>IFERROR(1000/$S51*VLOOKUP($Q51,G$5:$I109,3),"")</f>
        <v>4.5978252720926776</v>
      </c>
      <c r="Y51" s="213">
        <f t="shared" si="0"/>
        <v>225.90028098657507</v>
      </c>
      <c r="Z51" s="214">
        <f t="shared" si="0"/>
        <v>217.49412838058001</v>
      </c>
      <c r="AA51" s="186"/>
      <c r="AB51" s="215">
        <v>64</v>
      </c>
      <c r="AC51" s="215">
        <v>0.8</v>
      </c>
      <c r="AD51" s="238">
        <v>42767</v>
      </c>
      <c r="AE51" s="216">
        <v>2.35E-2</v>
      </c>
      <c r="AG51" s="241">
        <v>10</v>
      </c>
      <c r="AH51" s="242">
        <v>7.7450000000000001</v>
      </c>
    </row>
    <row r="52" spans="1:34" s="217" customFormat="1">
      <c r="A52" s="184"/>
      <c r="B52" s="218">
        <v>2017</v>
      </c>
      <c r="C52" s="219">
        <v>2975</v>
      </c>
      <c r="D52" s="219">
        <v>2975</v>
      </c>
      <c r="E52" s="219">
        <f t="shared" si="1"/>
        <v>29.75</v>
      </c>
      <c r="F52" s="219">
        <f t="shared" si="2"/>
        <v>3570</v>
      </c>
      <c r="G52" s="220">
        <v>42917</v>
      </c>
      <c r="H52" s="221">
        <v>31.03</v>
      </c>
      <c r="I52" s="222">
        <v>29.69</v>
      </c>
      <c r="J52" s="223">
        <v>2017</v>
      </c>
      <c r="K52" s="219">
        <v>37077</v>
      </c>
      <c r="L52" s="219">
        <v>33148</v>
      </c>
      <c r="M52" s="219">
        <v>76200</v>
      </c>
      <c r="N52" s="219">
        <v>68400</v>
      </c>
      <c r="O52" s="220">
        <v>42370</v>
      </c>
      <c r="P52" s="224">
        <v>0.187</v>
      </c>
      <c r="Q52" s="220">
        <v>43831</v>
      </c>
      <c r="R52" s="225">
        <v>7542.4859999999999</v>
      </c>
      <c r="S52" s="225">
        <v>7049.0280000000002</v>
      </c>
      <c r="T52" s="220">
        <v>43831</v>
      </c>
      <c r="U52" s="226">
        <v>1.3258230000000001E-4</v>
      </c>
      <c r="V52" s="226">
        <v>1.4186299999999999E-4</v>
      </c>
      <c r="W52" s="227">
        <f>1000/$R52*VLOOKUP(Q52,G$5:$I110,2)</f>
        <v>4.3818443945404741</v>
      </c>
      <c r="X52" s="228">
        <f>IFERROR(1000/$S52*VLOOKUP($Q52,G$5:$I110,3),"")</f>
        <v>4.5240279936467838</v>
      </c>
      <c r="Y52" s="229">
        <f t="shared" si="0"/>
        <v>228.21440242057486</v>
      </c>
      <c r="Z52" s="228">
        <f t="shared" si="0"/>
        <v>221.04195672624647</v>
      </c>
      <c r="AA52" s="186"/>
      <c r="AD52" s="238">
        <v>43160</v>
      </c>
      <c r="AE52" s="216">
        <v>2.9899999999999999E-2</v>
      </c>
      <c r="AG52" s="241">
        <v>11</v>
      </c>
      <c r="AH52" s="242">
        <v>8.3149999999999995</v>
      </c>
    </row>
    <row r="53" spans="1:34" s="217" customFormat="1">
      <c r="A53" s="184"/>
      <c r="B53" s="230">
        <v>2018</v>
      </c>
      <c r="C53" s="207">
        <v>3045</v>
      </c>
      <c r="D53" s="207">
        <v>2695</v>
      </c>
      <c r="E53" s="207">
        <f t="shared" si="1"/>
        <v>30.45</v>
      </c>
      <c r="F53" s="207">
        <f t="shared" si="2"/>
        <v>3654</v>
      </c>
      <c r="G53" s="231">
        <v>43282</v>
      </c>
      <c r="H53" s="232">
        <v>32.03</v>
      </c>
      <c r="I53" s="233">
        <v>30.69</v>
      </c>
      <c r="J53" s="206">
        <v>2018</v>
      </c>
      <c r="K53" s="207">
        <v>38212</v>
      </c>
      <c r="L53" s="207">
        <v>33672</v>
      </c>
      <c r="M53" s="207">
        <v>78000</v>
      </c>
      <c r="N53" s="207">
        <v>69600</v>
      </c>
      <c r="O53" s="231">
        <v>42736</v>
      </c>
      <c r="P53" s="234">
        <v>0.187</v>
      </c>
      <c r="Q53" s="231">
        <v>44197</v>
      </c>
      <c r="R53" s="243">
        <v>7726.6260000000002</v>
      </c>
      <c r="S53" s="235">
        <v>7316.8806999999997</v>
      </c>
      <c r="T53" s="231">
        <v>44197</v>
      </c>
      <c r="U53" s="236">
        <v>1.2942260000000001E-4</v>
      </c>
      <c r="V53" s="236">
        <v>1.366703E-4</v>
      </c>
      <c r="W53" s="237">
        <f>1000/$R53*VLOOKUP(Q53,G$5:$I111,2)</f>
        <v>4.4249585782979528</v>
      </c>
      <c r="X53" s="214">
        <f>IFERROR(1000/$S53*VLOOKUP($Q53,G$5:$I111,3),"")</f>
        <v>4.5415527958519259</v>
      </c>
      <c r="Y53" s="213">
        <f t="shared" si="0"/>
        <v>225.9908160280784</v>
      </c>
      <c r="Z53" s="214">
        <f t="shared" si="0"/>
        <v>220.18900692145652</v>
      </c>
      <c r="AA53" s="186"/>
      <c r="AD53" s="238">
        <v>43556</v>
      </c>
      <c r="AE53" s="216">
        <v>3.09E-2</v>
      </c>
      <c r="AG53" s="241">
        <v>12</v>
      </c>
      <c r="AH53" s="242">
        <v>8.8559999999999999</v>
      </c>
    </row>
    <row r="54" spans="1:34" s="217" customFormat="1">
      <c r="A54" s="184"/>
      <c r="B54" s="218">
        <v>2019</v>
      </c>
      <c r="C54" s="219">
        <v>3115</v>
      </c>
      <c r="D54" s="219">
        <v>2870</v>
      </c>
      <c r="E54" s="219">
        <f t="shared" si="1"/>
        <v>31.150000000000002</v>
      </c>
      <c r="F54" s="219">
        <f t="shared" si="2"/>
        <v>3738</v>
      </c>
      <c r="G54" s="220">
        <v>43647</v>
      </c>
      <c r="H54" s="221">
        <v>33.049999999999997</v>
      </c>
      <c r="I54" s="222">
        <v>31.89</v>
      </c>
      <c r="J54" s="223">
        <v>2019</v>
      </c>
      <c r="K54" s="219">
        <v>39301</v>
      </c>
      <c r="L54" s="219">
        <f>+K54/1.084</f>
        <v>36255.535055350549</v>
      </c>
      <c r="M54" s="219">
        <v>80400</v>
      </c>
      <c r="N54" s="219">
        <v>73800</v>
      </c>
      <c r="O54" s="220">
        <v>43101</v>
      </c>
      <c r="P54" s="224">
        <v>0.186</v>
      </c>
      <c r="Q54" s="220">
        <v>44562</v>
      </c>
      <c r="R54" s="225">
        <f>ROUND(K57*P57,4)</f>
        <v>7821.8580000000002</v>
      </c>
      <c r="S54" s="225">
        <f>ROUND(P57*L57,4)</f>
        <v>7506.5879999999997</v>
      </c>
      <c r="T54" s="220">
        <v>44562</v>
      </c>
      <c r="U54" s="226">
        <v>1.382058E-4</v>
      </c>
      <c r="V54" s="226">
        <f t="shared" ref="V54:V56" si="3">1/S54</f>
        <v>1.3321631612125243E-4</v>
      </c>
      <c r="W54" s="227">
        <f>1000/$R54*VLOOKUP(Q54,G$5:$I112,2)</f>
        <v>4.3710842104267291</v>
      </c>
      <c r="X54" s="228">
        <f>IFERROR(1000/$S54*VLOOKUP($Q54,G$5:$I112,3),"")</f>
        <v>4.4587501005783183</v>
      </c>
      <c r="Y54" s="229">
        <f t="shared" si="0"/>
        <v>228.77619186896757</v>
      </c>
      <c r="Z54" s="228">
        <f t="shared" si="0"/>
        <v>224.27809979085751</v>
      </c>
      <c r="AA54" s="186"/>
      <c r="AD54" s="215"/>
      <c r="AE54" s="244"/>
      <c r="AG54" s="241">
        <v>13</v>
      </c>
      <c r="AH54" s="242">
        <v>9.3680000000000003</v>
      </c>
    </row>
    <row r="55" spans="1:34" s="217" customFormat="1">
      <c r="A55" s="184"/>
      <c r="B55" s="230">
        <v>2020</v>
      </c>
      <c r="C55" s="207">
        <v>3185</v>
      </c>
      <c r="D55" s="207">
        <v>3010</v>
      </c>
      <c r="E55" s="207">
        <f t="shared" si="1"/>
        <v>31.85</v>
      </c>
      <c r="F55" s="207">
        <f t="shared" si="2"/>
        <v>3822</v>
      </c>
      <c r="G55" s="231">
        <v>44013</v>
      </c>
      <c r="H55" s="232">
        <v>34.19</v>
      </c>
      <c r="I55" s="233">
        <v>33.229999999999997</v>
      </c>
      <c r="J55" s="206">
        <v>2020</v>
      </c>
      <c r="K55" s="207">
        <v>39167</v>
      </c>
      <c r="L55" s="207">
        <f>+K55/1.07</f>
        <v>36604.672897196258</v>
      </c>
      <c r="M55" s="207">
        <v>82800</v>
      </c>
      <c r="N55" s="207">
        <v>77400</v>
      </c>
      <c r="O55" s="231">
        <v>43466</v>
      </c>
      <c r="P55" s="234">
        <v>0.186</v>
      </c>
      <c r="Q55" s="231">
        <v>44927</v>
      </c>
      <c r="R55" s="245">
        <f>+P59*K58</f>
        <v>8320.152</v>
      </c>
      <c r="S55" s="245">
        <f>+P59*L58</f>
        <v>7805.8620000000001</v>
      </c>
      <c r="T55" s="231">
        <v>44927</v>
      </c>
      <c r="U55" s="236">
        <v>1.246497E-4</v>
      </c>
      <c r="V55" s="236">
        <v>1.2810910000000001E-4</v>
      </c>
      <c r="W55" s="237">
        <f>1000/$R55*VLOOKUP(Q55,G$5:$I113,2)</f>
        <v>4.3292478310492406</v>
      </c>
      <c r="X55" s="214">
        <f>IFERROR(1000/$S55*VLOOKUP($Q55,G$5:$I113,3),"")</f>
        <v>4.5504263334401767</v>
      </c>
      <c r="Y55" s="213">
        <f t="shared" si="0"/>
        <v>230.98700721821209</v>
      </c>
      <c r="Z55" s="214">
        <f t="shared" si="0"/>
        <v>219.75962837837835</v>
      </c>
      <c r="AA55" s="186"/>
      <c r="AD55" s="215"/>
      <c r="AE55" s="216"/>
      <c r="AG55" s="241">
        <v>14</v>
      </c>
      <c r="AH55" s="242">
        <v>9.8529999999999998</v>
      </c>
    </row>
    <row r="56" spans="1:34" s="217" customFormat="1">
      <c r="A56" s="184"/>
      <c r="B56" s="218">
        <v>2021</v>
      </c>
      <c r="C56" s="219">
        <v>3290</v>
      </c>
      <c r="D56" s="219">
        <v>3115</v>
      </c>
      <c r="E56" s="219">
        <f t="shared" si="1"/>
        <v>32.9</v>
      </c>
      <c r="F56" s="219">
        <f t="shared" si="2"/>
        <v>3948</v>
      </c>
      <c r="G56" s="220">
        <v>44378</v>
      </c>
      <c r="H56" s="221">
        <v>34.19</v>
      </c>
      <c r="I56" s="222">
        <v>33.47</v>
      </c>
      <c r="J56" s="223">
        <v>2021</v>
      </c>
      <c r="K56" s="219">
        <v>40463</v>
      </c>
      <c r="L56" s="219">
        <v>38317</v>
      </c>
      <c r="M56" s="219">
        <v>85200</v>
      </c>
      <c r="N56" s="219">
        <v>80400</v>
      </c>
      <c r="O56" s="220">
        <v>43831</v>
      </c>
      <c r="P56" s="224">
        <v>0.186</v>
      </c>
      <c r="Q56" s="220">
        <v>45292</v>
      </c>
      <c r="R56" s="246">
        <f>45358*18.6/100</f>
        <v>8436.5879999999997</v>
      </c>
      <c r="S56" s="246">
        <f>44732*0.186</f>
        <v>8320.152</v>
      </c>
      <c r="T56" s="220">
        <v>45292</v>
      </c>
      <c r="U56" s="226">
        <f>ROUND(1/R56,10)</f>
        <v>1.185313E-4</v>
      </c>
      <c r="V56" s="226">
        <f t="shared" si="3"/>
        <v>1.2019011191141701E-4</v>
      </c>
      <c r="W56" s="227">
        <f>1000/$R56*VLOOKUP(Q56,G$5:$I114,2)</f>
        <v>4.4567780244809869</v>
      </c>
      <c r="X56" s="228">
        <f>IFERROR(1000/$S56*VLOOKUP($Q56,G$5:$I114,3),"")</f>
        <v>4.5191482078692795</v>
      </c>
      <c r="Y56" s="229">
        <f t="shared" ref="Y56:Z58" si="4">1000/W56</f>
        <v>224.37734042553191</v>
      </c>
      <c r="Z56" s="228">
        <f t="shared" si="4"/>
        <v>221.28063829787234</v>
      </c>
      <c r="AA56" s="186"/>
      <c r="AD56" s="215"/>
      <c r="AE56" s="216"/>
      <c r="AG56" s="241">
        <v>15</v>
      </c>
      <c r="AH56" s="242">
        <v>10.314</v>
      </c>
    </row>
    <row r="57" spans="1:34" s="217" customFormat="1">
      <c r="A57" s="184"/>
      <c r="B57" s="230">
        <v>2022</v>
      </c>
      <c r="C57" s="207">
        <v>3290</v>
      </c>
      <c r="D57" s="207">
        <v>3150</v>
      </c>
      <c r="E57" s="207">
        <f t="shared" si="1"/>
        <v>32.9</v>
      </c>
      <c r="F57" s="207">
        <f t="shared" si="2"/>
        <v>3948</v>
      </c>
      <c r="G57" s="231">
        <v>44743</v>
      </c>
      <c r="H57" s="232">
        <v>36.020000000000003</v>
      </c>
      <c r="I57" s="233">
        <v>35.520000000000003</v>
      </c>
      <c r="J57" s="206">
        <v>2022</v>
      </c>
      <c r="K57" s="207">
        <v>42053</v>
      </c>
      <c r="L57" s="207">
        <v>40358</v>
      </c>
      <c r="M57" s="207">
        <f>7050*12</f>
        <v>84600</v>
      </c>
      <c r="N57" s="207">
        <f>6750*12</f>
        <v>81000</v>
      </c>
      <c r="O57" s="231">
        <v>44197</v>
      </c>
      <c r="P57" s="234">
        <v>0.186</v>
      </c>
      <c r="Q57" s="231">
        <v>45658</v>
      </c>
      <c r="R57" s="235">
        <v>9391.6980000000003</v>
      </c>
      <c r="S57" s="235">
        <f>+R57</f>
        <v>9391.6980000000003</v>
      </c>
      <c r="T57" s="231">
        <v>45658</v>
      </c>
      <c r="U57" s="226">
        <f>ROUND(1/R57,10)</f>
        <v>1.06477E-4</v>
      </c>
      <c r="V57" s="236">
        <f>+U57</f>
        <v>1.06477E-4</v>
      </c>
      <c r="W57" s="237">
        <f>1000/$R57*VLOOKUP(Q57,G$5:$I115,2)</f>
        <v>4.1866763603344141</v>
      </c>
      <c r="X57" s="214">
        <f>IFERROR(1000/$S57*VLOOKUP($Q57,G$5:$I115,3),"")</f>
        <v>4.1866763603344141</v>
      </c>
      <c r="Y57" s="213">
        <f t="shared" si="4"/>
        <v>238.85295015259413</v>
      </c>
      <c r="Z57" s="214">
        <f t="shared" si="4"/>
        <v>238.85295015259413</v>
      </c>
      <c r="AA57" s="186"/>
      <c r="AD57" s="215"/>
      <c r="AE57" s="216"/>
      <c r="AG57" s="241">
        <v>16</v>
      </c>
      <c r="AH57" s="242">
        <v>10.75</v>
      </c>
    </row>
    <row r="58" spans="1:34" s="217" customFormat="1">
      <c r="A58" s="184"/>
      <c r="B58" s="218">
        <v>2023</v>
      </c>
      <c r="C58" s="219">
        <v>3395</v>
      </c>
      <c r="D58" s="219">
        <v>3290</v>
      </c>
      <c r="E58" s="219">
        <f t="shared" si="1"/>
        <v>33.950000000000003</v>
      </c>
      <c r="F58" s="219">
        <f t="shared" si="2"/>
        <v>4074</v>
      </c>
      <c r="G58" s="220">
        <v>45108</v>
      </c>
      <c r="H58" s="221">
        <v>37.6</v>
      </c>
      <c r="I58" s="222">
        <v>37.6</v>
      </c>
      <c r="J58" s="223">
        <v>2023</v>
      </c>
      <c r="K58" s="219">
        <v>44732</v>
      </c>
      <c r="L58" s="247">
        <v>41967</v>
      </c>
      <c r="M58" s="219">
        <f>7300*12</f>
        <v>87600</v>
      </c>
      <c r="N58" s="219">
        <f>7100*12</f>
        <v>85200</v>
      </c>
      <c r="O58" s="220">
        <v>44562</v>
      </c>
      <c r="P58" s="224">
        <v>0.186</v>
      </c>
      <c r="Q58" s="220">
        <v>46023</v>
      </c>
      <c r="R58" s="225">
        <v>9661.5840000000007</v>
      </c>
      <c r="S58" s="225">
        <f>+R58</f>
        <v>9661.5840000000007</v>
      </c>
      <c r="T58" s="220">
        <v>46023</v>
      </c>
      <c r="U58" s="226">
        <v>1.0350269999999999E-4</v>
      </c>
      <c r="V58" s="226">
        <f>+U58</f>
        <v>1.0350269999999999E-4</v>
      </c>
      <c r="W58" s="227">
        <f>1000/$R58*VLOOKUP(Q58,G$5:$I116,2)</f>
        <v>4.2218750051751339</v>
      </c>
      <c r="X58" s="228">
        <f>IFERROR(1000/$S58*VLOOKUP($Q58,G$5:$I116,3),"")</f>
        <v>4.2218750051751339</v>
      </c>
      <c r="Y58" s="229">
        <f t="shared" si="4"/>
        <v>236.86158372150041</v>
      </c>
      <c r="Z58" s="228">
        <f t="shared" si="4"/>
        <v>236.86158372150041</v>
      </c>
      <c r="AA58" s="186"/>
      <c r="AD58" s="215"/>
      <c r="AE58" s="216"/>
      <c r="AG58" s="241">
        <v>17</v>
      </c>
      <c r="AH58" s="242">
        <v>11.163</v>
      </c>
    </row>
    <row r="59" spans="1:34" s="217" customFormat="1">
      <c r="A59" s="184"/>
      <c r="B59" s="230">
        <v>2024</v>
      </c>
      <c r="C59" s="207">
        <v>3535</v>
      </c>
      <c r="D59" s="207">
        <v>3465</v>
      </c>
      <c r="E59" s="207">
        <f t="shared" si="1"/>
        <v>35.35</v>
      </c>
      <c r="F59" s="207">
        <f t="shared" si="2"/>
        <v>4242</v>
      </c>
      <c r="G59" s="231">
        <v>45474</v>
      </c>
      <c r="H59" s="232">
        <v>39.32</v>
      </c>
      <c r="I59" s="233">
        <f>+H59</f>
        <v>39.32</v>
      </c>
      <c r="J59" s="206">
        <v>2024</v>
      </c>
      <c r="K59" s="207">
        <v>47085</v>
      </c>
      <c r="L59" s="207">
        <v>44732</v>
      </c>
      <c r="M59" s="207">
        <f>7550*12</f>
        <v>90600</v>
      </c>
      <c r="N59" s="207">
        <f>+M59</f>
        <v>90600</v>
      </c>
      <c r="O59" s="231">
        <v>44927</v>
      </c>
      <c r="P59" s="234">
        <v>0.186</v>
      </c>
      <c r="Q59" s="231">
        <v>46388</v>
      </c>
      <c r="R59" s="235"/>
      <c r="S59" s="235"/>
      <c r="T59" s="231">
        <v>46388</v>
      </c>
      <c r="U59" s="236"/>
      <c r="V59" s="236"/>
      <c r="W59" s="237"/>
      <c r="X59" s="214"/>
      <c r="Y59" s="213"/>
      <c r="Z59" s="214"/>
      <c r="AA59" s="186"/>
      <c r="AD59" s="215"/>
      <c r="AE59" s="216"/>
      <c r="AG59" s="241">
        <v>18</v>
      </c>
      <c r="AH59" s="242">
        <v>11.555</v>
      </c>
    </row>
    <row r="60" spans="1:34" s="217" customFormat="1">
      <c r="A60" s="184"/>
      <c r="B60" s="218">
        <v>2025</v>
      </c>
      <c r="C60" s="219">
        <v>3745</v>
      </c>
      <c r="D60" s="219">
        <v>3745</v>
      </c>
      <c r="E60" s="219">
        <f t="shared" si="1"/>
        <v>37.450000000000003</v>
      </c>
      <c r="F60" s="219">
        <f t="shared" si="2"/>
        <v>4494</v>
      </c>
      <c r="G60" s="220">
        <v>45839</v>
      </c>
      <c r="H60" s="221">
        <v>40.79</v>
      </c>
      <c r="I60" s="222">
        <v>40.79</v>
      </c>
      <c r="J60" s="223">
        <v>2025</v>
      </c>
      <c r="K60" s="247">
        <f>+L60</f>
        <v>50493</v>
      </c>
      <c r="L60" s="247">
        <v>50493</v>
      </c>
      <c r="M60" s="247">
        <v>96600</v>
      </c>
      <c r="N60" s="247">
        <v>96600</v>
      </c>
      <c r="O60" s="220">
        <v>45292</v>
      </c>
      <c r="P60" s="224">
        <v>0.186</v>
      </c>
      <c r="Q60" s="220">
        <v>46753</v>
      </c>
      <c r="R60" s="225"/>
      <c r="S60" s="225"/>
      <c r="T60" s="220">
        <v>46753</v>
      </c>
      <c r="U60" s="226"/>
      <c r="V60" s="226"/>
      <c r="W60" s="227"/>
      <c r="X60" s="228"/>
      <c r="Y60" s="229"/>
      <c r="Z60" s="228"/>
      <c r="AA60" s="186"/>
      <c r="AD60" s="215"/>
      <c r="AE60" s="216"/>
      <c r="AG60" s="241">
        <v>19</v>
      </c>
      <c r="AH60" s="242">
        <v>11.927</v>
      </c>
    </row>
    <row r="61" spans="1:34" s="217" customFormat="1">
      <c r="A61" s="184"/>
      <c r="B61" s="230">
        <v>2026</v>
      </c>
      <c r="C61" s="207">
        <v>3955</v>
      </c>
      <c r="D61" s="207">
        <f>+C61</f>
        <v>3955</v>
      </c>
      <c r="E61" s="207">
        <f t="shared" si="1"/>
        <v>39.550000000000004</v>
      </c>
      <c r="F61" s="207">
        <f t="shared" si="2"/>
        <v>4746</v>
      </c>
      <c r="G61" s="231">
        <v>46204</v>
      </c>
      <c r="H61" s="232">
        <v>42.52</v>
      </c>
      <c r="I61" s="233">
        <f>+H61</f>
        <v>42.52</v>
      </c>
      <c r="J61" s="206">
        <v>2026</v>
      </c>
      <c r="K61" s="248">
        <v>51944</v>
      </c>
      <c r="L61" s="248">
        <v>51944</v>
      </c>
      <c r="M61" s="248">
        <v>99600</v>
      </c>
      <c r="N61" s="248">
        <v>99600</v>
      </c>
      <c r="O61" s="231">
        <v>45658</v>
      </c>
      <c r="P61" s="234">
        <v>0.186</v>
      </c>
      <c r="Q61" s="231">
        <v>47119</v>
      </c>
      <c r="R61" s="235"/>
      <c r="S61" s="235"/>
      <c r="T61" s="231"/>
      <c r="U61" s="236"/>
      <c r="V61" s="236"/>
      <c r="W61" s="237"/>
      <c r="X61" s="214"/>
      <c r="Y61" s="213"/>
      <c r="Z61" s="214"/>
      <c r="AA61" s="186"/>
      <c r="AD61" s="215"/>
      <c r="AE61" s="216"/>
      <c r="AG61" s="241">
        <v>20</v>
      </c>
      <c r="AH61" s="242">
        <v>12.279</v>
      </c>
    </row>
    <row r="62" spans="1:34" s="217" customFormat="1">
      <c r="A62" s="184"/>
      <c r="B62" s="218">
        <v>2027</v>
      </c>
      <c r="C62" s="219"/>
      <c r="D62" s="219"/>
      <c r="E62" s="219"/>
      <c r="F62" s="219"/>
      <c r="G62" s="220">
        <v>46569</v>
      </c>
      <c r="H62" s="249"/>
      <c r="I62" s="222"/>
      <c r="J62" s="223">
        <v>2027</v>
      </c>
      <c r="K62" s="219"/>
      <c r="L62" s="219"/>
      <c r="M62" s="219"/>
      <c r="N62" s="219"/>
      <c r="O62" s="220">
        <v>46023</v>
      </c>
      <c r="P62" s="224">
        <v>0.186</v>
      </c>
      <c r="Q62" s="220">
        <v>47484</v>
      </c>
      <c r="R62" s="225"/>
      <c r="S62" s="225"/>
      <c r="T62" s="220"/>
      <c r="U62" s="226"/>
      <c r="V62" s="226"/>
      <c r="W62" s="227"/>
      <c r="X62" s="228"/>
      <c r="Y62" s="229"/>
      <c r="Z62" s="228"/>
      <c r="AA62" s="186"/>
      <c r="AD62" s="215"/>
      <c r="AE62" s="216"/>
      <c r="AG62" s="241">
        <v>21</v>
      </c>
      <c r="AH62" s="242">
        <v>12.613</v>
      </c>
    </row>
    <row r="63" spans="1:34" s="217" customFormat="1">
      <c r="A63" s="184"/>
      <c r="B63" s="230">
        <v>2028</v>
      </c>
      <c r="C63" s="207"/>
      <c r="D63" s="207"/>
      <c r="E63" s="207"/>
      <c r="F63" s="207"/>
      <c r="G63" s="231">
        <v>46935</v>
      </c>
      <c r="H63" s="232"/>
      <c r="I63" s="233"/>
      <c r="J63" s="206">
        <v>2028</v>
      </c>
      <c r="K63" s="207"/>
      <c r="L63" s="207"/>
      <c r="M63" s="207"/>
      <c r="N63" s="207"/>
      <c r="O63" s="231">
        <v>46388</v>
      </c>
      <c r="P63" s="234"/>
      <c r="Q63" s="231">
        <v>47849</v>
      </c>
      <c r="R63" s="235"/>
      <c r="S63" s="235"/>
      <c r="T63" s="231"/>
      <c r="U63" s="236"/>
      <c r="V63" s="236"/>
      <c r="W63" s="237"/>
      <c r="X63" s="214"/>
      <c r="Y63" s="213"/>
      <c r="Z63" s="214"/>
      <c r="AA63" s="186"/>
      <c r="AD63" s="215"/>
      <c r="AE63" s="216"/>
      <c r="AG63" s="241">
        <v>22</v>
      </c>
      <c r="AH63" s="242">
        <v>12.929</v>
      </c>
    </row>
    <row r="64" spans="1:34" s="217" customFormat="1">
      <c r="A64" s="184"/>
      <c r="B64" s="218">
        <v>2029</v>
      </c>
      <c r="C64" s="219"/>
      <c r="D64" s="219"/>
      <c r="E64" s="219"/>
      <c r="F64" s="219"/>
      <c r="G64" s="220">
        <v>47300</v>
      </c>
      <c r="H64" s="221"/>
      <c r="I64" s="222"/>
      <c r="J64" s="223">
        <v>2029</v>
      </c>
      <c r="K64" s="219"/>
      <c r="L64" s="219"/>
      <c r="M64" s="219"/>
      <c r="N64" s="219"/>
      <c r="O64" s="220">
        <v>46753</v>
      </c>
      <c r="P64" s="224"/>
      <c r="Q64" s="220">
        <v>48214</v>
      </c>
      <c r="R64" s="225"/>
      <c r="S64" s="225"/>
      <c r="T64" s="220"/>
      <c r="U64" s="226"/>
      <c r="V64" s="226"/>
      <c r="W64" s="227"/>
      <c r="X64" s="228"/>
      <c r="Y64" s="229"/>
      <c r="Z64" s="228"/>
      <c r="AA64" s="186"/>
      <c r="AD64" s="215"/>
      <c r="AE64" s="216"/>
      <c r="AG64" s="241">
        <v>23</v>
      </c>
      <c r="AH64" s="242">
        <v>13.228999999999999</v>
      </c>
    </row>
    <row r="65" spans="1:34" s="217" customFormat="1">
      <c r="A65" s="184"/>
      <c r="B65" s="230"/>
      <c r="C65" s="207"/>
      <c r="D65" s="207"/>
      <c r="E65" s="207"/>
      <c r="F65" s="207"/>
      <c r="G65" s="231"/>
      <c r="H65" s="232"/>
      <c r="I65" s="233"/>
      <c r="J65" s="206"/>
      <c r="K65" s="207"/>
      <c r="L65" s="207"/>
      <c r="M65" s="207"/>
      <c r="N65" s="207"/>
      <c r="O65" s="231"/>
      <c r="P65" s="234"/>
      <c r="Q65" s="231"/>
      <c r="R65" s="235"/>
      <c r="S65" s="235"/>
      <c r="T65" s="231"/>
      <c r="U65" s="236"/>
      <c r="V65" s="236"/>
      <c r="W65" s="237"/>
      <c r="X65" s="214"/>
      <c r="Y65" s="213"/>
      <c r="Z65" s="214"/>
      <c r="AA65" s="186"/>
      <c r="AD65" s="215"/>
      <c r="AE65" s="216"/>
      <c r="AG65" s="241">
        <v>24</v>
      </c>
      <c r="AH65" s="242">
        <v>13.513</v>
      </c>
    </row>
    <row r="66" spans="1:34" s="217" customFormat="1">
      <c r="A66" s="184"/>
      <c r="B66" s="206"/>
      <c r="C66" s="184"/>
      <c r="D66" s="184"/>
      <c r="E66" s="184"/>
      <c r="F66" s="207"/>
      <c r="G66" s="184"/>
      <c r="H66" s="184"/>
      <c r="I66" s="184"/>
      <c r="J66" s="206"/>
      <c r="K66" s="184"/>
      <c r="L66" s="184"/>
      <c r="M66" s="184"/>
      <c r="N66" s="184"/>
      <c r="O66" s="184"/>
      <c r="P66" s="184"/>
      <c r="Q66" s="184"/>
      <c r="R66" s="185"/>
      <c r="S66" s="185"/>
      <c r="T66" s="231"/>
      <c r="U66" s="236"/>
      <c r="V66" s="236"/>
      <c r="W66" s="184"/>
      <c r="X66" s="184"/>
      <c r="Y66" s="184"/>
      <c r="Z66" s="184"/>
      <c r="AA66" s="186"/>
      <c r="AD66" s="215"/>
      <c r="AE66" s="216"/>
      <c r="AG66" s="241">
        <v>25</v>
      </c>
      <c r="AH66" s="242">
        <v>13.782999999999999</v>
      </c>
    </row>
    <row r="67" spans="1:34">
      <c r="T67" s="231"/>
      <c r="AD67" s="1"/>
      <c r="AE67" s="250"/>
      <c r="AG67" s="241">
        <v>26</v>
      </c>
      <c r="AH67" s="242">
        <v>14.038</v>
      </c>
    </row>
    <row r="68" spans="1:34">
      <c r="T68" s="231"/>
      <c r="AD68" s="1"/>
      <c r="AE68" s="250"/>
      <c r="AG68" s="241">
        <v>27</v>
      </c>
      <c r="AH68" s="242">
        <v>14.28</v>
      </c>
    </row>
    <row r="69" spans="1:34">
      <c r="T69" s="231"/>
      <c r="AG69" s="241">
        <v>28</v>
      </c>
      <c r="AH69" s="242">
        <v>14.51</v>
      </c>
    </row>
    <row r="70" spans="1:34">
      <c r="AG70" s="241">
        <v>29</v>
      </c>
      <c r="AH70" s="242">
        <v>14.727</v>
      </c>
    </row>
    <row r="71" spans="1:34">
      <c r="AG71" s="241">
        <v>30</v>
      </c>
      <c r="AH71" s="242">
        <v>14.933</v>
      </c>
    </row>
    <row r="72" spans="1:34">
      <c r="AG72" s="241">
        <v>31</v>
      </c>
      <c r="AH72" s="242">
        <v>15.129</v>
      </c>
    </row>
    <row r="73" spans="1:34">
      <c r="AG73" s="241">
        <v>32</v>
      </c>
      <c r="AH73" s="242">
        <v>15.314</v>
      </c>
    </row>
    <row r="74" spans="1:34">
      <c r="AG74" s="241">
        <v>33</v>
      </c>
      <c r="AH74" s="242">
        <v>15.49</v>
      </c>
    </row>
    <row r="75" spans="1:34">
      <c r="AG75" s="241">
        <v>34</v>
      </c>
      <c r="AH75" s="242">
        <v>15.656000000000001</v>
      </c>
    </row>
    <row r="76" spans="1:34">
      <c r="AG76" s="241">
        <v>35</v>
      </c>
      <c r="AH76" s="242">
        <v>15.814</v>
      </c>
    </row>
    <row r="77" spans="1:34">
      <c r="AG77" s="241">
        <v>36</v>
      </c>
      <c r="AH77" s="242">
        <v>15.962999999999999</v>
      </c>
    </row>
    <row r="78" spans="1:34">
      <c r="AG78" s="241">
        <v>37</v>
      </c>
      <c r="AH78" s="242">
        <v>16.105</v>
      </c>
    </row>
    <row r="79" spans="1:34">
      <c r="AG79" s="241">
        <v>38</v>
      </c>
      <c r="AH79" s="242">
        <v>16.239000000000001</v>
      </c>
    </row>
    <row r="80" spans="1:34">
      <c r="AG80" s="241">
        <v>39</v>
      </c>
      <c r="AH80" s="242">
        <v>16.367000000000001</v>
      </c>
    </row>
    <row r="81" spans="33:34">
      <c r="AG81" s="241">
        <v>40</v>
      </c>
      <c r="AH81" s="242">
        <v>16.486999999999998</v>
      </c>
    </row>
    <row r="82" spans="33:34">
      <c r="AG82" s="241">
        <v>41</v>
      </c>
      <c r="AH82" s="242">
        <v>16.602</v>
      </c>
    </row>
    <row r="83" spans="33:34">
      <c r="AG83" s="241">
        <v>42</v>
      </c>
      <c r="AH83" s="242">
        <v>16.71</v>
      </c>
    </row>
    <row r="84" spans="33:34">
      <c r="AG84" s="241">
        <v>43</v>
      </c>
      <c r="AH84" s="242">
        <v>16.812999999999999</v>
      </c>
    </row>
    <row r="85" spans="33:34">
      <c r="AG85" s="241">
        <v>44</v>
      </c>
      <c r="AH85" s="242">
        <v>16.91</v>
      </c>
    </row>
    <row r="86" spans="33:34">
      <c r="AG86" s="241">
        <v>45</v>
      </c>
      <c r="AH86" s="242">
        <v>17.003</v>
      </c>
    </row>
    <row r="87" spans="33:34">
      <c r="AG87" s="241">
        <v>46</v>
      </c>
      <c r="AH87" s="242">
        <v>17.09</v>
      </c>
    </row>
    <row r="88" spans="33:34">
      <c r="AG88" s="241">
        <v>47</v>
      </c>
      <c r="AH88" s="242">
        <v>17.172999999999998</v>
      </c>
    </row>
    <row r="89" spans="33:34">
      <c r="AG89" s="241">
        <v>48</v>
      </c>
      <c r="AH89" s="242">
        <v>17.251999999999999</v>
      </c>
    </row>
    <row r="90" spans="33:34">
      <c r="AG90" s="241">
        <v>49</v>
      </c>
      <c r="AH90" s="242">
        <v>17.326000000000001</v>
      </c>
    </row>
    <row r="91" spans="33:34">
      <c r="AG91" s="241">
        <v>50</v>
      </c>
      <c r="AH91" s="242">
        <v>17.396999999999998</v>
      </c>
    </row>
    <row r="92" spans="33:34">
      <c r="AG92" s="241">
        <v>51</v>
      </c>
      <c r="AH92" s="242">
        <v>17.463999999999999</v>
      </c>
    </row>
    <row r="93" spans="33:34">
      <c r="AG93" s="241">
        <v>52</v>
      </c>
      <c r="AH93" s="242">
        <v>17.527999999999999</v>
      </c>
    </row>
    <row r="94" spans="33:34">
      <c r="AG94" s="241">
        <v>53</v>
      </c>
      <c r="AH94" s="242">
        <v>17.588000000000001</v>
      </c>
    </row>
    <row r="95" spans="33:34">
      <c r="AG95" s="241">
        <v>54</v>
      </c>
      <c r="AH95" s="242">
        <v>17.645</v>
      </c>
    </row>
    <row r="96" spans="33:34">
      <c r="AG96" s="241">
        <v>55</v>
      </c>
      <c r="AH96" s="242">
        <v>17.699000000000002</v>
      </c>
    </row>
    <row r="97" spans="33:34">
      <c r="AG97" s="241">
        <v>56</v>
      </c>
      <c r="AH97" s="242">
        <v>17.75</v>
      </c>
    </row>
    <row r="98" spans="33:34">
      <c r="AG98" s="241">
        <v>57</v>
      </c>
      <c r="AH98" s="242">
        <v>17.798999999999999</v>
      </c>
    </row>
    <row r="99" spans="33:34">
      <c r="AG99" s="241">
        <v>58</v>
      </c>
      <c r="AH99" s="242">
        <v>17.844999999999999</v>
      </c>
    </row>
    <row r="100" spans="33:34">
      <c r="AG100" s="241">
        <v>59</v>
      </c>
      <c r="AH100" s="242">
        <v>17.888000000000002</v>
      </c>
    </row>
    <row r="101" spans="33:34">
      <c r="AG101" s="241">
        <v>60</v>
      </c>
      <c r="AH101" s="242">
        <v>17.93</v>
      </c>
    </row>
    <row r="102" spans="33:34">
      <c r="AG102" s="241">
        <v>61</v>
      </c>
      <c r="AH102" s="242">
        <v>17.969000000000001</v>
      </c>
    </row>
    <row r="103" spans="33:34">
      <c r="AG103" s="241">
        <v>62</v>
      </c>
      <c r="AH103" s="242">
        <v>18.006</v>
      </c>
    </row>
    <row r="104" spans="33:34">
      <c r="AG104" s="241">
        <v>63</v>
      </c>
      <c r="AH104" s="242">
        <v>18.041</v>
      </c>
    </row>
    <row r="105" spans="33:34">
      <c r="AG105" s="241">
        <v>64</v>
      </c>
      <c r="AH105" s="242">
        <v>18.074999999999999</v>
      </c>
    </row>
    <row r="106" spans="33:34">
      <c r="AG106" s="241">
        <v>65</v>
      </c>
      <c r="AH106" s="242">
        <v>18.106000000000002</v>
      </c>
    </row>
    <row r="107" spans="33:34">
      <c r="AG107" s="241">
        <v>66</v>
      </c>
      <c r="AH107" s="242">
        <v>18.135999999999999</v>
      </c>
    </row>
    <row r="108" spans="33:34">
      <c r="AG108" s="241">
        <v>67</v>
      </c>
      <c r="AH108" s="242">
        <v>18.164999999999999</v>
      </c>
    </row>
    <row r="109" spans="33:34">
      <c r="AG109" s="241">
        <v>68</v>
      </c>
      <c r="AH109" s="242">
        <v>18.192</v>
      </c>
    </row>
    <row r="110" spans="33:34">
      <c r="AG110" s="241">
        <v>69</v>
      </c>
      <c r="AH110" s="242">
        <v>18.216999999999999</v>
      </c>
    </row>
    <row r="111" spans="33:34">
      <c r="AG111" s="241">
        <v>70</v>
      </c>
      <c r="AH111" s="242">
        <v>18.242000000000001</v>
      </c>
    </row>
    <row r="112" spans="33:34">
      <c r="AG112" s="241">
        <v>71</v>
      </c>
      <c r="AH112" s="242">
        <v>18.263999999999999</v>
      </c>
    </row>
    <row r="113" spans="33:34">
      <c r="AG113" s="241">
        <v>72</v>
      </c>
      <c r="AH113" s="242">
        <v>18.286000000000001</v>
      </c>
    </row>
    <row r="114" spans="33:34">
      <c r="AG114" s="241">
        <v>73</v>
      </c>
      <c r="AH114" s="242">
        <v>18.306999999999999</v>
      </c>
    </row>
    <row r="115" spans="33:34">
      <c r="AG115" s="241">
        <v>74</v>
      </c>
      <c r="AH115" s="242">
        <v>18.326000000000001</v>
      </c>
    </row>
    <row r="116" spans="33:34">
      <c r="AG116" s="241">
        <v>75</v>
      </c>
      <c r="AH116" s="242">
        <v>18.344999999999999</v>
      </c>
    </row>
    <row r="117" spans="33:34">
      <c r="AG117" s="241">
        <v>76</v>
      </c>
      <c r="AH117" s="242">
        <v>18.361999999999998</v>
      </c>
    </row>
    <row r="118" spans="33:34">
      <c r="AG118" s="241">
        <v>77</v>
      </c>
      <c r="AH118" s="242">
        <v>18.379000000000001</v>
      </c>
    </row>
    <row r="119" spans="33:34">
      <c r="AG119" s="241">
        <v>78</v>
      </c>
      <c r="AH119" s="242">
        <v>18.395</v>
      </c>
    </row>
    <row r="120" spans="33:34">
      <c r="AG120" s="241">
        <v>79</v>
      </c>
      <c r="AH120" s="242">
        <v>18.41</v>
      </c>
    </row>
    <row r="121" spans="33:34">
      <c r="AG121" s="241">
        <v>80</v>
      </c>
      <c r="AH121" s="242">
        <v>18.423999999999999</v>
      </c>
    </row>
    <row r="122" spans="33:34">
      <c r="AG122" s="241">
        <v>81</v>
      </c>
      <c r="AH122" s="242">
        <v>18.437000000000001</v>
      </c>
    </row>
    <row r="123" spans="33:34">
      <c r="AG123" s="241">
        <v>82</v>
      </c>
      <c r="AH123" s="242">
        <v>18.45</v>
      </c>
    </row>
    <row r="124" spans="33:34">
      <c r="AG124" s="241">
        <v>83</v>
      </c>
      <c r="AH124" s="242">
        <v>18.462</v>
      </c>
    </row>
    <row r="125" spans="33:34">
      <c r="AG125" s="241">
        <v>84</v>
      </c>
      <c r="AH125" s="242">
        <v>18.474</v>
      </c>
    </row>
    <row r="126" spans="33:34">
      <c r="AG126" s="241">
        <v>85</v>
      </c>
      <c r="AH126" s="242">
        <v>18.484999999999999</v>
      </c>
    </row>
    <row r="127" spans="33:34">
      <c r="AG127" s="241">
        <v>86</v>
      </c>
      <c r="AH127" s="242">
        <v>18.495000000000001</v>
      </c>
    </row>
    <row r="128" spans="33:34">
      <c r="AG128" s="241">
        <v>87</v>
      </c>
      <c r="AH128" s="242">
        <v>18.504999999999999</v>
      </c>
    </row>
    <row r="129" spans="33:34">
      <c r="AG129" s="241">
        <v>88</v>
      </c>
      <c r="AH129" s="242">
        <v>18.513999999999999</v>
      </c>
    </row>
    <row r="130" spans="33:34">
      <c r="AG130" s="241">
        <v>89</v>
      </c>
      <c r="AH130" s="242">
        <v>18.523</v>
      </c>
    </row>
    <row r="131" spans="33:34">
      <c r="AG131" s="241">
        <v>90</v>
      </c>
      <c r="AH131" s="242">
        <v>18.530999999999999</v>
      </c>
    </row>
    <row r="132" spans="33:34">
      <c r="AG132" s="241">
        <v>91</v>
      </c>
      <c r="AH132" s="242">
        <v>18.539000000000001</v>
      </c>
    </row>
    <row r="133" spans="33:34">
      <c r="AG133" s="241">
        <v>92</v>
      </c>
      <c r="AH133" s="242">
        <v>18.545999999999999</v>
      </c>
    </row>
    <row r="134" spans="33:34">
      <c r="AG134" s="241">
        <v>93</v>
      </c>
      <c r="AH134" s="242">
        <v>18.553000000000001</v>
      </c>
    </row>
    <row r="135" spans="33:34">
      <c r="AG135" s="241">
        <v>94</v>
      </c>
      <c r="AH135" s="242">
        <v>18.559999999999999</v>
      </c>
    </row>
    <row r="136" spans="33:34">
      <c r="AG136" s="241">
        <v>95</v>
      </c>
      <c r="AH136" s="242">
        <v>18.565999999999999</v>
      </c>
    </row>
    <row r="137" spans="33:34">
      <c r="AG137" s="241">
        <v>96</v>
      </c>
      <c r="AH137" s="242">
        <v>18.571999999999999</v>
      </c>
    </row>
    <row r="138" spans="33:34">
      <c r="AG138" s="241">
        <v>97</v>
      </c>
      <c r="AH138" s="242">
        <v>18.577999999999999</v>
      </c>
    </row>
    <row r="139" spans="33:34">
      <c r="AG139" s="241">
        <v>98</v>
      </c>
      <c r="AH139" s="242">
        <v>18.582999999999998</v>
      </c>
    </row>
    <row r="140" spans="33:34">
      <c r="AG140" s="241">
        <v>99</v>
      </c>
      <c r="AH140" s="242">
        <v>18.588999999999999</v>
      </c>
    </row>
    <row r="141" spans="33:34">
      <c r="AG141" s="241">
        <v>100</v>
      </c>
      <c r="AH141" s="242">
        <v>18.593</v>
      </c>
    </row>
    <row r="142" spans="33:34">
      <c r="AG142" s="241">
        <v>101</v>
      </c>
      <c r="AH142" s="242">
        <v>18.597999999999999</v>
      </c>
    </row>
  </sheetData>
  <mergeCells count="15">
    <mergeCell ref="Y3:Z3"/>
    <mergeCell ref="AB3:AC3"/>
    <mergeCell ref="AD3:AE3"/>
    <mergeCell ref="AD4:AE4"/>
    <mergeCell ref="S1:X1"/>
    <mergeCell ref="B2:X2"/>
    <mergeCell ref="B3:D3"/>
    <mergeCell ref="E3:F3"/>
    <mergeCell ref="G3:I3"/>
    <mergeCell ref="J3:L3"/>
    <mergeCell ref="M3:N3"/>
    <mergeCell ref="O3:P3"/>
    <mergeCell ref="Q3:S3"/>
    <mergeCell ref="U3:V3"/>
    <mergeCell ref="W3:X3"/>
  </mergeCells>
  <hyperlinks>
    <hyperlink ref="B1" r:id="rId1" display="https://rvrecht.deutsche-rentenversicherung.de/SiteGlobals/Forms/Suche/DokumentSuche/dokumentSuche_Formular.html?nn=1506092&amp;pathNonRecursive=%2FLitInternet%2FSharedDocs%2FrvRecht+%2FLitInternet%2FSharedDocs%2FrvRecht_Ergaenzungen" xr:uid="{0D1257BE-FFEF-43F7-9A19-4043CB576B7C}"/>
    <hyperlink ref="M3:N3" r:id="rId2" display="Beitragsbem.Grenze gRV § 159 SGB VI" xr:uid="{0471296F-AC61-4AF4-A0CA-869495EFA7DB}"/>
    <hyperlink ref="J3:L3" r:id="rId3" display="Ø-Entgelt ges. Renten-versicherung § 69 II SGB VI" xr:uid="{E3712337-175B-43ED-9469-24890F41F51C}"/>
  </hyperlinks>
  <pageMargins left="0.7" right="0.7" top="0.78740157499999996" bottom="0.78740157499999996" header="0.3" footer="0.3"/>
  <drawing r:id="rId4"/>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48314-2692-43E9-9A9B-CCBBBBE6A2A6}">
  <sheetPr codeName="Tabelle61"/>
  <dimension ref="A1:G22"/>
  <sheetViews>
    <sheetView workbookViewId="0">
      <selection activeCell="E16" sqref="E16:F16"/>
    </sheetView>
  </sheetViews>
  <sheetFormatPr baseColWidth="10" defaultColWidth="0" defaultRowHeight="14.25" customHeight="1" zeroHeight="1"/>
  <cols>
    <col min="1" max="1" width="3.5703125" customWidth="1"/>
    <col min="2" max="2" width="12.7109375" customWidth="1"/>
    <col min="3" max="6" width="12.140625" customWidth="1"/>
    <col min="7" max="7" width="4.7109375" customWidth="1"/>
    <col min="8" max="16384" width="12.140625" hidden="1"/>
  </cols>
  <sheetData>
    <row r="1" spans="2:6" ht="15.75">
      <c r="B1" s="950" t="s">
        <v>4285</v>
      </c>
      <c r="C1" s="951"/>
      <c r="D1" s="951"/>
      <c r="E1" s="951"/>
      <c r="F1" s="952"/>
    </row>
    <row r="2" spans="2:6" ht="45">
      <c r="B2" s="259" t="s">
        <v>4286</v>
      </c>
      <c r="C2" s="260" t="s">
        <v>4287</v>
      </c>
      <c r="D2" s="260" t="s">
        <v>4288</v>
      </c>
      <c r="E2" s="953"/>
      <c r="F2" s="954"/>
    </row>
    <row r="3" spans="2:6" ht="15">
      <c r="B3" s="83">
        <v>1900</v>
      </c>
      <c r="C3" s="261">
        <v>0</v>
      </c>
      <c r="D3" s="262">
        <v>65</v>
      </c>
      <c r="E3" s="944" t="s">
        <v>4289</v>
      </c>
      <c r="F3" s="945"/>
    </row>
    <row r="4" spans="2:6" ht="15">
      <c r="B4" s="83">
        <v>1947</v>
      </c>
      <c r="C4" s="261">
        <v>1</v>
      </c>
      <c r="D4" s="262">
        <f>65+C4/12</f>
        <v>65.083333333333329</v>
      </c>
      <c r="E4" s="944" t="s">
        <v>4290</v>
      </c>
      <c r="F4" s="945"/>
    </row>
    <row r="5" spans="2:6" ht="15">
      <c r="B5" s="83">
        <v>1948</v>
      </c>
      <c r="C5" s="261">
        <v>2</v>
      </c>
      <c r="D5" s="262">
        <f t="shared" ref="D5:D21" si="0">65+C5/12</f>
        <v>65.166666666666671</v>
      </c>
      <c r="E5" s="944" t="s">
        <v>4291</v>
      </c>
      <c r="F5" s="945"/>
    </row>
    <row r="6" spans="2:6" ht="15">
      <c r="B6" s="83">
        <v>1949</v>
      </c>
      <c r="C6" s="261">
        <v>3</v>
      </c>
      <c r="D6" s="262">
        <f t="shared" si="0"/>
        <v>65.25</v>
      </c>
      <c r="E6" s="944" t="s">
        <v>4292</v>
      </c>
      <c r="F6" s="945"/>
    </row>
    <row r="7" spans="2:6" ht="15">
      <c r="B7" s="83">
        <v>1950</v>
      </c>
      <c r="C7" s="261">
        <v>4</v>
      </c>
      <c r="D7" s="262">
        <f t="shared" si="0"/>
        <v>65.333333333333329</v>
      </c>
      <c r="E7" s="944" t="s">
        <v>4293</v>
      </c>
      <c r="F7" s="945"/>
    </row>
    <row r="8" spans="2:6" ht="15">
      <c r="B8" s="83">
        <v>1951</v>
      </c>
      <c r="C8" s="261">
        <v>5</v>
      </c>
      <c r="D8" s="262">
        <f t="shared" si="0"/>
        <v>65.416666666666671</v>
      </c>
      <c r="E8" s="944" t="s">
        <v>4294</v>
      </c>
      <c r="F8" s="945"/>
    </row>
    <row r="9" spans="2:6" ht="15">
      <c r="B9" s="83">
        <v>1952</v>
      </c>
      <c r="C9" s="261">
        <v>6</v>
      </c>
      <c r="D9" s="262">
        <f t="shared" si="0"/>
        <v>65.5</v>
      </c>
      <c r="E9" s="944" t="s">
        <v>4295</v>
      </c>
      <c r="F9" s="945"/>
    </row>
    <row r="10" spans="2:6" ht="15">
      <c r="B10" s="83">
        <v>1953</v>
      </c>
      <c r="C10" s="261">
        <v>7</v>
      </c>
      <c r="D10" s="262">
        <f t="shared" si="0"/>
        <v>65.583333333333329</v>
      </c>
      <c r="E10" s="944" t="s">
        <v>4296</v>
      </c>
      <c r="F10" s="945"/>
    </row>
    <row r="11" spans="2:6" ht="15">
      <c r="B11" s="83">
        <v>1954</v>
      </c>
      <c r="C11" s="261">
        <v>8</v>
      </c>
      <c r="D11" s="262">
        <f t="shared" si="0"/>
        <v>65.666666666666671</v>
      </c>
      <c r="E11" s="944" t="s">
        <v>4297</v>
      </c>
      <c r="F11" s="945"/>
    </row>
    <row r="12" spans="2:6" ht="15">
      <c r="B12" s="83">
        <v>1955</v>
      </c>
      <c r="C12" s="261">
        <v>9</v>
      </c>
      <c r="D12" s="262">
        <f t="shared" si="0"/>
        <v>65.75</v>
      </c>
      <c r="E12" s="944" t="s">
        <v>4298</v>
      </c>
      <c r="F12" s="945"/>
    </row>
    <row r="13" spans="2:6" ht="15">
      <c r="B13" s="83">
        <v>1956</v>
      </c>
      <c r="C13" s="261">
        <v>10</v>
      </c>
      <c r="D13" s="262">
        <f t="shared" si="0"/>
        <v>65.833333333333329</v>
      </c>
      <c r="E13" s="944" t="s">
        <v>4299</v>
      </c>
      <c r="F13" s="945"/>
    </row>
    <row r="14" spans="2:6" ht="15">
      <c r="B14" s="83">
        <v>1957</v>
      </c>
      <c r="C14" s="261">
        <v>11</v>
      </c>
      <c r="D14" s="262">
        <f t="shared" si="0"/>
        <v>65.916666666666671</v>
      </c>
      <c r="E14" s="944" t="s">
        <v>4300</v>
      </c>
      <c r="F14" s="945"/>
    </row>
    <row r="15" spans="2:6" ht="15">
      <c r="B15" s="83">
        <v>1958</v>
      </c>
      <c r="C15" s="261">
        <v>12</v>
      </c>
      <c r="D15" s="262">
        <f t="shared" si="0"/>
        <v>66</v>
      </c>
      <c r="E15" s="944" t="s">
        <v>4301</v>
      </c>
      <c r="F15" s="945"/>
    </row>
    <row r="16" spans="2:6" ht="15">
      <c r="B16" s="83">
        <v>1959</v>
      </c>
      <c r="C16" s="261">
        <v>14</v>
      </c>
      <c r="D16" s="262">
        <f t="shared" si="0"/>
        <v>66.166666666666671</v>
      </c>
      <c r="E16" s="944" t="s">
        <v>4302</v>
      </c>
      <c r="F16" s="945"/>
    </row>
    <row r="17" spans="2:6" ht="15">
      <c r="B17" s="83">
        <v>1960</v>
      </c>
      <c r="C17" s="261">
        <v>16</v>
      </c>
      <c r="D17" s="262">
        <f t="shared" si="0"/>
        <v>66.333333333333329</v>
      </c>
      <c r="E17" s="944" t="s">
        <v>4303</v>
      </c>
      <c r="F17" s="945"/>
    </row>
    <row r="18" spans="2:6" ht="15">
      <c r="B18" s="83">
        <v>1961</v>
      </c>
      <c r="C18" s="261">
        <v>18</v>
      </c>
      <c r="D18" s="262">
        <f t="shared" si="0"/>
        <v>66.5</v>
      </c>
      <c r="E18" s="944" t="s">
        <v>4304</v>
      </c>
      <c r="F18" s="945"/>
    </row>
    <row r="19" spans="2:6" ht="15">
      <c r="B19" s="83">
        <v>1962</v>
      </c>
      <c r="C19" s="261">
        <v>20</v>
      </c>
      <c r="D19" s="262">
        <f t="shared" si="0"/>
        <v>66.666666666666671</v>
      </c>
      <c r="E19" s="944" t="s">
        <v>4305</v>
      </c>
      <c r="F19" s="945"/>
    </row>
    <row r="20" spans="2:6" ht="15">
      <c r="B20" s="83">
        <v>1963</v>
      </c>
      <c r="C20" s="261">
        <v>22</v>
      </c>
      <c r="D20" s="262">
        <f t="shared" si="0"/>
        <v>66.833333333333329</v>
      </c>
      <c r="E20" s="944" t="s">
        <v>4306</v>
      </c>
      <c r="F20" s="945"/>
    </row>
    <row r="21" spans="2:6" ht="15.75" thickBot="1">
      <c r="B21" s="263">
        <v>1964</v>
      </c>
      <c r="C21" s="264">
        <v>24</v>
      </c>
      <c r="D21" s="265">
        <f t="shared" si="0"/>
        <v>67</v>
      </c>
      <c r="E21" s="946" t="s">
        <v>4307</v>
      </c>
      <c r="F21" s="947"/>
    </row>
    <row r="22" spans="2:6" ht="15.75" hidden="1" thickBot="1">
      <c r="B22" s="266"/>
      <c r="C22" s="267"/>
      <c r="D22" s="268"/>
      <c r="E22" s="948"/>
      <c r="F22" s="949"/>
    </row>
  </sheetData>
  <mergeCells count="22">
    <mergeCell ref="E12:F12"/>
    <mergeCell ref="B1:F1"/>
    <mergeCell ref="E2:F2"/>
    <mergeCell ref="E3:F3"/>
    <mergeCell ref="E4:F4"/>
    <mergeCell ref="E5:F5"/>
    <mergeCell ref="E6:F6"/>
    <mergeCell ref="E7:F7"/>
    <mergeCell ref="E8:F8"/>
    <mergeCell ref="E9:F9"/>
    <mergeCell ref="E10:F10"/>
    <mergeCell ref="E11:F11"/>
    <mergeCell ref="E19:F19"/>
    <mergeCell ref="E20:F20"/>
    <mergeCell ref="E21:F21"/>
    <mergeCell ref="E22:F22"/>
    <mergeCell ref="E13:F13"/>
    <mergeCell ref="E14:F14"/>
    <mergeCell ref="E15:F15"/>
    <mergeCell ref="E16:F16"/>
    <mergeCell ref="E17:F17"/>
    <mergeCell ref="E18:F18"/>
  </mergeCells>
  <pageMargins left="0.7" right="0.7" top="0.78740157499999996" bottom="0.78740157499999996"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18B2B-967E-4788-9DFD-DEECF1236B89}">
  <sheetPr codeName="Tabelle62"/>
  <dimension ref="A1:F21"/>
  <sheetViews>
    <sheetView workbookViewId="0">
      <selection activeCell="F5" sqref="F5:F16"/>
    </sheetView>
  </sheetViews>
  <sheetFormatPr baseColWidth="10" defaultRowHeight="15"/>
  <cols>
    <col min="1" max="1" width="12.7109375" customWidth="1"/>
    <col min="2" max="2" width="14.5703125" customWidth="1"/>
    <col min="3" max="3" width="20" customWidth="1"/>
    <col min="4" max="4" width="18.140625" customWidth="1"/>
    <col min="5" max="5" width="16.42578125" customWidth="1"/>
  </cols>
  <sheetData>
    <row r="1" spans="1:6" ht="18.75">
      <c r="A1" s="273" t="s">
        <v>4354</v>
      </c>
    </row>
    <row r="2" spans="1:6">
      <c r="A2" s="274" t="s">
        <v>4355</v>
      </c>
    </row>
    <row r="4" spans="1:6">
      <c r="A4" s="275" t="s">
        <v>4262</v>
      </c>
      <c r="B4" s="275" t="s">
        <v>4356</v>
      </c>
      <c r="C4" s="275" t="s">
        <v>4357</v>
      </c>
      <c r="D4" s="275" t="s">
        <v>4358</v>
      </c>
      <c r="E4" s="275" t="s">
        <v>4359</v>
      </c>
    </row>
    <row r="5" spans="1:6">
      <c r="A5">
        <v>2015</v>
      </c>
      <c r="B5" s="276">
        <v>42005</v>
      </c>
      <c r="C5" s="280">
        <v>1099.3699999999999</v>
      </c>
      <c r="D5" s="280" t="s">
        <v>4360</v>
      </c>
      <c r="E5" s="123" t="s">
        <v>4360</v>
      </c>
      <c r="F5" s="278" t="s">
        <v>4360</v>
      </c>
    </row>
    <row r="6" spans="1:6">
      <c r="A6">
        <v>2016</v>
      </c>
      <c r="B6" s="276">
        <v>42370</v>
      </c>
      <c r="C6" s="280">
        <v>1134.3399999999999</v>
      </c>
      <c r="D6" s="280">
        <f t="shared" ref="D6:D16" si="0">C6-C5</f>
        <v>34.970000000000027</v>
      </c>
      <c r="E6" s="123">
        <f t="shared" ref="E6:E16" si="1">(C6-C5)/C5</f>
        <v>3.1809127045489716E-2</v>
      </c>
      <c r="F6" s="278">
        <v>3.1809127045489716E-2</v>
      </c>
    </row>
    <row r="7" spans="1:6">
      <c r="A7">
        <v>2017</v>
      </c>
      <c r="B7" s="276">
        <v>42736</v>
      </c>
      <c r="C7" s="280">
        <v>1153.5999999999999</v>
      </c>
      <c r="D7" s="280">
        <f t="shared" si="0"/>
        <v>19.259999999999991</v>
      </c>
      <c r="E7" s="123">
        <f t="shared" si="1"/>
        <v>1.6979036267785665E-2</v>
      </c>
      <c r="F7" s="278">
        <v>1.6979036267785665E-2</v>
      </c>
    </row>
    <row r="8" spans="1:6">
      <c r="A8">
        <v>2018</v>
      </c>
      <c r="B8" s="276">
        <v>43101</v>
      </c>
      <c r="C8" s="280">
        <v>1169.82</v>
      </c>
      <c r="D8" s="280">
        <f t="shared" si="0"/>
        <v>16.220000000000027</v>
      </c>
      <c r="E8" s="123">
        <f t="shared" si="1"/>
        <v>1.4060332871012507E-2</v>
      </c>
      <c r="F8" s="278">
        <v>1.4060332871012507E-2</v>
      </c>
    </row>
    <row r="9" spans="1:6">
      <c r="A9">
        <v>2019</v>
      </c>
      <c r="B9" s="276">
        <v>43466</v>
      </c>
      <c r="C9" s="280">
        <v>1194.43</v>
      </c>
      <c r="D9" s="280">
        <f t="shared" si="0"/>
        <v>24.610000000000127</v>
      </c>
      <c r="E9" s="123">
        <f t="shared" si="1"/>
        <v>2.103742456104369E-2</v>
      </c>
      <c r="F9" s="278">
        <v>2.103742456104369E-2</v>
      </c>
    </row>
    <row r="10" spans="1:6">
      <c r="A10">
        <v>2020</v>
      </c>
      <c r="B10" s="276">
        <v>44013</v>
      </c>
      <c r="C10" s="280">
        <v>1270.67</v>
      </c>
      <c r="D10" s="280">
        <f t="shared" si="0"/>
        <v>76.240000000000009</v>
      </c>
      <c r="E10" s="123">
        <f t="shared" si="1"/>
        <v>6.3829609102249607E-2</v>
      </c>
      <c r="F10" s="278">
        <v>6.3829609102249607E-2</v>
      </c>
    </row>
    <row r="11" spans="1:6">
      <c r="A11">
        <v>2021</v>
      </c>
      <c r="B11" s="276">
        <v>44197</v>
      </c>
      <c r="C11" s="280">
        <v>1274.01</v>
      </c>
      <c r="D11" s="280">
        <f t="shared" si="0"/>
        <v>3.3399999999999181</v>
      </c>
      <c r="E11" s="123">
        <f t="shared" si="1"/>
        <v>2.6285345526375205E-3</v>
      </c>
      <c r="F11" s="278">
        <v>2.6285345526375205E-3</v>
      </c>
    </row>
    <row r="12" spans="1:6">
      <c r="A12">
        <v>2022</v>
      </c>
      <c r="B12" s="276">
        <v>44562</v>
      </c>
      <c r="C12" s="280">
        <v>1301</v>
      </c>
      <c r="D12" s="280">
        <f t="shared" si="0"/>
        <v>26.990000000000009</v>
      </c>
      <c r="E12" s="123">
        <f t="shared" si="1"/>
        <v>2.1185077040211622E-2</v>
      </c>
      <c r="F12" s="278">
        <v>2.1185077040211622E-2</v>
      </c>
    </row>
    <row r="13" spans="1:6">
      <c r="A13">
        <v>2023</v>
      </c>
      <c r="B13" s="276">
        <v>45108</v>
      </c>
      <c r="C13" s="280">
        <v>1458.15</v>
      </c>
      <c r="D13" s="280">
        <f t="shared" si="0"/>
        <v>157.15000000000009</v>
      </c>
      <c r="E13" s="123">
        <f t="shared" si="1"/>
        <v>0.12079169869331291</v>
      </c>
      <c r="F13" s="278">
        <v>0.12079169869331291</v>
      </c>
    </row>
    <row r="14" spans="1:6">
      <c r="A14">
        <v>2024</v>
      </c>
      <c r="B14" s="276">
        <v>45292</v>
      </c>
      <c r="C14" s="280">
        <v>1541.53</v>
      </c>
      <c r="D14" s="280">
        <f t="shared" si="0"/>
        <v>83.379999999999882</v>
      </c>
      <c r="E14" s="123">
        <f t="shared" si="1"/>
        <v>5.718204574289331E-2</v>
      </c>
      <c r="F14" s="278">
        <v>5.718204574289331E-2</v>
      </c>
    </row>
    <row r="15" spans="1:6">
      <c r="A15">
        <v>2025</v>
      </c>
      <c r="B15" s="276">
        <v>45658</v>
      </c>
      <c r="C15" s="280">
        <v>1580.92</v>
      </c>
      <c r="D15" s="280">
        <f t="shared" si="0"/>
        <v>39.3900000000001</v>
      </c>
      <c r="E15" s="123">
        <f t="shared" si="1"/>
        <v>2.5552535468009122E-2</v>
      </c>
      <c r="F15" s="278">
        <v>2.5552535468009122E-2</v>
      </c>
    </row>
    <row r="16" spans="1:6">
      <c r="A16">
        <v>2026</v>
      </c>
      <c r="B16" s="276">
        <v>46023</v>
      </c>
      <c r="C16" s="280">
        <v>1637.57</v>
      </c>
      <c r="D16" s="280">
        <f t="shared" si="0"/>
        <v>56.649999999999864</v>
      </c>
      <c r="E16" s="123">
        <f t="shared" si="1"/>
        <v>3.5833565265794516E-2</v>
      </c>
      <c r="F16" s="278">
        <v>3.5833565265794516E-2</v>
      </c>
    </row>
    <row r="18" spans="1:3">
      <c r="A18" s="270" t="s">
        <v>4361</v>
      </c>
      <c r="C18" s="279">
        <f>(C16-C5)/C5</f>
        <v>0.48955310768894922</v>
      </c>
    </row>
    <row r="19" spans="1:3">
      <c r="A19" s="270" t="s">
        <v>4362</v>
      </c>
      <c r="C19" s="279">
        <f>AVERAGE(E6:E16)</f>
        <v>3.7353544237312741E-2</v>
      </c>
    </row>
    <row r="21" spans="1:3">
      <c r="A21" s="277" t="s">
        <v>4363</v>
      </c>
    </row>
  </sheetData>
  <pageMargins left="0.7" right="0.7" top="0.78740157499999996" bottom="0.78740157499999996"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97E33-3D03-44BA-8664-AFB0754D4A74}">
  <sheetPr codeName="Tabelle63"/>
  <dimension ref="B3:F18"/>
  <sheetViews>
    <sheetView workbookViewId="0">
      <selection activeCell="F4" sqref="F4:F15"/>
    </sheetView>
  </sheetViews>
  <sheetFormatPr baseColWidth="10" defaultRowHeight="15"/>
  <cols>
    <col min="3" max="4" width="10.85546875" style="287"/>
    <col min="5" max="5" width="18.140625" style="287" customWidth="1"/>
    <col min="6" max="6" width="10.85546875" style="287"/>
  </cols>
  <sheetData>
    <row r="3" spans="2:6" s="130" customFormat="1" ht="63">
      <c r="B3" s="283" t="s">
        <v>4262</v>
      </c>
      <c r="C3" s="284" t="s">
        <v>4365</v>
      </c>
      <c r="D3" s="284" t="s">
        <v>4366</v>
      </c>
      <c r="E3" s="284" t="s">
        <v>4367</v>
      </c>
      <c r="F3" s="284" t="s">
        <v>4368</v>
      </c>
    </row>
    <row r="4" spans="2:6" ht="15.75">
      <c r="B4" s="281">
        <v>2015</v>
      </c>
      <c r="C4" s="285">
        <v>90068</v>
      </c>
      <c r="D4" s="286">
        <v>1.9E-2</v>
      </c>
      <c r="E4" s="286">
        <v>2.7E-2</v>
      </c>
      <c r="F4" s="286">
        <v>1.95E-2</v>
      </c>
    </row>
    <row r="5" spans="2:6" ht="15.75">
      <c r="B5" s="281">
        <v>2016</v>
      </c>
      <c r="C5" s="285">
        <v>92576</v>
      </c>
      <c r="D5" s="286">
        <v>2.8000000000000001E-2</v>
      </c>
      <c r="E5" s="286">
        <v>2.4E-2</v>
      </c>
      <c r="F5" s="286">
        <v>1.6500000000000001E-2</v>
      </c>
    </row>
    <row r="6" spans="2:6" ht="15.75">
      <c r="B6" s="281">
        <v>2017</v>
      </c>
      <c r="C6" s="285">
        <v>93634</v>
      </c>
      <c r="D6" s="286">
        <v>1.0999999999999999E-2</v>
      </c>
      <c r="E6" s="286">
        <v>2.3E-2</v>
      </c>
      <c r="F6" s="286">
        <v>1.55E-2</v>
      </c>
    </row>
    <row r="7" spans="2:6" ht="15.75">
      <c r="B7" s="281">
        <v>2018</v>
      </c>
      <c r="C7" s="285">
        <v>96883</v>
      </c>
      <c r="D7" s="286">
        <v>3.5000000000000003E-2</v>
      </c>
      <c r="E7" s="286">
        <v>2.8000000000000001E-2</v>
      </c>
      <c r="F7" s="286">
        <v>2.0500000000000001E-2</v>
      </c>
    </row>
    <row r="8" spans="2:6" ht="15.75">
      <c r="B8" s="281">
        <v>2019</v>
      </c>
      <c r="C8" s="285">
        <v>99858</v>
      </c>
      <c r="D8" s="286">
        <v>3.1E-2</v>
      </c>
      <c r="E8" s="286">
        <v>3.5000000000000003E-2</v>
      </c>
      <c r="F8" s="286">
        <v>2.75E-2</v>
      </c>
    </row>
    <row r="9" spans="2:6" ht="15.75">
      <c r="B9" s="281">
        <v>2020</v>
      </c>
      <c r="C9" s="285">
        <v>101351</v>
      </c>
      <c r="D9" s="286">
        <v>1.4999999999999999E-2</v>
      </c>
      <c r="E9" s="286">
        <v>1.7000000000000001E-2</v>
      </c>
      <c r="F9" s="286">
        <v>9.4999999999999998E-3</v>
      </c>
    </row>
    <row r="10" spans="2:6" ht="15.75">
      <c r="B10" s="281">
        <v>2021</v>
      </c>
      <c r="C10" s="285">
        <v>106399</v>
      </c>
      <c r="D10" s="286">
        <v>0.05</v>
      </c>
      <c r="E10" s="286">
        <v>0.03</v>
      </c>
      <c r="F10" s="286">
        <v>2.2499999999999999E-2</v>
      </c>
    </row>
    <row r="11" spans="2:6" ht="15.75">
      <c r="B11" s="281">
        <v>2022</v>
      </c>
      <c r="C11" s="285">
        <v>111477</v>
      </c>
      <c r="D11" s="286">
        <v>4.8000000000000001E-2</v>
      </c>
      <c r="E11" s="286">
        <v>3.6999999999999998E-2</v>
      </c>
      <c r="F11" s="286">
        <v>2.9499999999999998E-2</v>
      </c>
    </row>
    <row r="12" spans="2:6" ht="15.75">
      <c r="B12" s="281">
        <v>2023</v>
      </c>
      <c r="C12" s="285">
        <v>118620</v>
      </c>
      <c r="D12" s="286">
        <v>6.4000000000000001E-2</v>
      </c>
      <c r="E12" s="286">
        <v>5.1999999999999998E-2</v>
      </c>
      <c r="F12" s="286">
        <v>4.4499999999999998E-2</v>
      </c>
    </row>
    <row r="13" spans="2:6" ht="15.75">
      <c r="B13" s="281">
        <v>2024</v>
      </c>
      <c r="C13" s="285">
        <v>124028</v>
      </c>
      <c r="D13" s="286">
        <v>4.5999999999999999E-2</v>
      </c>
      <c r="E13" s="286">
        <v>4.9000000000000002E-2</v>
      </c>
      <c r="F13" s="286">
        <v>4.1500000000000002E-2</v>
      </c>
    </row>
    <row r="14" spans="2:6" ht="15.75">
      <c r="B14" s="281">
        <v>2025</v>
      </c>
      <c r="C14" s="285">
        <v>130160</v>
      </c>
      <c r="D14" s="286">
        <v>0.05</v>
      </c>
      <c r="E14" s="286">
        <v>4.4999999999999998E-2</v>
      </c>
      <c r="F14" s="286">
        <v>3.7499999999999999E-2</v>
      </c>
    </row>
    <row r="15" spans="2:6" ht="15.75">
      <c r="B15" s="281">
        <v>2026</v>
      </c>
      <c r="C15" s="285">
        <v>136549</v>
      </c>
      <c r="D15" s="286">
        <v>4.9000000000000002E-2</v>
      </c>
      <c r="E15" s="286">
        <v>4.8000000000000001E-2</v>
      </c>
      <c r="F15" s="286">
        <v>4.0500000000000001E-2</v>
      </c>
    </row>
    <row r="18" spans="2:2">
      <c r="B18" t="s">
        <v>4364</v>
      </c>
    </row>
  </sheetData>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D4ED0-4DE0-4F62-9E44-89232D60EE60}">
  <sheetPr codeName="Tabelle38"/>
  <dimension ref="A1:DO102"/>
  <sheetViews>
    <sheetView workbookViewId="0">
      <pane xSplit="1" ySplit="1" topLeftCell="BF11" activePane="bottomRight" state="frozen"/>
      <selection pane="topRight" activeCell="B1" sqref="B1"/>
      <selection pane="bottomLeft" activeCell="A2" sqref="A2"/>
      <selection pane="bottomRight" activeCell="BZ47" sqref="BZ47"/>
    </sheetView>
  </sheetViews>
  <sheetFormatPr baseColWidth="10" defaultColWidth="12.5703125" defaultRowHeight="11.25"/>
  <cols>
    <col min="1" max="119" width="7.5703125" style="51" customWidth="1"/>
    <col min="120" max="16384" width="12.5703125" style="51"/>
  </cols>
  <sheetData>
    <row r="1" spans="1:119" s="49" customFormat="1">
      <c r="A1" s="48"/>
      <c r="B1" s="49">
        <v>1900</v>
      </c>
      <c r="C1" s="49">
        <v>1901</v>
      </c>
      <c r="D1" s="49">
        <v>1902</v>
      </c>
      <c r="E1" s="49">
        <v>1903</v>
      </c>
      <c r="F1" s="49">
        <v>1904</v>
      </c>
      <c r="G1" s="49">
        <v>1905</v>
      </c>
      <c r="H1" s="49">
        <v>1906</v>
      </c>
      <c r="I1" s="49">
        <v>1907</v>
      </c>
      <c r="J1" s="49">
        <v>1908</v>
      </c>
      <c r="K1" s="49">
        <v>1909</v>
      </c>
      <c r="L1" s="49">
        <v>1910</v>
      </c>
      <c r="M1" s="49">
        <v>1911</v>
      </c>
      <c r="N1" s="49">
        <v>1912</v>
      </c>
      <c r="O1" s="49">
        <v>1913</v>
      </c>
      <c r="P1" s="49">
        <v>1914</v>
      </c>
      <c r="Q1" s="49">
        <v>1915</v>
      </c>
      <c r="R1" s="49">
        <v>1916</v>
      </c>
      <c r="S1" s="49">
        <v>1917</v>
      </c>
      <c r="T1" s="49">
        <v>1918</v>
      </c>
      <c r="U1" s="49">
        <v>1919</v>
      </c>
      <c r="V1" s="49">
        <v>1920</v>
      </c>
      <c r="W1" s="49">
        <v>1921</v>
      </c>
      <c r="X1" s="49">
        <v>1922</v>
      </c>
      <c r="Y1" s="49">
        <v>1923</v>
      </c>
      <c r="Z1" s="49">
        <v>1924</v>
      </c>
      <c r="AA1" s="49">
        <v>1925</v>
      </c>
      <c r="AB1" s="49">
        <v>1926</v>
      </c>
      <c r="AC1" s="49">
        <v>1927</v>
      </c>
      <c r="AD1" s="49">
        <v>1928</v>
      </c>
      <c r="AE1" s="49">
        <v>1929</v>
      </c>
      <c r="AF1" s="49">
        <v>1930</v>
      </c>
      <c r="AG1" s="49">
        <v>1931</v>
      </c>
      <c r="AH1" s="49">
        <v>1932</v>
      </c>
      <c r="AI1" s="49">
        <v>1933</v>
      </c>
      <c r="AJ1" s="49">
        <v>1934</v>
      </c>
      <c r="AK1" s="49">
        <v>1935</v>
      </c>
      <c r="AL1" s="49">
        <v>1936</v>
      </c>
      <c r="AM1" s="49">
        <v>1937</v>
      </c>
      <c r="AN1" s="49">
        <v>1938</v>
      </c>
      <c r="AO1" s="49">
        <v>1939</v>
      </c>
      <c r="AP1" s="49">
        <v>1940</v>
      </c>
      <c r="AQ1" s="49">
        <v>1941</v>
      </c>
      <c r="AR1" s="49">
        <v>1942</v>
      </c>
      <c r="AS1" s="49">
        <v>1943</v>
      </c>
      <c r="AT1" s="49">
        <v>1944</v>
      </c>
      <c r="AU1" s="49">
        <v>1945</v>
      </c>
      <c r="AV1" s="49">
        <v>1946</v>
      </c>
      <c r="AW1" s="49">
        <v>1947</v>
      </c>
      <c r="AX1" s="49">
        <v>1948</v>
      </c>
      <c r="AY1" s="49">
        <v>1949</v>
      </c>
      <c r="AZ1" s="49">
        <v>1950</v>
      </c>
      <c r="BA1" s="49">
        <v>1951</v>
      </c>
      <c r="BB1" s="49">
        <v>1952</v>
      </c>
      <c r="BC1" s="49">
        <v>1953</v>
      </c>
      <c r="BD1" s="49">
        <v>1954</v>
      </c>
      <c r="BE1" s="49">
        <v>1955</v>
      </c>
      <c r="BF1" s="49">
        <v>1956</v>
      </c>
      <c r="BG1" s="49">
        <v>1957</v>
      </c>
      <c r="BH1" s="49">
        <v>1958</v>
      </c>
      <c r="BI1" s="49">
        <v>1959</v>
      </c>
      <c r="BJ1" s="49">
        <v>1960</v>
      </c>
      <c r="BK1" s="49">
        <v>1961</v>
      </c>
      <c r="BL1" s="49">
        <v>1962</v>
      </c>
      <c r="BM1" s="49">
        <v>1963</v>
      </c>
      <c r="BN1" s="49">
        <v>1964</v>
      </c>
      <c r="BO1" s="49">
        <v>1965</v>
      </c>
      <c r="BP1" s="49">
        <v>1966</v>
      </c>
      <c r="BQ1" s="49">
        <v>1967</v>
      </c>
      <c r="BR1" s="49">
        <v>1968</v>
      </c>
      <c r="BS1" s="49">
        <v>1969</v>
      </c>
      <c r="BT1" s="49">
        <v>1970</v>
      </c>
      <c r="BU1" s="49">
        <v>1971</v>
      </c>
      <c r="BV1" s="49">
        <v>1972</v>
      </c>
      <c r="BW1" s="49">
        <v>1973</v>
      </c>
      <c r="BX1" s="49">
        <v>1974</v>
      </c>
      <c r="BY1" s="49">
        <v>1975</v>
      </c>
      <c r="BZ1" s="49">
        <v>1976</v>
      </c>
      <c r="CA1" s="49">
        <v>1977</v>
      </c>
      <c r="CB1" s="49">
        <v>1978</v>
      </c>
      <c r="CC1" s="49">
        <v>1979</v>
      </c>
      <c r="CD1" s="49">
        <v>1980</v>
      </c>
      <c r="CE1" s="49">
        <v>1981</v>
      </c>
      <c r="CF1" s="49">
        <v>1982</v>
      </c>
      <c r="CG1" s="49">
        <v>1983</v>
      </c>
      <c r="CH1" s="49">
        <v>1984</v>
      </c>
      <c r="CI1" s="49">
        <v>1985</v>
      </c>
      <c r="CJ1" s="49">
        <v>1986</v>
      </c>
      <c r="CK1" s="49">
        <v>1987</v>
      </c>
      <c r="CL1" s="49">
        <v>1988</v>
      </c>
      <c r="CM1" s="49">
        <v>1989</v>
      </c>
      <c r="CN1" s="49">
        <v>1990</v>
      </c>
      <c r="CO1" s="49">
        <v>1991</v>
      </c>
      <c r="CP1" s="49">
        <v>1992</v>
      </c>
      <c r="CQ1" s="49">
        <v>1993</v>
      </c>
      <c r="CR1" s="49">
        <v>1994</v>
      </c>
      <c r="CS1" s="49">
        <v>1995</v>
      </c>
      <c r="CT1" s="49">
        <v>1996</v>
      </c>
      <c r="CU1" s="49">
        <v>1997</v>
      </c>
      <c r="CV1" s="49">
        <v>1998</v>
      </c>
      <c r="CW1" s="49">
        <v>1999</v>
      </c>
      <c r="CX1" s="49">
        <v>2000</v>
      </c>
      <c r="CY1" s="49">
        <v>2001</v>
      </c>
      <c r="CZ1" s="49">
        <v>2002</v>
      </c>
      <c r="DA1" s="49">
        <v>2003</v>
      </c>
      <c r="DB1" s="49">
        <v>2004</v>
      </c>
      <c r="DC1" s="49">
        <v>2005</v>
      </c>
      <c r="DD1" s="49">
        <v>2006</v>
      </c>
      <c r="DE1" s="49">
        <v>2007</v>
      </c>
      <c r="DF1" s="49">
        <v>2008</v>
      </c>
      <c r="DG1" s="49">
        <v>2009</v>
      </c>
      <c r="DH1" s="49">
        <v>2010</v>
      </c>
      <c r="DI1" s="49">
        <v>2011</v>
      </c>
      <c r="DJ1" s="49">
        <v>2012</v>
      </c>
      <c r="DK1" s="49">
        <v>2013</v>
      </c>
      <c r="DL1" s="49">
        <v>2014</v>
      </c>
      <c r="DM1" s="49">
        <v>2015</v>
      </c>
      <c r="DN1" s="49">
        <v>2016</v>
      </c>
      <c r="DO1" s="49">
        <v>2017</v>
      </c>
    </row>
    <row r="2" spans="1:119">
      <c r="A2" s="50">
        <v>0</v>
      </c>
      <c r="B2" s="50"/>
      <c r="C2" s="50"/>
      <c r="D2" s="50"/>
      <c r="E2" s="50"/>
      <c r="F2" s="50"/>
      <c r="G2" s="50"/>
      <c r="H2" s="50"/>
      <c r="I2" s="50"/>
      <c r="J2" s="50"/>
      <c r="K2" s="50"/>
      <c r="L2" s="50"/>
      <c r="M2" s="50"/>
      <c r="N2" s="50"/>
      <c r="O2" s="50"/>
      <c r="P2" s="50"/>
      <c r="Q2" s="50"/>
      <c r="R2" s="50"/>
      <c r="S2" s="50"/>
      <c r="T2" s="50"/>
      <c r="U2" s="50"/>
      <c r="V2" s="50"/>
      <c r="W2" s="50">
        <v>100000</v>
      </c>
      <c r="X2" s="50">
        <v>100000</v>
      </c>
      <c r="Y2" s="50">
        <v>100000</v>
      </c>
      <c r="Z2" s="50">
        <v>100000</v>
      </c>
      <c r="AA2" s="50">
        <v>100000</v>
      </c>
      <c r="AB2" s="50">
        <v>100000</v>
      </c>
      <c r="AC2" s="50">
        <v>100000</v>
      </c>
      <c r="AD2" s="50">
        <v>100000</v>
      </c>
      <c r="AE2" s="50">
        <v>100000</v>
      </c>
      <c r="AF2" s="50">
        <v>100000</v>
      </c>
      <c r="AG2" s="50">
        <v>100000</v>
      </c>
      <c r="AH2" s="50">
        <v>100000</v>
      </c>
      <c r="AI2" s="50">
        <v>100000</v>
      </c>
      <c r="AJ2" s="50">
        <v>100000</v>
      </c>
      <c r="AK2" s="50">
        <v>100000</v>
      </c>
      <c r="AL2" s="50">
        <v>100000</v>
      </c>
      <c r="AM2" s="50">
        <v>100000</v>
      </c>
      <c r="AN2" s="50">
        <v>100000</v>
      </c>
      <c r="AO2" s="50">
        <v>100000</v>
      </c>
      <c r="AP2" s="50">
        <v>100000</v>
      </c>
      <c r="AQ2" s="50">
        <v>100000</v>
      </c>
      <c r="AR2" s="50">
        <v>100000</v>
      </c>
      <c r="AS2" s="50">
        <v>100000</v>
      </c>
      <c r="AT2" s="50">
        <v>100000</v>
      </c>
      <c r="AU2" s="50">
        <v>100000</v>
      </c>
      <c r="AV2" s="50">
        <v>100000</v>
      </c>
      <c r="AW2" s="50">
        <v>100000</v>
      </c>
      <c r="AX2" s="50">
        <v>100000</v>
      </c>
      <c r="AY2" s="50">
        <v>100000</v>
      </c>
      <c r="AZ2" s="50">
        <v>100000</v>
      </c>
      <c r="BA2" s="50">
        <v>100000</v>
      </c>
      <c r="BB2" s="50">
        <v>100000</v>
      </c>
      <c r="BC2" s="50">
        <v>100000</v>
      </c>
      <c r="BD2" s="50">
        <v>100000</v>
      </c>
      <c r="BE2" s="50">
        <v>100000</v>
      </c>
      <c r="BF2" s="50">
        <v>100000</v>
      </c>
      <c r="BG2" s="50">
        <v>100000</v>
      </c>
      <c r="BH2" s="50">
        <v>100000</v>
      </c>
      <c r="BI2" s="50">
        <v>100000</v>
      </c>
      <c r="BJ2" s="50">
        <v>100000</v>
      </c>
      <c r="BK2" s="50">
        <v>100000</v>
      </c>
      <c r="BL2" s="50">
        <v>100000</v>
      </c>
      <c r="BM2" s="50">
        <v>100000</v>
      </c>
      <c r="BN2" s="50">
        <v>100000</v>
      </c>
      <c r="BO2" s="50">
        <v>100000</v>
      </c>
      <c r="BP2" s="50">
        <v>100000</v>
      </c>
      <c r="BQ2" s="50">
        <v>100000</v>
      </c>
      <c r="BR2" s="50">
        <v>100000</v>
      </c>
      <c r="BS2" s="50">
        <v>100000</v>
      </c>
      <c r="BT2" s="50">
        <v>100000</v>
      </c>
      <c r="BU2" s="50">
        <v>100000</v>
      </c>
      <c r="BV2" s="50">
        <v>100000</v>
      </c>
      <c r="BW2" s="50">
        <v>100000</v>
      </c>
      <c r="BX2" s="50">
        <v>100000</v>
      </c>
      <c r="BY2" s="50">
        <v>100000</v>
      </c>
      <c r="BZ2" s="50">
        <v>100000</v>
      </c>
      <c r="CA2" s="50">
        <v>100000</v>
      </c>
      <c r="CB2" s="50">
        <v>100000</v>
      </c>
      <c r="CC2" s="50">
        <v>100000</v>
      </c>
      <c r="CD2" s="50">
        <v>100000</v>
      </c>
      <c r="CE2" s="50">
        <v>100000</v>
      </c>
      <c r="CF2" s="50">
        <v>100000</v>
      </c>
      <c r="CG2" s="50">
        <v>100000</v>
      </c>
      <c r="CH2" s="50">
        <v>100000</v>
      </c>
      <c r="CI2" s="50">
        <v>100000</v>
      </c>
      <c r="CJ2" s="50">
        <v>100000</v>
      </c>
      <c r="CK2" s="50">
        <v>100000</v>
      </c>
      <c r="CL2" s="50">
        <v>100000</v>
      </c>
      <c r="CM2" s="50">
        <v>100000</v>
      </c>
      <c r="CN2" s="50">
        <v>100000</v>
      </c>
      <c r="CO2" s="50">
        <v>100000</v>
      </c>
      <c r="CP2" s="50">
        <v>100000</v>
      </c>
      <c r="CQ2" s="50">
        <v>100000</v>
      </c>
      <c r="CR2" s="50">
        <v>100000</v>
      </c>
      <c r="CS2" s="50">
        <v>100000</v>
      </c>
      <c r="CT2" s="50">
        <v>100000</v>
      </c>
      <c r="CU2" s="50">
        <v>100000</v>
      </c>
      <c r="CV2" s="50">
        <v>100000</v>
      </c>
      <c r="CW2" s="50">
        <v>100000</v>
      </c>
      <c r="CX2" s="50">
        <v>100000</v>
      </c>
      <c r="CY2" s="50">
        <v>100000</v>
      </c>
      <c r="CZ2" s="50">
        <v>100000</v>
      </c>
      <c r="DA2" s="50">
        <v>100000</v>
      </c>
      <c r="DB2" s="50">
        <v>100000</v>
      </c>
      <c r="DC2" s="50">
        <v>100000</v>
      </c>
      <c r="DD2" s="50">
        <v>100000</v>
      </c>
      <c r="DE2" s="50">
        <v>100000</v>
      </c>
      <c r="DF2" s="50">
        <v>100000</v>
      </c>
      <c r="DG2" s="50">
        <v>100000</v>
      </c>
      <c r="DH2" s="50">
        <v>100000</v>
      </c>
      <c r="DI2" s="50">
        <v>100000</v>
      </c>
      <c r="DJ2" s="50">
        <v>100000</v>
      </c>
      <c r="DK2" s="50">
        <v>100000</v>
      </c>
      <c r="DL2" s="50">
        <v>100000</v>
      </c>
      <c r="DM2" s="50">
        <v>100000</v>
      </c>
      <c r="DN2" s="50">
        <v>100000</v>
      </c>
      <c r="DO2" s="50">
        <v>100000</v>
      </c>
    </row>
    <row r="3" spans="1:119">
      <c r="A3" s="50">
        <v>1</v>
      </c>
      <c r="B3" s="50"/>
      <c r="C3" s="50"/>
      <c r="D3" s="50"/>
      <c r="E3" s="50"/>
      <c r="F3" s="50"/>
      <c r="G3" s="50"/>
      <c r="H3" s="50"/>
      <c r="I3" s="50"/>
      <c r="J3" s="50"/>
      <c r="K3" s="50"/>
      <c r="L3" s="50"/>
      <c r="M3" s="50"/>
      <c r="N3" s="50"/>
      <c r="O3" s="50"/>
      <c r="P3" s="50"/>
      <c r="Q3" s="50"/>
      <c r="R3" s="50"/>
      <c r="S3" s="50"/>
      <c r="T3" s="50"/>
      <c r="U3" s="50"/>
      <c r="V3" s="50"/>
      <c r="W3" s="50">
        <v>85361</v>
      </c>
      <c r="X3" s="50">
        <v>85800</v>
      </c>
      <c r="Y3" s="50">
        <v>85600</v>
      </c>
      <c r="Z3" s="50">
        <v>88100</v>
      </c>
      <c r="AA3" s="50">
        <v>88400</v>
      </c>
      <c r="AB3" s="50">
        <v>88800</v>
      </c>
      <c r="AC3" s="50">
        <v>89300</v>
      </c>
      <c r="AD3" s="50">
        <v>90100</v>
      </c>
      <c r="AE3" s="50">
        <v>89449</v>
      </c>
      <c r="AF3" s="50">
        <v>90667</v>
      </c>
      <c r="AG3" s="50">
        <v>90946</v>
      </c>
      <c r="AH3" s="50">
        <v>91300</v>
      </c>
      <c r="AI3" s="50">
        <v>91500</v>
      </c>
      <c r="AJ3" s="50">
        <v>92600</v>
      </c>
      <c r="AK3" s="50">
        <v>92370</v>
      </c>
      <c r="AL3" s="50">
        <v>92600</v>
      </c>
      <c r="AM3" s="50">
        <v>92795</v>
      </c>
      <c r="AN3" s="50">
        <v>93179</v>
      </c>
      <c r="AO3" s="50">
        <v>93031</v>
      </c>
      <c r="AP3" s="50">
        <v>93031</v>
      </c>
      <c r="AQ3" s="50">
        <v>93031</v>
      </c>
      <c r="AR3" s="50">
        <v>93031</v>
      </c>
      <c r="AS3" s="50">
        <v>92334</v>
      </c>
      <c r="AT3" s="50">
        <v>91289</v>
      </c>
      <c r="AU3" s="50">
        <v>89547</v>
      </c>
      <c r="AV3" s="50">
        <v>89840</v>
      </c>
      <c r="AW3" s="50">
        <v>89840</v>
      </c>
      <c r="AX3" s="50">
        <v>91832</v>
      </c>
      <c r="AY3" s="50">
        <v>93823</v>
      </c>
      <c r="AZ3" s="50">
        <v>93823</v>
      </c>
      <c r="BA3" s="50">
        <v>93823</v>
      </c>
      <c r="BB3" s="50">
        <v>94536</v>
      </c>
      <c r="BC3" s="50">
        <v>94715</v>
      </c>
      <c r="BD3" s="50">
        <v>95183</v>
      </c>
      <c r="BE3" s="50">
        <v>95225</v>
      </c>
      <c r="BF3" s="50">
        <v>95577</v>
      </c>
      <c r="BG3" s="50">
        <v>95600</v>
      </c>
      <c r="BH3" s="50">
        <v>95868</v>
      </c>
      <c r="BI3" s="50">
        <v>96065</v>
      </c>
      <c r="BJ3" s="50">
        <v>96132</v>
      </c>
      <c r="BK3" s="50">
        <v>96429</v>
      </c>
      <c r="BL3" s="50">
        <v>96699</v>
      </c>
      <c r="BM3" s="50">
        <v>96914</v>
      </c>
      <c r="BN3" s="50">
        <v>97182</v>
      </c>
      <c r="BO3" s="50">
        <v>97335</v>
      </c>
      <c r="BP3" s="50">
        <v>97393</v>
      </c>
      <c r="BQ3" s="50">
        <v>97462</v>
      </c>
      <c r="BR3" s="50">
        <v>97516</v>
      </c>
      <c r="BS3" s="50">
        <v>97440</v>
      </c>
      <c r="BT3" s="50">
        <v>97465</v>
      </c>
      <c r="BU3" s="50">
        <v>97534</v>
      </c>
      <c r="BV3" s="50">
        <v>97595</v>
      </c>
      <c r="BW3" s="50">
        <v>97605</v>
      </c>
      <c r="BX3" s="50">
        <v>97718</v>
      </c>
      <c r="BY3" s="50">
        <v>97880</v>
      </c>
      <c r="BZ3" s="50">
        <v>98159</v>
      </c>
      <c r="CA3" s="50">
        <v>98319</v>
      </c>
      <c r="CB3" s="50">
        <v>98375</v>
      </c>
      <c r="CC3" s="50">
        <v>98518</v>
      </c>
      <c r="CD3" s="50">
        <v>98581</v>
      </c>
      <c r="CE3" s="50">
        <v>98658</v>
      </c>
      <c r="CF3" s="50">
        <v>98786</v>
      </c>
      <c r="CG3" s="50">
        <v>98841</v>
      </c>
      <c r="CH3" s="50">
        <v>98926</v>
      </c>
      <c r="CI3" s="50">
        <v>98981</v>
      </c>
      <c r="CJ3" s="50">
        <v>99017</v>
      </c>
      <c r="CK3" s="50">
        <v>99046</v>
      </c>
      <c r="CL3" s="50">
        <v>99128</v>
      </c>
      <c r="CM3" s="50">
        <v>99142</v>
      </c>
      <c r="CN3" s="50">
        <v>99196</v>
      </c>
      <c r="CO3" s="50">
        <v>99271</v>
      </c>
      <c r="CP3" s="50">
        <v>99325</v>
      </c>
      <c r="CQ3" s="50">
        <v>99366</v>
      </c>
      <c r="CR3" s="50">
        <v>99383</v>
      </c>
      <c r="CS3" s="50">
        <v>99420</v>
      </c>
      <c r="CT3" s="50">
        <v>99444</v>
      </c>
      <c r="CU3" s="50">
        <v>99464</v>
      </c>
      <c r="CV3" s="50">
        <v>99487</v>
      </c>
      <c r="CW3" s="50">
        <v>99500</v>
      </c>
      <c r="CX3" s="50">
        <v>99530</v>
      </c>
      <c r="CY3" s="50">
        <v>99526</v>
      </c>
      <c r="CZ3" s="50">
        <v>99545</v>
      </c>
      <c r="DA3" s="50">
        <v>99531</v>
      </c>
      <c r="DB3" s="50">
        <v>99559</v>
      </c>
      <c r="DC3" s="50">
        <v>99574</v>
      </c>
      <c r="DD3" s="50">
        <v>99577</v>
      </c>
      <c r="DE3" s="50">
        <v>99572</v>
      </c>
      <c r="DF3" s="50">
        <v>99609</v>
      </c>
      <c r="DG3" s="50">
        <v>99611</v>
      </c>
      <c r="DH3" s="50">
        <v>99619</v>
      </c>
      <c r="DI3" s="50">
        <v>99614</v>
      </c>
      <c r="DJ3" s="50">
        <v>99651</v>
      </c>
      <c r="DK3" s="50">
        <v>99646</v>
      </c>
      <c r="DL3" s="50">
        <v>99645</v>
      </c>
      <c r="DM3" s="50">
        <v>99662</v>
      </c>
      <c r="DN3" s="50">
        <v>99678</v>
      </c>
      <c r="DO3" s="50">
        <v>99694</v>
      </c>
    </row>
    <row r="4" spans="1:119">
      <c r="A4" s="50">
        <v>2</v>
      </c>
      <c r="B4" s="50"/>
      <c r="C4" s="50"/>
      <c r="D4" s="50"/>
      <c r="E4" s="50"/>
      <c r="F4" s="50"/>
      <c r="G4" s="50"/>
      <c r="H4" s="50"/>
      <c r="I4" s="50"/>
      <c r="J4" s="50"/>
      <c r="K4" s="50"/>
      <c r="L4" s="50"/>
      <c r="M4" s="50"/>
      <c r="N4" s="50"/>
      <c r="O4" s="50"/>
      <c r="P4" s="50"/>
      <c r="Q4" s="50"/>
      <c r="R4" s="50"/>
      <c r="S4" s="50"/>
      <c r="T4" s="50"/>
      <c r="U4" s="50"/>
      <c r="V4" s="50"/>
      <c r="W4" s="50">
        <v>83660</v>
      </c>
      <c r="X4" s="50">
        <v>84066</v>
      </c>
      <c r="Y4" s="50">
        <v>84214</v>
      </c>
      <c r="Z4" s="50">
        <v>86674</v>
      </c>
      <c r="AA4" s="50">
        <v>86969</v>
      </c>
      <c r="AB4" s="50">
        <v>87467</v>
      </c>
      <c r="AC4" s="50">
        <v>88200</v>
      </c>
      <c r="AD4" s="50">
        <v>88917</v>
      </c>
      <c r="AE4" s="50">
        <v>88543</v>
      </c>
      <c r="AF4" s="50">
        <v>89776</v>
      </c>
      <c r="AG4" s="50">
        <v>90104</v>
      </c>
      <c r="AH4" s="50">
        <v>90455</v>
      </c>
      <c r="AI4" s="50">
        <v>90653</v>
      </c>
      <c r="AJ4" s="50">
        <v>91833</v>
      </c>
      <c r="AK4" s="50">
        <v>91628</v>
      </c>
      <c r="AL4" s="50">
        <v>91876</v>
      </c>
      <c r="AM4" s="50">
        <v>92108</v>
      </c>
      <c r="AN4" s="50">
        <v>92474</v>
      </c>
      <c r="AO4" s="50">
        <v>92328</v>
      </c>
      <c r="AP4" s="50">
        <v>92328</v>
      </c>
      <c r="AQ4" s="50">
        <v>92328</v>
      </c>
      <c r="AR4" s="50">
        <v>92257</v>
      </c>
      <c r="AS4" s="50">
        <v>91461</v>
      </c>
      <c r="AT4" s="50">
        <v>90253</v>
      </c>
      <c r="AU4" s="50">
        <v>88629</v>
      </c>
      <c r="AV4" s="50">
        <v>88919</v>
      </c>
      <c r="AW4" s="50">
        <v>89100</v>
      </c>
      <c r="AX4" s="50">
        <v>91449</v>
      </c>
      <c r="AY4" s="50">
        <v>93433</v>
      </c>
      <c r="AZ4" s="50">
        <v>93433</v>
      </c>
      <c r="BA4" s="50">
        <v>93458</v>
      </c>
      <c r="BB4" s="50">
        <v>94190</v>
      </c>
      <c r="BC4" s="50">
        <v>94406</v>
      </c>
      <c r="BD4" s="50">
        <v>94865</v>
      </c>
      <c r="BE4" s="50">
        <v>94913</v>
      </c>
      <c r="BF4" s="50">
        <v>95271</v>
      </c>
      <c r="BG4" s="50">
        <v>95312</v>
      </c>
      <c r="BH4" s="50">
        <v>95587</v>
      </c>
      <c r="BI4" s="50">
        <v>95812</v>
      </c>
      <c r="BJ4" s="50">
        <v>95895</v>
      </c>
      <c r="BK4" s="50">
        <v>96201</v>
      </c>
      <c r="BL4" s="50">
        <v>96477</v>
      </c>
      <c r="BM4" s="50">
        <v>96732</v>
      </c>
      <c r="BN4" s="50">
        <v>96990</v>
      </c>
      <c r="BO4" s="50">
        <v>97158</v>
      </c>
      <c r="BP4" s="50">
        <v>97215</v>
      </c>
      <c r="BQ4" s="50">
        <v>97298</v>
      </c>
      <c r="BR4" s="50">
        <v>97332</v>
      </c>
      <c r="BS4" s="50">
        <v>97281</v>
      </c>
      <c r="BT4" s="50">
        <v>97324</v>
      </c>
      <c r="BU4" s="50">
        <v>97397</v>
      </c>
      <c r="BV4" s="50">
        <v>97472</v>
      </c>
      <c r="BW4" s="50">
        <v>97480</v>
      </c>
      <c r="BX4" s="50">
        <v>97594</v>
      </c>
      <c r="BY4" s="50">
        <v>97767</v>
      </c>
      <c r="BZ4" s="50">
        <v>98047</v>
      </c>
      <c r="CA4" s="50">
        <v>98214</v>
      </c>
      <c r="CB4" s="50">
        <v>98270</v>
      </c>
      <c r="CC4" s="50">
        <v>98425</v>
      </c>
      <c r="CD4" s="50">
        <v>98483</v>
      </c>
      <c r="CE4" s="50">
        <v>98557</v>
      </c>
      <c r="CF4" s="50">
        <v>98694</v>
      </c>
      <c r="CG4" s="50">
        <v>98756</v>
      </c>
      <c r="CH4" s="50">
        <v>98839</v>
      </c>
      <c r="CI4" s="50">
        <v>98910</v>
      </c>
      <c r="CJ4" s="50">
        <v>98936</v>
      </c>
      <c r="CK4" s="50">
        <v>98975</v>
      </c>
      <c r="CL4" s="50">
        <v>99064</v>
      </c>
      <c r="CM4" s="50">
        <v>99075</v>
      </c>
      <c r="CN4" s="50">
        <v>99133</v>
      </c>
      <c r="CO4" s="50">
        <v>99220</v>
      </c>
      <c r="CP4" s="50">
        <v>99271</v>
      </c>
      <c r="CQ4" s="50">
        <v>99315</v>
      </c>
      <c r="CR4" s="50">
        <v>99326</v>
      </c>
      <c r="CS4" s="50">
        <v>99376</v>
      </c>
      <c r="CT4" s="50">
        <v>99394</v>
      </c>
      <c r="CU4" s="50">
        <v>99420</v>
      </c>
      <c r="CV4" s="50">
        <v>99447</v>
      </c>
      <c r="CW4" s="50">
        <v>99451</v>
      </c>
      <c r="CX4" s="50">
        <v>99489</v>
      </c>
      <c r="CY4" s="50">
        <v>99483</v>
      </c>
      <c r="CZ4" s="50">
        <v>99503</v>
      </c>
      <c r="DA4" s="50">
        <v>99493</v>
      </c>
      <c r="DB4" s="50">
        <v>99528</v>
      </c>
      <c r="DC4" s="50">
        <v>99535</v>
      </c>
      <c r="DD4" s="50">
        <v>99544</v>
      </c>
      <c r="DE4" s="50">
        <v>99540</v>
      </c>
      <c r="DF4" s="50">
        <v>99574</v>
      </c>
      <c r="DG4" s="50">
        <v>99580</v>
      </c>
      <c r="DH4" s="50">
        <v>99590</v>
      </c>
      <c r="DI4" s="50">
        <v>99586</v>
      </c>
      <c r="DJ4" s="50">
        <v>99625</v>
      </c>
      <c r="DK4" s="50">
        <v>99622</v>
      </c>
      <c r="DL4" s="50">
        <v>99624</v>
      </c>
      <c r="DM4" s="50">
        <v>99642</v>
      </c>
      <c r="DN4" s="50">
        <v>99659</v>
      </c>
      <c r="DO4" s="50">
        <v>99675</v>
      </c>
    </row>
    <row r="5" spans="1:119">
      <c r="A5" s="50">
        <v>3</v>
      </c>
      <c r="B5" s="50"/>
      <c r="C5" s="50"/>
      <c r="D5" s="50"/>
      <c r="E5" s="50"/>
      <c r="F5" s="50"/>
      <c r="G5" s="50"/>
      <c r="H5" s="50"/>
      <c r="I5" s="50"/>
      <c r="J5" s="50"/>
      <c r="K5" s="50"/>
      <c r="L5" s="50"/>
      <c r="M5" s="50"/>
      <c r="N5" s="50"/>
      <c r="O5" s="50"/>
      <c r="P5" s="50"/>
      <c r="Q5" s="50"/>
      <c r="R5" s="50"/>
      <c r="S5" s="50"/>
      <c r="T5" s="50"/>
      <c r="U5" s="50"/>
      <c r="V5" s="50"/>
      <c r="W5" s="50">
        <v>82712</v>
      </c>
      <c r="X5" s="50">
        <v>83532</v>
      </c>
      <c r="Y5" s="50">
        <v>83679</v>
      </c>
      <c r="Z5" s="50">
        <v>86122</v>
      </c>
      <c r="AA5" s="50">
        <v>86379</v>
      </c>
      <c r="AB5" s="50">
        <v>86952</v>
      </c>
      <c r="AC5" s="50">
        <v>87594</v>
      </c>
      <c r="AD5" s="50">
        <v>88412</v>
      </c>
      <c r="AE5" s="50">
        <v>88110</v>
      </c>
      <c r="AF5" s="50">
        <v>89372</v>
      </c>
      <c r="AG5" s="50">
        <v>89698</v>
      </c>
      <c r="AH5" s="50">
        <v>90048</v>
      </c>
      <c r="AI5" s="50">
        <v>90174</v>
      </c>
      <c r="AJ5" s="50">
        <v>91339</v>
      </c>
      <c r="AK5" s="50">
        <v>91171</v>
      </c>
      <c r="AL5" s="50">
        <v>91445</v>
      </c>
      <c r="AM5" s="50">
        <v>91640</v>
      </c>
      <c r="AN5" s="50">
        <v>92004</v>
      </c>
      <c r="AO5" s="50">
        <v>91858</v>
      </c>
      <c r="AP5" s="50">
        <v>91858</v>
      </c>
      <c r="AQ5" s="50">
        <v>91811</v>
      </c>
      <c r="AR5" s="50">
        <v>91671</v>
      </c>
      <c r="AS5" s="50">
        <v>90764</v>
      </c>
      <c r="AT5" s="50">
        <v>89728</v>
      </c>
      <c r="AU5" s="50">
        <v>88113</v>
      </c>
      <c r="AV5" s="50">
        <v>88591</v>
      </c>
      <c r="AW5" s="50">
        <v>88880</v>
      </c>
      <c r="AX5" s="50">
        <v>91225</v>
      </c>
      <c r="AY5" s="50">
        <v>93203</v>
      </c>
      <c r="AZ5" s="50">
        <v>93237</v>
      </c>
      <c r="BA5" s="50">
        <v>93280</v>
      </c>
      <c r="BB5" s="50">
        <v>94017</v>
      </c>
      <c r="BC5" s="50">
        <v>94237</v>
      </c>
      <c r="BD5" s="50">
        <v>94712</v>
      </c>
      <c r="BE5" s="50">
        <v>94756</v>
      </c>
      <c r="BF5" s="50">
        <v>95133</v>
      </c>
      <c r="BG5" s="50">
        <v>95161</v>
      </c>
      <c r="BH5" s="50">
        <v>95445</v>
      </c>
      <c r="BI5" s="50">
        <v>95682</v>
      </c>
      <c r="BJ5" s="50">
        <v>95762</v>
      </c>
      <c r="BK5" s="50">
        <v>96076</v>
      </c>
      <c r="BL5" s="50">
        <v>96359</v>
      </c>
      <c r="BM5" s="50">
        <v>96620</v>
      </c>
      <c r="BN5" s="50">
        <v>96880</v>
      </c>
      <c r="BO5" s="50">
        <v>97060</v>
      </c>
      <c r="BP5" s="50">
        <v>97116</v>
      </c>
      <c r="BQ5" s="50">
        <v>97196</v>
      </c>
      <c r="BR5" s="50">
        <v>97238</v>
      </c>
      <c r="BS5" s="50">
        <v>97183</v>
      </c>
      <c r="BT5" s="50">
        <v>97240</v>
      </c>
      <c r="BU5" s="50">
        <v>97310</v>
      </c>
      <c r="BV5" s="50">
        <v>97384</v>
      </c>
      <c r="BW5" s="50">
        <v>97402</v>
      </c>
      <c r="BX5" s="50">
        <v>97517</v>
      </c>
      <c r="BY5" s="50">
        <v>97695</v>
      </c>
      <c r="BZ5" s="50">
        <v>97973</v>
      </c>
      <c r="CA5" s="50">
        <v>98148</v>
      </c>
      <c r="CB5" s="50">
        <v>98205</v>
      </c>
      <c r="CC5" s="50">
        <v>98364</v>
      </c>
      <c r="CD5" s="50">
        <v>98432</v>
      </c>
      <c r="CE5" s="50">
        <v>98506</v>
      </c>
      <c r="CF5" s="50">
        <v>98648</v>
      </c>
      <c r="CG5" s="50">
        <v>98705</v>
      </c>
      <c r="CH5" s="50">
        <v>98791</v>
      </c>
      <c r="CI5" s="50">
        <v>98864</v>
      </c>
      <c r="CJ5" s="50">
        <v>98885</v>
      </c>
      <c r="CK5" s="50">
        <v>98932</v>
      </c>
      <c r="CL5" s="50">
        <v>99019</v>
      </c>
      <c r="CM5" s="50">
        <v>99030</v>
      </c>
      <c r="CN5" s="50">
        <v>99093</v>
      </c>
      <c r="CO5" s="50">
        <v>99182</v>
      </c>
      <c r="CP5" s="50">
        <v>99230</v>
      </c>
      <c r="CQ5" s="50">
        <v>99281</v>
      </c>
      <c r="CR5" s="50">
        <v>99298</v>
      </c>
      <c r="CS5" s="50">
        <v>99347</v>
      </c>
      <c r="CT5" s="50">
        <v>99362</v>
      </c>
      <c r="CU5" s="50">
        <v>99395</v>
      </c>
      <c r="CV5" s="50">
        <v>99417</v>
      </c>
      <c r="CW5" s="50">
        <v>99426</v>
      </c>
      <c r="CX5" s="50">
        <v>99471</v>
      </c>
      <c r="CY5" s="50">
        <v>99461</v>
      </c>
      <c r="CZ5" s="50">
        <v>99483</v>
      </c>
      <c r="DA5" s="50">
        <v>99475</v>
      </c>
      <c r="DB5" s="50">
        <v>99512</v>
      </c>
      <c r="DC5" s="50">
        <v>99514</v>
      </c>
      <c r="DD5" s="50">
        <v>99522</v>
      </c>
      <c r="DE5" s="50">
        <v>99520</v>
      </c>
      <c r="DF5" s="50">
        <v>99556</v>
      </c>
      <c r="DG5" s="50">
        <v>99563</v>
      </c>
      <c r="DH5" s="50">
        <v>99572</v>
      </c>
      <c r="DI5" s="50">
        <v>99576</v>
      </c>
      <c r="DJ5" s="50">
        <v>99609</v>
      </c>
      <c r="DK5" s="50">
        <v>99606</v>
      </c>
      <c r="DL5" s="50">
        <v>99608</v>
      </c>
      <c r="DM5" s="50">
        <v>99627</v>
      </c>
      <c r="DN5" s="50">
        <v>99645</v>
      </c>
      <c r="DO5" s="50">
        <v>99661</v>
      </c>
    </row>
    <row r="6" spans="1:119">
      <c r="A6" s="50">
        <v>4</v>
      </c>
      <c r="B6" s="50"/>
      <c r="C6" s="50"/>
      <c r="D6" s="50"/>
      <c r="E6" s="50"/>
      <c r="F6" s="50"/>
      <c r="G6" s="50"/>
      <c r="H6" s="50"/>
      <c r="I6" s="50"/>
      <c r="J6" s="50"/>
      <c r="K6" s="50"/>
      <c r="L6" s="50"/>
      <c r="M6" s="50"/>
      <c r="N6" s="50"/>
      <c r="O6" s="50"/>
      <c r="P6" s="50"/>
      <c r="Q6" s="50"/>
      <c r="R6" s="50"/>
      <c r="S6" s="50"/>
      <c r="T6" s="50"/>
      <c r="U6" s="50"/>
      <c r="V6" s="50"/>
      <c r="W6" s="50">
        <v>82378</v>
      </c>
      <c r="X6" s="50">
        <v>83194</v>
      </c>
      <c r="Y6" s="50">
        <v>83340</v>
      </c>
      <c r="Z6" s="50">
        <v>85752</v>
      </c>
      <c r="AA6" s="50">
        <v>86024</v>
      </c>
      <c r="AB6" s="50">
        <v>86534</v>
      </c>
      <c r="AC6" s="50">
        <v>87213</v>
      </c>
      <c r="AD6" s="50">
        <v>88082</v>
      </c>
      <c r="AE6" s="50">
        <v>87807</v>
      </c>
      <c r="AF6" s="50">
        <v>89065</v>
      </c>
      <c r="AG6" s="50">
        <v>89390</v>
      </c>
      <c r="AH6" s="50">
        <v>89684</v>
      </c>
      <c r="AI6" s="50">
        <v>89802</v>
      </c>
      <c r="AJ6" s="50">
        <v>90991</v>
      </c>
      <c r="AK6" s="50">
        <v>90845</v>
      </c>
      <c r="AL6" s="50">
        <v>91090</v>
      </c>
      <c r="AM6" s="50">
        <v>91283</v>
      </c>
      <c r="AN6" s="50">
        <v>91646</v>
      </c>
      <c r="AO6" s="50">
        <v>91501</v>
      </c>
      <c r="AP6" s="50">
        <v>91465</v>
      </c>
      <c r="AQ6" s="50">
        <v>91365</v>
      </c>
      <c r="AR6" s="50">
        <v>91136</v>
      </c>
      <c r="AS6" s="50">
        <v>90381</v>
      </c>
      <c r="AT6" s="50">
        <v>89349</v>
      </c>
      <c r="AU6" s="50">
        <v>87877</v>
      </c>
      <c r="AV6" s="50">
        <v>88419</v>
      </c>
      <c r="AW6" s="50">
        <v>88708</v>
      </c>
      <c r="AX6" s="50">
        <v>91048</v>
      </c>
      <c r="AY6" s="50">
        <v>93064</v>
      </c>
      <c r="AZ6" s="50">
        <v>93102</v>
      </c>
      <c r="BA6" s="50">
        <v>93161</v>
      </c>
      <c r="BB6" s="50">
        <v>93894</v>
      </c>
      <c r="BC6" s="50">
        <v>94120</v>
      </c>
      <c r="BD6" s="50">
        <v>94599</v>
      </c>
      <c r="BE6" s="50">
        <v>94655</v>
      </c>
      <c r="BF6" s="50">
        <v>95027</v>
      </c>
      <c r="BG6" s="50">
        <v>95058</v>
      </c>
      <c r="BH6" s="50">
        <v>95341</v>
      </c>
      <c r="BI6" s="50">
        <v>95588</v>
      </c>
      <c r="BJ6" s="50">
        <v>95668</v>
      </c>
      <c r="BK6" s="50">
        <v>95989</v>
      </c>
      <c r="BL6" s="50">
        <v>96271</v>
      </c>
      <c r="BM6" s="50">
        <v>96527</v>
      </c>
      <c r="BN6" s="50">
        <v>96795</v>
      </c>
      <c r="BO6" s="50">
        <v>96978</v>
      </c>
      <c r="BP6" s="50">
        <v>97032</v>
      </c>
      <c r="BQ6" s="50">
        <v>97114</v>
      </c>
      <c r="BR6" s="50">
        <v>97157</v>
      </c>
      <c r="BS6" s="50">
        <v>97101</v>
      </c>
      <c r="BT6" s="50">
        <v>97169</v>
      </c>
      <c r="BU6" s="50">
        <v>97240</v>
      </c>
      <c r="BV6" s="50">
        <v>97320</v>
      </c>
      <c r="BW6" s="50">
        <v>97336</v>
      </c>
      <c r="BX6" s="50">
        <v>97461</v>
      </c>
      <c r="BY6" s="50">
        <v>97637</v>
      </c>
      <c r="BZ6" s="50">
        <v>97919</v>
      </c>
      <c r="CA6" s="50">
        <v>98091</v>
      </c>
      <c r="CB6" s="50">
        <v>98155</v>
      </c>
      <c r="CC6" s="50">
        <v>98310</v>
      </c>
      <c r="CD6" s="50">
        <v>98391</v>
      </c>
      <c r="CE6" s="50">
        <v>98464</v>
      </c>
      <c r="CF6" s="50">
        <v>98613</v>
      </c>
      <c r="CG6" s="50">
        <v>98666</v>
      </c>
      <c r="CH6" s="50">
        <v>98757</v>
      </c>
      <c r="CI6" s="50">
        <v>98829</v>
      </c>
      <c r="CJ6" s="50">
        <v>98847</v>
      </c>
      <c r="CK6" s="50">
        <v>98893</v>
      </c>
      <c r="CL6" s="50">
        <v>98985</v>
      </c>
      <c r="CM6" s="50">
        <v>98999</v>
      </c>
      <c r="CN6" s="50">
        <v>99065</v>
      </c>
      <c r="CO6" s="50">
        <v>99157</v>
      </c>
      <c r="CP6" s="50">
        <v>99203</v>
      </c>
      <c r="CQ6" s="50">
        <v>99256</v>
      </c>
      <c r="CR6" s="50">
        <v>99276</v>
      </c>
      <c r="CS6" s="50">
        <v>99328</v>
      </c>
      <c r="CT6" s="50">
        <v>99340</v>
      </c>
      <c r="CU6" s="50">
        <v>99374</v>
      </c>
      <c r="CV6" s="50">
        <v>99396</v>
      </c>
      <c r="CW6" s="50">
        <v>99405</v>
      </c>
      <c r="CX6" s="50">
        <v>99453</v>
      </c>
      <c r="CY6" s="50">
        <v>99443</v>
      </c>
      <c r="CZ6" s="50">
        <v>99467</v>
      </c>
      <c r="DA6" s="50">
        <v>99459</v>
      </c>
      <c r="DB6" s="50">
        <v>99497</v>
      </c>
      <c r="DC6" s="50">
        <v>99501</v>
      </c>
      <c r="DD6" s="50">
        <v>99508</v>
      </c>
      <c r="DE6" s="50">
        <v>99504</v>
      </c>
      <c r="DF6" s="50">
        <v>99546</v>
      </c>
      <c r="DG6" s="50">
        <v>99549</v>
      </c>
      <c r="DH6" s="50">
        <v>99558</v>
      </c>
      <c r="DI6" s="50">
        <v>99563</v>
      </c>
      <c r="DJ6" s="50">
        <v>99596</v>
      </c>
      <c r="DK6" s="50">
        <v>99594</v>
      </c>
      <c r="DL6" s="50">
        <v>99596</v>
      </c>
      <c r="DM6" s="50">
        <v>99615</v>
      </c>
      <c r="DN6" s="50">
        <v>99634</v>
      </c>
      <c r="DO6" s="50">
        <v>99651</v>
      </c>
    </row>
    <row r="7" spans="1:119">
      <c r="A7" s="50">
        <v>5</v>
      </c>
      <c r="B7" s="50"/>
      <c r="C7" s="50"/>
      <c r="D7" s="50"/>
      <c r="E7" s="50"/>
      <c r="F7" s="50"/>
      <c r="G7" s="50"/>
      <c r="H7" s="50"/>
      <c r="I7" s="50"/>
      <c r="J7" s="50"/>
      <c r="K7" s="50"/>
      <c r="L7" s="50"/>
      <c r="M7" s="50"/>
      <c r="N7" s="50"/>
      <c r="O7" s="50"/>
      <c r="P7" s="50"/>
      <c r="Q7" s="50"/>
      <c r="R7" s="50"/>
      <c r="S7" s="50"/>
      <c r="T7" s="50"/>
      <c r="U7" s="50"/>
      <c r="V7" s="50"/>
      <c r="W7" s="50">
        <v>82117</v>
      </c>
      <c r="X7" s="50">
        <v>82931</v>
      </c>
      <c r="Y7" s="50">
        <v>83060</v>
      </c>
      <c r="Z7" s="50">
        <v>85473</v>
      </c>
      <c r="AA7" s="50">
        <v>85697</v>
      </c>
      <c r="AB7" s="50">
        <v>86234</v>
      </c>
      <c r="AC7" s="50">
        <v>86954</v>
      </c>
      <c r="AD7" s="50">
        <v>87840</v>
      </c>
      <c r="AE7" s="50">
        <v>87567</v>
      </c>
      <c r="AF7" s="50">
        <v>88821</v>
      </c>
      <c r="AG7" s="50">
        <v>89102</v>
      </c>
      <c r="AH7" s="50">
        <v>89390</v>
      </c>
      <c r="AI7" s="50">
        <v>89530</v>
      </c>
      <c r="AJ7" s="50">
        <v>90731</v>
      </c>
      <c r="AK7" s="50">
        <v>90563</v>
      </c>
      <c r="AL7" s="50">
        <v>90808</v>
      </c>
      <c r="AM7" s="50">
        <v>91001</v>
      </c>
      <c r="AN7" s="50">
        <v>91362</v>
      </c>
      <c r="AO7" s="50">
        <v>91189</v>
      </c>
      <c r="AP7" s="50">
        <v>91111</v>
      </c>
      <c r="AQ7" s="50">
        <v>90940</v>
      </c>
      <c r="AR7" s="50">
        <v>90869</v>
      </c>
      <c r="AS7" s="50">
        <v>90116</v>
      </c>
      <c r="AT7" s="50">
        <v>89183</v>
      </c>
      <c r="AU7" s="50">
        <v>87742</v>
      </c>
      <c r="AV7" s="50">
        <v>88284</v>
      </c>
      <c r="AW7" s="50">
        <v>88572</v>
      </c>
      <c r="AX7" s="50">
        <v>90936</v>
      </c>
      <c r="AY7" s="50">
        <v>92952</v>
      </c>
      <c r="AZ7" s="50">
        <v>93004</v>
      </c>
      <c r="BA7" s="50">
        <v>93067</v>
      </c>
      <c r="BB7" s="50">
        <v>93803</v>
      </c>
      <c r="BC7" s="50">
        <v>94032</v>
      </c>
      <c r="BD7" s="50">
        <v>94507</v>
      </c>
      <c r="BE7" s="50">
        <v>94570</v>
      </c>
      <c r="BF7" s="50">
        <v>94943</v>
      </c>
      <c r="BG7" s="50">
        <v>94972</v>
      </c>
      <c r="BH7" s="50">
        <v>95270</v>
      </c>
      <c r="BI7" s="50">
        <v>95513</v>
      </c>
      <c r="BJ7" s="50">
        <v>95590</v>
      </c>
      <c r="BK7" s="50">
        <v>95913</v>
      </c>
      <c r="BL7" s="50">
        <v>96197</v>
      </c>
      <c r="BM7" s="50">
        <v>96452</v>
      </c>
      <c r="BN7" s="50">
        <v>96722</v>
      </c>
      <c r="BO7" s="50">
        <v>96901</v>
      </c>
      <c r="BP7" s="50">
        <v>96955</v>
      </c>
      <c r="BQ7" s="50">
        <v>97044</v>
      </c>
      <c r="BR7" s="50">
        <v>97088</v>
      </c>
      <c r="BS7" s="50">
        <v>97037</v>
      </c>
      <c r="BT7" s="50">
        <v>97114</v>
      </c>
      <c r="BU7" s="50">
        <v>97182</v>
      </c>
      <c r="BV7" s="50">
        <v>97267</v>
      </c>
      <c r="BW7" s="50">
        <v>97284</v>
      </c>
      <c r="BX7" s="50">
        <v>97408</v>
      </c>
      <c r="BY7" s="50">
        <v>97585</v>
      </c>
      <c r="BZ7" s="50">
        <v>97876</v>
      </c>
      <c r="CA7" s="50">
        <v>98050</v>
      </c>
      <c r="CB7" s="50">
        <v>98116</v>
      </c>
      <c r="CC7" s="50">
        <v>98275</v>
      </c>
      <c r="CD7" s="50">
        <v>98355</v>
      </c>
      <c r="CE7" s="50">
        <v>98427</v>
      </c>
      <c r="CF7" s="50">
        <v>98578</v>
      </c>
      <c r="CG7" s="50">
        <v>98637</v>
      </c>
      <c r="CH7" s="50">
        <v>98724</v>
      </c>
      <c r="CI7" s="50">
        <v>98798</v>
      </c>
      <c r="CJ7" s="50">
        <v>98820</v>
      </c>
      <c r="CK7" s="50">
        <v>98866</v>
      </c>
      <c r="CL7" s="50">
        <v>98962</v>
      </c>
      <c r="CM7" s="50">
        <v>98973</v>
      </c>
      <c r="CN7" s="50">
        <v>99042</v>
      </c>
      <c r="CO7" s="50">
        <v>99138</v>
      </c>
      <c r="CP7" s="50">
        <v>99181</v>
      </c>
      <c r="CQ7" s="50">
        <v>99240</v>
      </c>
      <c r="CR7" s="50">
        <v>99257</v>
      </c>
      <c r="CS7" s="50">
        <v>99311</v>
      </c>
      <c r="CT7" s="50">
        <v>99324</v>
      </c>
      <c r="CU7" s="50">
        <v>99362</v>
      </c>
      <c r="CV7" s="50">
        <v>99382</v>
      </c>
      <c r="CW7" s="50">
        <v>99390</v>
      </c>
      <c r="CX7" s="50">
        <v>99439</v>
      </c>
      <c r="CY7" s="50">
        <v>99429</v>
      </c>
      <c r="CZ7" s="50">
        <v>99453</v>
      </c>
      <c r="DA7" s="50">
        <v>99444</v>
      </c>
      <c r="DB7" s="50">
        <v>99484</v>
      </c>
      <c r="DC7" s="50">
        <v>99487</v>
      </c>
      <c r="DD7" s="50">
        <v>99495</v>
      </c>
      <c r="DE7" s="50">
        <v>99492</v>
      </c>
      <c r="DF7" s="50">
        <v>99534</v>
      </c>
      <c r="DG7" s="50">
        <v>99540</v>
      </c>
      <c r="DH7" s="50">
        <v>99546</v>
      </c>
      <c r="DI7" s="50">
        <v>99552</v>
      </c>
      <c r="DJ7" s="50">
        <v>99585</v>
      </c>
      <c r="DK7" s="50">
        <v>99584</v>
      </c>
      <c r="DL7" s="50">
        <v>99587</v>
      </c>
      <c r="DM7" s="50">
        <v>99606</v>
      </c>
      <c r="DN7" s="50">
        <v>99625</v>
      </c>
      <c r="DO7" s="50">
        <v>99643</v>
      </c>
    </row>
    <row r="8" spans="1:119">
      <c r="A8" s="50">
        <v>6</v>
      </c>
      <c r="B8" s="50"/>
      <c r="C8" s="50"/>
      <c r="D8" s="50"/>
      <c r="E8" s="50"/>
      <c r="F8" s="50"/>
      <c r="G8" s="50"/>
      <c r="H8" s="50"/>
      <c r="I8" s="50"/>
      <c r="J8" s="50"/>
      <c r="K8" s="50"/>
      <c r="L8" s="50"/>
      <c r="M8" s="50"/>
      <c r="N8" s="50"/>
      <c r="O8" s="50"/>
      <c r="P8" s="50"/>
      <c r="Q8" s="50"/>
      <c r="R8" s="50"/>
      <c r="S8" s="50"/>
      <c r="T8" s="50"/>
      <c r="U8" s="50"/>
      <c r="V8" s="50"/>
      <c r="W8" s="50">
        <v>81919</v>
      </c>
      <c r="X8" s="50">
        <v>82717</v>
      </c>
      <c r="Y8" s="50">
        <v>82842</v>
      </c>
      <c r="Z8" s="50">
        <v>85211</v>
      </c>
      <c r="AA8" s="50">
        <v>85446</v>
      </c>
      <c r="AB8" s="50">
        <v>86017</v>
      </c>
      <c r="AC8" s="50">
        <v>86752</v>
      </c>
      <c r="AD8" s="50">
        <v>87636</v>
      </c>
      <c r="AE8" s="50">
        <v>87364</v>
      </c>
      <c r="AF8" s="50">
        <v>88579</v>
      </c>
      <c r="AG8" s="50">
        <v>88855</v>
      </c>
      <c r="AH8" s="50">
        <v>89160</v>
      </c>
      <c r="AI8" s="50">
        <v>89313</v>
      </c>
      <c r="AJ8" s="50">
        <v>90493</v>
      </c>
      <c r="AK8" s="50">
        <v>90326</v>
      </c>
      <c r="AL8" s="50">
        <v>90569</v>
      </c>
      <c r="AM8" s="50">
        <v>90762</v>
      </c>
      <c r="AN8" s="50">
        <v>91099</v>
      </c>
      <c r="AO8" s="50">
        <v>90890</v>
      </c>
      <c r="AP8" s="50">
        <v>90752</v>
      </c>
      <c r="AQ8" s="50">
        <v>90733</v>
      </c>
      <c r="AR8" s="50">
        <v>90662</v>
      </c>
      <c r="AS8" s="50">
        <v>89985</v>
      </c>
      <c r="AT8" s="50">
        <v>89075</v>
      </c>
      <c r="AU8" s="50">
        <v>87636</v>
      </c>
      <c r="AV8" s="50">
        <v>88177</v>
      </c>
      <c r="AW8" s="50">
        <v>88488</v>
      </c>
      <c r="AX8" s="50">
        <v>90849</v>
      </c>
      <c r="AY8" s="50">
        <v>92863</v>
      </c>
      <c r="AZ8" s="50">
        <v>92916</v>
      </c>
      <c r="BA8" s="50">
        <v>92986</v>
      </c>
      <c r="BB8" s="50">
        <v>93725</v>
      </c>
      <c r="BC8" s="50">
        <v>93964</v>
      </c>
      <c r="BD8" s="50">
        <v>94432</v>
      </c>
      <c r="BE8" s="50">
        <v>94495</v>
      </c>
      <c r="BF8" s="50">
        <v>94870</v>
      </c>
      <c r="BG8" s="50">
        <v>94904</v>
      </c>
      <c r="BH8" s="50">
        <v>95200</v>
      </c>
      <c r="BI8" s="50">
        <v>95450</v>
      </c>
      <c r="BJ8" s="50">
        <v>95525</v>
      </c>
      <c r="BK8" s="50">
        <v>95844</v>
      </c>
      <c r="BL8" s="50">
        <v>96126</v>
      </c>
      <c r="BM8" s="50">
        <v>96385</v>
      </c>
      <c r="BN8" s="50">
        <v>96647</v>
      </c>
      <c r="BO8" s="50">
        <v>96836</v>
      </c>
      <c r="BP8" s="50">
        <v>96890</v>
      </c>
      <c r="BQ8" s="50">
        <v>96981</v>
      </c>
      <c r="BR8" s="50">
        <v>97031</v>
      </c>
      <c r="BS8" s="50">
        <v>96978</v>
      </c>
      <c r="BT8" s="50">
        <v>97058</v>
      </c>
      <c r="BU8" s="50">
        <v>97128</v>
      </c>
      <c r="BV8" s="50">
        <v>97219</v>
      </c>
      <c r="BW8" s="50">
        <v>97237</v>
      </c>
      <c r="BX8" s="50">
        <v>97361</v>
      </c>
      <c r="BY8" s="50">
        <v>97538</v>
      </c>
      <c r="BZ8" s="50">
        <v>97837</v>
      </c>
      <c r="CA8" s="50">
        <v>98012</v>
      </c>
      <c r="CB8" s="50">
        <v>98083</v>
      </c>
      <c r="CC8" s="50">
        <v>98244</v>
      </c>
      <c r="CD8" s="50">
        <v>98327</v>
      </c>
      <c r="CE8" s="50">
        <v>98396</v>
      </c>
      <c r="CF8" s="50">
        <v>98547</v>
      </c>
      <c r="CG8" s="50">
        <v>98609</v>
      </c>
      <c r="CH8" s="50">
        <v>98696</v>
      </c>
      <c r="CI8" s="50">
        <v>98771</v>
      </c>
      <c r="CJ8" s="50">
        <v>98794</v>
      </c>
      <c r="CK8" s="50">
        <v>98846</v>
      </c>
      <c r="CL8" s="50">
        <v>98943</v>
      </c>
      <c r="CM8" s="50">
        <v>98952</v>
      </c>
      <c r="CN8" s="50">
        <v>99021</v>
      </c>
      <c r="CO8" s="50">
        <v>99123</v>
      </c>
      <c r="CP8" s="50">
        <v>99164</v>
      </c>
      <c r="CQ8" s="50">
        <v>99227</v>
      </c>
      <c r="CR8" s="50">
        <v>99247</v>
      </c>
      <c r="CS8" s="50">
        <v>99297</v>
      </c>
      <c r="CT8" s="50">
        <v>99309</v>
      </c>
      <c r="CU8" s="50">
        <v>99349</v>
      </c>
      <c r="CV8" s="50">
        <v>99369</v>
      </c>
      <c r="CW8" s="50">
        <v>99376</v>
      </c>
      <c r="CX8" s="50">
        <v>99429</v>
      </c>
      <c r="CY8" s="50">
        <v>99413</v>
      </c>
      <c r="CZ8" s="50">
        <v>99442</v>
      </c>
      <c r="DA8" s="50">
        <v>99433</v>
      </c>
      <c r="DB8" s="50">
        <v>99473</v>
      </c>
      <c r="DC8" s="50">
        <v>99475</v>
      </c>
      <c r="DD8" s="50">
        <v>99484</v>
      </c>
      <c r="DE8" s="50">
        <v>99481</v>
      </c>
      <c r="DF8" s="50">
        <v>99525</v>
      </c>
      <c r="DG8" s="50">
        <v>99531</v>
      </c>
      <c r="DH8" s="50">
        <v>99536</v>
      </c>
      <c r="DI8" s="50">
        <v>99543</v>
      </c>
      <c r="DJ8" s="50">
        <v>99577</v>
      </c>
      <c r="DK8" s="50">
        <v>99575</v>
      </c>
      <c r="DL8" s="50">
        <v>99579</v>
      </c>
      <c r="DM8" s="50">
        <v>99599</v>
      </c>
      <c r="DN8" s="50">
        <v>99618</v>
      </c>
      <c r="DO8" s="50">
        <v>99636</v>
      </c>
    </row>
    <row r="9" spans="1:119">
      <c r="A9" s="50">
        <v>7</v>
      </c>
      <c r="B9" s="50"/>
      <c r="C9" s="50"/>
      <c r="D9" s="50"/>
      <c r="E9" s="50"/>
      <c r="F9" s="50"/>
      <c r="G9" s="50"/>
      <c r="H9" s="50"/>
      <c r="I9" s="50"/>
      <c r="J9" s="50"/>
      <c r="K9" s="50"/>
      <c r="L9" s="50"/>
      <c r="M9" s="50"/>
      <c r="N9" s="50"/>
      <c r="O9" s="50"/>
      <c r="P9" s="50"/>
      <c r="Q9" s="50"/>
      <c r="R9" s="50"/>
      <c r="S9" s="50"/>
      <c r="T9" s="50"/>
      <c r="U9" s="50"/>
      <c r="V9" s="50"/>
      <c r="W9" s="50">
        <v>81745</v>
      </c>
      <c r="X9" s="50">
        <v>82529</v>
      </c>
      <c r="Y9" s="50">
        <v>82621</v>
      </c>
      <c r="Z9" s="50">
        <v>84982</v>
      </c>
      <c r="AA9" s="50">
        <v>85248</v>
      </c>
      <c r="AB9" s="50">
        <v>85834</v>
      </c>
      <c r="AC9" s="50">
        <v>86567</v>
      </c>
      <c r="AD9" s="50">
        <v>87450</v>
      </c>
      <c r="AE9" s="50">
        <v>87145</v>
      </c>
      <c r="AF9" s="50">
        <v>88353</v>
      </c>
      <c r="AG9" s="50">
        <v>88645</v>
      </c>
      <c r="AH9" s="50">
        <v>88962</v>
      </c>
      <c r="AI9" s="50">
        <v>89098</v>
      </c>
      <c r="AJ9" s="50">
        <v>90275</v>
      </c>
      <c r="AK9" s="50">
        <v>90108</v>
      </c>
      <c r="AL9" s="50">
        <v>90351</v>
      </c>
      <c r="AM9" s="50">
        <v>90522</v>
      </c>
      <c r="AN9" s="50">
        <v>90825</v>
      </c>
      <c r="AO9" s="50">
        <v>90562</v>
      </c>
      <c r="AP9" s="50">
        <v>90579</v>
      </c>
      <c r="AQ9" s="50">
        <v>90560</v>
      </c>
      <c r="AR9" s="50">
        <v>90552</v>
      </c>
      <c r="AS9" s="50">
        <v>89894</v>
      </c>
      <c r="AT9" s="50">
        <v>88985</v>
      </c>
      <c r="AU9" s="50">
        <v>87547</v>
      </c>
      <c r="AV9" s="50">
        <v>88102</v>
      </c>
      <c r="AW9" s="50">
        <v>88417</v>
      </c>
      <c r="AX9" s="50">
        <v>90778</v>
      </c>
      <c r="AY9" s="50">
        <v>92789</v>
      </c>
      <c r="AZ9" s="50">
        <v>92839</v>
      </c>
      <c r="BA9" s="50">
        <v>92916</v>
      </c>
      <c r="BB9" s="50">
        <v>93661</v>
      </c>
      <c r="BC9" s="50">
        <v>93904</v>
      </c>
      <c r="BD9" s="50">
        <v>94362</v>
      </c>
      <c r="BE9" s="50">
        <v>94427</v>
      </c>
      <c r="BF9" s="50">
        <v>94807</v>
      </c>
      <c r="BG9" s="50">
        <v>94842</v>
      </c>
      <c r="BH9" s="50">
        <v>95141</v>
      </c>
      <c r="BI9" s="50">
        <v>95388</v>
      </c>
      <c r="BJ9" s="50">
        <v>95463</v>
      </c>
      <c r="BK9" s="50">
        <v>95778</v>
      </c>
      <c r="BL9" s="50">
        <v>96061</v>
      </c>
      <c r="BM9" s="50">
        <v>96323</v>
      </c>
      <c r="BN9" s="50">
        <v>96584</v>
      </c>
      <c r="BO9" s="50">
        <v>96770</v>
      </c>
      <c r="BP9" s="50">
        <v>96829</v>
      </c>
      <c r="BQ9" s="50">
        <v>96931</v>
      </c>
      <c r="BR9" s="50">
        <v>96976</v>
      </c>
      <c r="BS9" s="50">
        <v>96929</v>
      </c>
      <c r="BT9" s="50">
        <v>97009</v>
      </c>
      <c r="BU9" s="50">
        <v>97083</v>
      </c>
      <c r="BV9" s="50">
        <v>97171</v>
      </c>
      <c r="BW9" s="50">
        <v>97198</v>
      </c>
      <c r="BX9" s="50">
        <v>97321</v>
      </c>
      <c r="BY9" s="50">
        <v>97501</v>
      </c>
      <c r="BZ9" s="50">
        <v>97805</v>
      </c>
      <c r="CA9" s="50">
        <v>97981</v>
      </c>
      <c r="CB9" s="50">
        <v>98057</v>
      </c>
      <c r="CC9" s="50">
        <v>98215</v>
      </c>
      <c r="CD9" s="50">
        <v>98301</v>
      </c>
      <c r="CE9" s="50">
        <v>98370</v>
      </c>
      <c r="CF9" s="50">
        <v>98520</v>
      </c>
      <c r="CG9" s="50">
        <v>98589</v>
      </c>
      <c r="CH9" s="50">
        <v>98673</v>
      </c>
      <c r="CI9" s="50">
        <v>98751</v>
      </c>
      <c r="CJ9" s="50">
        <v>98774</v>
      </c>
      <c r="CK9" s="50">
        <v>98824</v>
      </c>
      <c r="CL9" s="50">
        <v>98928</v>
      </c>
      <c r="CM9" s="50">
        <v>98934</v>
      </c>
      <c r="CN9" s="50">
        <v>99005</v>
      </c>
      <c r="CO9" s="50">
        <v>99107</v>
      </c>
      <c r="CP9" s="50">
        <v>99151</v>
      </c>
      <c r="CQ9" s="50">
        <v>99211</v>
      </c>
      <c r="CR9" s="50">
        <v>99231</v>
      </c>
      <c r="CS9" s="50">
        <v>99286</v>
      </c>
      <c r="CT9" s="50">
        <v>99295</v>
      </c>
      <c r="CU9" s="50">
        <v>99338</v>
      </c>
      <c r="CV9" s="50">
        <v>99358</v>
      </c>
      <c r="CW9" s="50">
        <v>99365</v>
      </c>
      <c r="CX9" s="50">
        <v>99421</v>
      </c>
      <c r="CY9" s="50">
        <v>99401</v>
      </c>
      <c r="CZ9" s="50">
        <v>99431</v>
      </c>
      <c r="DA9" s="50">
        <v>99425</v>
      </c>
      <c r="DB9" s="50">
        <v>99461</v>
      </c>
      <c r="DC9" s="50">
        <v>99465</v>
      </c>
      <c r="DD9" s="50">
        <v>99476</v>
      </c>
      <c r="DE9" s="50">
        <v>99472</v>
      </c>
      <c r="DF9" s="50">
        <v>99515</v>
      </c>
      <c r="DG9" s="50">
        <v>99523</v>
      </c>
      <c r="DH9" s="50">
        <v>99528</v>
      </c>
      <c r="DI9" s="50">
        <v>99535</v>
      </c>
      <c r="DJ9" s="50">
        <v>99569</v>
      </c>
      <c r="DK9" s="50">
        <v>99568</v>
      </c>
      <c r="DL9" s="50">
        <v>99572</v>
      </c>
      <c r="DM9" s="50">
        <v>99592</v>
      </c>
      <c r="DN9" s="50">
        <v>99611</v>
      </c>
      <c r="DO9" s="50">
        <v>99630</v>
      </c>
    </row>
    <row r="10" spans="1:119">
      <c r="A10" s="50">
        <v>8</v>
      </c>
      <c r="B10" s="50"/>
      <c r="C10" s="50"/>
      <c r="D10" s="50"/>
      <c r="E10" s="50"/>
      <c r="F10" s="50"/>
      <c r="G10" s="50"/>
      <c r="H10" s="50"/>
      <c r="I10" s="50"/>
      <c r="J10" s="50"/>
      <c r="K10" s="50"/>
      <c r="L10" s="50"/>
      <c r="M10" s="50"/>
      <c r="N10" s="50"/>
      <c r="O10" s="50"/>
      <c r="P10" s="50"/>
      <c r="Q10" s="50"/>
      <c r="R10" s="50"/>
      <c r="S10" s="50"/>
      <c r="T10" s="50"/>
      <c r="U10" s="50"/>
      <c r="V10" s="50"/>
      <c r="W10" s="50">
        <v>81582</v>
      </c>
      <c r="X10" s="50">
        <v>82347</v>
      </c>
      <c r="Y10" s="50">
        <v>82448</v>
      </c>
      <c r="Z10" s="50">
        <v>84829</v>
      </c>
      <c r="AA10" s="50">
        <v>85081</v>
      </c>
      <c r="AB10" s="50">
        <v>85666</v>
      </c>
      <c r="AC10" s="50">
        <v>86397</v>
      </c>
      <c r="AD10" s="50">
        <v>87249</v>
      </c>
      <c r="AE10" s="50">
        <v>86954</v>
      </c>
      <c r="AF10" s="50">
        <v>88177</v>
      </c>
      <c r="AG10" s="50">
        <v>88468</v>
      </c>
      <c r="AH10" s="50">
        <v>88775</v>
      </c>
      <c r="AI10" s="50">
        <v>88911</v>
      </c>
      <c r="AJ10" s="50">
        <v>90086</v>
      </c>
      <c r="AK10" s="50">
        <v>89919</v>
      </c>
      <c r="AL10" s="50">
        <v>90143</v>
      </c>
      <c r="AM10" s="50">
        <v>90284</v>
      </c>
      <c r="AN10" s="50">
        <v>90539</v>
      </c>
      <c r="AO10" s="50">
        <v>90411</v>
      </c>
      <c r="AP10" s="50">
        <v>90429</v>
      </c>
      <c r="AQ10" s="50">
        <v>90442</v>
      </c>
      <c r="AR10" s="50">
        <v>90467</v>
      </c>
      <c r="AS10" s="50">
        <v>89809</v>
      </c>
      <c r="AT10" s="50">
        <v>88901</v>
      </c>
      <c r="AU10" s="50">
        <v>87483</v>
      </c>
      <c r="AV10" s="50">
        <v>88034</v>
      </c>
      <c r="AW10" s="50">
        <v>88352</v>
      </c>
      <c r="AX10" s="50">
        <v>90718</v>
      </c>
      <c r="AY10" s="50">
        <v>92722</v>
      </c>
      <c r="AZ10" s="50">
        <v>92770</v>
      </c>
      <c r="BA10" s="50">
        <v>92858</v>
      </c>
      <c r="BB10" s="50">
        <v>93596</v>
      </c>
      <c r="BC10" s="50">
        <v>93847</v>
      </c>
      <c r="BD10" s="50">
        <v>94309</v>
      </c>
      <c r="BE10" s="50">
        <v>94375</v>
      </c>
      <c r="BF10" s="50">
        <v>94746</v>
      </c>
      <c r="BG10" s="50">
        <v>94790</v>
      </c>
      <c r="BH10" s="50">
        <v>95081</v>
      </c>
      <c r="BI10" s="50">
        <v>95330</v>
      </c>
      <c r="BJ10" s="50">
        <v>95401</v>
      </c>
      <c r="BK10" s="50">
        <v>95725</v>
      </c>
      <c r="BL10" s="50">
        <v>96003</v>
      </c>
      <c r="BM10" s="50">
        <v>96266</v>
      </c>
      <c r="BN10" s="50">
        <v>96528</v>
      </c>
      <c r="BO10" s="50">
        <v>96713</v>
      </c>
      <c r="BP10" s="50">
        <v>96777</v>
      </c>
      <c r="BQ10" s="50">
        <v>96883</v>
      </c>
      <c r="BR10" s="50">
        <v>96930</v>
      </c>
      <c r="BS10" s="50">
        <v>96883</v>
      </c>
      <c r="BT10" s="50">
        <v>96965</v>
      </c>
      <c r="BU10" s="50">
        <v>97041</v>
      </c>
      <c r="BV10" s="50">
        <v>97128</v>
      </c>
      <c r="BW10" s="50">
        <v>97160</v>
      </c>
      <c r="BX10" s="50">
        <v>97283</v>
      </c>
      <c r="BY10" s="50">
        <v>97468</v>
      </c>
      <c r="BZ10" s="50">
        <v>97776</v>
      </c>
      <c r="CA10" s="50">
        <v>97954</v>
      </c>
      <c r="CB10" s="50">
        <v>98027</v>
      </c>
      <c r="CC10" s="50">
        <v>98189</v>
      </c>
      <c r="CD10" s="50">
        <v>98276</v>
      </c>
      <c r="CE10" s="50">
        <v>98342</v>
      </c>
      <c r="CF10" s="50">
        <v>98498</v>
      </c>
      <c r="CG10" s="50">
        <v>98562</v>
      </c>
      <c r="CH10" s="50">
        <v>98655</v>
      </c>
      <c r="CI10" s="50">
        <v>98733</v>
      </c>
      <c r="CJ10" s="50">
        <v>98756</v>
      </c>
      <c r="CK10" s="50">
        <v>98806</v>
      </c>
      <c r="CL10" s="50">
        <v>98911</v>
      </c>
      <c r="CM10" s="50">
        <v>98923</v>
      </c>
      <c r="CN10" s="50">
        <v>98992</v>
      </c>
      <c r="CO10" s="50">
        <v>99093</v>
      </c>
      <c r="CP10" s="50">
        <v>99138</v>
      </c>
      <c r="CQ10" s="50">
        <v>99200</v>
      </c>
      <c r="CR10" s="50">
        <v>99220</v>
      </c>
      <c r="CS10" s="50">
        <v>99273</v>
      </c>
      <c r="CT10" s="50">
        <v>99282</v>
      </c>
      <c r="CU10" s="50">
        <v>99329</v>
      </c>
      <c r="CV10" s="50">
        <v>99347</v>
      </c>
      <c r="CW10" s="50">
        <v>99355</v>
      </c>
      <c r="CX10" s="50">
        <v>99409</v>
      </c>
      <c r="CY10" s="50">
        <v>99394</v>
      </c>
      <c r="CZ10" s="50">
        <v>99422</v>
      </c>
      <c r="DA10" s="50">
        <v>99419</v>
      </c>
      <c r="DB10" s="50">
        <v>99452</v>
      </c>
      <c r="DC10" s="50">
        <v>99454</v>
      </c>
      <c r="DD10" s="50">
        <v>99469</v>
      </c>
      <c r="DE10" s="50">
        <v>99464</v>
      </c>
      <c r="DF10" s="50">
        <v>99508</v>
      </c>
      <c r="DG10" s="50">
        <v>99515</v>
      </c>
      <c r="DH10" s="50">
        <v>99521</v>
      </c>
      <c r="DI10" s="50">
        <v>99528</v>
      </c>
      <c r="DJ10" s="50">
        <v>99562</v>
      </c>
      <c r="DK10" s="50">
        <v>99562</v>
      </c>
      <c r="DL10" s="50">
        <v>99566</v>
      </c>
      <c r="DM10" s="50">
        <v>99586</v>
      </c>
      <c r="DN10" s="50">
        <v>99606</v>
      </c>
      <c r="DO10" s="50">
        <v>99624</v>
      </c>
    </row>
    <row r="11" spans="1:119">
      <c r="A11" s="50">
        <v>9</v>
      </c>
      <c r="B11" s="50"/>
      <c r="C11" s="50"/>
      <c r="D11" s="50"/>
      <c r="E11" s="50"/>
      <c r="F11" s="50"/>
      <c r="G11" s="50"/>
      <c r="H11" s="50"/>
      <c r="I11" s="50"/>
      <c r="J11" s="50"/>
      <c r="K11" s="50"/>
      <c r="L11" s="50"/>
      <c r="M11" s="50"/>
      <c r="N11" s="50"/>
      <c r="O11" s="50"/>
      <c r="P11" s="50"/>
      <c r="Q11" s="50"/>
      <c r="R11" s="50"/>
      <c r="S11" s="50"/>
      <c r="T11" s="50"/>
      <c r="U11" s="50"/>
      <c r="V11" s="50"/>
      <c r="W11" s="50">
        <v>81421</v>
      </c>
      <c r="X11" s="50">
        <v>82195</v>
      </c>
      <c r="Y11" s="50">
        <v>82317</v>
      </c>
      <c r="Z11" s="50">
        <v>84682</v>
      </c>
      <c r="AA11" s="50">
        <v>84934</v>
      </c>
      <c r="AB11" s="50">
        <v>85517</v>
      </c>
      <c r="AC11" s="50">
        <v>86222</v>
      </c>
      <c r="AD11" s="50">
        <v>87080</v>
      </c>
      <c r="AE11" s="50">
        <v>86800</v>
      </c>
      <c r="AF11" s="50">
        <v>88021</v>
      </c>
      <c r="AG11" s="50">
        <v>88304</v>
      </c>
      <c r="AH11" s="50">
        <v>88611</v>
      </c>
      <c r="AI11" s="50">
        <v>88747</v>
      </c>
      <c r="AJ11" s="50">
        <v>89919</v>
      </c>
      <c r="AK11" s="50">
        <v>89736</v>
      </c>
      <c r="AL11" s="50">
        <v>89934</v>
      </c>
      <c r="AM11" s="50">
        <v>90033</v>
      </c>
      <c r="AN11" s="50">
        <v>90403</v>
      </c>
      <c r="AO11" s="50">
        <v>90276</v>
      </c>
      <c r="AP11" s="50">
        <v>90323</v>
      </c>
      <c r="AQ11" s="50">
        <v>90370</v>
      </c>
      <c r="AR11" s="50">
        <v>90395</v>
      </c>
      <c r="AS11" s="50">
        <v>89738</v>
      </c>
      <c r="AT11" s="50">
        <v>88842</v>
      </c>
      <c r="AU11" s="50">
        <v>87425</v>
      </c>
      <c r="AV11" s="50">
        <v>87976</v>
      </c>
      <c r="AW11" s="50">
        <v>88305</v>
      </c>
      <c r="AX11" s="50">
        <v>90661</v>
      </c>
      <c r="AY11" s="50">
        <v>92662</v>
      </c>
      <c r="AZ11" s="50">
        <v>92717</v>
      </c>
      <c r="BA11" s="50">
        <v>92802</v>
      </c>
      <c r="BB11" s="50">
        <v>93545</v>
      </c>
      <c r="BC11" s="50">
        <v>93789</v>
      </c>
      <c r="BD11" s="50">
        <v>94255</v>
      </c>
      <c r="BE11" s="50">
        <v>94323</v>
      </c>
      <c r="BF11" s="50">
        <v>94694</v>
      </c>
      <c r="BG11" s="50">
        <v>94734</v>
      </c>
      <c r="BH11" s="50">
        <v>95026</v>
      </c>
      <c r="BI11" s="50">
        <v>95275</v>
      </c>
      <c r="BJ11" s="50">
        <v>95351</v>
      </c>
      <c r="BK11" s="50">
        <v>95675</v>
      </c>
      <c r="BL11" s="50">
        <v>95948</v>
      </c>
      <c r="BM11" s="50">
        <v>96213</v>
      </c>
      <c r="BN11" s="50">
        <v>96478</v>
      </c>
      <c r="BO11" s="50">
        <v>96673</v>
      </c>
      <c r="BP11" s="50">
        <v>96735</v>
      </c>
      <c r="BQ11" s="50">
        <v>96838</v>
      </c>
      <c r="BR11" s="50">
        <v>96893</v>
      </c>
      <c r="BS11" s="50">
        <v>96848</v>
      </c>
      <c r="BT11" s="50">
        <v>96922</v>
      </c>
      <c r="BU11" s="50">
        <v>97007</v>
      </c>
      <c r="BV11" s="50">
        <v>97091</v>
      </c>
      <c r="BW11" s="50">
        <v>97127</v>
      </c>
      <c r="BX11" s="50">
        <v>97253</v>
      </c>
      <c r="BY11" s="50">
        <v>97439</v>
      </c>
      <c r="BZ11" s="50">
        <v>97751</v>
      </c>
      <c r="CA11" s="50">
        <v>97927</v>
      </c>
      <c r="CB11" s="50">
        <v>97999</v>
      </c>
      <c r="CC11" s="50">
        <v>98169</v>
      </c>
      <c r="CD11" s="50">
        <v>98252</v>
      </c>
      <c r="CE11" s="50">
        <v>98314</v>
      </c>
      <c r="CF11" s="50">
        <v>98473</v>
      </c>
      <c r="CG11" s="50">
        <v>98542</v>
      </c>
      <c r="CH11" s="50">
        <v>98638</v>
      </c>
      <c r="CI11" s="50">
        <v>98716</v>
      </c>
      <c r="CJ11" s="50">
        <v>98742</v>
      </c>
      <c r="CK11" s="50">
        <v>98792</v>
      </c>
      <c r="CL11" s="50">
        <v>98898</v>
      </c>
      <c r="CM11" s="50">
        <v>98908</v>
      </c>
      <c r="CN11" s="50">
        <v>98977</v>
      </c>
      <c r="CO11" s="50">
        <v>99077</v>
      </c>
      <c r="CP11" s="50">
        <v>99128</v>
      </c>
      <c r="CQ11" s="50">
        <v>99191</v>
      </c>
      <c r="CR11" s="50">
        <v>99207</v>
      </c>
      <c r="CS11" s="50">
        <v>99259</v>
      </c>
      <c r="CT11" s="50">
        <v>99271</v>
      </c>
      <c r="CU11" s="50">
        <v>99319</v>
      </c>
      <c r="CV11" s="50">
        <v>99337</v>
      </c>
      <c r="CW11" s="50">
        <v>99342</v>
      </c>
      <c r="CX11" s="50">
        <v>99402</v>
      </c>
      <c r="CY11" s="50">
        <v>99387</v>
      </c>
      <c r="CZ11" s="50">
        <v>99412</v>
      </c>
      <c r="DA11" s="50">
        <v>99409</v>
      </c>
      <c r="DB11" s="50">
        <v>99444</v>
      </c>
      <c r="DC11" s="50">
        <v>99447</v>
      </c>
      <c r="DD11" s="50">
        <v>99462</v>
      </c>
      <c r="DE11" s="50">
        <v>99456</v>
      </c>
      <c r="DF11" s="50">
        <v>99500</v>
      </c>
      <c r="DG11" s="50">
        <v>99508</v>
      </c>
      <c r="DH11" s="50">
        <v>99514</v>
      </c>
      <c r="DI11" s="50">
        <v>99522</v>
      </c>
      <c r="DJ11" s="50">
        <v>99557</v>
      </c>
      <c r="DK11" s="50">
        <v>99556</v>
      </c>
      <c r="DL11" s="50">
        <v>99560</v>
      </c>
      <c r="DM11" s="50">
        <v>99581</v>
      </c>
      <c r="DN11" s="50">
        <v>99601</v>
      </c>
      <c r="DO11" s="50">
        <v>99619</v>
      </c>
    </row>
    <row r="12" spans="1:119">
      <c r="A12" s="50">
        <v>10</v>
      </c>
      <c r="B12" s="50"/>
      <c r="C12" s="50"/>
      <c r="D12" s="50"/>
      <c r="E12" s="50"/>
      <c r="F12" s="50"/>
      <c r="G12" s="50"/>
      <c r="H12" s="50"/>
      <c r="I12" s="50"/>
      <c r="J12" s="50"/>
      <c r="K12" s="50"/>
      <c r="L12" s="50"/>
      <c r="M12" s="50"/>
      <c r="N12" s="50"/>
      <c r="O12" s="50"/>
      <c r="P12" s="50"/>
      <c r="Q12" s="50"/>
      <c r="R12" s="50"/>
      <c r="S12" s="50"/>
      <c r="T12" s="50"/>
      <c r="U12" s="50"/>
      <c r="V12" s="50"/>
      <c r="W12" s="50">
        <v>81289</v>
      </c>
      <c r="X12" s="50">
        <v>82081</v>
      </c>
      <c r="Y12" s="50">
        <v>82193</v>
      </c>
      <c r="Z12" s="50">
        <v>84555</v>
      </c>
      <c r="AA12" s="50">
        <v>84806</v>
      </c>
      <c r="AB12" s="50">
        <v>85366</v>
      </c>
      <c r="AC12" s="50">
        <v>86076</v>
      </c>
      <c r="AD12" s="50">
        <v>86946</v>
      </c>
      <c r="AE12" s="50">
        <v>86667</v>
      </c>
      <c r="AF12" s="50">
        <v>87879</v>
      </c>
      <c r="AG12" s="50">
        <v>88161</v>
      </c>
      <c r="AH12" s="50">
        <v>88468</v>
      </c>
      <c r="AI12" s="50">
        <v>88603</v>
      </c>
      <c r="AJ12" s="50">
        <v>89759</v>
      </c>
      <c r="AK12" s="50">
        <v>89555</v>
      </c>
      <c r="AL12" s="50">
        <v>89716</v>
      </c>
      <c r="AM12" s="50">
        <v>89903</v>
      </c>
      <c r="AN12" s="50">
        <v>90272</v>
      </c>
      <c r="AO12" s="50">
        <v>90173</v>
      </c>
      <c r="AP12" s="50">
        <v>90255</v>
      </c>
      <c r="AQ12" s="50">
        <v>90303</v>
      </c>
      <c r="AR12" s="50">
        <v>90327</v>
      </c>
      <c r="AS12" s="50">
        <v>89682</v>
      </c>
      <c r="AT12" s="50">
        <v>88793</v>
      </c>
      <c r="AU12" s="50">
        <v>87372</v>
      </c>
      <c r="AV12" s="50">
        <v>87921</v>
      </c>
      <c r="AW12" s="50">
        <v>88253</v>
      </c>
      <c r="AX12" s="50">
        <v>90612</v>
      </c>
      <c r="AY12" s="50">
        <v>92609</v>
      </c>
      <c r="AZ12" s="50">
        <v>92663</v>
      </c>
      <c r="BA12" s="50">
        <v>92758</v>
      </c>
      <c r="BB12" s="50">
        <v>93493</v>
      </c>
      <c r="BC12" s="50">
        <v>93743</v>
      </c>
      <c r="BD12" s="50">
        <v>94204</v>
      </c>
      <c r="BE12" s="50">
        <v>94275</v>
      </c>
      <c r="BF12" s="50">
        <v>94648</v>
      </c>
      <c r="BG12" s="50">
        <v>94688</v>
      </c>
      <c r="BH12" s="50">
        <v>94978</v>
      </c>
      <c r="BI12" s="50">
        <v>95228</v>
      </c>
      <c r="BJ12" s="50">
        <v>95304</v>
      </c>
      <c r="BK12" s="50">
        <v>95627</v>
      </c>
      <c r="BL12" s="50">
        <v>95905</v>
      </c>
      <c r="BM12" s="50">
        <v>96167</v>
      </c>
      <c r="BN12" s="50">
        <v>96437</v>
      </c>
      <c r="BO12" s="50">
        <v>96636</v>
      </c>
      <c r="BP12" s="50">
        <v>96699</v>
      </c>
      <c r="BQ12" s="50">
        <v>96804</v>
      </c>
      <c r="BR12" s="50">
        <v>96857</v>
      </c>
      <c r="BS12" s="50">
        <v>96813</v>
      </c>
      <c r="BT12" s="50">
        <v>96887</v>
      </c>
      <c r="BU12" s="50">
        <v>96977</v>
      </c>
      <c r="BV12" s="50">
        <v>97062</v>
      </c>
      <c r="BW12" s="50">
        <v>97101</v>
      </c>
      <c r="BX12" s="50">
        <v>97222</v>
      </c>
      <c r="BY12" s="50">
        <v>97418</v>
      </c>
      <c r="BZ12" s="50">
        <v>97732</v>
      </c>
      <c r="CA12" s="50">
        <v>97904</v>
      </c>
      <c r="CB12" s="50">
        <v>97975</v>
      </c>
      <c r="CC12" s="50">
        <v>98145</v>
      </c>
      <c r="CD12" s="50">
        <v>98234</v>
      </c>
      <c r="CE12" s="50">
        <v>98296</v>
      </c>
      <c r="CF12" s="50">
        <v>98455</v>
      </c>
      <c r="CG12" s="50">
        <v>98526</v>
      </c>
      <c r="CH12" s="50">
        <v>98622</v>
      </c>
      <c r="CI12" s="50">
        <v>98701</v>
      </c>
      <c r="CJ12" s="50">
        <v>98727</v>
      </c>
      <c r="CK12" s="50">
        <v>98776</v>
      </c>
      <c r="CL12" s="50">
        <v>98887</v>
      </c>
      <c r="CM12" s="50">
        <v>98896</v>
      </c>
      <c r="CN12" s="50">
        <v>98966</v>
      </c>
      <c r="CO12" s="50">
        <v>99061</v>
      </c>
      <c r="CP12" s="50">
        <v>99118</v>
      </c>
      <c r="CQ12" s="50">
        <v>99181</v>
      </c>
      <c r="CR12" s="50">
        <v>99196</v>
      </c>
      <c r="CS12" s="50">
        <v>99249</v>
      </c>
      <c r="CT12" s="50">
        <v>99261</v>
      </c>
      <c r="CU12" s="50">
        <v>99310</v>
      </c>
      <c r="CV12" s="50">
        <v>99328</v>
      </c>
      <c r="CW12" s="50">
        <v>99334</v>
      </c>
      <c r="CX12" s="50">
        <v>99394</v>
      </c>
      <c r="CY12" s="50">
        <v>99379</v>
      </c>
      <c r="CZ12" s="50">
        <v>99403</v>
      </c>
      <c r="DA12" s="50">
        <v>99399</v>
      </c>
      <c r="DB12" s="50">
        <v>99434</v>
      </c>
      <c r="DC12" s="50">
        <v>99439</v>
      </c>
      <c r="DD12" s="50">
        <v>99455</v>
      </c>
      <c r="DE12" s="50">
        <v>99450</v>
      </c>
      <c r="DF12" s="50">
        <v>99494</v>
      </c>
      <c r="DG12" s="50">
        <v>99502</v>
      </c>
      <c r="DH12" s="50">
        <v>99508</v>
      </c>
      <c r="DI12" s="50">
        <v>99516</v>
      </c>
      <c r="DJ12" s="50">
        <v>99551</v>
      </c>
      <c r="DK12" s="50">
        <v>99551</v>
      </c>
      <c r="DL12" s="50">
        <v>99555</v>
      </c>
      <c r="DM12" s="50">
        <v>99576</v>
      </c>
      <c r="DN12" s="50">
        <v>99596</v>
      </c>
      <c r="DO12" s="50">
        <v>99615</v>
      </c>
    </row>
    <row r="13" spans="1:119">
      <c r="A13" s="50">
        <v>11</v>
      </c>
      <c r="B13" s="50"/>
      <c r="C13" s="50"/>
      <c r="D13" s="50"/>
      <c r="E13" s="50"/>
      <c r="F13" s="50"/>
      <c r="G13" s="50"/>
      <c r="H13" s="50"/>
      <c r="I13" s="50"/>
      <c r="J13" s="50"/>
      <c r="K13" s="50"/>
      <c r="L13" s="50"/>
      <c r="M13" s="50"/>
      <c r="N13" s="50"/>
      <c r="O13" s="50"/>
      <c r="P13" s="50"/>
      <c r="Q13" s="50"/>
      <c r="R13" s="50"/>
      <c r="S13" s="50"/>
      <c r="T13" s="50"/>
      <c r="U13" s="50"/>
      <c r="V13" s="50"/>
      <c r="W13" s="50">
        <v>81190</v>
      </c>
      <c r="X13" s="50">
        <v>81972</v>
      </c>
      <c r="Y13" s="50">
        <v>82084</v>
      </c>
      <c r="Z13" s="50">
        <v>84442</v>
      </c>
      <c r="AA13" s="50">
        <v>84673</v>
      </c>
      <c r="AB13" s="50">
        <v>85239</v>
      </c>
      <c r="AC13" s="50">
        <v>85959</v>
      </c>
      <c r="AD13" s="50">
        <v>86828</v>
      </c>
      <c r="AE13" s="50">
        <v>86543</v>
      </c>
      <c r="AF13" s="50">
        <v>87754</v>
      </c>
      <c r="AG13" s="50">
        <v>88036</v>
      </c>
      <c r="AH13" s="50">
        <v>88342</v>
      </c>
      <c r="AI13" s="50">
        <v>88464</v>
      </c>
      <c r="AJ13" s="50">
        <v>89599</v>
      </c>
      <c r="AK13" s="50">
        <v>89364</v>
      </c>
      <c r="AL13" s="50">
        <v>89587</v>
      </c>
      <c r="AM13" s="50">
        <v>89773</v>
      </c>
      <c r="AN13" s="50">
        <v>90170</v>
      </c>
      <c r="AO13" s="50">
        <v>90110</v>
      </c>
      <c r="AP13" s="50">
        <v>90192</v>
      </c>
      <c r="AQ13" s="50">
        <v>90239</v>
      </c>
      <c r="AR13" s="50">
        <v>90270</v>
      </c>
      <c r="AS13" s="50">
        <v>89635</v>
      </c>
      <c r="AT13" s="50">
        <v>88746</v>
      </c>
      <c r="AU13" s="50">
        <v>87324</v>
      </c>
      <c r="AV13" s="50">
        <v>87877</v>
      </c>
      <c r="AW13" s="50">
        <v>88205</v>
      </c>
      <c r="AX13" s="50">
        <v>90573</v>
      </c>
      <c r="AY13" s="50">
        <v>92563</v>
      </c>
      <c r="AZ13" s="50">
        <v>92625</v>
      </c>
      <c r="BA13" s="50">
        <v>92715</v>
      </c>
      <c r="BB13" s="50">
        <v>93451</v>
      </c>
      <c r="BC13" s="50">
        <v>93700</v>
      </c>
      <c r="BD13" s="50">
        <v>94158</v>
      </c>
      <c r="BE13" s="50">
        <v>94229</v>
      </c>
      <c r="BF13" s="50">
        <v>94600</v>
      </c>
      <c r="BG13" s="50">
        <v>94641</v>
      </c>
      <c r="BH13" s="50">
        <v>94931</v>
      </c>
      <c r="BI13" s="50">
        <v>95178</v>
      </c>
      <c r="BJ13" s="50">
        <v>95259</v>
      </c>
      <c r="BK13" s="50">
        <v>95585</v>
      </c>
      <c r="BL13" s="50">
        <v>95863</v>
      </c>
      <c r="BM13" s="50">
        <v>96131</v>
      </c>
      <c r="BN13" s="50">
        <v>96404</v>
      </c>
      <c r="BO13" s="50">
        <v>96603</v>
      </c>
      <c r="BP13" s="50">
        <v>96666</v>
      </c>
      <c r="BQ13" s="50">
        <v>96772</v>
      </c>
      <c r="BR13" s="50">
        <v>96826</v>
      </c>
      <c r="BS13" s="50">
        <v>96784</v>
      </c>
      <c r="BT13" s="50">
        <v>96856</v>
      </c>
      <c r="BU13" s="50">
        <v>96953</v>
      </c>
      <c r="BV13" s="50">
        <v>97040</v>
      </c>
      <c r="BW13" s="50">
        <v>97077</v>
      </c>
      <c r="BX13" s="50">
        <v>97202</v>
      </c>
      <c r="BY13" s="50">
        <v>97397</v>
      </c>
      <c r="BZ13" s="50">
        <v>97706</v>
      </c>
      <c r="CA13" s="50">
        <v>97883</v>
      </c>
      <c r="CB13" s="50">
        <v>97959</v>
      </c>
      <c r="CC13" s="50">
        <v>98122</v>
      </c>
      <c r="CD13" s="50">
        <v>98216</v>
      </c>
      <c r="CE13" s="50">
        <v>98280</v>
      </c>
      <c r="CF13" s="50">
        <v>98441</v>
      </c>
      <c r="CG13" s="50">
        <v>98510</v>
      </c>
      <c r="CH13" s="50">
        <v>98607</v>
      </c>
      <c r="CI13" s="50">
        <v>98689</v>
      </c>
      <c r="CJ13" s="50">
        <v>98714</v>
      </c>
      <c r="CK13" s="50">
        <v>98762</v>
      </c>
      <c r="CL13" s="50">
        <v>98875</v>
      </c>
      <c r="CM13" s="50">
        <v>98885</v>
      </c>
      <c r="CN13" s="50">
        <v>98954</v>
      </c>
      <c r="CO13" s="50">
        <v>99051</v>
      </c>
      <c r="CP13" s="50">
        <v>99108</v>
      </c>
      <c r="CQ13" s="50">
        <v>99173</v>
      </c>
      <c r="CR13" s="50">
        <v>99188</v>
      </c>
      <c r="CS13" s="50">
        <v>99241</v>
      </c>
      <c r="CT13" s="50">
        <v>99254</v>
      </c>
      <c r="CU13" s="50">
        <v>99299</v>
      </c>
      <c r="CV13" s="50">
        <v>99320</v>
      </c>
      <c r="CW13" s="50">
        <v>99325</v>
      </c>
      <c r="CX13" s="50">
        <v>99385</v>
      </c>
      <c r="CY13" s="50">
        <v>99370</v>
      </c>
      <c r="CZ13" s="50">
        <v>99397</v>
      </c>
      <c r="DA13" s="50">
        <v>99392</v>
      </c>
      <c r="DB13" s="50">
        <v>99428</v>
      </c>
      <c r="DC13" s="50">
        <v>99432</v>
      </c>
      <c r="DD13" s="50">
        <v>99448</v>
      </c>
      <c r="DE13" s="50">
        <v>99443</v>
      </c>
      <c r="DF13" s="50">
        <v>99488</v>
      </c>
      <c r="DG13" s="50">
        <v>99496</v>
      </c>
      <c r="DH13" s="50">
        <v>99503</v>
      </c>
      <c r="DI13" s="50">
        <v>99510</v>
      </c>
      <c r="DJ13" s="50">
        <v>99546</v>
      </c>
      <c r="DK13" s="50">
        <v>99546</v>
      </c>
      <c r="DL13" s="50">
        <v>99550</v>
      </c>
      <c r="DM13" s="50">
        <v>99571</v>
      </c>
      <c r="DN13" s="50">
        <v>99592</v>
      </c>
      <c r="DO13" s="50">
        <v>99611</v>
      </c>
    </row>
    <row r="14" spans="1:119">
      <c r="A14" s="50">
        <v>12</v>
      </c>
      <c r="B14" s="50"/>
      <c r="C14" s="50"/>
      <c r="D14" s="50"/>
      <c r="E14" s="50"/>
      <c r="F14" s="50"/>
      <c r="G14" s="50"/>
      <c r="H14" s="50"/>
      <c r="I14" s="50"/>
      <c r="J14" s="50"/>
      <c r="K14" s="50"/>
      <c r="L14" s="50"/>
      <c r="M14" s="50"/>
      <c r="N14" s="50"/>
      <c r="O14" s="50"/>
      <c r="P14" s="50"/>
      <c r="Q14" s="50"/>
      <c r="R14" s="50"/>
      <c r="S14" s="50"/>
      <c r="T14" s="50"/>
      <c r="U14" s="50"/>
      <c r="V14" s="50"/>
      <c r="W14" s="50">
        <v>81091</v>
      </c>
      <c r="X14" s="50">
        <v>81872</v>
      </c>
      <c r="Y14" s="50">
        <v>81983</v>
      </c>
      <c r="Z14" s="50">
        <v>84321</v>
      </c>
      <c r="AA14" s="50">
        <v>84558</v>
      </c>
      <c r="AB14" s="50">
        <v>85133</v>
      </c>
      <c r="AC14" s="50">
        <v>85853</v>
      </c>
      <c r="AD14" s="50">
        <v>86714</v>
      </c>
      <c r="AE14" s="50">
        <v>86430</v>
      </c>
      <c r="AF14" s="50">
        <v>87639</v>
      </c>
      <c r="AG14" s="50">
        <v>87921</v>
      </c>
      <c r="AH14" s="50">
        <v>88215</v>
      </c>
      <c r="AI14" s="50">
        <v>88320</v>
      </c>
      <c r="AJ14" s="50">
        <v>89424</v>
      </c>
      <c r="AK14" s="50">
        <v>89238</v>
      </c>
      <c r="AL14" s="50">
        <v>89461</v>
      </c>
      <c r="AM14" s="50">
        <v>89674</v>
      </c>
      <c r="AN14" s="50">
        <v>90108</v>
      </c>
      <c r="AO14" s="50">
        <v>90048</v>
      </c>
      <c r="AP14" s="50">
        <v>90129</v>
      </c>
      <c r="AQ14" s="50">
        <v>90181</v>
      </c>
      <c r="AR14" s="50">
        <v>90228</v>
      </c>
      <c r="AS14" s="50">
        <v>89587</v>
      </c>
      <c r="AT14" s="50">
        <v>88696</v>
      </c>
      <c r="AU14" s="50">
        <v>87276</v>
      </c>
      <c r="AV14" s="50">
        <v>87836</v>
      </c>
      <c r="AW14" s="50">
        <v>88165</v>
      </c>
      <c r="AX14" s="50">
        <v>90530</v>
      </c>
      <c r="AY14" s="50">
        <v>92522</v>
      </c>
      <c r="AZ14" s="50">
        <v>92582</v>
      </c>
      <c r="BA14" s="50">
        <v>92675</v>
      </c>
      <c r="BB14" s="50">
        <v>93410</v>
      </c>
      <c r="BC14" s="50">
        <v>93659</v>
      </c>
      <c r="BD14" s="50">
        <v>94115</v>
      </c>
      <c r="BE14" s="50">
        <v>94184</v>
      </c>
      <c r="BF14" s="50">
        <v>94558</v>
      </c>
      <c r="BG14" s="50">
        <v>94600</v>
      </c>
      <c r="BH14" s="50">
        <v>94890</v>
      </c>
      <c r="BI14" s="50">
        <v>95139</v>
      </c>
      <c r="BJ14" s="50">
        <v>95223</v>
      </c>
      <c r="BK14" s="50">
        <v>95546</v>
      </c>
      <c r="BL14" s="50">
        <v>95828</v>
      </c>
      <c r="BM14" s="50">
        <v>96096</v>
      </c>
      <c r="BN14" s="50">
        <v>96368</v>
      </c>
      <c r="BO14" s="50">
        <v>96568</v>
      </c>
      <c r="BP14" s="50">
        <v>96636</v>
      </c>
      <c r="BQ14" s="50">
        <v>96741</v>
      </c>
      <c r="BR14" s="50">
        <v>96799</v>
      </c>
      <c r="BS14" s="50">
        <v>96755</v>
      </c>
      <c r="BT14" s="50">
        <v>96825</v>
      </c>
      <c r="BU14" s="50">
        <v>96927</v>
      </c>
      <c r="BV14" s="50">
        <v>97016</v>
      </c>
      <c r="BW14" s="50">
        <v>97059</v>
      </c>
      <c r="BX14" s="50">
        <v>97179</v>
      </c>
      <c r="BY14" s="50">
        <v>97377</v>
      </c>
      <c r="BZ14" s="50">
        <v>97684</v>
      </c>
      <c r="CA14" s="50">
        <v>97864</v>
      </c>
      <c r="CB14" s="50">
        <v>97935</v>
      </c>
      <c r="CC14" s="50">
        <v>98098</v>
      </c>
      <c r="CD14" s="50">
        <v>98200</v>
      </c>
      <c r="CE14" s="50">
        <v>98264</v>
      </c>
      <c r="CF14" s="50">
        <v>98420</v>
      </c>
      <c r="CG14" s="50">
        <v>98492</v>
      </c>
      <c r="CH14" s="50">
        <v>98594</v>
      </c>
      <c r="CI14" s="50">
        <v>98674</v>
      </c>
      <c r="CJ14" s="50">
        <v>98701</v>
      </c>
      <c r="CK14" s="50">
        <v>98748</v>
      </c>
      <c r="CL14" s="50">
        <v>98860</v>
      </c>
      <c r="CM14" s="50">
        <v>98873</v>
      </c>
      <c r="CN14" s="50">
        <v>98940</v>
      </c>
      <c r="CO14" s="50">
        <v>99037</v>
      </c>
      <c r="CP14" s="50">
        <v>99093</v>
      </c>
      <c r="CQ14" s="50">
        <v>99159</v>
      </c>
      <c r="CR14" s="50">
        <v>99179</v>
      </c>
      <c r="CS14" s="50">
        <v>99233</v>
      </c>
      <c r="CT14" s="50">
        <v>99243</v>
      </c>
      <c r="CU14" s="50">
        <v>99289</v>
      </c>
      <c r="CV14" s="50">
        <v>99312</v>
      </c>
      <c r="CW14" s="50">
        <v>99319</v>
      </c>
      <c r="CX14" s="50">
        <v>99373</v>
      </c>
      <c r="CY14" s="50">
        <v>99363</v>
      </c>
      <c r="CZ14" s="50">
        <v>99389</v>
      </c>
      <c r="DA14" s="50">
        <v>99380</v>
      </c>
      <c r="DB14" s="50">
        <v>99421</v>
      </c>
      <c r="DC14" s="50">
        <v>99425</v>
      </c>
      <c r="DD14" s="50">
        <v>99442</v>
      </c>
      <c r="DE14" s="50">
        <v>99437</v>
      </c>
      <c r="DF14" s="50">
        <v>99482</v>
      </c>
      <c r="DG14" s="50">
        <v>99490</v>
      </c>
      <c r="DH14" s="50">
        <v>99497</v>
      </c>
      <c r="DI14" s="50">
        <v>99505</v>
      </c>
      <c r="DJ14" s="50">
        <v>99541</v>
      </c>
      <c r="DK14" s="50">
        <v>99541</v>
      </c>
      <c r="DL14" s="50">
        <v>99546</v>
      </c>
      <c r="DM14" s="50">
        <v>99567</v>
      </c>
      <c r="DN14" s="50">
        <v>99587</v>
      </c>
      <c r="DO14" s="50">
        <v>99607</v>
      </c>
    </row>
    <row r="15" spans="1:119">
      <c r="A15" s="50">
        <v>13</v>
      </c>
      <c r="B15" s="50"/>
      <c r="C15" s="50"/>
      <c r="D15" s="50"/>
      <c r="E15" s="50"/>
      <c r="F15" s="50"/>
      <c r="G15" s="50"/>
      <c r="H15" s="50"/>
      <c r="I15" s="50"/>
      <c r="J15" s="50"/>
      <c r="K15" s="50"/>
      <c r="L15" s="50"/>
      <c r="M15" s="50"/>
      <c r="N15" s="50"/>
      <c r="O15" s="50"/>
      <c r="P15" s="50"/>
      <c r="Q15" s="50"/>
      <c r="R15" s="50"/>
      <c r="S15" s="50"/>
      <c r="T15" s="50"/>
      <c r="U15" s="50"/>
      <c r="V15" s="50"/>
      <c r="W15" s="50">
        <v>80997</v>
      </c>
      <c r="X15" s="50">
        <v>81777</v>
      </c>
      <c r="Y15" s="50">
        <v>81861</v>
      </c>
      <c r="Z15" s="50">
        <v>84195</v>
      </c>
      <c r="AA15" s="50">
        <v>84439</v>
      </c>
      <c r="AB15" s="50">
        <v>85022</v>
      </c>
      <c r="AC15" s="50">
        <v>85732</v>
      </c>
      <c r="AD15" s="50">
        <v>86593</v>
      </c>
      <c r="AE15" s="50">
        <v>86309</v>
      </c>
      <c r="AF15" s="50">
        <v>87516</v>
      </c>
      <c r="AG15" s="50">
        <v>87786</v>
      </c>
      <c r="AH15" s="50">
        <v>88061</v>
      </c>
      <c r="AI15" s="50">
        <v>88135</v>
      </c>
      <c r="AJ15" s="50">
        <v>89303</v>
      </c>
      <c r="AK15" s="50">
        <v>89117</v>
      </c>
      <c r="AL15" s="50">
        <v>89371</v>
      </c>
      <c r="AM15" s="50">
        <v>89612</v>
      </c>
      <c r="AN15" s="50">
        <v>90045</v>
      </c>
      <c r="AO15" s="50">
        <v>89985</v>
      </c>
      <c r="AP15" s="50">
        <v>90078</v>
      </c>
      <c r="AQ15" s="50">
        <v>90130</v>
      </c>
      <c r="AR15" s="50">
        <v>90181</v>
      </c>
      <c r="AS15" s="50">
        <v>89540</v>
      </c>
      <c r="AT15" s="50">
        <v>88650</v>
      </c>
      <c r="AU15" s="50">
        <v>87234</v>
      </c>
      <c r="AV15" s="50">
        <v>87792</v>
      </c>
      <c r="AW15" s="50">
        <v>88125</v>
      </c>
      <c r="AX15" s="50">
        <v>90493</v>
      </c>
      <c r="AY15" s="50">
        <v>92482</v>
      </c>
      <c r="AZ15" s="50">
        <v>92539</v>
      </c>
      <c r="BA15" s="50">
        <v>92632</v>
      </c>
      <c r="BB15" s="50">
        <v>93369</v>
      </c>
      <c r="BC15" s="50">
        <v>93614</v>
      </c>
      <c r="BD15" s="50">
        <v>94071</v>
      </c>
      <c r="BE15" s="50">
        <v>94141</v>
      </c>
      <c r="BF15" s="50">
        <v>94523</v>
      </c>
      <c r="BG15" s="50">
        <v>94555</v>
      </c>
      <c r="BH15" s="50">
        <v>94841</v>
      </c>
      <c r="BI15" s="50">
        <v>95097</v>
      </c>
      <c r="BJ15" s="50">
        <v>95179</v>
      </c>
      <c r="BK15" s="50">
        <v>95510</v>
      </c>
      <c r="BL15" s="50">
        <v>95790</v>
      </c>
      <c r="BM15" s="50">
        <v>96059</v>
      </c>
      <c r="BN15" s="50">
        <v>96331</v>
      </c>
      <c r="BO15" s="50">
        <v>96534</v>
      </c>
      <c r="BP15" s="50">
        <v>96605</v>
      </c>
      <c r="BQ15" s="50">
        <v>96710</v>
      </c>
      <c r="BR15" s="50">
        <v>96770</v>
      </c>
      <c r="BS15" s="50">
        <v>96731</v>
      </c>
      <c r="BT15" s="50">
        <v>96799</v>
      </c>
      <c r="BU15" s="50">
        <v>96904</v>
      </c>
      <c r="BV15" s="50">
        <v>96992</v>
      </c>
      <c r="BW15" s="50">
        <v>97034</v>
      </c>
      <c r="BX15" s="50">
        <v>97159</v>
      </c>
      <c r="BY15" s="50">
        <v>97357</v>
      </c>
      <c r="BZ15" s="50">
        <v>97664</v>
      </c>
      <c r="CA15" s="50">
        <v>97844</v>
      </c>
      <c r="CB15" s="50">
        <v>97916</v>
      </c>
      <c r="CC15" s="50">
        <v>98077</v>
      </c>
      <c r="CD15" s="50">
        <v>98181</v>
      </c>
      <c r="CE15" s="50">
        <v>98244</v>
      </c>
      <c r="CF15" s="50">
        <v>98405</v>
      </c>
      <c r="CG15" s="50">
        <v>98478</v>
      </c>
      <c r="CH15" s="50">
        <v>98577</v>
      </c>
      <c r="CI15" s="50">
        <v>98661</v>
      </c>
      <c r="CJ15" s="50">
        <v>98685</v>
      </c>
      <c r="CK15" s="50">
        <v>98733</v>
      </c>
      <c r="CL15" s="50">
        <v>98845</v>
      </c>
      <c r="CM15" s="50">
        <v>98856</v>
      </c>
      <c r="CN15" s="50">
        <v>98927</v>
      </c>
      <c r="CO15" s="50">
        <v>99026</v>
      </c>
      <c r="CP15" s="50">
        <v>99080</v>
      </c>
      <c r="CQ15" s="50">
        <v>99145</v>
      </c>
      <c r="CR15" s="50">
        <v>99167</v>
      </c>
      <c r="CS15" s="50">
        <v>99221</v>
      </c>
      <c r="CT15" s="50">
        <v>99235</v>
      </c>
      <c r="CU15" s="50">
        <v>99277</v>
      </c>
      <c r="CV15" s="50">
        <v>99300</v>
      </c>
      <c r="CW15" s="50">
        <v>99308</v>
      </c>
      <c r="CX15" s="50">
        <v>99366</v>
      </c>
      <c r="CY15" s="50">
        <v>99354</v>
      </c>
      <c r="CZ15" s="50">
        <v>99381</v>
      </c>
      <c r="DA15" s="50">
        <v>99372</v>
      </c>
      <c r="DB15" s="50">
        <v>99413</v>
      </c>
      <c r="DC15" s="50">
        <v>99418</v>
      </c>
      <c r="DD15" s="50">
        <v>99435</v>
      </c>
      <c r="DE15" s="50">
        <v>99430</v>
      </c>
      <c r="DF15" s="50">
        <v>99475</v>
      </c>
      <c r="DG15" s="50">
        <v>99484</v>
      </c>
      <c r="DH15" s="50">
        <v>99491</v>
      </c>
      <c r="DI15" s="50">
        <v>99499</v>
      </c>
      <c r="DJ15" s="50">
        <v>99535</v>
      </c>
      <c r="DK15" s="50">
        <v>99535</v>
      </c>
      <c r="DL15" s="50">
        <v>99540</v>
      </c>
      <c r="DM15" s="50">
        <v>99562</v>
      </c>
      <c r="DN15" s="50">
        <v>99582</v>
      </c>
      <c r="DO15" s="50">
        <v>99602</v>
      </c>
    </row>
    <row r="16" spans="1:119">
      <c r="A16" s="50">
        <v>14</v>
      </c>
      <c r="B16" s="50"/>
      <c r="C16" s="50"/>
      <c r="D16" s="50"/>
      <c r="E16" s="50"/>
      <c r="F16" s="50"/>
      <c r="G16" s="50"/>
      <c r="H16" s="50"/>
      <c r="I16" s="50"/>
      <c r="J16" s="50"/>
      <c r="K16" s="50"/>
      <c r="L16" s="50"/>
      <c r="M16" s="50"/>
      <c r="N16" s="50"/>
      <c r="O16" s="50"/>
      <c r="P16" s="50"/>
      <c r="Q16" s="50"/>
      <c r="R16" s="50"/>
      <c r="S16" s="50"/>
      <c r="T16" s="50"/>
      <c r="U16" s="50"/>
      <c r="V16" s="50"/>
      <c r="W16" s="50">
        <v>80901</v>
      </c>
      <c r="X16" s="50">
        <v>81641</v>
      </c>
      <c r="Y16" s="50">
        <v>81728</v>
      </c>
      <c r="Z16" s="50">
        <v>84075</v>
      </c>
      <c r="AA16" s="50">
        <v>84328</v>
      </c>
      <c r="AB16" s="50">
        <v>84901</v>
      </c>
      <c r="AC16" s="50">
        <v>85610</v>
      </c>
      <c r="AD16" s="50">
        <v>86470</v>
      </c>
      <c r="AE16" s="50">
        <v>86186</v>
      </c>
      <c r="AF16" s="50">
        <v>87379</v>
      </c>
      <c r="AG16" s="50">
        <v>87629</v>
      </c>
      <c r="AH16" s="50">
        <v>87873</v>
      </c>
      <c r="AI16" s="50">
        <v>88016</v>
      </c>
      <c r="AJ16" s="50">
        <v>89182</v>
      </c>
      <c r="AK16" s="50">
        <v>89028</v>
      </c>
      <c r="AL16" s="50">
        <v>89302</v>
      </c>
      <c r="AM16" s="50">
        <v>89542</v>
      </c>
      <c r="AN16" s="50">
        <v>89975</v>
      </c>
      <c r="AO16" s="50">
        <v>89930</v>
      </c>
      <c r="AP16" s="50">
        <v>90024</v>
      </c>
      <c r="AQ16" s="50">
        <v>90082</v>
      </c>
      <c r="AR16" s="50">
        <v>90129</v>
      </c>
      <c r="AS16" s="50">
        <v>89490</v>
      </c>
      <c r="AT16" s="50">
        <v>88606</v>
      </c>
      <c r="AU16" s="50">
        <v>87188</v>
      </c>
      <c r="AV16" s="50">
        <v>87746</v>
      </c>
      <c r="AW16" s="50">
        <v>88080</v>
      </c>
      <c r="AX16" s="50">
        <v>90443</v>
      </c>
      <c r="AY16" s="50">
        <v>92440</v>
      </c>
      <c r="AZ16" s="50">
        <v>92494</v>
      </c>
      <c r="BA16" s="50">
        <v>92588</v>
      </c>
      <c r="BB16" s="50">
        <v>93325</v>
      </c>
      <c r="BC16" s="50">
        <v>93566</v>
      </c>
      <c r="BD16" s="50">
        <v>94024</v>
      </c>
      <c r="BE16" s="50">
        <v>94097</v>
      </c>
      <c r="BF16" s="50">
        <v>94477</v>
      </c>
      <c r="BG16" s="50">
        <v>94508</v>
      </c>
      <c r="BH16" s="50">
        <v>94795</v>
      </c>
      <c r="BI16" s="50">
        <v>95055</v>
      </c>
      <c r="BJ16" s="50">
        <v>95136</v>
      </c>
      <c r="BK16" s="50">
        <v>95470</v>
      </c>
      <c r="BL16" s="50">
        <v>95754</v>
      </c>
      <c r="BM16" s="50">
        <v>96023</v>
      </c>
      <c r="BN16" s="50">
        <v>96293</v>
      </c>
      <c r="BO16" s="50">
        <v>96502</v>
      </c>
      <c r="BP16" s="50">
        <v>96568</v>
      </c>
      <c r="BQ16" s="50">
        <v>96680</v>
      </c>
      <c r="BR16" s="50">
        <v>96740</v>
      </c>
      <c r="BS16" s="50">
        <v>96702</v>
      </c>
      <c r="BT16" s="50">
        <v>96769</v>
      </c>
      <c r="BU16" s="50">
        <v>96876</v>
      </c>
      <c r="BV16" s="50">
        <v>96965</v>
      </c>
      <c r="BW16" s="50">
        <v>97007</v>
      </c>
      <c r="BX16" s="50">
        <v>97141</v>
      </c>
      <c r="BY16" s="50">
        <v>97333</v>
      </c>
      <c r="BZ16" s="50">
        <v>97640</v>
      </c>
      <c r="CA16" s="50">
        <v>97825</v>
      </c>
      <c r="CB16" s="50">
        <v>97894</v>
      </c>
      <c r="CC16" s="50">
        <v>98056</v>
      </c>
      <c r="CD16" s="50">
        <v>98161</v>
      </c>
      <c r="CE16" s="50">
        <v>98224</v>
      </c>
      <c r="CF16" s="50">
        <v>98388</v>
      </c>
      <c r="CG16" s="50">
        <v>98462</v>
      </c>
      <c r="CH16" s="50">
        <v>98555</v>
      </c>
      <c r="CI16" s="50">
        <v>98644</v>
      </c>
      <c r="CJ16" s="50">
        <v>98671</v>
      </c>
      <c r="CK16" s="50">
        <v>98714</v>
      </c>
      <c r="CL16" s="50">
        <v>98828</v>
      </c>
      <c r="CM16" s="50">
        <v>98841</v>
      </c>
      <c r="CN16" s="50">
        <v>98917</v>
      </c>
      <c r="CO16" s="50">
        <v>99013</v>
      </c>
      <c r="CP16" s="50">
        <v>99064</v>
      </c>
      <c r="CQ16" s="50">
        <v>99135</v>
      </c>
      <c r="CR16" s="50">
        <v>99158</v>
      </c>
      <c r="CS16" s="50">
        <v>99213</v>
      </c>
      <c r="CT16" s="50">
        <v>99223</v>
      </c>
      <c r="CU16" s="50">
        <v>99267</v>
      </c>
      <c r="CV16" s="50">
        <v>99283</v>
      </c>
      <c r="CW16" s="50">
        <v>99299</v>
      </c>
      <c r="CX16" s="50">
        <v>99357</v>
      </c>
      <c r="CY16" s="50">
        <v>99347</v>
      </c>
      <c r="CZ16" s="50">
        <v>99372</v>
      </c>
      <c r="DA16" s="50">
        <v>99363</v>
      </c>
      <c r="DB16" s="50">
        <v>99404</v>
      </c>
      <c r="DC16" s="50">
        <v>99409</v>
      </c>
      <c r="DD16" s="50">
        <v>99426</v>
      </c>
      <c r="DE16" s="50">
        <v>99422</v>
      </c>
      <c r="DF16" s="50">
        <v>99468</v>
      </c>
      <c r="DG16" s="50">
        <v>99477</v>
      </c>
      <c r="DH16" s="50">
        <v>99484</v>
      </c>
      <c r="DI16" s="50">
        <v>99493</v>
      </c>
      <c r="DJ16" s="50">
        <v>99529</v>
      </c>
      <c r="DK16" s="50">
        <v>99529</v>
      </c>
      <c r="DL16" s="50">
        <v>99534</v>
      </c>
      <c r="DM16" s="50">
        <v>99556</v>
      </c>
      <c r="DN16" s="50">
        <v>99577</v>
      </c>
      <c r="DO16" s="50">
        <v>99597</v>
      </c>
    </row>
    <row r="17" spans="1:119">
      <c r="A17" s="50">
        <v>15</v>
      </c>
      <c r="B17" s="50"/>
      <c r="C17" s="50"/>
      <c r="D17" s="50"/>
      <c r="E17" s="50"/>
      <c r="F17" s="50"/>
      <c r="G17" s="50"/>
      <c r="H17" s="50"/>
      <c r="I17" s="50"/>
      <c r="J17" s="50"/>
      <c r="K17" s="50"/>
      <c r="L17" s="50"/>
      <c r="M17" s="50"/>
      <c r="N17" s="50"/>
      <c r="O17" s="50"/>
      <c r="P17" s="50"/>
      <c r="Q17" s="50"/>
      <c r="R17" s="50"/>
      <c r="S17" s="50"/>
      <c r="T17" s="50"/>
      <c r="U17" s="50"/>
      <c r="V17" s="50"/>
      <c r="W17" s="50">
        <v>80754</v>
      </c>
      <c r="X17" s="50">
        <v>81499</v>
      </c>
      <c r="Y17" s="50">
        <v>81599</v>
      </c>
      <c r="Z17" s="50">
        <v>83952</v>
      </c>
      <c r="AA17" s="50">
        <v>84195</v>
      </c>
      <c r="AB17" s="50">
        <v>84767</v>
      </c>
      <c r="AC17" s="50">
        <v>85475</v>
      </c>
      <c r="AD17" s="50">
        <v>86333</v>
      </c>
      <c r="AE17" s="50">
        <v>86037</v>
      </c>
      <c r="AF17" s="50">
        <v>87207</v>
      </c>
      <c r="AG17" s="50">
        <v>87422</v>
      </c>
      <c r="AH17" s="50">
        <v>87742</v>
      </c>
      <c r="AI17" s="50">
        <v>87885</v>
      </c>
      <c r="AJ17" s="50">
        <v>89084</v>
      </c>
      <c r="AK17" s="50">
        <v>88950</v>
      </c>
      <c r="AL17" s="50">
        <v>89223</v>
      </c>
      <c r="AM17" s="50">
        <v>89463</v>
      </c>
      <c r="AN17" s="50">
        <v>89908</v>
      </c>
      <c r="AO17" s="50">
        <v>89871</v>
      </c>
      <c r="AP17" s="50">
        <v>89966</v>
      </c>
      <c r="AQ17" s="50">
        <v>90025</v>
      </c>
      <c r="AR17" s="50">
        <v>90070</v>
      </c>
      <c r="AS17" s="50">
        <v>89432</v>
      </c>
      <c r="AT17" s="50">
        <v>88549</v>
      </c>
      <c r="AU17" s="50">
        <v>87142</v>
      </c>
      <c r="AV17" s="50">
        <v>87695</v>
      </c>
      <c r="AW17" s="50">
        <v>88034</v>
      </c>
      <c r="AX17" s="50">
        <v>90387</v>
      </c>
      <c r="AY17" s="50">
        <v>92391</v>
      </c>
      <c r="AZ17" s="50">
        <v>92438</v>
      </c>
      <c r="BA17" s="50">
        <v>92535</v>
      </c>
      <c r="BB17" s="50">
        <v>93268</v>
      </c>
      <c r="BC17" s="50">
        <v>93509</v>
      </c>
      <c r="BD17" s="50">
        <v>93973</v>
      </c>
      <c r="BE17" s="50">
        <v>94044</v>
      </c>
      <c r="BF17" s="50">
        <v>94425</v>
      </c>
      <c r="BG17" s="50">
        <v>94453</v>
      </c>
      <c r="BH17" s="50">
        <v>94747</v>
      </c>
      <c r="BI17" s="50">
        <v>95010</v>
      </c>
      <c r="BJ17" s="50">
        <v>95092</v>
      </c>
      <c r="BK17" s="50">
        <v>95418</v>
      </c>
      <c r="BL17" s="50">
        <v>95712</v>
      </c>
      <c r="BM17" s="50">
        <v>95975</v>
      </c>
      <c r="BN17" s="50">
        <v>96254</v>
      </c>
      <c r="BO17" s="50">
        <v>96462</v>
      </c>
      <c r="BP17" s="50">
        <v>96527</v>
      </c>
      <c r="BQ17" s="50">
        <v>96646</v>
      </c>
      <c r="BR17" s="50">
        <v>96704</v>
      </c>
      <c r="BS17" s="50">
        <v>96671</v>
      </c>
      <c r="BT17" s="50">
        <v>96739</v>
      </c>
      <c r="BU17" s="50">
        <v>96845</v>
      </c>
      <c r="BV17" s="50">
        <v>96938</v>
      </c>
      <c r="BW17" s="50">
        <v>96976</v>
      </c>
      <c r="BX17" s="50">
        <v>97115</v>
      </c>
      <c r="BY17" s="50">
        <v>97308</v>
      </c>
      <c r="BZ17" s="50">
        <v>97609</v>
      </c>
      <c r="CA17" s="50">
        <v>97800</v>
      </c>
      <c r="CB17" s="50">
        <v>97870</v>
      </c>
      <c r="CC17" s="50">
        <v>98032</v>
      </c>
      <c r="CD17" s="50">
        <v>98139</v>
      </c>
      <c r="CE17" s="50">
        <v>98199</v>
      </c>
      <c r="CF17" s="50">
        <v>98365</v>
      </c>
      <c r="CG17" s="50">
        <v>98440</v>
      </c>
      <c r="CH17" s="50">
        <v>98531</v>
      </c>
      <c r="CI17" s="50">
        <v>98624</v>
      </c>
      <c r="CJ17" s="50">
        <v>98651</v>
      </c>
      <c r="CK17" s="50">
        <v>98696</v>
      </c>
      <c r="CL17" s="50">
        <v>98809</v>
      </c>
      <c r="CM17" s="50">
        <v>98824</v>
      </c>
      <c r="CN17" s="50">
        <v>98900</v>
      </c>
      <c r="CO17" s="50">
        <v>99001</v>
      </c>
      <c r="CP17" s="50">
        <v>99046</v>
      </c>
      <c r="CQ17" s="50">
        <v>99122</v>
      </c>
      <c r="CR17" s="50">
        <v>99139</v>
      </c>
      <c r="CS17" s="50">
        <v>99199</v>
      </c>
      <c r="CT17" s="50">
        <v>99208</v>
      </c>
      <c r="CU17" s="50">
        <v>99255</v>
      </c>
      <c r="CV17" s="50">
        <v>99273</v>
      </c>
      <c r="CW17" s="50">
        <v>99287</v>
      </c>
      <c r="CX17" s="50">
        <v>99344</v>
      </c>
      <c r="CY17" s="50">
        <v>99334</v>
      </c>
      <c r="CZ17" s="50">
        <v>99360</v>
      </c>
      <c r="DA17" s="50">
        <v>99352</v>
      </c>
      <c r="DB17" s="50">
        <v>99393</v>
      </c>
      <c r="DC17" s="50">
        <v>99399</v>
      </c>
      <c r="DD17" s="50">
        <v>99416</v>
      </c>
      <c r="DE17" s="50">
        <v>99413</v>
      </c>
      <c r="DF17" s="50">
        <v>99458</v>
      </c>
      <c r="DG17" s="50">
        <v>99468</v>
      </c>
      <c r="DH17" s="50">
        <v>99475</v>
      </c>
      <c r="DI17" s="50">
        <v>99484</v>
      </c>
      <c r="DJ17" s="50">
        <v>99521</v>
      </c>
      <c r="DK17" s="50">
        <v>99521</v>
      </c>
      <c r="DL17" s="50">
        <v>99527</v>
      </c>
      <c r="DM17" s="50">
        <v>99549</v>
      </c>
      <c r="DN17" s="50">
        <v>99570</v>
      </c>
      <c r="DO17" s="50">
        <v>99590</v>
      </c>
    </row>
    <row r="18" spans="1:119">
      <c r="A18" s="50">
        <v>16</v>
      </c>
      <c r="B18" s="50"/>
      <c r="C18" s="50"/>
      <c r="D18" s="50"/>
      <c r="E18" s="50"/>
      <c r="F18" s="50"/>
      <c r="G18" s="50"/>
      <c r="H18" s="50"/>
      <c r="I18" s="50"/>
      <c r="J18" s="50"/>
      <c r="K18" s="50"/>
      <c r="L18" s="50"/>
      <c r="M18" s="50"/>
      <c r="N18" s="50"/>
      <c r="O18" s="50"/>
      <c r="P18" s="50"/>
      <c r="Q18" s="50"/>
      <c r="R18" s="50"/>
      <c r="S18" s="50"/>
      <c r="T18" s="50"/>
      <c r="U18" s="50"/>
      <c r="V18" s="50"/>
      <c r="W18" s="50">
        <v>80604</v>
      </c>
      <c r="X18" s="50">
        <v>81345</v>
      </c>
      <c r="Y18" s="50">
        <v>81455</v>
      </c>
      <c r="Z18" s="50">
        <v>83793</v>
      </c>
      <c r="AA18" s="50">
        <v>84035</v>
      </c>
      <c r="AB18" s="50">
        <v>84606</v>
      </c>
      <c r="AC18" s="50">
        <v>85313</v>
      </c>
      <c r="AD18" s="50">
        <v>86153</v>
      </c>
      <c r="AE18" s="50">
        <v>85833</v>
      </c>
      <c r="AF18" s="50">
        <v>86959</v>
      </c>
      <c r="AG18" s="50">
        <v>87267</v>
      </c>
      <c r="AH18" s="50">
        <v>87586</v>
      </c>
      <c r="AI18" s="50">
        <v>87769</v>
      </c>
      <c r="AJ18" s="50">
        <v>88991</v>
      </c>
      <c r="AK18" s="50">
        <v>88857</v>
      </c>
      <c r="AL18" s="50">
        <v>89130</v>
      </c>
      <c r="AM18" s="50">
        <v>89383</v>
      </c>
      <c r="AN18" s="50">
        <v>89838</v>
      </c>
      <c r="AO18" s="50">
        <v>89797</v>
      </c>
      <c r="AP18" s="50">
        <v>89893</v>
      </c>
      <c r="AQ18" s="50">
        <v>89948</v>
      </c>
      <c r="AR18" s="50">
        <v>90001</v>
      </c>
      <c r="AS18" s="50">
        <v>89361</v>
      </c>
      <c r="AT18" s="50">
        <v>88484</v>
      </c>
      <c r="AU18" s="50">
        <v>87085</v>
      </c>
      <c r="AV18" s="50">
        <v>87631</v>
      </c>
      <c r="AW18" s="50">
        <v>87974</v>
      </c>
      <c r="AX18" s="50">
        <v>90322</v>
      </c>
      <c r="AY18" s="50">
        <v>92330</v>
      </c>
      <c r="AZ18" s="50">
        <v>92378</v>
      </c>
      <c r="BA18" s="50">
        <v>92475</v>
      </c>
      <c r="BB18" s="50">
        <v>93207</v>
      </c>
      <c r="BC18" s="50">
        <v>93447</v>
      </c>
      <c r="BD18" s="50">
        <v>93907</v>
      </c>
      <c r="BE18" s="50">
        <v>93976</v>
      </c>
      <c r="BF18" s="50">
        <v>94359</v>
      </c>
      <c r="BG18" s="50">
        <v>94385</v>
      </c>
      <c r="BH18" s="50">
        <v>94686</v>
      </c>
      <c r="BI18" s="50">
        <v>94946</v>
      </c>
      <c r="BJ18" s="50">
        <v>95030</v>
      </c>
      <c r="BK18" s="50">
        <v>95357</v>
      </c>
      <c r="BL18" s="50">
        <v>95648</v>
      </c>
      <c r="BM18" s="50">
        <v>95918</v>
      </c>
      <c r="BN18" s="50">
        <v>96197</v>
      </c>
      <c r="BO18" s="50">
        <v>96406</v>
      </c>
      <c r="BP18" s="50">
        <v>96473</v>
      </c>
      <c r="BQ18" s="50">
        <v>96598</v>
      </c>
      <c r="BR18" s="50">
        <v>96658</v>
      </c>
      <c r="BS18" s="50">
        <v>96631</v>
      </c>
      <c r="BT18" s="50">
        <v>96697</v>
      </c>
      <c r="BU18" s="50">
        <v>96804</v>
      </c>
      <c r="BV18" s="50">
        <v>96895</v>
      </c>
      <c r="BW18" s="50">
        <v>96937</v>
      </c>
      <c r="BX18" s="50">
        <v>97079</v>
      </c>
      <c r="BY18" s="50">
        <v>97268</v>
      </c>
      <c r="BZ18" s="50">
        <v>97578</v>
      </c>
      <c r="CA18" s="50">
        <v>97765</v>
      </c>
      <c r="CB18" s="50">
        <v>97833</v>
      </c>
      <c r="CC18" s="50">
        <v>98000</v>
      </c>
      <c r="CD18" s="50">
        <v>98105</v>
      </c>
      <c r="CE18" s="50">
        <v>98172</v>
      </c>
      <c r="CF18" s="50">
        <v>98339</v>
      </c>
      <c r="CG18" s="50">
        <v>98409</v>
      </c>
      <c r="CH18" s="50">
        <v>98508</v>
      </c>
      <c r="CI18" s="50">
        <v>98603</v>
      </c>
      <c r="CJ18" s="50">
        <v>98626</v>
      </c>
      <c r="CK18" s="50">
        <v>98671</v>
      </c>
      <c r="CL18" s="50">
        <v>98783</v>
      </c>
      <c r="CM18" s="50">
        <v>98804</v>
      </c>
      <c r="CN18" s="50">
        <v>98882</v>
      </c>
      <c r="CO18" s="50">
        <v>98983</v>
      </c>
      <c r="CP18" s="50">
        <v>99026</v>
      </c>
      <c r="CQ18" s="50">
        <v>99100</v>
      </c>
      <c r="CR18" s="50">
        <v>99117</v>
      </c>
      <c r="CS18" s="50">
        <v>99183</v>
      </c>
      <c r="CT18" s="50">
        <v>99195</v>
      </c>
      <c r="CU18" s="50">
        <v>99237</v>
      </c>
      <c r="CV18" s="50">
        <v>99256</v>
      </c>
      <c r="CW18" s="50">
        <v>99273</v>
      </c>
      <c r="CX18" s="50">
        <v>99328</v>
      </c>
      <c r="CY18" s="50">
        <v>99319</v>
      </c>
      <c r="CZ18" s="50">
        <v>99345</v>
      </c>
      <c r="DA18" s="50">
        <v>99337</v>
      </c>
      <c r="DB18" s="50">
        <v>99379</v>
      </c>
      <c r="DC18" s="50">
        <v>99386</v>
      </c>
      <c r="DD18" s="50">
        <v>99403</v>
      </c>
      <c r="DE18" s="50">
        <v>99400</v>
      </c>
      <c r="DF18" s="50">
        <v>99446</v>
      </c>
      <c r="DG18" s="50">
        <v>99456</v>
      </c>
      <c r="DH18" s="50">
        <v>99464</v>
      </c>
      <c r="DI18" s="50">
        <v>99473</v>
      </c>
      <c r="DJ18" s="50">
        <v>99510</v>
      </c>
      <c r="DK18" s="50">
        <v>99511</v>
      </c>
      <c r="DL18" s="50">
        <v>99517</v>
      </c>
      <c r="DM18" s="50">
        <v>99540</v>
      </c>
      <c r="DN18" s="50">
        <v>99561</v>
      </c>
      <c r="DO18" s="50">
        <v>99581</v>
      </c>
    </row>
    <row r="19" spans="1:119">
      <c r="A19" s="50">
        <v>17</v>
      </c>
      <c r="B19" s="50"/>
      <c r="C19" s="50"/>
      <c r="D19" s="50"/>
      <c r="E19" s="50"/>
      <c r="F19" s="50"/>
      <c r="G19" s="50"/>
      <c r="H19" s="50"/>
      <c r="I19" s="50"/>
      <c r="J19" s="50"/>
      <c r="K19" s="50"/>
      <c r="L19" s="50"/>
      <c r="M19" s="50"/>
      <c r="N19" s="50"/>
      <c r="O19" s="50"/>
      <c r="P19" s="50"/>
      <c r="Q19" s="50"/>
      <c r="R19" s="50"/>
      <c r="S19" s="50"/>
      <c r="T19" s="50"/>
      <c r="U19" s="50"/>
      <c r="V19" s="50"/>
      <c r="W19" s="50">
        <v>80420</v>
      </c>
      <c r="X19" s="50">
        <v>81173</v>
      </c>
      <c r="Y19" s="50">
        <v>81270</v>
      </c>
      <c r="Z19" s="50">
        <v>83602</v>
      </c>
      <c r="AA19" s="50">
        <v>83844</v>
      </c>
      <c r="AB19" s="50">
        <v>84414</v>
      </c>
      <c r="AC19" s="50">
        <v>85099</v>
      </c>
      <c r="AD19" s="50">
        <v>85908</v>
      </c>
      <c r="AE19" s="50">
        <v>85540</v>
      </c>
      <c r="AF19" s="50">
        <v>86775</v>
      </c>
      <c r="AG19" s="50">
        <v>87082</v>
      </c>
      <c r="AH19" s="50">
        <v>87449</v>
      </c>
      <c r="AI19" s="50">
        <v>87666</v>
      </c>
      <c r="AJ19" s="50">
        <v>88886</v>
      </c>
      <c r="AK19" s="50">
        <v>88752</v>
      </c>
      <c r="AL19" s="50">
        <v>89037</v>
      </c>
      <c r="AM19" s="50">
        <v>89296</v>
      </c>
      <c r="AN19" s="50">
        <v>89751</v>
      </c>
      <c r="AO19" s="50">
        <v>89712</v>
      </c>
      <c r="AP19" s="50">
        <v>89806</v>
      </c>
      <c r="AQ19" s="50">
        <v>89857</v>
      </c>
      <c r="AR19" s="50">
        <v>89917</v>
      </c>
      <c r="AS19" s="50">
        <v>89270</v>
      </c>
      <c r="AT19" s="50">
        <v>88397</v>
      </c>
      <c r="AU19" s="50">
        <v>87004</v>
      </c>
      <c r="AV19" s="50">
        <v>87548</v>
      </c>
      <c r="AW19" s="50">
        <v>87888</v>
      </c>
      <c r="AX19" s="50">
        <v>90230</v>
      </c>
      <c r="AY19" s="50">
        <v>92237</v>
      </c>
      <c r="AZ19" s="50">
        <v>92282</v>
      </c>
      <c r="BA19" s="50">
        <v>92369</v>
      </c>
      <c r="BB19" s="50">
        <v>93110</v>
      </c>
      <c r="BC19" s="50">
        <v>93336</v>
      </c>
      <c r="BD19" s="50">
        <v>93799</v>
      </c>
      <c r="BE19" s="50">
        <v>93864</v>
      </c>
      <c r="BF19" s="50">
        <v>94246</v>
      </c>
      <c r="BG19" s="50">
        <v>94280</v>
      </c>
      <c r="BH19" s="50">
        <v>94573</v>
      </c>
      <c r="BI19" s="50">
        <v>94842</v>
      </c>
      <c r="BJ19" s="50">
        <v>94927</v>
      </c>
      <c r="BK19" s="50">
        <v>95254</v>
      </c>
      <c r="BL19" s="50">
        <v>95555</v>
      </c>
      <c r="BM19" s="50">
        <v>95823</v>
      </c>
      <c r="BN19" s="50">
        <v>96111</v>
      </c>
      <c r="BO19" s="50">
        <v>96327</v>
      </c>
      <c r="BP19" s="50">
        <v>96393</v>
      </c>
      <c r="BQ19" s="50">
        <v>96518</v>
      </c>
      <c r="BR19" s="50">
        <v>96591</v>
      </c>
      <c r="BS19" s="50">
        <v>96573</v>
      </c>
      <c r="BT19" s="50">
        <v>96636</v>
      </c>
      <c r="BU19" s="50">
        <v>96747</v>
      </c>
      <c r="BV19" s="50">
        <v>96838</v>
      </c>
      <c r="BW19" s="50">
        <v>96887</v>
      </c>
      <c r="BX19" s="50">
        <v>97022</v>
      </c>
      <c r="BY19" s="50">
        <v>97212</v>
      </c>
      <c r="BZ19" s="50">
        <v>97529</v>
      </c>
      <c r="CA19" s="50">
        <v>97712</v>
      </c>
      <c r="CB19" s="50">
        <v>97782</v>
      </c>
      <c r="CC19" s="50">
        <v>97948</v>
      </c>
      <c r="CD19" s="50">
        <v>98052</v>
      </c>
      <c r="CE19" s="50">
        <v>98126</v>
      </c>
      <c r="CF19" s="50">
        <v>98299</v>
      </c>
      <c r="CG19" s="50">
        <v>98367</v>
      </c>
      <c r="CH19" s="50">
        <v>98465</v>
      </c>
      <c r="CI19" s="50">
        <v>98558</v>
      </c>
      <c r="CJ19" s="50">
        <v>98586</v>
      </c>
      <c r="CK19" s="50">
        <v>98639</v>
      </c>
      <c r="CL19" s="50">
        <v>98751</v>
      </c>
      <c r="CM19" s="50">
        <v>98771</v>
      </c>
      <c r="CN19" s="50">
        <v>98851</v>
      </c>
      <c r="CO19" s="50">
        <v>98952</v>
      </c>
      <c r="CP19" s="50">
        <v>99001</v>
      </c>
      <c r="CQ19" s="50">
        <v>99075</v>
      </c>
      <c r="CR19" s="50">
        <v>99091</v>
      </c>
      <c r="CS19" s="50">
        <v>99159</v>
      </c>
      <c r="CT19" s="50">
        <v>99170</v>
      </c>
      <c r="CU19" s="50">
        <v>99211</v>
      </c>
      <c r="CV19" s="50">
        <v>99232</v>
      </c>
      <c r="CW19" s="50">
        <v>99252</v>
      </c>
      <c r="CX19" s="50">
        <v>99307</v>
      </c>
      <c r="CY19" s="50">
        <v>99298</v>
      </c>
      <c r="CZ19" s="50">
        <v>99325</v>
      </c>
      <c r="DA19" s="50">
        <v>99319</v>
      </c>
      <c r="DB19" s="50">
        <v>99361</v>
      </c>
      <c r="DC19" s="50">
        <v>99368</v>
      </c>
      <c r="DD19" s="50">
        <v>99386</v>
      </c>
      <c r="DE19" s="50">
        <v>99384</v>
      </c>
      <c r="DF19" s="50">
        <v>99431</v>
      </c>
      <c r="DG19" s="50">
        <v>99441</v>
      </c>
      <c r="DH19" s="50">
        <v>99450</v>
      </c>
      <c r="DI19" s="50">
        <v>99459</v>
      </c>
      <c r="DJ19" s="50">
        <v>99497</v>
      </c>
      <c r="DK19" s="50">
        <v>99498</v>
      </c>
      <c r="DL19" s="50">
        <v>99505</v>
      </c>
      <c r="DM19" s="50">
        <v>99527</v>
      </c>
      <c r="DN19" s="50">
        <v>99549</v>
      </c>
      <c r="DO19" s="50">
        <v>99570</v>
      </c>
    </row>
    <row r="20" spans="1:119">
      <c r="A20" s="50">
        <v>18</v>
      </c>
      <c r="B20" s="50"/>
      <c r="C20" s="50"/>
      <c r="D20" s="50"/>
      <c r="E20" s="50"/>
      <c r="F20" s="50"/>
      <c r="G20" s="50"/>
      <c r="H20" s="50"/>
      <c r="I20" s="50"/>
      <c r="J20" s="50"/>
      <c r="K20" s="50"/>
      <c r="L20" s="50"/>
      <c r="M20" s="50"/>
      <c r="N20" s="50"/>
      <c r="O20" s="50"/>
      <c r="P20" s="50"/>
      <c r="Q20" s="50"/>
      <c r="R20" s="50"/>
      <c r="S20" s="50"/>
      <c r="T20" s="50"/>
      <c r="U20" s="50"/>
      <c r="V20" s="50"/>
      <c r="W20" s="50">
        <v>80244</v>
      </c>
      <c r="X20" s="50">
        <v>80986</v>
      </c>
      <c r="Y20" s="50">
        <v>81083</v>
      </c>
      <c r="Z20" s="50">
        <v>83410</v>
      </c>
      <c r="AA20" s="50">
        <v>83651</v>
      </c>
      <c r="AB20" s="50">
        <v>84200</v>
      </c>
      <c r="AC20" s="50">
        <v>84855</v>
      </c>
      <c r="AD20" s="50">
        <v>85553</v>
      </c>
      <c r="AE20" s="50">
        <v>85325</v>
      </c>
      <c r="AF20" s="50">
        <v>86557</v>
      </c>
      <c r="AG20" s="50">
        <v>86917</v>
      </c>
      <c r="AH20" s="50">
        <v>87330</v>
      </c>
      <c r="AI20" s="50">
        <v>87547</v>
      </c>
      <c r="AJ20" s="50">
        <v>88766</v>
      </c>
      <c r="AK20" s="50">
        <v>88643</v>
      </c>
      <c r="AL20" s="50">
        <v>88933</v>
      </c>
      <c r="AM20" s="50">
        <v>89206</v>
      </c>
      <c r="AN20" s="50">
        <v>89651</v>
      </c>
      <c r="AO20" s="50">
        <v>89613</v>
      </c>
      <c r="AP20" s="50">
        <v>89708</v>
      </c>
      <c r="AQ20" s="50">
        <v>89752</v>
      </c>
      <c r="AR20" s="50">
        <v>89823</v>
      </c>
      <c r="AS20" s="50">
        <v>89162</v>
      </c>
      <c r="AT20" s="50">
        <v>88292</v>
      </c>
      <c r="AU20" s="50">
        <v>86911</v>
      </c>
      <c r="AV20" s="50">
        <v>87432</v>
      </c>
      <c r="AW20" s="50">
        <v>87790</v>
      </c>
      <c r="AX20" s="50">
        <v>90118</v>
      </c>
      <c r="AY20" s="50">
        <v>92115</v>
      </c>
      <c r="AZ20" s="50">
        <v>92168</v>
      </c>
      <c r="BA20" s="50">
        <v>92240</v>
      </c>
      <c r="BB20" s="50">
        <v>92979</v>
      </c>
      <c r="BC20" s="50">
        <v>93202</v>
      </c>
      <c r="BD20" s="50">
        <v>93663</v>
      </c>
      <c r="BE20" s="50">
        <v>93734</v>
      </c>
      <c r="BF20" s="50">
        <v>94125</v>
      </c>
      <c r="BG20" s="50">
        <v>94154</v>
      </c>
      <c r="BH20" s="50">
        <v>94446</v>
      </c>
      <c r="BI20" s="50">
        <v>94713</v>
      </c>
      <c r="BJ20" s="50">
        <v>94805</v>
      </c>
      <c r="BK20" s="50">
        <v>95144</v>
      </c>
      <c r="BL20" s="50">
        <v>95443</v>
      </c>
      <c r="BM20" s="50">
        <v>95713</v>
      </c>
      <c r="BN20" s="50">
        <v>96007</v>
      </c>
      <c r="BO20" s="50">
        <v>96228</v>
      </c>
      <c r="BP20" s="50">
        <v>96307</v>
      </c>
      <c r="BQ20" s="50">
        <v>96432</v>
      </c>
      <c r="BR20" s="50">
        <v>96513</v>
      </c>
      <c r="BS20" s="50">
        <v>96497</v>
      </c>
      <c r="BT20" s="50">
        <v>96562</v>
      </c>
      <c r="BU20" s="50">
        <v>96678</v>
      </c>
      <c r="BV20" s="50">
        <v>96772</v>
      </c>
      <c r="BW20" s="50">
        <v>96813</v>
      </c>
      <c r="BX20" s="50">
        <v>96949</v>
      </c>
      <c r="BY20" s="50">
        <v>97143</v>
      </c>
      <c r="BZ20" s="50">
        <v>97469</v>
      </c>
      <c r="CA20" s="50">
        <v>97645</v>
      </c>
      <c r="CB20" s="50">
        <v>97714</v>
      </c>
      <c r="CC20" s="50">
        <v>97890</v>
      </c>
      <c r="CD20" s="50">
        <v>97990</v>
      </c>
      <c r="CE20" s="50">
        <v>98064</v>
      </c>
      <c r="CF20" s="50">
        <v>98243</v>
      </c>
      <c r="CG20" s="50">
        <v>98319</v>
      </c>
      <c r="CH20" s="50">
        <v>98414</v>
      </c>
      <c r="CI20" s="50">
        <v>98507</v>
      </c>
      <c r="CJ20" s="50">
        <v>98538</v>
      </c>
      <c r="CK20" s="50">
        <v>98597</v>
      </c>
      <c r="CL20" s="50">
        <v>98713</v>
      </c>
      <c r="CM20" s="50">
        <v>98734</v>
      </c>
      <c r="CN20" s="50">
        <v>98822</v>
      </c>
      <c r="CO20" s="50">
        <v>98916</v>
      </c>
      <c r="CP20" s="50">
        <v>98966</v>
      </c>
      <c r="CQ20" s="50">
        <v>99043</v>
      </c>
      <c r="CR20" s="50">
        <v>99055</v>
      </c>
      <c r="CS20" s="50">
        <v>99124</v>
      </c>
      <c r="CT20" s="50">
        <v>99142</v>
      </c>
      <c r="CU20" s="50">
        <v>99183</v>
      </c>
      <c r="CV20" s="50">
        <v>99203</v>
      </c>
      <c r="CW20" s="50">
        <v>99224</v>
      </c>
      <c r="CX20" s="50">
        <v>99280</v>
      </c>
      <c r="CY20" s="50">
        <v>99273</v>
      </c>
      <c r="CZ20" s="50">
        <v>99300</v>
      </c>
      <c r="DA20" s="50">
        <v>99294</v>
      </c>
      <c r="DB20" s="50">
        <v>99338</v>
      </c>
      <c r="DC20" s="50">
        <v>99345</v>
      </c>
      <c r="DD20" s="50">
        <v>99365</v>
      </c>
      <c r="DE20" s="50">
        <v>99363</v>
      </c>
      <c r="DF20" s="50">
        <v>99410</v>
      </c>
      <c r="DG20" s="50">
        <v>99421</v>
      </c>
      <c r="DH20" s="50">
        <v>99431</v>
      </c>
      <c r="DI20" s="50">
        <v>99441</v>
      </c>
      <c r="DJ20" s="50">
        <v>99479</v>
      </c>
      <c r="DK20" s="50">
        <v>99481</v>
      </c>
      <c r="DL20" s="50">
        <v>99488</v>
      </c>
      <c r="DM20" s="50">
        <v>99512</v>
      </c>
      <c r="DN20" s="50">
        <v>99534</v>
      </c>
      <c r="DO20" s="50">
        <v>99555</v>
      </c>
    </row>
    <row r="21" spans="1:119">
      <c r="A21" s="50">
        <v>19</v>
      </c>
      <c r="B21" s="50"/>
      <c r="C21" s="50"/>
      <c r="D21" s="50"/>
      <c r="E21" s="50"/>
      <c r="F21" s="50"/>
      <c r="G21" s="50"/>
      <c r="H21" s="50"/>
      <c r="I21" s="50"/>
      <c r="J21" s="50"/>
      <c r="K21" s="50"/>
      <c r="L21" s="50"/>
      <c r="M21" s="50"/>
      <c r="N21" s="50"/>
      <c r="O21" s="50"/>
      <c r="P21" s="50"/>
      <c r="Q21" s="50"/>
      <c r="R21" s="50"/>
      <c r="S21" s="50"/>
      <c r="T21" s="50"/>
      <c r="U21" s="50"/>
      <c r="V21" s="50"/>
      <c r="W21" s="50">
        <v>80037</v>
      </c>
      <c r="X21" s="50">
        <v>80778</v>
      </c>
      <c r="Y21" s="50">
        <v>80875</v>
      </c>
      <c r="Z21" s="50">
        <v>83195</v>
      </c>
      <c r="AA21" s="50">
        <v>83414</v>
      </c>
      <c r="AB21" s="50">
        <v>83930</v>
      </c>
      <c r="AC21" s="50">
        <v>84462</v>
      </c>
      <c r="AD21" s="50">
        <v>85295</v>
      </c>
      <c r="AE21" s="50">
        <v>85068</v>
      </c>
      <c r="AF21" s="50">
        <v>86360</v>
      </c>
      <c r="AG21" s="50">
        <v>86782</v>
      </c>
      <c r="AH21" s="50">
        <v>87195</v>
      </c>
      <c r="AI21" s="50">
        <v>87411</v>
      </c>
      <c r="AJ21" s="50">
        <v>88641</v>
      </c>
      <c r="AK21" s="50">
        <v>88522</v>
      </c>
      <c r="AL21" s="50">
        <v>88808</v>
      </c>
      <c r="AM21" s="50">
        <v>89077</v>
      </c>
      <c r="AN21" s="50">
        <v>89511</v>
      </c>
      <c r="AO21" s="50">
        <v>89478</v>
      </c>
      <c r="AP21" s="50">
        <v>89577</v>
      </c>
      <c r="AQ21" s="50">
        <v>89616</v>
      </c>
      <c r="AR21" s="50">
        <v>89687</v>
      </c>
      <c r="AS21" s="50">
        <v>89032</v>
      </c>
      <c r="AT21" s="50">
        <v>88160</v>
      </c>
      <c r="AU21" s="50">
        <v>86782</v>
      </c>
      <c r="AV21" s="50">
        <v>87296</v>
      </c>
      <c r="AW21" s="50">
        <v>87659</v>
      </c>
      <c r="AX21" s="50">
        <v>89973</v>
      </c>
      <c r="AY21" s="50">
        <v>91970</v>
      </c>
      <c r="AZ21" s="50">
        <v>92022</v>
      </c>
      <c r="BA21" s="50">
        <v>92071</v>
      </c>
      <c r="BB21" s="50">
        <v>92807</v>
      </c>
      <c r="BC21" s="50">
        <v>93024</v>
      </c>
      <c r="BD21" s="50">
        <v>93493</v>
      </c>
      <c r="BE21" s="50">
        <v>93573</v>
      </c>
      <c r="BF21" s="50">
        <v>93962</v>
      </c>
      <c r="BG21" s="50">
        <v>93982</v>
      </c>
      <c r="BH21" s="50">
        <v>94274</v>
      </c>
      <c r="BI21" s="50">
        <v>94547</v>
      </c>
      <c r="BJ21" s="50">
        <v>94637</v>
      </c>
      <c r="BK21" s="50">
        <v>94989</v>
      </c>
      <c r="BL21" s="50">
        <v>95298</v>
      </c>
      <c r="BM21" s="50">
        <v>95577</v>
      </c>
      <c r="BN21" s="50">
        <v>95870</v>
      </c>
      <c r="BO21" s="50">
        <v>96098</v>
      </c>
      <c r="BP21" s="50">
        <v>96199</v>
      </c>
      <c r="BQ21" s="50">
        <v>96326</v>
      </c>
      <c r="BR21" s="50">
        <v>96419</v>
      </c>
      <c r="BS21" s="50">
        <v>96394</v>
      </c>
      <c r="BT21" s="50">
        <v>96467</v>
      </c>
      <c r="BU21" s="50">
        <v>96580</v>
      </c>
      <c r="BV21" s="50">
        <v>96668</v>
      </c>
      <c r="BW21" s="50">
        <v>96710</v>
      </c>
      <c r="BX21" s="50">
        <v>96845</v>
      </c>
      <c r="BY21" s="50">
        <v>97038</v>
      </c>
      <c r="BZ21" s="50">
        <v>97360</v>
      </c>
      <c r="CA21" s="50">
        <v>97536</v>
      </c>
      <c r="CB21" s="50">
        <v>97605</v>
      </c>
      <c r="CC21" s="50">
        <v>97784</v>
      </c>
      <c r="CD21" s="50">
        <v>97895</v>
      </c>
      <c r="CE21" s="50">
        <v>97968</v>
      </c>
      <c r="CF21" s="50">
        <v>98148</v>
      </c>
      <c r="CG21" s="50">
        <v>98235</v>
      </c>
      <c r="CH21" s="50">
        <v>98333</v>
      </c>
      <c r="CI21" s="50">
        <v>98437</v>
      </c>
      <c r="CJ21" s="50">
        <v>98475</v>
      </c>
      <c r="CK21" s="50">
        <v>98532</v>
      </c>
      <c r="CL21" s="50">
        <v>98657</v>
      </c>
      <c r="CM21" s="50">
        <v>98680</v>
      </c>
      <c r="CN21" s="50">
        <v>98768</v>
      </c>
      <c r="CO21" s="50">
        <v>98867</v>
      </c>
      <c r="CP21" s="50">
        <v>98917</v>
      </c>
      <c r="CQ21" s="50">
        <v>98997</v>
      </c>
      <c r="CR21" s="50">
        <v>99012</v>
      </c>
      <c r="CS21" s="50">
        <v>99084</v>
      </c>
      <c r="CT21" s="50">
        <v>99106</v>
      </c>
      <c r="CU21" s="50">
        <v>99146</v>
      </c>
      <c r="CV21" s="50">
        <v>99168</v>
      </c>
      <c r="CW21" s="50">
        <v>99190</v>
      </c>
      <c r="CX21" s="50">
        <v>99247</v>
      </c>
      <c r="CY21" s="50">
        <v>99241</v>
      </c>
      <c r="CZ21" s="50">
        <v>99270</v>
      </c>
      <c r="DA21" s="50">
        <v>99265</v>
      </c>
      <c r="DB21" s="50">
        <v>99309</v>
      </c>
      <c r="DC21" s="50">
        <v>99318</v>
      </c>
      <c r="DD21" s="50">
        <v>99338</v>
      </c>
      <c r="DE21" s="50">
        <v>99337</v>
      </c>
      <c r="DF21" s="50">
        <v>99386</v>
      </c>
      <c r="DG21" s="50">
        <v>99398</v>
      </c>
      <c r="DH21" s="50">
        <v>99408</v>
      </c>
      <c r="DI21" s="50">
        <v>99419</v>
      </c>
      <c r="DJ21" s="50">
        <v>99458</v>
      </c>
      <c r="DK21" s="50">
        <v>99460</v>
      </c>
      <c r="DL21" s="50">
        <v>99468</v>
      </c>
      <c r="DM21" s="50">
        <v>99492</v>
      </c>
      <c r="DN21" s="50">
        <v>99515</v>
      </c>
      <c r="DO21" s="50">
        <v>99537</v>
      </c>
    </row>
    <row r="22" spans="1:119">
      <c r="A22" s="50">
        <v>20</v>
      </c>
      <c r="B22" s="50"/>
      <c r="C22" s="50"/>
      <c r="D22" s="50"/>
      <c r="E22" s="50"/>
      <c r="F22" s="50"/>
      <c r="G22" s="50"/>
      <c r="H22" s="50"/>
      <c r="I22" s="50"/>
      <c r="J22" s="50"/>
      <c r="K22" s="50"/>
      <c r="L22" s="50"/>
      <c r="M22" s="50"/>
      <c r="N22" s="50"/>
      <c r="O22" s="50"/>
      <c r="P22" s="50"/>
      <c r="Q22" s="50"/>
      <c r="R22" s="50"/>
      <c r="S22" s="50"/>
      <c r="T22" s="50"/>
      <c r="U22" s="50"/>
      <c r="V22" s="50"/>
      <c r="W22" s="50">
        <v>79814</v>
      </c>
      <c r="X22" s="50">
        <v>80553</v>
      </c>
      <c r="Y22" s="50">
        <v>80649</v>
      </c>
      <c r="Z22" s="50">
        <v>82940</v>
      </c>
      <c r="AA22" s="50">
        <v>83124</v>
      </c>
      <c r="AB22" s="50">
        <v>83508</v>
      </c>
      <c r="AC22" s="50">
        <v>84152</v>
      </c>
      <c r="AD22" s="50">
        <v>84981</v>
      </c>
      <c r="AE22" s="50">
        <v>84831</v>
      </c>
      <c r="AF22" s="50">
        <v>86211</v>
      </c>
      <c r="AG22" s="50">
        <v>86632</v>
      </c>
      <c r="AH22" s="50">
        <v>87044</v>
      </c>
      <c r="AI22" s="50">
        <v>87259</v>
      </c>
      <c r="AJ22" s="50">
        <v>88493</v>
      </c>
      <c r="AK22" s="50">
        <v>88391</v>
      </c>
      <c r="AL22" s="50">
        <v>88657</v>
      </c>
      <c r="AM22" s="50">
        <v>88917</v>
      </c>
      <c r="AN22" s="50">
        <v>89357</v>
      </c>
      <c r="AO22" s="50">
        <v>89322</v>
      </c>
      <c r="AP22" s="50">
        <v>89416</v>
      </c>
      <c r="AQ22" s="50">
        <v>89455</v>
      </c>
      <c r="AR22" s="50">
        <v>89534</v>
      </c>
      <c r="AS22" s="50">
        <v>88882</v>
      </c>
      <c r="AT22" s="50">
        <v>88016</v>
      </c>
      <c r="AU22" s="50">
        <v>86626</v>
      </c>
      <c r="AV22" s="50">
        <v>87140</v>
      </c>
      <c r="AW22" s="50">
        <v>87511</v>
      </c>
      <c r="AX22" s="50">
        <v>89834</v>
      </c>
      <c r="AY22" s="50">
        <v>91822</v>
      </c>
      <c r="AZ22" s="50">
        <v>91856</v>
      </c>
      <c r="BA22" s="50">
        <v>91893</v>
      </c>
      <c r="BB22" s="50">
        <v>92634</v>
      </c>
      <c r="BC22" s="50">
        <v>92847</v>
      </c>
      <c r="BD22" s="50">
        <v>93333</v>
      </c>
      <c r="BE22" s="50">
        <v>93404</v>
      </c>
      <c r="BF22" s="50">
        <v>93793</v>
      </c>
      <c r="BG22" s="50">
        <v>93808</v>
      </c>
      <c r="BH22" s="50">
        <v>94107</v>
      </c>
      <c r="BI22" s="50">
        <v>94380</v>
      </c>
      <c r="BJ22" s="50">
        <v>94485</v>
      </c>
      <c r="BK22" s="50">
        <v>94830</v>
      </c>
      <c r="BL22" s="50">
        <v>95147</v>
      </c>
      <c r="BM22" s="50">
        <v>95438</v>
      </c>
      <c r="BN22" s="50">
        <v>95731</v>
      </c>
      <c r="BO22" s="50">
        <v>95992</v>
      </c>
      <c r="BP22" s="50">
        <v>96088</v>
      </c>
      <c r="BQ22" s="50">
        <v>96214</v>
      </c>
      <c r="BR22" s="50">
        <v>96316</v>
      </c>
      <c r="BS22" s="50">
        <v>96299</v>
      </c>
      <c r="BT22" s="50">
        <v>96370</v>
      </c>
      <c r="BU22" s="50">
        <v>96463</v>
      </c>
      <c r="BV22" s="50">
        <v>96551</v>
      </c>
      <c r="BW22" s="50">
        <v>96598</v>
      </c>
      <c r="BX22" s="50">
        <v>96734</v>
      </c>
      <c r="BY22" s="50">
        <v>96929</v>
      </c>
      <c r="BZ22" s="50">
        <v>97256</v>
      </c>
      <c r="CA22" s="50">
        <v>97420</v>
      </c>
      <c r="CB22" s="50">
        <v>97502</v>
      </c>
      <c r="CC22" s="50">
        <v>97693</v>
      </c>
      <c r="CD22" s="50">
        <v>97807</v>
      </c>
      <c r="CE22" s="50">
        <v>97877</v>
      </c>
      <c r="CF22" s="50">
        <v>98066</v>
      </c>
      <c r="CG22" s="50">
        <v>98151</v>
      </c>
      <c r="CH22" s="50">
        <v>98255</v>
      </c>
      <c r="CI22" s="50">
        <v>98371</v>
      </c>
      <c r="CJ22" s="50">
        <v>98416</v>
      </c>
      <c r="CK22" s="50">
        <v>98467</v>
      </c>
      <c r="CL22" s="50">
        <v>98601</v>
      </c>
      <c r="CM22" s="50">
        <v>98632</v>
      </c>
      <c r="CN22" s="50">
        <v>98720</v>
      </c>
      <c r="CO22" s="50">
        <v>98815</v>
      </c>
      <c r="CP22" s="50">
        <v>98869</v>
      </c>
      <c r="CQ22" s="50">
        <v>98951</v>
      </c>
      <c r="CR22" s="50">
        <v>98973</v>
      </c>
      <c r="CS22" s="50">
        <v>99040</v>
      </c>
      <c r="CT22" s="50">
        <v>99063</v>
      </c>
      <c r="CU22" s="50">
        <v>99105</v>
      </c>
      <c r="CV22" s="50">
        <v>99129</v>
      </c>
      <c r="CW22" s="50">
        <v>99152</v>
      </c>
      <c r="CX22" s="50">
        <v>99210</v>
      </c>
      <c r="CY22" s="50">
        <v>99205</v>
      </c>
      <c r="CZ22" s="50">
        <v>99235</v>
      </c>
      <c r="DA22" s="50">
        <v>99232</v>
      </c>
      <c r="DB22" s="50">
        <v>99277</v>
      </c>
      <c r="DC22" s="50">
        <v>99287</v>
      </c>
      <c r="DD22" s="50">
        <v>99308</v>
      </c>
      <c r="DE22" s="50">
        <v>99308</v>
      </c>
      <c r="DF22" s="50">
        <v>99358</v>
      </c>
      <c r="DG22" s="50">
        <v>99370</v>
      </c>
      <c r="DH22" s="50">
        <v>99381</v>
      </c>
      <c r="DI22" s="50">
        <v>99393</v>
      </c>
      <c r="DJ22" s="50">
        <v>99433</v>
      </c>
      <c r="DK22" s="50">
        <v>99437</v>
      </c>
      <c r="DL22" s="50">
        <v>99445</v>
      </c>
      <c r="DM22" s="50">
        <v>99470</v>
      </c>
      <c r="DN22" s="50">
        <v>99494</v>
      </c>
      <c r="DO22" s="50">
        <v>99516</v>
      </c>
    </row>
    <row r="23" spans="1:119">
      <c r="A23" s="50">
        <v>21</v>
      </c>
      <c r="B23" s="50"/>
      <c r="C23" s="50"/>
      <c r="D23" s="50"/>
      <c r="E23" s="50"/>
      <c r="F23" s="50"/>
      <c r="G23" s="50"/>
      <c r="H23" s="50"/>
      <c r="I23" s="50"/>
      <c r="J23" s="50"/>
      <c r="K23" s="50"/>
      <c r="L23" s="50"/>
      <c r="M23" s="50"/>
      <c r="N23" s="50"/>
      <c r="O23" s="50"/>
      <c r="P23" s="50"/>
      <c r="Q23" s="50"/>
      <c r="R23" s="50"/>
      <c r="S23" s="50"/>
      <c r="T23" s="50"/>
      <c r="U23" s="50"/>
      <c r="V23" s="50"/>
      <c r="W23" s="50">
        <v>79577</v>
      </c>
      <c r="X23" s="50">
        <v>80314</v>
      </c>
      <c r="Y23" s="50">
        <v>80386</v>
      </c>
      <c r="Z23" s="50">
        <v>82632</v>
      </c>
      <c r="AA23" s="50">
        <v>82679</v>
      </c>
      <c r="AB23" s="50">
        <v>83142</v>
      </c>
      <c r="AC23" s="50">
        <v>83783</v>
      </c>
      <c r="AD23" s="50">
        <v>84700</v>
      </c>
      <c r="AE23" s="50">
        <v>84672</v>
      </c>
      <c r="AF23" s="50">
        <v>86049</v>
      </c>
      <c r="AG23" s="50">
        <v>86469</v>
      </c>
      <c r="AH23" s="50">
        <v>86887</v>
      </c>
      <c r="AI23" s="50">
        <v>87109</v>
      </c>
      <c r="AJ23" s="50">
        <v>88331</v>
      </c>
      <c r="AK23" s="50">
        <v>88236</v>
      </c>
      <c r="AL23" s="50">
        <v>88482</v>
      </c>
      <c r="AM23" s="50">
        <v>88756</v>
      </c>
      <c r="AN23" s="50">
        <v>89190</v>
      </c>
      <c r="AO23" s="50">
        <v>89149</v>
      </c>
      <c r="AP23" s="50">
        <v>89256</v>
      </c>
      <c r="AQ23" s="50">
        <v>89289</v>
      </c>
      <c r="AR23" s="50">
        <v>89381</v>
      </c>
      <c r="AS23" s="50">
        <v>88725</v>
      </c>
      <c r="AT23" s="50">
        <v>87874</v>
      </c>
      <c r="AU23" s="50">
        <v>86479</v>
      </c>
      <c r="AV23" s="50">
        <v>86983</v>
      </c>
      <c r="AW23" s="50">
        <v>87366</v>
      </c>
      <c r="AX23" s="50">
        <v>89700</v>
      </c>
      <c r="AY23" s="50">
        <v>91664</v>
      </c>
      <c r="AZ23" s="50">
        <v>91692</v>
      </c>
      <c r="BA23" s="50">
        <v>91711</v>
      </c>
      <c r="BB23" s="50">
        <v>92464</v>
      </c>
      <c r="BC23" s="50">
        <v>92694</v>
      </c>
      <c r="BD23" s="50">
        <v>93167</v>
      </c>
      <c r="BE23" s="50">
        <v>93244</v>
      </c>
      <c r="BF23" s="50">
        <v>93618</v>
      </c>
      <c r="BG23" s="50">
        <v>93641</v>
      </c>
      <c r="BH23" s="50">
        <v>93957</v>
      </c>
      <c r="BI23" s="50">
        <v>94222</v>
      </c>
      <c r="BJ23" s="50">
        <v>94334</v>
      </c>
      <c r="BK23" s="50">
        <v>94694</v>
      </c>
      <c r="BL23" s="50">
        <v>95009</v>
      </c>
      <c r="BM23" s="50">
        <v>95312</v>
      </c>
      <c r="BN23" s="50">
        <v>95616</v>
      </c>
      <c r="BO23" s="50">
        <v>95883</v>
      </c>
      <c r="BP23" s="50">
        <v>95983</v>
      </c>
      <c r="BQ23" s="50">
        <v>96105</v>
      </c>
      <c r="BR23" s="50">
        <v>96216</v>
      </c>
      <c r="BS23" s="50">
        <v>96195</v>
      </c>
      <c r="BT23" s="50">
        <v>96260</v>
      </c>
      <c r="BU23" s="50">
        <v>96355</v>
      </c>
      <c r="BV23" s="50">
        <v>96447</v>
      </c>
      <c r="BW23" s="50">
        <v>96494</v>
      </c>
      <c r="BX23" s="50">
        <v>96636</v>
      </c>
      <c r="BY23" s="50">
        <v>96828</v>
      </c>
      <c r="BZ23" s="50">
        <v>97151</v>
      </c>
      <c r="CA23" s="50">
        <v>97321</v>
      </c>
      <c r="CB23" s="50">
        <v>97405</v>
      </c>
      <c r="CC23" s="50">
        <v>97600</v>
      </c>
      <c r="CD23" s="50">
        <v>97713</v>
      </c>
      <c r="CE23" s="50">
        <v>97791</v>
      </c>
      <c r="CF23" s="50">
        <v>97985</v>
      </c>
      <c r="CG23" s="50">
        <v>98080</v>
      </c>
      <c r="CH23" s="50">
        <v>98189</v>
      </c>
      <c r="CI23" s="50">
        <v>98314</v>
      </c>
      <c r="CJ23" s="50">
        <v>98354</v>
      </c>
      <c r="CK23" s="50">
        <v>98404</v>
      </c>
      <c r="CL23" s="50">
        <v>98548</v>
      </c>
      <c r="CM23" s="50">
        <v>98581</v>
      </c>
      <c r="CN23" s="50">
        <v>98666</v>
      </c>
      <c r="CO23" s="50">
        <v>98761</v>
      </c>
      <c r="CP23" s="50">
        <v>98822</v>
      </c>
      <c r="CQ23" s="50">
        <v>98913</v>
      </c>
      <c r="CR23" s="50">
        <v>98924</v>
      </c>
      <c r="CS23" s="50">
        <v>98994</v>
      </c>
      <c r="CT23" s="50">
        <v>99019</v>
      </c>
      <c r="CU23" s="50">
        <v>99063</v>
      </c>
      <c r="CV23" s="50">
        <v>99087</v>
      </c>
      <c r="CW23" s="50">
        <v>99112</v>
      </c>
      <c r="CX23" s="50">
        <v>99171</v>
      </c>
      <c r="CY23" s="50">
        <v>99168</v>
      </c>
      <c r="CZ23" s="50">
        <v>99199</v>
      </c>
      <c r="DA23" s="50">
        <v>99197</v>
      </c>
      <c r="DB23" s="50">
        <v>99243</v>
      </c>
      <c r="DC23" s="50">
        <v>99254</v>
      </c>
      <c r="DD23" s="50">
        <v>99276</v>
      </c>
      <c r="DE23" s="50">
        <v>99277</v>
      </c>
      <c r="DF23" s="50">
        <v>99328</v>
      </c>
      <c r="DG23" s="50">
        <v>99342</v>
      </c>
      <c r="DH23" s="50">
        <v>99354</v>
      </c>
      <c r="DI23" s="50">
        <v>99366</v>
      </c>
      <c r="DJ23" s="50">
        <v>99407</v>
      </c>
      <c r="DK23" s="50">
        <v>99411</v>
      </c>
      <c r="DL23" s="50">
        <v>99421</v>
      </c>
      <c r="DM23" s="50">
        <v>99446</v>
      </c>
      <c r="DN23" s="50">
        <v>99471</v>
      </c>
      <c r="DO23" s="50">
        <v>99494</v>
      </c>
    </row>
    <row r="24" spans="1:119">
      <c r="A24" s="50">
        <v>22</v>
      </c>
      <c r="B24" s="50"/>
      <c r="C24" s="50"/>
      <c r="D24" s="50"/>
      <c r="E24" s="50"/>
      <c r="F24" s="50"/>
      <c r="G24" s="50"/>
      <c r="H24" s="50"/>
      <c r="I24" s="50"/>
      <c r="J24" s="50"/>
      <c r="K24" s="50"/>
      <c r="L24" s="50"/>
      <c r="M24" s="50"/>
      <c r="N24" s="50"/>
      <c r="O24" s="50"/>
      <c r="P24" s="50"/>
      <c r="Q24" s="50"/>
      <c r="R24" s="50"/>
      <c r="S24" s="50"/>
      <c r="T24" s="50"/>
      <c r="U24" s="50"/>
      <c r="V24" s="50"/>
      <c r="W24" s="50">
        <v>79332</v>
      </c>
      <c r="X24" s="50">
        <v>80041</v>
      </c>
      <c r="Y24" s="50">
        <v>80076</v>
      </c>
      <c r="Z24" s="50">
        <v>82173</v>
      </c>
      <c r="AA24" s="50">
        <v>82279</v>
      </c>
      <c r="AB24" s="50">
        <v>82740</v>
      </c>
      <c r="AC24" s="50">
        <v>83476</v>
      </c>
      <c r="AD24" s="50">
        <v>84532</v>
      </c>
      <c r="AE24" s="50">
        <v>84504</v>
      </c>
      <c r="AF24" s="50">
        <v>85878</v>
      </c>
      <c r="AG24" s="50">
        <v>86305</v>
      </c>
      <c r="AH24" s="50">
        <v>86725</v>
      </c>
      <c r="AI24" s="50">
        <v>86949</v>
      </c>
      <c r="AJ24" s="50">
        <v>88172</v>
      </c>
      <c r="AK24" s="50">
        <v>88050</v>
      </c>
      <c r="AL24" s="50">
        <v>88303</v>
      </c>
      <c r="AM24" s="50">
        <v>88591</v>
      </c>
      <c r="AN24" s="50">
        <v>89029</v>
      </c>
      <c r="AO24" s="50">
        <v>88994</v>
      </c>
      <c r="AP24" s="50">
        <v>89079</v>
      </c>
      <c r="AQ24" s="50">
        <v>89134</v>
      </c>
      <c r="AR24" s="50">
        <v>89217</v>
      </c>
      <c r="AS24" s="50">
        <v>88578</v>
      </c>
      <c r="AT24" s="50">
        <v>87725</v>
      </c>
      <c r="AU24" s="50">
        <v>86333</v>
      </c>
      <c r="AV24" s="50">
        <v>86840</v>
      </c>
      <c r="AW24" s="50">
        <v>87227</v>
      </c>
      <c r="AX24" s="50">
        <v>89540</v>
      </c>
      <c r="AY24" s="50">
        <v>91504</v>
      </c>
      <c r="AZ24" s="50">
        <v>91522</v>
      </c>
      <c r="BA24" s="50">
        <v>91545</v>
      </c>
      <c r="BB24" s="50">
        <v>92312</v>
      </c>
      <c r="BC24" s="50">
        <v>92538</v>
      </c>
      <c r="BD24" s="50">
        <v>93016</v>
      </c>
      <c r="BE24" s="50">
        <v>93082</v>
      </c>
      <c r="BF24" s="50">
        <v>93460</v>
      </c>
      <c r="BG24" s="50">
        <v>93483</v>
      </c>
      <c r="BH24" s="50">
        <v>93809</v>
      </c>
      <c r="BI24" s="50">
        <v>94084</v>
      </c>
      <c r="BJ24" s="50">
        <v>94199</v>
      </c>
      <c r="BK24" s="50">
        <v>94559</v>
      </c>
      <c r="BL24" s="50">
        <v>94883</v>
      </c>
      <c r="BM24" s="50">
        <v>95202</v>
      </c>
      <c r="BN24" s="50">
        <v>95512</v>
      </c>
      <c r="BO24" s="50">
        <v>95780</v>
      </c>
      <c r="BP24" s="50">
        <v>95884</v>
      </c>
      <c r="BQ24" s="50">
        <v>96005</v>
      </c>
      <c r="BR24" s="50">
        <v>96111</v>
      </c>
      <c r="BS24" s="50">
        <v>96084</v>
      </c>
      <c r="BT24" s="50">
        <v>96151</v>
      </c>
      <c r="BU24" s="50">
        <v>96243</v>
      </c>
      <c r="BV24" s="50">
        <v>96344</v>
      </c>
      <c r="BW24" s="50">
        <v>96393</v>
      </c>
      <c r="BX24" s="50">
        <v>96529</v>
      </c>
      <c r="BY24" s="50">
        <v>96747</v>
      </c>
      <c r="BZ24" s="50">
        <v>97053</v>
      </c>
      <c r="CA24" s="50">
        <v>97231</v>
      </c>
      <c r="CB24" s="50">
        <v>97308</v>
      </c>
      <c r="CC24" s="50">
        <v>97510</v>
      </c>
      <c r="CD24" s="50">
        <v>97633</v>
      </c>
      <c r="CE24" s="50">
        <v>97708</v>
      </c>
      <c r="CF24" s="50">
        <v>97912</v>
      </c>
      <c r="CG24" s="50">
        <v>98013</v>
      </c>
      <c r="CH24" s="50">
        <v>98128</v>
      </c>
      <c r="CI24" s="50">
        <v>98253</v>
      </c>
      <c r="CJ24" s="50">
        <v>98293</v>
      </c>
      <c r="CK24" s="50">
        <v>98355</v>
      </c>
      <c r="CL24" s="50">
        <v>98493</v>
      </c>
      <c r="CM24" s="50">
        <v>98521</v>
      </c>
      <c r="CN24" s="50">
        <v>98615</v>
      </c>
      <c r="CO24" s="50">
        <v>98719</v>
      </c>
      <c r="CP24" s="50">
        <v>98779</v>
      </c>
      <c r="CQ24" s="50">
        <v>98862</v>
      </c>
      <c r="CR24" s="50">
        <v>98877</v>
      </c>
      <c r="CS24" s="50">
        <v>98948</v>
      </c>
      <c r="CT24" s="50">
        <v>98975</v>
      </c>
      <c r="CU24" s="50">
        <v>99020</v>
      </c>
      <c r="CV24" s="50">
        <v>99046</v>
      </c>
      <c r="CW24" s="50">
        <v>99072</v>
      </c>
      <c r="CX24" s="50">
        <v>99133</v>
      </c>
      <c r="CY24" s="50">
        <v>99130</v>
      </c>
      <c r="CZ24" s="50">
        <v>99163</v>
      </c>
      <c r="DA24" s="50">
        <v>99161</v>
      </c>
      <c r="DB24" s="50">
        <v>99209</v>
      </c>
      <c r="DC24" s="50">
        <v>99221</v>
      </c>
      <c r="DD24" s="50">
        <v>99244</v>
      </c>
      <c r="DE24" s="50">
        <v>99247</v>
      </c>
      <c r="DF24" s="50">
        <v>99298</v>
      </c>
      <c r="DG24" s="50">
        <v>99313</v>
      </c>
      <c r="DH24" s="50">
        <v>99326</v>
      </c>
      <c r="DI24" s="50">
        <v>99339</v>
      </c>
      <c r="DJ24" s="50">
        <v>99381</v>
      </c>
      <c r="DK24" s="50">
        <v>99386</v>
      </c>
      <c r="DL24" s="50">
        <v>99396</v>
      </c>
      <c r="DM24" s="50">
        <v>99422</v>
      </c>
      <c r="DN24" s="50">
        <v>99447</v>
      </c>
      <c r="DO24" s="50">
        <v>99471</v>
      </c>
    </row>
    <row r="25" spans="1:119">
      <c r="A25" s="50">
        <v>23</v>
      </c>
      <c r="B25" s="50"/>
      <c r="C25" s="50"/>
      <c r="D25" s="50"/>
      <c r="E25" s="50"/>
      <c r="F25" s="50"/>
      <c r="G25" s="50"/>
      <c r="H25" s="50"/>
      <c r="I25" s="50"/>
      <c r="J25" s="50"/>
      <c r="K25" s="50"/>
      <c r="L25" s="50"/>
      <c r="M25" s="50"/>
      <c r="N25" s="50"/>
      <c r="O25" s="50"/>
      <c r="P25" s="50"/>
      <c r="Q25" s="50"/>
      <c r="R25" s="50"/>
      <c r="S25" s="50"/>
      <c r="T25" s="50"/>
      <c r="U25" s="50"/>
      <c r="V25" s="50"/>
      <c r="W25" s="50">
        <v>79070</v>
      </c>
      <c r="X25" s="50">
        <v>79742</v>
      </c>
      <c r="Y25" s="50">
        <v>79644</v>
      </c>
      <c r="Z25" s="50">
        <v>81768</v>
      </c>
      <c r="AA25" s="50">
        <v>81874</v>
      </c>
      <c r="AB25" s="50">
        <v>82476</v>
      </c>
      <c r="AC25" s="50">
        <v>83304</v>
      </c>
      <c r="AD25" s="50">
        <v>84357</v>
      </c>
      <c r="AE25" s="50">
        <v>84329</v>
      </c>
      <c r="AF25" s="50">
        <v>85703</v>
      </c>
      <c r="AG25" s="50">
        <v>86133</v>
      </c>
      <c r="AH25" s="50">
        <v>86552</v>
      </c>
      <c r="AI25" s="50">
        <v>86778</v>
      </c>
      <c r="AJ25" s="50">
        <v>88007</v>
      </c>
      <c r="AK25" s="50">
        <v>87883</v>
      </c>
      <c r="AL25" s="50">
        <v>88138</v>
      </c>
      <c r="AM25" s="50">
        <v>88426</v>
      </c>
      <c r="AN25" s="50">
        <v>88876</v>
      </c>
      <c r="AO25" s="50">
        <v>88830</v>
      </c>
      <c r="AP25" s="50">
        <v>88932</v>
      </c>
      <c r="AQ25" s="50">
        <v>88980</v>
      </c>
      <c r="AR25" s="50">
        <v>89069</v>
      </c>
      <c r="AS25" s="50">
        <v>88439</v>
      </c>
      <c r="AT25" s="50">
        <v>87582</v>
      </c>
      <c r="AU25" s="50">
        <v>86178</v>
      </c>
      <c r="AV25" s="50">
        <v>86705</v>
      </c>
      <c r="AW25" s="50">
        <v>87086</v>
      </c>
      <c r="AX25" s="50">
        <v>89385</v>
      </c>
      <c r="AY25" s="50">
        <v>91349</v>
      </c>
      <c r="AZ25" s="50">
        <v>91355</v>
      </c>
      <c r="BA25" s="50">
        <v>91405</v>
      </c>
      <c r="BB25" s="50">
        <v>92181</v>
      </c>
      <c r="BC25" s="50">
        <v>92392</v>
      </c>
      <c r="BD25" s="50">
        <v>92869</v>
      </c>
      <c r="BE25" s="50">
        <v>92936</v>
      </c>
      <c r="BF25" s="50">
        <v>93308</v>
      </c>
      <c r="BG25" s="50">
        <v>93334</v>
      </c>
      <c r="BH25" s="50">
        <v>93684</v>
      </c>
      <c r="BI25" s="50">
        <v>93965</v>
      </c>
      <c r="BJ25" s="50">
        <v>94073</v>
      </c>
      <c r="BK25" s="50">
        <v>94435</v>
      </c>
      <c r="BL25" s="50">
        <v>94766</v>
      </c>
      <c r="BM25" s="50">
        <v>95098</v>
      </c>
      <c r="BN25" s="50">
        <v>95409</v>
      </c>
      <c r="BO25" s="50">
        <v>95683</v>
      </c>
      <c r="BP25" s="50">
        <v>95785</v>
      </c>
      <c r="BQ25" s="50">
        <v>95903</v>
      </c>
      <c r="BR25" s="50">
        <v>96003</v>
      </c>
      <c r="BS25" s="50">
        <v>95972</v>
      </c>
      <c r="BT25" s="50">
        <v>96050</v>
      </c>
      <c r="BU25" s="50">
        <v>96145</v>
      </c>
      <c r="BV25" s="50">
        <v>96242</v>
      </c>
      <c r="BW25" s="50">
        <v>96299</v>
      </c>
      <c r="BX25" s="50">
        <v>96437</v>
      </c>
      <c r="BY25" s="50">
        <v>96664</v>
      </c>
      <c r="BZ25" s="50">
        <v>96957</v>
      </c>
      <c r="CA25" s="50">
        <v>97145</v>
      </c>
      <c r="CB25" s="50">
        <v>97230</v>
      </c>
      <c r="CC25" s="50">
        <v>97426</v>
      </c>
      <c r="CD25" s="50">
        <v>97559</v>
      </c>
      <c r="CE25" s="50">
        <v>97634</v>
      </c>
      <c r="CF25" s="50">
        <v>97849</v>
      </c>
      <c r="CG25" s="50">
        <v>97957</v>
      </c>
      <c r="CH25" s="50">
        <v>98062</v>
      </c>
      <c r="CI25" s="50">
        <v>98198</v>
      </c>
      <c r="CJ25" s="50">
        <v>98239</v>
      </c>
      <c r="CK25" s="50">
        <v>98304</v>
      </c>
      <c r="CL25" s="50">
        <v>98441</v>
      </c>
      <c r="CM25" s="50">
        <v>98468</v>
      </c>
      <c r="CN25" s="50">
        <v>98567</v>
      </c>
      <c r="CO25" s="50">
        <v>98680</v>
      </c>
      <c r="CP25" s="50">
        <v>98736</v>
      </c>
      <c r="CQ25" s="50">
        <v>98815</v>
      </c>
      <c r="CR25" s="50">
        <v>98831</v>
      </c>
      <c r="CS25" s="50">
        <v>98904</v>
      </c>
      <c r="CT25" s="50">
        <v>98932</v>
      </c>
      <c r="CU25" s="50">
        <v>98979</v>
      </c>
      <c r="CV25" s="50">
        <v>99006</v>
      </c>
      <c r="CW25" s="50">
        <v>99033</v>
      </c>
      <c r="CX25" s="50">
        <v>99095</v>
      </c>
      <c r="CY25" s="50">
        <v>99094</v>
      </c>
      <c r="CZ25" s="50">
        <v>99127</v>
      </c>
      <c r="DA25" s="50">
        <v>99127</v>
      </c>
      <c r="DB25" s="50">
        <v>99176</v>
      </c>
      <c r="DC25" s="50">
        <v>99189</v>
      </c>
      <c r="DD25" s="50">
        <v>99213</v>
      </c>
      <c r="DE25" s="50">
        <v>99216</v>
      </c>
      <c r="DF25" s="50">
        <v>99269</v>
      </c>
      <c r="DG25" s="50">
        <v>99284</v>
      </c>
      <c r="DH25" s="50">
        <v>99298</v>
      </c>
      <c r="DI25" s="50">
        <v>99313</v>
      </c>
      <c r="DJ25" s="50">
        <v>99355</v>
      </c>
      <c r="DK25" s="50">
        <v>99361</v>
      </c>
      <c r="DL25" s="50">
        <v>99372</v>
      </c>
      <c r="DM25" s="50">
        <v>99399</v>
      </c>
      <c r="DN25" s="50">
        <v>99425</v>
      </c>
      <c r="DO25" s="50">
        <v>99449</v>
      </c>
    </row>
    <row r="26" spans="1:119">
      <c r="A26" s="50">
        <v>24</v>
      </c>
      <c r="B26" s="50"/>
      <c r="C26" s="50"/>
      <c r="D26" s="50"/>
      <c r="E26" s="50"/>
      <c r="F26" s="50"/>
      <c r="G26" s="50"/>
      <c r="H26" s="50"/>
      <c r="I26" s="50"/>
      <c r="J26" s="50"/>
      <c r="K26" s="50"/>
      <c r="L26" s="50"/>
      <c r="M26" s="50"/>
      <c r="N26" s="50"/>
      <c r="O26" s="50"/>
      <c r="P26" s="50"/>
      <c r="Q26" s="50"/>
      <c r="R26" s="50"/>
      <c r="S26" s="50"/>
      <c r="T26" s="50"/>
      <c r="U26" s="50"/>
      <c r="V26" s="50"/>
      <c r="W26" s="50">
        <v>78777</v>
      </c>
      <c r="X26" s="50">
        <v>79316</v>
      </c>
      <c r="Y26" s="50">
        <v>79260</v>
      </c>
      <c r="Z26" s="50">
        <v>81374</v>
      </c>
      <c r="AA26" s="50">
        <v>81618</v>
      </c>
      <c r="AB26" s="50">
        <v>82300</v>
      </c>
      <c r="AC26" s="50">
        <v>83126</v>
      </c>
      <c r="AD26" s="50">
        <v>84177</v>
      </c>
      <c r="AE26" s="50">
        <v>84168</v>
      </c>
      <c r="AF26" s="50">
        <v>85527</v>
      </c>
      <c r="AG26" s="50">
        <v>85972</v>
      </c>
      <c r="AH26" s="50">
        <v>86387</v>
      </c>
      <c r="AI26" s="50">
        <v>86608</v>
      </c>
      <c r="AJ26" s="50">
        <v>87847</v>
      </c>
      <c r="AK26" s="50">
        <v>87732</v>
      </c>
      <c r="AL26" s="50">
        <v>87990</v>
      </c>
      <c r="AM26" s="50">
        <v>88279</v>
      </c>
      <c r="AN26" s="50">
        <v>88720</v>
      </c>
      <c r="AO26" s="50">
        <v>88681</v>
      </c>
      <c r="AP26" s="50">
        <v>88783</v>
      </c>
      <c r="AQ26" s="50">
        <v>88834</v>
      </c>
      <c r="AR26" s="50">
        <v>88922</v>
      </c>
      <c r="AS26" s="50">
        <v>88305</v>
      </c>
      <c r="AT26" s="50">
        <v>87454</v>
      </c>
      <c r="AU26" s="50">
        <v>86045</v>
      </c>
      <c r="AV26" s="50">
        <v>86562</v>
      </c>
      <c r="AW26" s="50">
        <v>86943</v>
      </c>
      <c r="AX26" s="50">
        <v>89237</v>
      </c>
      <c r="AY26" s="50">
        <v>91211</v>
      </c>
      <c r="AZ26" s="50">
        <v>91232</v>
      </c>
      <c r="BA26" s="50">
        <v>91275</v>
      </c>
      <c r="BB26" s="50">
        <v>92049</v>
      </c>
      <c r="BC26" s="50">
        <v>92247</v>
      </c>
      <c r="BD26" s="50">
        <v>92727</v>
      </c>
      <c r="BE26" s="50">
        <v>92800</v>
      </c>
      <c r="BF26" s="50">
        <v>93173</v>
      </c>
      <c r="BG26" s="50">
        <v>93203</v>
      </c>
      <c r="BH26" s="50">
        <v>93560</v>
      </c>
      <c r="BI26" s="50">
        <v>93845</v>
      </c>
      <c r="BJ26" s="50">
        <v>93954</v>
      </c>
      <c r="BK26" s="50">
        <v>94338</v>
      </c>
      <c r="BL26" s="50">
        <v>94667</v>
      </c>
      <c r="BM26" s="50">
        <v>95003</v>
      </c>
      <c r="BN26" s="50">
        <v>95310</v>
      </c>
      <c r="BO26" s="50">
        <v>95584</v>
      </c>
      <c r="BP26" s="50">
        <v>95689</v>
      </c>
      <c r="BQ26" s="50">
        <v>95795</v>
      </c>
      <c r="BR26" s="50">
        <v>95896</v>
      </c>
      <c r="BS26" s="50">
        <v>95871</v>
      </c>
      <c r="BT26" s="50">
        <v>95951</v>
      </c>
      <c r="BU26" s="50">
        <v>96056</v>
      </c>
      <c r="BV26" s="50">
        <v>96146</v>
      </c>
      <c r="BW26" s="50">
        <v>96196</v>
      </c>
      <c r="BX26" s="50">
        <v>96347</v>
      </c>
      <c r="BY26" s="50">
        <v>96580</v>
      </c>
      <c r="BZ26" s="50">
        <v>96873</v>
      </c>
      <c r="CA26" s="50">
        <v>97065</v>
      </c>
      <c r="CB26" s="50">
        <v>97156</v>
      </c>
      <c r="CC26" s="50">
        <v>97345</v>
      </c>
      <c r="CD26" s="50">
        <v>97490</v>
      </c>
      <c r="CE26" s="50">
        <v>97570</v>
      </c>
      <c r="CF26" s="50">
        <v>97791</v>
      </c>
      <c r="CG26" s="50">
        <v>97897</v>
      </c>
      <c r="CH26" s="50">
        <v>98003</v>
      </c>
      <c r="CI26" s="50">
        <v>98145</v>
      </c>
      <c r="CJ26" s="50">
        <v>98193</v>
      </c>
      <c r="CK26" s="50">
        <v>98247</v>
      </c>
      <c r="CL26" s="50">
        <v>98383</v>
      </c>
      <c r="CM26" s="50">
        <v>98422</v>
      </c>
      <c r="CN26" s="50">
        <v>98520</v>
      </c>
      <c r="CO26" s="50">
        <v>98630</v>
      </c>
      <c r="CP26" s="50">
        <v>98690</v>
      </c>
      <c r="CQ26" s="50">
        <v>98771</v>
      </c>
      <c r="CR26" s="50">
        <v>98788</v>
      </c>
      <c r="CS26" s="50">
        <v>98862</v>
      </c>
      <c r="CT26" s="50">
        <v>98892</v>
      </c>
      <c r="CU26" s="50">
        <v>98939</v>
      </c>
      <c r="CV26" s="50">
        <v>98968</v>
      </c>
      <c r="CW26" s="50">
        <v>98996</v>
      </c>
      <c r="CX26" s="50">
        <v>99059</v>
      </c>
      <c r="CY26" s="50">
        <v>99059</v>
      </c>
      <c r="CZ26" s="50">
        <v>99094</v>
      </c>
      <c r="DA26" s="50">
        <v>99095</v>
      </c>
      <c r="DB26" s="50">
        <v>99144</v>
      </c>
      <c r="DC26" s="50">
        <v>99158</v>
      </c>
      <c r="DD26" s="50">
        <v>99184</v>
      </c>
      <c r="DE26" s="50">
        <v>99188</v>
      </c>
      <c r="DF26" s="50">
        <v>99241</v>
      </c>
      <c r="DG26" s="50">
        <v>99257</v>
      </c>
      <c r="DH26" s="50">
        <v>99272</v>
      </c>
      <c r="DI26" s="50">
        <v>99287</v>
      </c>
      <c r="DJ26" s="50">
        <v>99330</v>
      </c>
      <c r="DK26" s="50">
        <v>99337</v>
      </c>
      <c r="DL26" s="50">
        <v>99348</v>
      </c>
      <c r="DM26" s="50">
        <v>99376</v>
      </c>
      <c r="DN26" s="50">
        <v>99403</v>
      </c>
      <c r="DO26" s="50">
        <v>99428</v>
      </c>
    </row>
    <row r="27" spans="1:119">
      <c r="A27" s="50">
        <v>25</v>
      </c>
      <c r="B27" s="50"/>
      <c r="C27" s="50"/>
      <c r="D27" s="50"/>
      <c r="E27" s="50"/>
      <c r="F27" s="50"/>
      <c r="G27" s="50"/>
      <c r="H27" s="50"/>
      <c r="I27" s="50"/>
      <c r="J27" s="50"/>
      <c r="K27" s="50"/>
      <c r="L27" s="50"/>
      <c r="M27" s="50"/>
      <c r="N27" s="50"/>
      <c r="O27" s="50"/>
      <c r="P27" s="50"/>
      <c r="Q27" s="50"/>
      <c r="R27" s="50"/>
      <c r="S27" s="50"/>
      <c r="T27" s="50"/>
      <c r="U27" s="50"/>
      <c r="V27" s="50"/>
      <c r="W27" s="50">
        <v>78357</v>
      </c>
      <c r="X27" s="50">
        <v>78946</v>
      </c>
      <c r="Y27" s="50">
        <v>78890</v>
      </c>
      <c r="Z27" s="50">
        <v>81128</v>
      </c>
      <c r="AA27" s="50">
        <v>81439</v>
      </c>
      <c r="AB27" s="50">
        <v>82120</v>
      </c>
      <c r="AC27" s="50">
        <v>82944</v>
      </c>
      <c r="AD27" s="50">
        <v>84033</v>
      </c>
      <c r="AE27" s="50">
        <v>84008</v>
      </c>
      <c r="AF27" s="50">
        <v>85370</v>
      </c>
      <c r="AG27" s="50">
        <v>85805</v>
      </c>
      <c r="AH27" s="50">
        <v>86228</v>
      </c>
      <c r="AI27" s="50">
        <v>86454</v>
      </c>
      <c r="AJ27" s="50">
        <v>87699</v>
      </c>
      <c r="AK27" s="50">
        <v>87582</v>
      </c>
      <c r="AL27" s="50">
        <v>87847</v>
      </c>
      <c r="AM27" s="50">
        <v>88132</v>
      </c>
      <c r="AN27" s="50">
        <v>88580</v>
      </c>
      <c r="AO27" s="50">
        <v>88534</v>
      </c>
      <c r="AP27" s="50">
        <v>88638</v>
      </c>
      <c r="AQ27" s="50">
        <v>88701</v>
      </c>
      <c r="AR27" s="50">
        <v>88783</v>
      </c>
      <c r="AS27" s="50">
        <v>88176</v>
      </c>
      <c r="AT27" s="50">
        <v>87327</v>
      </c>
      <c r="AU27" s="50">
        <v>85912</v>
      </c>
      <c r="AV27" s="50">
        <v>86415</v>
      </c>
      <c r="AW27" s="50">
        <v>86800</v>
      </c>
      <c r="AX27" s="50">
        <v>89109</v>
      </c>
      <c r="AY27" s="50">
        <v>91083</v>
      </c>
      <c r="AZ27" s="50">
        <v>91115</v>
      </c>
      <c r="BA27" s="50">
        <v>91146</v>
      </c>
      <c r="BB27" s="50">
        <v>91920</v>
      </c>
      <c r="BC27" s="50">
        <v>92115</v>
      </c>
      <c r="BD27" s="50">
        <v>92603</v>
      </c>
      <c r="BE27" s="50">
        <v>92664</v>
      </c>
      <c r="BF27" s="50">
        <v>93051</v>
      </c>
      <c r="BG27" s="50">
        <v>93086</v>
      </c>
      <c r="BH27" s="50">
        <v>93447</v>
      </c>
      <c r="BI27" s="50">
        <v>93736</v>
      </c>
      <c r="BJ27" s="50">
        <v>93844</v>
      </c>
      <c r="BK27" s="50">
        <v>94234</v>
      </c>
      <c r="BL27" s="50">
        <v>94569</v>
      </c>
      <c r="BM27" s="50">
        <v>94905</v>
      </c>
      <c r="BN27" s="50">
        <v>95213</v>
      </c>
      <c r="BO27" s="50">
        <v>95491</v>
      </c>
      <c r="BP27" s="50">
        <v>95589</v>
      </c>
      <c r="BQ27" s="50">
        <v>95701</v>
      </c>
      <c r="BR27" s="50">
        <v>95796</v>
      </c>
      <c r="BS27" s="50">
        <v>95773</v>
      </c>
      <c r="BT27" s="50">
        <v>95856</v>
      </c>
      <c r="BU27" s="50">
        <v>95959</v>
      </c>
      <c r="BV27" s="50">
        <v>96063</v>
      </c>
      <c r="BW27" s="50">
        <v>96111</v>
      </c>
      <c r="BX27" s="50">
        <v>96265</v>
      </c>
      <c r="BY27" s="50">
        <v>96487</v>
      </c>
      <c r="BZ27" s="50">
        <v>96794</v>
      </c>
      <c r="CA27" s="50">
        <v>96990</v>
      </c>
      <c r="CB27" s="50">
        <v>97088</v>
      </c>
      <c r="CC27" s="50">
        <v>97275</v>
      </c>
      <c r="CD27" s="50">
        <v>97422</v>
      </c>
      <c r="CE27" s="50">
        <v>97514</v>
      </c>
      <c r="CF27" s="50">
        <v>97730</v>
      </c>
      <c r="CG27" s="50">
        <v>97843</v>
      </c>
      <c r="CH27" s="50">
        <v>97948</v>
      </c>
      <c r="CI27" s="50">
        <v>98090</v>
      </c>
      <c r="CJ27" s="50">
        <v>98134</v>
      </c>
      <c r="CK27" s="50">
        <v>98193</v>
      </c>
      <c r="CL27" s="50">
        <v>98337</v>
      </c>
      <c r="CM27" s="50">
        <v>98377</v>
      </c>
      <c r="CN27" s="50">
        <v>98472</v>
      </c>
      <c r="CO27" s="50">
        <v>98584</v>
      </c>
      <c r="CP27" s="50">
        <v>98646</v>
      </c>
      <c r="CQ27" s="50">
        <v>98728</v>
      </c>
      <c r="CR27" s="50">
        <v>98747</v>
      </c>
      <c r="CS27" s="50">
        <v>98822</v>
      </c>
      <c r="CT27" s="50">
        <v>98853</v>
      </c>
      <c r="CU27" s="50">
        <v>98901</v>
      </c>
      <c r="CV27" s="50">
        <v>98931</v>
      </c>
      <c r="CW27" s="50">
        <v>98960</v>
      </c>
      <c r="CX27" s="50">
        <v>99024</v>
      </c>
      <c r="CY27" s="50">
        <v>99025</v>
      </c>
      <c r="CZ27" s="50">
        <v>99061</v>
      </c>
      <c r="DA27" s="50">
        <v>99063</v>
      </c>
      <c r="DB27" s="50">
        <v>99114</v>
      </c>
      <c r="DC27" s="50">
        <v>99128</v>
      </c>
      <c r="DD27" s="50">
        <v>99155</v>
      </c>
      <c r="DE27" s="50">
        <v>99159</v>
      </c>
      <c r="DF27" s="50">
        <v>99213</v>
      </c>
      <c r="DG27" s="50">
        <v>99231</v>
      </c>
      <c r="DH27" s="50">
        <v>99246</v>
      </c>
      <c r="DI27" s="50">
        <v>99262</v>
      </c>
      <c r="DJ27" s="50">
        <v>99306</v>
      </c>
      <c r="DK27" s="50">
        <v>99313</v>
      </c>
      <c r="DL27" s="50">
        <v>99325</v>
      </c>
      <c r="DM27" s="50">
        <v>99354</v>
      </c>
      <c r="DN27" s="50">
        <v>99381</v>
      </c>
      <c r="DO27" s="50">
        <v>99407</v>
      </c>
    </row>
    <row r="28" spans="1:119">
      <c r="A28" s="50">
        <v>26</v>
      </c>
      <c r="B28" s="50"/>
      <c r="C28" s="50"/>
      <c r="D28" s="50"/>
      <c r="E28" s="50"/>
      <c r="F28" s="50"/>
      <c r="G28" s="50"/>
      <c r="H28" s="50"/>
      <c r="I28" s="50"/>
      <c r="J28" s="50"/>
      <c r="K28" s="50"/>
      <c r="L28" s="50"/>
      <c r="M28" s="50"/>
      <c r="N28" s="50"/>
      <c r="O28" s="50"/>
      <c r="P28" s="50"/>
      <c r="Q28" s="50"/>
      <c r="R28" s="50"/>
      <c r="S28" s="50"/>
      <c r="T28" s="50"/>
      <c r="U28" s="50"/>
      <c r="V28" s="50"/>
      <c r="W28" s="50">
        <v>78003</v>
      </c>
      <c r="X28" s="50">
        <v>78590</v>
      </c>
      <c r="Y28" s="50">
        <v>78659</v>
      </c>
      <c r="Z28" s="50">
        <v>80947</v>
      </c>
      <c r="AA28" s="50">
        <v>81257</v>
      </c>
      <c r="AB28" s="50">
        <v>81937</v>
      </c>
      <c r="AC28" s="50">
        <v>82793</v>
      </c>
      <c r="AD28" s="50">
        <v>83880</v>
      </c>
      <c r="AE28" s="50">
        <v>83859</v>
      </c>
      <c r="AF28" s="50">
        <v>85208</v>
      </c>
      <c r="AG28" s="50">
        <v>85653</v>
      </c>
      <c r="AH28" s="50">
        <v>86078</v>
      </c>
      <c r="AI28" s="50">
        <v>86305</v>
      </c>
      <c r="AJ28" s="50">
        <v>87550</v>
      </c>
      <c r="AK28" s="50">
        <v>87444</v>
      </c>
      <c r="AL28" s="50">
        <v>87702</v>
      </c>
      <c r="AM28" s="50">
        <v>87997</v>
      </c>
      <c r="AN28" s="50">
        <v>88445</v>
      </c>
      <c r="AO28" s="50">
        <v>88391</v>
      </c>
      <c r="AP28" s="50">
        <v>88496</v>
      </c>
      <c r="AQ28" s="50">
        <v>88566</v>
      </c>
      <c r="AR28" s="50">
        <v>88646</v>
      </c>
      <c r="AS28" s="50">
        <v>88051</v>
      </c>
      <c r="AT28" s="50">
        <v>87203</v>
      </c>
      <c r="AU28" s="50">
        <v>85769</v>
      </c>
      <c r="AV28" s="50">
        <v>86285</v>
      </c>
      <c r="AW28" s="50">
        <v>86663</v>
      </c>
      <c r="AX28" s="50">
        <v>88989</v>
      </c>
      <c r="AY28" s="50">
        <v>90970</v>
      </c>
      <c r="AZ28" s="50">
        <v>90999</v>
      </c>
      <c r="BA28" s="50">
        <v>91019</v>
      </c>
      <c r="BB28" s="50">
        <v>91798</v>
      </c>
      <c r="BC28" s="50">
        <v>91987</v>
      </c>
      <c r="BD28" s="50">
        <v>92478</v>
      </c>
      <c r="BE28" s="50">
        <v>92542</v>
      </c>
      <c r="BF28" s="50">
        <v>92930</v>
      </c>
      <c r="BG28" s="50">
        <v>92970</v>
      </c>
      <c r="BH28" s="50">
        <v>93342</v>
      </c>
      <c r="BI28" s="50">
        <v>93632</v>
      </c>
      <c r="BJ28" s="50">
        <v>93749</v>
      </c>
      <c r="BK28" s="50">
        <v>94135</v>
      </c>
      <c r="BL28" s="50">
        <v>94470</v>
      </c>
      <c r="BM28" s="50">
        <v>94813</v>
      </c>
      <c r="BN28" s="50">
        <v>95115</v>
      </c>
      <c r="BO28" s="50">
        <v>95384</v>
      </c>
      <c r="BP28" s="50">
        <v>95480</v>
      </c>
      <c r="BQ28" s="50">
        <v>95600</v>
      </c>
      <c r="BR28" s="50">
        <v>95702</v>
      </c>
      <c r="BS28" s="50">
        <v>95681</v>
      </c>
      <c r="BT28" s="50">
        <v>95769</v>
      </c>
      <c r="BU28" s="50">
        <v>95873</v>
      </c>
      <c r="BV28" s="50">
        <v>95977</v>
      </c>
      <c r="BW28" s="50">
        <v>96036</v>
      </c>
      <c r="BX28" s="50">
        <v>96187</v>
      </c>
      <c r="BY28" s="50">
        <v>96411</v>
      </c>
      <c r="BZ28" s="50">
        <v>96720</v>
      </c>
      <c r="CA28" s="50">
        <v>96918</v>
      </c>
      <c r="CB28" s="50">
        <v>97014</v>
      </c>
      <c r="CC28" s="50">
        <v>97217</v>
      </c>
      <c r="CD28" s="50">
        <v>97360</v>
      </c>
      <c r="CE28" s="50">
        <v>97448</v>
      </c>
      <c r="CF28" s="50">
        <v>97675</v>
      </c>
      <c r="CG28" s="50">
        <v>97786</v>
      </c>
      <c r="CH28" s="50">
        <v>97895</v>
      </c>
      <c r="CI28" s="50">
        <v>98037</v>
      </c>
      <c r="CJ28" s="50">
        <v>98079</v>
      </c>
      <c r="CK28" s="50">
        <v>98140</v>
      </c>
      <c r="CL28" s="50">
        <v>98286</v>
      </c>
      <c r="CM28" s="50">
        <v>98327</v>
      </c>
      <c r="CN28" s="50">
        <v>98427</v>
      </c>
      <c r="CO28" s="50">
        <v>98540</v>
      </c>
      <c r="CP28" s="50">
        <v>98602</v>
      </c>
      <c r="CQ28" s="50">
        <v>98686</v>
      </c>
      <c r="CR28" s="50">
        <v>98706</v>
      </c>
      <c r="CS28" s="50">
        <v>98782</v>
      </c>
      <c r="CT28" s="50">
        <v>98814</v>
      </c>
      <c r="CU28" s="50">
        <v>98864</v>
      </c>
      <c r="CV28" s="50">
        <v>98894</v>
      </c>
      <c r="CW28" s="50">
        <v>98925</v>
      </c>
      <c r="CX28" s="50">
        <v>98990</v>
      </c>
      <c r="CY28" s="50">
        <v>98992</v>
      </c>
      <c r="CZ28" s="50">
        <v>99029</v>
      </c>
      <c r="DA28" s="50">
        <v>99031</v>
      </c>
      <c r="DB28" s="50">
        <v>99083</v>
      </c>
      <c r="DC28" s="50">
        <v>99099</v>
      </c>
      <c r="DD28" s="50">
        <v>99126</v>
      </c>
      <c r="DE28" s="50">
        <v>99131</v>
      </c>
      <c r="DF28" s="50">
        <v>99186</v>
      </c>
      <c r="DG28" s="50">
        <v>99204</v>
      </c>
      <c r="DH28" s="50">
        <v>99220</v>
      </c>
      <c r="DI28" s="50">
        <v>99237</v>
      </c>
      <c r="DJ28" s="50">
        <v>99281</v>
      </c>
      <c r="DK28" s="50">
        <v>99290</v>
      </c>
      <c r="DL28" s="50">
        <v>99303</v>
      </c>
      <c r="DM28" s="50">
        <v>99332</v>
      </c>
      <c r="DN28" s="50">
        <v>99359</v>
      </c>
      <c r="DO28" s="50">
        <v>99386</v>
      </c>
    </row>
    <row r="29" spans="1:119">
      <c r="A29" s="50">
        <v>27</v>
      </c>
      <c r="B29" s="50"/>
      <c r="C29" s="50"/>
      <c r="D29" s="50"/>
      <c r="E29" s="50"/>
      <c r="F29" s="50"/>
      <c r="G29" s="50"/>
      <c r="H29" s="50"/>
      <c r="I29" s="50"/>
      <c r="J29" s="50"/>
      <c r="K29" s="50"/>
      <c r="L29" s="50"/>
      <c r="M29" s="50"/>
      <c r="N29" s="50"/>
      <c r="O29" s="50"/>
      <c r="P29" s="50"/>
      <c r="Q29" s="50"/>
      <c r="R29" s="50"/>
      <c r="S29" s="50"/>
      <c r="T29" s="50"/>
      <c r="U29" s="50"/>
      <c r="V29" s="50"/>
      <c r="W29" s="50">
        <v>77662</v>
      </c>
      <c r="X29" s="50">
        <v>78367</v>
      </c>
      <c r="Y29" s="50">
        <v>78482</v>
      </c>
      <c r="Z29" s="50">
        <v>80764</v>
      </c>
      <c r="AA29" s="50">
        <v>81074</v>
      </c>
      <c r="AB29" s="50">
        <v>81792</v>
      </c>
      <c r="AC29" s="50">
        <v>82634</v>
      </c>
      <c r="AD29" s="50">
        <v>83720</v>
      </c>
      <c r="AE29" s="50">
        <v>83709</v>
      </c>
      <c r="AF29" s="50">
        <v>85051</v>
      </c>
      <c r="AG29" s="50">
        <v>85500</v>
      </c>
      <c r="AH29" s="50">
        <v>85933</v>
      </c>
      <c r="AI29" s="50">
        <v>86157</v>
      </c>
      <c r="AJ29" s="50">
        <v>87406</v>
      </c>
      <c r="AK29" s="50">
        <v>87299</v>
      </c>
      <c r="AL29" s="50">
        <v>87569</v>
      </c>
      <c r="AM29" s="50">
        <v>87859</v>
      </c>
      <c r="AN29" s="50">
        <v>88314</v>
      </c>
      <c r="AO29" s="50">
        <v>88252</v>
      </c>
      <c r="AP29" s="50">
        <v>88365</v>
      </c>
      <c r="AQ29" s="50">
        <v>88436</v>
      </c>
      <c r="AR29" s="50">
        <v>88522</v>
      </c>
      <c r="AS29" s="50">
        <v>87918</v>
      </c>
      <c r="AT29" s="50">
        <v>87068</v>
      </c>
      <c r="AU29" s="50">
        <v>85631</v>
      </c>
      <c r="AV29" s="50">
        <v>86150</v>
      </c>
      <c r="AW29" s="50">
        <v>86556</v>
      </c>
      <c r="AX29" s="50">
        <v>88874</v>
      </c>
      <c r="AY29" s="50">
        <v>90855</v>
      </c>
      <c r="AZ29" s="50">
        <v>90875</v>
      </c>
      <c r="BA29" s="50">
        <v>90890</v>
      </c>
      <c r="BB29" s="50">
        <v>91673</v>
      </c>
      <c r="BC29" s="50">
        <v>91871</v>
      </c>
      <c r="BD29" s="50">
        <v>92359</v>
      </c>
      <c r="BE29" s="50">
        <v>92427</v>
      </c>
      <c r="BF29" s="50">
        <v>92813</v>
      </c>
      <c r="BG29" s="50">
        <v>92867</v>
      </c>
      <c r="BH29" s="50">
        <v>93236</v>
      </c>
      <c r="BI29" s="50">
        <v>93534</v>
      </c>
      <c r="BJ29" s="50">
        <v>93652</v>
      </c>
      <c r="BK29" s="50">
        <v>94035</v>
      </c>
      <c r="BL29" s="50">
        <v>94372</v>
      </c>
      <c r="BM29" s="50">
        <v>94715</v>
      </c>
      <c r="BN29" s="50">
        <v>95008</v>
      </c>
      <c r="BO29" s="50">
        <v>95275</v>
      </c>
      <c r="BP29" s="50">
        <v>95380</v>
      </c>
      <c r="BQ29" s="50">
        <v>95507</v>
      </c>
      <c r="BR29" s="50">
        <v>95614</v>
      </c>
      <c r="BS29" s="50">
        <v>95597</v>
      </c>
      <c r="BT29" s="50">
        <v>95684</v>
      </c>
      <c r="BU29" s="50">
        <v>95795</v>
      </c>
      <c r="BV29" s="50">
        <v>95895</v>
      </c>
      <c r="BW29" s="50">
        <v>95956</v>
      </c>
      <c r="BX29" s="50">
        <v>96115</v>
      </c>
      <c r="BY29" s="50">
        <v>96338</v>
      </c>
      <c r="BZ29" s="50">
        <v>96650</v>
      </c>
      <c r="CA29" s="50">
        <v>96848</v>
      </c>
      <c r="CB29" s="50">
        <v>96946</v>
      </c>
      <c r="CC29" s="50">
        <v>97155</v>
      </c>
      <c r="CD29" s="50">
        <v>97295</v>
      </c>
      <c r="CE29" s="50">
        <v>97389</v>
      </c>
      <c r="CF29" s="50">
        <v>97615</v>
      </c>
      <c r="CG29" s="50">
        <v>97724</v>
      </c>
      <c r="CH29" s="50">
        <v>97838</v>
      </c>
      <c r="CI29" s="50">
        <v>97982</v>
      </c>
      <c r="CJ29" s="50">
        <v>98025</v>
      </c>
      <c r="CK29" s="50">
        <v>98091</v>
      </c>
      <c r="CL29" s="50">
        <v>98241</v>
      </c>
      <c r="CM29" s="50">
        <v>98280</v>
      </c>
      <c r="CN29" s="50">
        <v>98380</v>
      </c>
      <c r="CO29" s="50">
        <v>98495</v>
      </c>
      <c r="CP29" s="50">
        <v>98559</v>
      </c>
      <c r="CQ29" s="50">
        <v>98643</v>
      </c>
      <c r="CR29" s="50">
        <v>98665</v>
      </c>
      <c r="CS29" s="50">
        <v>98742</v>
      </c>
      <c r="CT29" s="50">
        <v>98775</v>
      </c>
      <c r="CU29" s="50">
        <v>98826</v>
      </c>
      <c r="CV29" s="50">
        <v>98858</v>
      </c>
      <c r="CW29" s="50">
        <v>98889</v>
      </c>
      <c r="CX29" s="50">
        <v>98955</v>
      </c>
      <c r="CY29" s="50">
        <v>98958</v>
      </c>
      <c r="CZ29" s="50">
        <v>98996</v>
      </c>
      <c r="DA29" s="50">
        <v>99000</v>
      </c>
      <c r="DB29" s="50">
        <v>99052</v>
      </c>
      <c r="DC29" s="50">
        <v>99069</v>
      </c>
      <c r="DD29" s="50">
        <v>99096</v>
      </c>
      <c r="DE29" s="50">
        <v>99103</v>
      </c>
      <c r="DF29" s="50">
        <v>99158</v>
      </c>
      <c r="DG29" s="50">
        <v>99177</v>
      </c>
      <c r="DH29" s="50">
        <v>99194</v>
      </c>
      <c r="DI29" s="50">
        <v>99212</v>
      </c>
      <c r="DJ29" s="50">
        <v>99257</v>
      </c>
      <c r="DK29" s="50">
        <v>99266</v>
      </c>
      <c r="DL29" s="50">
        <v>99279</v>
      </c>
      <c r="DM29" s="50">
        <v>99309</v>
      </c>
      <c r="DN29" s="50">
        <v>99337</v>
      </c>
      <c r="DO29" s="50">
        <v>99364</v>
      </c>
    </row>
    <row r="30" spans="1:119">
      <c r="A30" s="50">
        <v>28</v>
      </c>
      <c r="B30" s="50"/>
      <c r="C30" s="50"/>
      <c r="D30" s="50"/>
      <c r="E30" s="50"/>
      <c r="F30" s="50"/>
      <c r="G30" s="50"/>
      <c r="H30" s="50"/>
      <c r="I30" s="50"/>
      <c r="J30" s="50"/>
      <c r="K30" s="50"/>
      <c r="L30" s="50"/>
      <c r="M30" s="50"/>
      <c r="N30" s="50"/>
      <c r="O30" s="50"/>
      <c r="P30" s="50"/>
      <c r="Q30" s="50"/>
      <c r="R30" s="50"/>
      <c r="S30" s="50"/>
      <c r="T30" s="50"/>
      <c r="U30" s="50"/>
      <c r="V30" s="50"/>
      <c r="W30" s="50">
        <v>77414</v>
      </c>
      <c r="X30" s="50">
        <v>78191</v>
      </c>
      <c r="Y30" s="50">
        <v>78305</v>
      </c>
      <c r="Z30" s="50">
        <v>80582</v>
      </c>
      <c r="AA30" s="50">
        <v>80931</v>
      </c>
      <c r="AB30" s="50">
        <v>81646</v>
      </c>
      <c r="AC30" s="50">
        <v>82488</v>
      </c>
      <c r="AD30" s="50">
        <v>83568</v>
      </c>
      <c r="AE30" s="50">
        <v>83552</v>
      </c>
      <c r="AF30" s="50">
        <v>84913</v>
      </c>
      <c r="AG30" s="50">
        <v>85351</v>
      </c>
      <c r="AH30" s="50">
        <v>85780</v>
      </c>
      <c r="AI30" s="50">
        <v>86010</v>
      </c>
      <c r="AJ30" s="50">
        <v>87270</v>
      </c>
      <c r="AK30" s="50">
        <v>87164</v>
      </c>
      <c r="AL30" s="50">
        <v>87435</v>
      </c>
      <c r="AM30" s="50">
        <v>87723</v>
      </c>
      <c r="AN30" s="50">
        <v>88179</v>
      </c>
      <c r="AO30" s="50">
        <v>88110</v>
      </c>
      <c r="AP30" s="50">
        <v>88237</v>
      </c>
      <c r="AQ30" s="50">
        <v>88306</v>
      </c>
      <c r="AR30" s="50">
        <v>88381</v>
      </c>
      <c r="AS30" s="50">
        <v>87778</v>
      </c>
      <c r="AT30" s="50">
        <v>86942</v>
      </c>
      <c r="AU30" s="50">
        <v>85502</v>
      </c>
      <c r="AV30" s="50">
        <v>86035</v>
      </c>
      <c r="AW30" s="50">
        <v>86442</v>
      </c>
      <c r="AX30" s="50">
        <v>88759</v>
      </c>
      <c r="AY30" s="50">
        <v>90739</v>
      </c>
      <c r="AZ30" s="50">
        <v>90739</v>
      </c>
      <c r="BA30" s="50">
        <v>90765</v>
      </c>
      <c r="BB30" s="50">
        <v>91552</v>
      </c>
      <c r="BC30" s="50">
        <v>91765</v>
      </c>
      <c r="BD30" s="50">
        <v>92246</v>
      </c>
      <c r="BE30" s="50">
        <v>92311</v>
      </c>
      <c r="BF30" s="50">
        <v>92699</v>
      </c>
      <c r="BG30" s="50">
        <v>92762</v>
      </c>
      <c r="BH30" s="50">
        <v>93140</v>
      </c>
      <c r="BI30" s="50">
        <v>93430</v>
      </c>
      <c r="BJ30" s="50">
        <v>93557</v>
      </c>
      <c r="BK30" s="50">
        <v>93941</v>
      </c>
      <c r="BL30" s="50">
        <v>94276</v>
      </c>
      <c r="BM30" s="50">
        <v>94607</v>
      </c>
      <c r="BN30" s="50">
        <v>94896</v>
      </c>
      <c r="BO30" s="50">
        <v>95181</v>
      </c>
      <c r="BP30" s="50">
        <v>95281</v>
      </c>
      <c r="BQ30" s="50">
        <v>95412</v>
      </c>
      <c r="BR30" s="50">
        <v>95518</v>
      </c>
      <c r="BS30" s="50">
        <v>95507</v>
      </c>
      <c r="BT30" s="50">
        <v>95602</v>
      </c>
      <c r="BU30" s="50">
        <v>95721</v>
      </c>
      <c r="BV30" s="50">
        <v>95817</v>
      </c>
      <c r="BW30" s="50">
        <v>95873</v>
      </c>
      <c r="BX30" s="50">
        <v>96048</v>
      </c>
      <c r="BY30" s="50">
        <v>96267</v>
      </c>
      <c r="BZ30" s="50">
        <v>96582</v>
      </c>
      <c r="CA30" s="50">
        <v>96781</v>
      </c>
      <c r="CB30" s="50">
        <v>96884</v>
      </c>
      <c r="CC30" s="50">
        <v>97097</v>
      </c>
      <c r="CD30" s="50">
        <v>97234</v>
      </c>
      <c r="CE30" s="50">
        <v>97330</v>
      </c>
      <c r="CF30" s="50">
        <v>97550</v>
      </c>
      <c r="CG30" s="50">
        <v>97661</v>
      </c>
      <c r="CH30" s="50">
        <v>97780</v>
      </c>
      <c r="CI30" s="50">
        <v>97934</v>
      </c>
      <c r="CJ30" s="50">
        <v>97974</v>
      </c>
      <c r="CK30" s="50">
        <v>98039</v>
      </c>
      <c r="CL30" s="50">
        <v>98191</v>
      </c>
      <c r="CM30" s="50">
        <v>98232</v>
      </c>
      <c r="CN30" s="50">
        <v>98333</v>
      </c>
      <c r="CO30" s="50">
        <v>98449</v>
      </c>
      <c r="CP30" s="50">
        <v>98514</v>
      </c>
      <c r="CQ30" s="50">
        <v>98600</v>
      </c>
      <c r="CR30" s="50">
        <v>98622</v>
      </c>
      <c r="CS30" s="50">
        <v>98701</v>
      </c>
      <c r="CT30" s="50">
        <v>98735</v>
      </c>
      <c r="CU30" s="50">
        <v>98787</v>
      </c>
      <c r="CV30" s="50">
        <v>98820</v>
      </c>
      <c r="CW30" s="50">
        <v>98852</v>
      </c>
      <c r="CX30" s="50">
        <v>98919</v>
      </c>
      <c r="CY30" s="50">
        <v>98924</v>
      </c>
      <c r="CZ30" s="50">
        <v>98962</v>
      </c>
      <c r="DA30" s="50">
        <v>98967</v>
      </c>
      <c r="DB30" s="50">
        <v>99020</v>
      </c>
      <c r="DC30" s="50">
        <v>99038</v>
      </c>
      <c r="DD30" s="50">
        <v>99066</v>
      </c>
      <c r="DE30" s="50">
        <v>99073</v>
      </c>
      <c r="DF30" s="50">
        <v>99130</v>
      </c>
      <c r="DG30" s="50">
        <v>99149</v>
      </c>
      <c r="DH30" s="50">
        <v>99167</v>
      </c>
      <c r="DI30" s="50">
        <v>99185</v>
      </c>
      <c r="DJ30" s="50">
        <v>99231</v>
      </c>
      <c r="DK30" s="50">
        <v>99241</v>
      </c>
      <c r="DL30" s="50">
        <v>99255</v>
      </c>
      <c r="DM30" s="50">
        <v>99285</v>
      </c>
      <c r="DN30" s="50">
        <v>99314</v>
      </c>
      <c r="DO30" s="50">
        <v>99342</v>
      </c>
    </row>
    <row r="31" spans="1:119">
      <c r="A31" s="50">
        <v>29</v>
      </c>
      <c r="B31" s="50"/>
      <c r="C31" s="50"/>
      <c r="D31" s="50"/>
      <c r="E31" s="50"/>
      <c r="F31" s="50"/>
      <c r="G31" s="50"/>
      <c r="H31" s="50"/>
      <c r="I31" s="50"/>
      <c r="J31" s="50"/>
      <c r="K31" s="50"/>
      <c r="L31" s="50"/>
      <c r="M31" s="50"/>
      <c r="N31" s="50"/>
      <c r="O31" s="50"/>
      <c r="P31" s="50"/>
      <c r="Q31" s="50"/>
      <c r="R31" s="50"/>
      <c r="S31" s="50"/>
      <c r="T31" s="50"/>
      <c r="U31" s="50"/>
      <c r="V31" s="50"/>
      <c r="W31" s="50">
        <v>77240</v>
      </c>
      <c r="X31" s="50">
        <v>78015</v>
      </c>
      <c r="Y31" s="50">
        <v>78129</v>
      </c>
      <c r="Z31" s="50">
        <v>80442</v>
      </c>
      <c r="AA31" s="50">
        <v>80797</v>
      </c>
      <c r="AB31" s="50">
        <v>81501</v>
      </c>
      <c r="AC31" s="50">
        <v>82345</v>
      </c>
      <c r="AD31" s="50">
        <v>83422</v>
      </c>
      <c r="AE31" s="50">
        <v>83402</v>
      </c>
      <c r="AF31" s="50">
        <v>84771</v>
      </c>
      <c r="AG31" s="50">
        <v>85203</v>
      </c>
      <c r="AH31" s="50">
        <v>85630</v>
      </c>
      <c r="AI31" s="50">
        <v>85870</v>
      </c>
      <c r="AJ31" s="50">
        <v>87147</v>
      </c>
      <c r="AK31" s="50">
        <v>87023</v>
      </c>
      <c r="AL31" s="50">
        <v>87314</v>
      </c>
      <c r="AM31" s="50">
        <v>87591</v>
      </c>
      <c r="AN31" s="50">
        <v>88045</v>
      </c>
      <c r="AO31" s="50">
        <v>87972</v>
      </c>
      <c r="AP31" s="50">
        <v>88105</v>
      </c>
      <c r="AQ31" s="50">
        <v>88172</v>
      </c>
      <c r="AR31" s="50">
        <v>88238</v>
      </c>
      <c r="AS31" s="50">
        <v>87649</v>
      </c>
      <c r="AT31" s="50">
        <v>86814</v>
      </c>
      <c r="AU31" s="50">
        <v>85377</v>
      </c>
      <c r="AV31" s="50">
        <v>85916</v>
      </c>
      <c r="AW31" s="50">
        <v>86317</v>
      </c>
      <c r="AX31" s="50">
        <v>88645</v>
      </c>
      <c r="AY31" s="50">
        <v>90611</v>
      </c>
      <c r="AZ31" s="50">
        <v>90624</v>
      </c>
      <c r="BA31" s="50">
        <v>90642</v>
      </c>
      <c r="BB31" s="50">
        <v>91434</v>
      </c>
      <c r="BC31" s="50">
        <v>91643</v>
      </c>
      <c r="BD31" s="50">
        <v>92123</v>
      </c>
      <c r="BE31" s="50">
        <v>92199</v>
      </c>
      <c r="BF31" s="50">
        <v>92596</v>
      </c>
      <c r="BG31" s="50">
        <v>92655</v>
      </c>
      <c r="BH31" s="50">
        <v>93045</v>
      </c>
      <c r="BI31" s="50">
        <v>93331</v>
      </c>
      <c r="BJ31" s="50">
        <v>93453</v>
      </c>
      <c r="BK31" s="50">
        <v>93839</v>
      </c>
      <c r="BL31" s="50">
        <v>94170</v>
      </c>
      <c r="BM31" s="50">
        <v>94493</v>
      </c>
      <c r="BN31" s="50">
        <v>94796</v>
      </c>
      <c r="BO31" s="50">
        <v>95078</v>
      </c>
      <c r="BP31" s="50">
        <v>95181</v>
      </c>
      <c r="BQ31" s="50">
        <v>95314</v>
      </c>
      <c r="BR31" s="50">
        <v>95421</v>
      </c>
      <c r="BS31" s="50">
        <v>95422</v>
      </c>
      <c r="BT31" s="50">
        <v>95521</v>
      </c>
      <c r="BU31" s="50">
        <v>95635</v>
      </c>
      <c r="BV31" s="50">
        <v>95742</v>
      </c>
      <c r="BW31" s="50">
        <v>95807</v>
      </c>
      <c r="BX31" s="50">
        <v>95976</v>
      </c>
      <c r="BY31" s="50">
        <v>96193</v>
      </c>
      <c r="BZ31" s="50">
        <v>96515</v>
      </c>
      <c r="CA31" s="50">
        <v>96721</v>
      </c>
      <c r="CB31" s="50">
        <v>96822</v>
      </c>
      <c r="CC31" s="50">
        <v>97038</v>
      </c>
      <c r="CD31" s="50">
        <v>97175</v>
      </c>
      <c r="CE31" s="50">
        <v>97274</v>
      </c>
      <c r="CF31" s="50">
        <v>97487</v>
      </c>
      <c r="CG31" s="50">
        <v>97608</v>
      </c>
      <c r="CH31" s="50">
        <v>97724</v>
      </c>
      <c r="CI31" s="50">
        <v>97877</v>
      </c>
      <c r="CJ31" s="50">
        <v>97920</v>
      </c>
      <c r="CK31" s="50">
        <v>97986</v>
      </c>
      <c r="CL31" s="50">
        <v>98140</v>
      </c>
      <c r="CM31" s="50">
        <v>98181</v>
      </c>
      <c r="CN31" s="50">
        <v>98284</v>
      </c>
      <c r="CO31" s="50">
        <v>98401</v>
      </c>
      <c r="CP31" s="50">
        <v>98468</v>
      </c>
      <c r="CQ31" s="50">
        <v>98555</v>
      </c>
      <c r="CR31" s="50">
        <v>98578</v>
      </c>
      <c r="CS31" s="50">
        <v>98658</v>
      </c>
      <c r="CT31" s="50">
        <v>98693</v>
      </c>
      <c r="CU31" s="50">
        <v>98747</v>
      </c>
      <c r="CV31" s="50">
        <v>98780</v>
      </c>
      <c r="CW31" s="50">
        <v>98814</v>
      </c>
      <c r="CX31" s="50">
        <v>98882</v>
      </c>
      <c r="CY31" s="50">
        <v>98887</v>
      </c>
      <c r="CZ31" s="50">
        <v>98927</v>
      </c>
      <c r="DA31" s="50">
        <v>98932</v>
      </c>
      <c r="DB31" s="50">
        <v>98987</v>
      </c>
      <c r="DC31" s="50">
        <v>99005</v>
      </c>
      <c r="DD31" s="50">
        <v>99035</v>
      </c>
      <c r="DE31" s="50">
        <v>99043</v>
      </c>
      <c r="DF31" s="50">
        <v>99100</v>
      </c>
      <c r="DG31" s="50">
        <v>99120</v>
      </c>
      <c r="DH31" s="50">
        <v>99139</v>
      </c>
      <c r="DI31" s="50">
        <v>99158</v>
      </c>
      <c r="DJ31" s="50">
        <v>99204</v>
      </c>
      <c r="DK31" s="50">
        <v>99215</v>
      </c>
      <c r="DL31" s="50">
        <v>99230</v>
      </c>
      <c r="DM31" s="50">
        <v>99260</v>
      </c>
      <c r="DN31" s="50">
        <v>99290</v>
      </c>
      <c r="DO31" s="50">
        <v>99319</v>
      </c>
    </row>
    <row r="32" spans="1:119">
      <c r="A32" s="50">
        <v>30</v>
      </c>
      <c r="B32" s="50"/>
      <c r="C32" s="50"/>
      <c r="D32" s="50"/>
      <c r="E32" s="50"/>
      <c r="F32" s="50"/>
      <c r="G32" s="50"/>
      <c r="H32" s="50"/>
      <c r="I32" s="50"/>
      <c r="J32" s="50"/>
      <c r="K32" s="50"/>
      <c r="L32" s="50"/>
      <c r="M32" s="50"/>
      <c r="N32" s="50"/>
      <c r="O32" s="50"/>
      <c r="P32" s="50"/>
      <c r="Q32" s="50"/>
      <c r="R32" s="50"/>
      <c r="S32" s="50"/>
      <c r="T32" s="50"/>
      <c r="U32" s="50"/>
      <c r="V32" s="50"/>
      <c r="W32" s="50">
        <v>77066</v>
      </c>
      <c r="X32" s="50">
        <v>77839</v>
      </c>
      <c r="Y32" s="50">
        <v>77996</v>
      </c>
      <c r="Z32" s="50">
        <v>80288</v>
      </c>
      <c r="AA32" s="50">
        <v>80656</v>
      </c>
      <c r="AB32" s="50">
        <v>81347</v>
      </c>
      <c r="AC32" s="50">
        <v>82193</v>
      </c>
      <c r="AD32" s="50">
        <v>83278</v>
      </c>
      <c r="AE32" s="50">
        <v>83264</v>
      </c>
      <c r="AF32" s="50">
        <v>84622</v>
      </c>
      <c r="AG32" s="50">
        <v>85055</v>
      </c>
      <c r="AH32" s="50">
        <v>85488</v>
      </c>
      <c r="AI32" s="50">
        <v>85735</v>
      </c>
      <c r="AJ32" s="50">
        <v>87005</v>
      </c>
      <c r="AK32" s="50">
        <v>86889</v>
      </c>
      <c r="AL32" s="50">
        <v>87185</v>
      </c>
      <c r="AM32" s="50">
        <v>87455</v>
      </c>
      <c r="AN32" s="50">
        <v>87898</v>
      </c>
      <c r="AO32" s="50">
        <v>87839</v>
      </c>
      <c r="AP32" s="50">
        <v>87961</v>
      </c>
      <c r="AQ32" s="50">
        <v>88025</v>
      </c>
      <c r="AR32" s="50">
        <v>88089</v>
      </c>
      <c r="AS32" s="50">
        <v>87514</v>
      </c>
      <c r="AT32" s="50">
        <v>86691</v>
      </c>
      <c r="AU32" s="50">
        <v>85254</v>
      </c>
      <c r="AV32" s="50">
        <v>85787</v>
      </c>
      <c r="AW32" s="50">
        <v>86205</v>
      </c>
      <c r="AX32" s="50">
        <v>88525</v>
      </c>
      <c r="AY32" s="50">
        <v>90488</v>
      </c>
      <c r="AZ32" s="50">
        <v>90497</v>
      </c>
      <c r="BA32" s="50">
        <v>90515</v>
      </c>
      <c r="BB32" s="50">
        <v>91308</v>
      </c>
      <c r="BC32" s="50">
        <v>91519</v>
      </c>
      <c r="BD32" s="50">
        <v>92009</v>
      </c>
      <c r="BE32" s="50">
        <v>92090</v>
      </c>
      <c r="BF32" s="50">
        <v>92485</v>
      </c>
      <c r="BG32" s="50">
        <v>92556</v>
      </c>
      <c r="BH32" s="50">
        <v>92926</v>
      </c>
      <c r="BI32" s="50">
        <v>93220</v>
      </c>
      <c r="BJ32" s="50">
        <v>93344</v>
      </c>
      <c r="BK32" s="50">
        <v>93718</v>
      </c>
      <c r="BL32" s="50">
        <v>94047</v>
      </c>
      <c r="BM32" s="50">
        <v>94387</v>
      </c>
      <c r="BN32" s="50">
        <v>94690</v>
      </c>
      <c r="BO32" s="50">
        <v>94977</v>
      </c>
      <c r="BP32" s="50">
        <v>95079</v>
      </c>
      <c r="BQ32" s="50">
        <v>95224</v>
      </c>
      <c r="BR32" s="50">
        <v>95335</v>
      </c>
      <c r="BS32" s="50">
        <v>95340</v>
      </c>
      <c r="BT32" s="50">
        <v>95438</v>
      </c>
      <c r="BU32" s="50">
        <v>95560</v>
      </c>
      <c r="BV32" s="50">
        <v>95666</v>
      </c>
      <c r="BW32" s="50">
        <v>95737</v>
      </c>
      <c r="BX32" s="50">
        <v>95912</v>
      </c>
      <c r="BY32" s="50">
        <v>96127</v>
      </c>
      <c r="BZ32" s="50">
        <v>96455</v>
      </c>
      <c r="CA32" s="50">
        <v>96661</v>
      </c>
      <c r="CB32" s="50">
        <v>96759</v>
      </c>
      <c r="CC32" s="50">
        <v>96973</v>
      </c>
      <c r="CD32" s="50">
        <v>97108</v>
      </c>
      <c r="CE32" s="50">
        <v>97208</v>
      </c>
      <c r="CF32" s="50">
        <v>97427</v>
      </c>
      <c r="CG32" s="50">
        <v>97552</v>
      </c>
      <c r="CH32" s="50">
        <v>97666</v>
      </c>
      <c r="CI32" s="50">
        <v>97825</v>
      </c>
      <c r="CJ32" s="50">
        <v>97863</v>
      </c>
      <c r="CK32" s="50">
        <v>97931</v>
      </c>
      <c r="CL32" s="50">
        <v>98086</v>
      </c>
      <c r="CM32" s="50">
        <v>98129</v>
      </c>
      <c r="CN32" s="50">
        <v>98234</v>
      </c>
      <c r="CO32" s="50">
        <v>98352</v>
      </c>
      <c r="CP32" s="50">
        <v>98419</v>
      </c>
      <c r="CQ32" s="50">
        <v>98508</v>
      </c>
      <c r="CR32" s="50">
        <v>98533</v>
      </c>
      <c r="CS32" s="50">
        <v>98614</v>
      </c>
      <c r="CT32" s="50">
        <v>98650</v>
      </c>
      <c r="CU32" s="50">
        <v>98704</v>
      </c>
      <c r="CV32" s="50">
        <v>98739</v>
      </c>
      <c r="CW32" s="50">
        <v>98774</v>
      </c>
      <c r="CX32" s="50">
        <v>98843</v>
      </c>
      <c r="CY32" s="50">
        <v>98849</v>
      </c>
      <c r="CZ32" s="50">
        <v>98890</v>
      </c>
      <c r="DA32" s="50">
        <v>98896</v>
      </c>
      <c r="DB32" s="50">
        <v>98952</v>
      </c>
      <c r="DC32" s="50">
        <v>98971</v>
      </c>
      <c r="DD32" s="50">
        <v>99001</v>
      </c>
      <c r="DE32" s="50">
        <v>99010</v>
      </c>
      <c r="DF32" s="50">
        <v>99068</v>
      </c>
      <c r="DG32" s="50">
        <v>99090</v>
      </c>
      <c r="DH32" s="50">
        <v>99109</v>
      </c>
      <c r="DI32" s="50">
        <v>99129</v>
      </c>
      <c r="DJ32" s="50">
        <v>99176</v>
      </c>
      <c r="DK32" s="50">
        <v>99187</v>
      </c>
      <c r="DL32" s="50">
        <v>99203</v>
      </c>
      <c r="DM32" s="50">
        <v>99234</v>
      </c>
      <c r="DN32" s="50">
        <v>99265</v>
      </c>
      <c r="DO32" s="50">
        <v>99294</v>
      </c>
    </row>
    <row r="33" spans="1:119">
      <c r="A33" s="50">
        <v>31</v>
      </c>
      <c r="B33" s="50"/>
      <c r="C33" s="50"/>
      <c r="D33" s="50"/>
      <c r="E33" s="50"/>
      <c r="F33" s="50"/>
      <c r="G33" s="50"/>
      <c r="H33" s="50"/>
      <c r="I33" s="50"/>
      <c r="J33" s="50"/>
      <c r="K33" s="50"/>
      <c r="L33" s="50"/>
      <c r="M33" s="50"/>
      <c r="N33" s="50"/>
      <c r="O33" s="50"/>
      <c r="P33" s="50"/>
      <c r="Q33" s="50"/>
      <c r="R33" s="50"/>
      <c r="S33" s="50"/>
      <c r="T33" s="50"/>
      <c r="U33" s="50"/>
      <c r="V33" s="50"/>
      <c r="W33" s="50">
        <v>76891</v>
      </c>
      <c r="X33" s="50">
        <v>77694</v>
      </c>
      <c r="Y33" s="50">
        <v>77856</v>
      </c>
      <c r="Z33" s="50">
        <v>80144</v>
      </c>
      <c r="AA33" s="50">
        <v>80519</v>
      </c>
      <c r="AB33" s="50">
        <v>81202</v>
      </c>
      <c r="AC33" s="50">
        <v>82048</v>
      </c>
      <c r="AD33" s="50">
        <v>83124</v>
      </c>
      <c r="AE33" s="50">
        <v>83116</v>
      </c>
      <c r="AF33" s="50">
        <v>84478</v>
      </c>
      <c r="AG33" s="50">
        <v>84906</v>
      </c>
      <c r="AH33" s="50">
        <v>85346</v>
      </c>
      <c r="AI33" s="50">
        <v>85594</v>
      </c>
      <c r="AJ33" s="50">
        <v>86867</v>
      </c>
      <c r="AK33" s="50">
        <v>86752</v>
      </c>
      <c r="AL33" s="50">
        <v>87039</v>
      </c>
      <c r="AM33" s="50">
        <v>87318</v>
      </c>
      <c r="AN33" s="50">
        <v>87764</v>
      </c>
      <c r="AO33" s="50">
        <v>87697</v>
      </c>
      <c r="AP33" s="50">
        <v>87815</v>
      </c>
      <c r="AQ33" s="50">
        <v>87876</v>
      </c>
      <c r="AR33" s="50">
        <v>87957</v>
      </c>
      <c r="AS33" s="50">
        <v>87384</v>
      </c>
      <c r="AT33" s="50">
        <v>86563</v>
      </c>
      <c r="AU33" s="50">
        <v>85126</v>
      </c>
      <c r="AV33" s="50">
        <v>85654</v>
      </c>
      <c r="AW33" s="50">
        <v>86076</v>
      </c>
      <c r="AX33" s="50">
        <v>88402</v>
      </c>
      <c r="AY33" s="50">
        <v>90375</v>
      </c>
      <c r="AZ33" s="50">
        <v>90373</v>
      </c>
      <c r="BA33" s="50">
        <v>90394</v>
      </c>
      <c r="BB33" s="50">
        <v>91180</v>
      </c>
      <c r="BC33" s="50">
        <v>91409</v>
      </c>
      <c r="BD33" s="50">
        <v>91900</v>
      </c>
      <c r="BE33" s="50">
        <v>91977</v>
      </c>
      <c r="BF33" s="50">
        <v>92375</v>
      </c>
      <c r="BG33" s="50">
        <v>92441</v>
      </c>
      <c r="BH33" s="50">
        <v>92816</v>
      </c>
      <c r="BI33" s="50">
        <v>93102</v>
      </c>
      <c r="BJ33" s="50">
        <v>93221</v>
      </c>
      <c r="BK33" s="50">
        <v>93589</v>
      </c>
      <c r="BL33" s="50">
        <v>93932</v>
      </c>
      <c r="BM33" s="50">
        <v>94275</v>
      </c>
      <c r="BN33" s="50">
        <v>94577</v>
      </c>
      <c r="BO33" s="50">
        <v>94873</v>
      </c>
      <c r="BP33" s="50">
        <v>94984</v>
      </c>
      <c r="BQ33" s="50">
        <v>95135</v>
      </c>
      <c r="BR33" s="50">
        <v>95252</v>
      </c>
      <c r="BS33" s="50">
        <v>95254</v>
      </c>
      <c r="BT33" s="50">
        <v>95360</v>
      </c>
      <c r="BU33" s="50">
        <v>95482</v>
      </c>
      <c r="BV33" s="50">
        <v>95596</v>
      </c>
      <c r="BW33" s="50">
        <v>95672</v>
      </c>
      <c r="BX33" s="50">
        <v>95845</v>
      </c>
      <c r="BY33" s="50">
        <v>96063</v>
      </c>
      <c r="BZ33" s="50">
        <v>96395</v>
      </c>
      <c r="CA33" s="50">
        <v>96602</v>
      </c>
      <c r="CB33" s="50">
        <v>96691</v>
      </c>
      <c r="CC33" s="50">
        <v>96908</v>
      </c>
      <c r="CD33" s="50">
        <v>97045</v>
      </c>
      <c r="CE33" s="50">
        <v>97149</v>
      </c>
      <c r="CF33" s="50">
        <v>97362</v>
      </c>
      <c r="CG33" s="50">
        <v>97496</v>
      </c>
      <c r="CH33" s="50">
        <v>97605</v>
      </c>
      <c r="CI33" s="50">
        <v>97765</v>
      </c>
      <c r="CJ33" s="50">
        <v>97805</v>
      </c>
      <c r="CK33" s="50">
        <v>97874</v>
      </c>
      <c r="CL33" s="50">
        <v>98030</v>
      </c>
      <c r="CM33" s="50">
        <v>98075</v>
      </c>
      <c r="CN33" s="50">
        <v>98181</v>
      </c>
      <c r="CO33" s="50">
        <v>98300</v>
      </c>
      <c r="CP33" s="50">
        <v>98369</v>
      </c>
      <c r="CQ33" s="50">
        <v>98459</v>
      </c>
      <c r="CR33" s="50">
        <v>98485</v>
      </c>
      <c r="CS33" s="50">
        <v>98567</v>
      </c>
      <c r="CT33" s="50">
        <v>98605</v>
      </c>
      <c r="CU33" s="50">
        <v>98660</v>
      </c>
      <c r="CV33" s="50">
        <v>98696</v>
      </c>
      <c r="CW33" s="50">
        <v>98732</v>
      </c>
      <c r="CX33" s="50">
        <v>98802</v>
      </c>
      <c r="CY33" s="50">
        <v>98810</v>
      </c>
      <c r="CZ33" s="50">
        <v>98851</v>
      </c>
      <c r="DA33" s="50">
        <v>98859</v>
      </c>
      <c r="DB33" s="50">
        <v>98915</v>
      </c>
      <c r="DC33" s="50">
        <v>98935</v>
      </c>
      <c r="DD33" s="50">
        <v>98967</v>
      </c>
      <c r="DE33" s="50">
        <v>98976</v>
      </c>
      <c r="DF33" s="50">
        <v>99035</v>
      </c>
      <c r="DG33" s="50">
        <v>99057</v>
      </c>
      <c r="DH33" s="50">
        <v>99077</v>
      </c>
      <c r="DI33" s="50">
        <v>99098</v>
      </c>
      <c r="DJ33" s="50">
        <v>99146</v>
      </c>
      <c r="DK33" s="50">
        <v>99158</v>
      </c>
      <c r="DL33" s="50">
        <v>99174</v>
      </c>
      <c r="DM33" s="50">
        <v>99207</v>
      </c>
      <c r="DN33" s="50">
        <v>99238</v>
      </c>
      <c r="DO33" s="50">
        <v>99268</v>
      </c>
    </row>
    <row r="34" spans="1:119">
      <c r="A34" s="50">
        <v>32</v>
      </c>
      <c r="B34" s="50"/>
      <c r="C34" s="50"/>
      <c r="D34" s="50"/>
      <c r="E34" s="50"/>
      <c r="F34" s="50"/>
      <c r="G34" s="50"/>
      <c r="H34" s="50"/>
      <c r="I34" s="50"/>
      <c r="J34" s="50"/>
      <c r="K34" s="50"/>
      <c r="L34" s="50"/>
      <c r="M34" s="50"/>
      <c r="N34" s="50"/>
      <c r="O34" s="50"/>
      <c r="P34" s="50"/>
      <c r="Q34" s="50"/>
      <c r="R34" s="50"/>
      <c r="S34" s="50"/>
      <c r="T34" s="50"/>
      <c r="U34" s="50"/>
      <c r="V34" s="50"/>
      <c r="W34" s="50">
        <v>76748</v>
      </c>
      <c r="X34" s="50">
        <v>77551</v>
      </c>
      <c r="Y34" s="50">
        <v>77707</v>
      </c>
      <c r="Z34" s="50">
        <v>79995</v>
      </c>
      <c r="AA34" s="50">
        <v>80373</v>
      </c>
      <c r="AB34" s="50">
        <v>81048</v>
      </c>
      <c r="AC34" s="50">
        <v>81898</v>
      </c>
      <c r="AD34" s="50">
        <v>82981</v>
      </c>
      <c r="AE34" s="50">
        <v>82972</v>
      </c>
      <c r="AF34" s="50">
        <v>84334</v>
      </c>
      <c r="AG34" s="50">
        <v>84756</v>
      </c>
      <c r="AH34" s="50">
        <v>85199</v>
      </c>
      <c r="AI34" s="50">
        <v>85446</v>
      </c>
      <c r="AJ34" s="50">
        <v>86718</v>
      </c>
      <c r="AK34" s="50">
        <v>86606</v>
      </c>
      <c r="AL34" s="50">
        <v>86893</v>
      </c>
      <c r="AM34" s="50">
        <v>87179</v>
      </c>
      <c r="AN34" s="50">
        <v>87616</v>
      </c>
      <c r="AO34" s="50">
        <v>87545</v>
      </c>
      <c r="AP34" s="50">
        <v>87666</v>
      </c>
      <c r="AQ34" s="50">
        <v>87724</v>
      </c>
      <c r="AR34" s="50">
        <v>87816</v>
      </c>
      <c r="AS34" s="50">
        <v>87246</v>
      </c>
      <c r="AT34" s="50">
        <v>86424</v>
      </c>
      <c r="AU34" s="50">
        <v>84989</v>
      </c>
      <c r="AV34" s="50">
        <v>85518</v>
      </c>
      <c r="AW34" s="50">
        <v>85951</v>
      </c>
      <c r="AX34" s="50">
        <v>88274</v>
      </c>
      <c r="AY34" s="50">
        <v>90255</v>
      </c>
      <c r="AZ34" s="50">
        <v>90243</v>
      </c>
      <c r="BA34" s="50">
        <v>90265</v>
      </c>
      <c r="BB34" s="50">
        <v>91053</v>
      </c>
      <c r="BC34" s="50">
        <v>91289</v>
      </c>
      <c r="BD34" s="50">
        <v>91780</v>
      </c>
      <c r="BE34" s="50">
        <v>91861</v>
      </c>
      <c r="BF34" s="50">
        <v>92260</v>
      </c>
      <c r="BG34" s="50">
        <v>92322</v>
      </c>
      <c r="BH34" s="50">
        <v>92700</v>
      </c>
      <c r="BI34" s="50">
        <v>92972</v>
      </c>
      <c r="BJ34" s="50">
        <v>93085</v>
      </c>
      <c r="BK34" s="50">
        <v>93467</v>
      </c>
      <c r="BL34" s="50">
        <v>93819</v>
      </c>
      <c r="BM34" s="50">
        <v>94161</v>
      </c>
      <c r="BN34" s="50">
        <v>94467</v>
      </c>
      <c r="BO34" s="50">
        <v>94768</v>
      </c>
      <c r="BP34" s="50">
        <v>94888</v>
      </c>
      <c r="BQ34" s="50">
        <v>95046</v>
      </c>
      <c r="BR34" s="50">
        <v>95171</v>
      </c>
      <c r="BS34" s="50">
        <v>95170</v>
      </c>
      <c r="BT34" s="50">
        <v>95285</v>
      </c>
      <c r="BU34" s="50">
        <v>95405</v>
      </c>
      <c r="BV34" s="50">
        <v>95521</v>
      </c>
      <c r="BW34" s="50">
        <v>95597</v>
      </c>
      <c r="BX34" s="50">
        <v>95775</v>
      </c>
      <c r="BY34" s="50">
        <v>95992</v>
      </c>
      <c r="BZ34" s="50">
        <v>96328</v>
      </c>
      <c r="CA34" s="50">
        <v>96530</v>
      </c>
      <c r="CB34" s="50">
        <v>96621</v>
      </c>
      <c r="CC34" s="50">
        <v>96839</v>
      </c>
      <c r="CD34" s="50">
        <v>96979</v>
      </c>
      <c r="CE34" s="50">
        <v>97088</v>
      </c>
      <c r="CF34" s="50">
        <v>97298</v>
      </c>
      <c r="CG34" s="50">
        <v>97422</v>
      </c>
      <c r="CH34" s="50">
        <v>97542</v>
      </c>
      <c r="CI34" s="50">
        <v>97703</v>
      </c>
      <c r="CJ34" s="50">
        <v>97744</v>
      </c>
      <c r="CK34" s="50">
        <v>97815</v>
      </c>
      <c r="CL34" s="50">
        <v>97973</v>
      </c>
      <c r="CM34" s="50">
        <v>98019</v>
      </c>
      <c r="CN34" s="50">
        <v>98126</v>
      </c>
      <c r="CO34" s="50">
        <v>98247</v>
      </c>
      <c r="CP34" s="50">
        <v>98317</v>
      </c>
      <c r="CQ34" s="50">
        <v>98408</v>
      </c>
      <c r="CR34" s="50">
        <v>98436</v>
      </c>
      <c r="CS34" s="50">
        <v>98519</v>
      </c>
      <c r="CT34" s="50">
        <v>98558</v>
      </c>
      <c r="CU34" s="50">
        <v>98615</v>
      </c>
      <c r="CV34" s="50">
        <v>98652</v>
      </c>
      <c r="CW34" s="50">
        <v>98689</v>
      </c>
      <c r="CX34" s="50">
        <v>98760</v>
      </c>
      <c r="CY34" s="50">
        <v>98768</v>
      </c>
      <c r="CZ34" s="50">
        <v>98811</v>
      </c>
      <c r="DA34" s="50">
        <v>98820</v>
      </c>
      <c r="DB34" s="50">
        <v>98877</v>
      </c>
      <c r="DC34" s="50">
        <v>98898</v>
      </c>
      <c r="DD34" s="50">
        <v>98930</v>
      </c>
      <c r="DE34" s="50">
        <v>98941</v>
      </c>
      <c r="DF34" s="50">
        <v>99001</v>
      </c>
      <c r="DG34" s="50">
        <v>99024</v>
      </c>
      <c r="DH34" s="50">
        <v>99045</v>
      </c>
      <c r="DI34" s="50">
        <v>99066</v>
      </c>
      <c r="DJ34" s="50">
        <v>99115</v>
      </c>
      <c r="DK34" s="50">
        <v>99128</v>
      </c>
      <c r="DL34" s="50">
        <v>99145</v>
      </c>
      <c r="DM34" s="50">
        <v>99178</v>
      </c>
      <c r="DN34" s="50">
        <v>99210</v>
      </c>
      <c r="DO34" s="50">
        <v>99240</v>
      </c>
    </row>
    <row r="35" spans="1:119">
      <c r="A35" s="50">
        <v>33</v>
      </c>
      <c r="B35" s="50"/>
      <c r="C35" s="50"/>
      <c r="D35" s="50"/>
      <c r="E35" s="50"/>
      <c r="F35" s="50"/>
      <c r="G35" s="50"/>
      <c r="H35" s="50"/>
      <c r="I35" s="50"/>
      <c r="J35" s="50"/>
      <c r="K35" s="50"/>
      <c r="L35" s="50"/>
      <c r="M35" s="50"/>
      <c r="N35" s="50"/>
      <c r="O35" s="50"/>
      <c r="P35" s="50"/>
      <c r="Q35" s="50"/>
      <c r="R35" s="50"/>
      <c r="S35" s="50"/>
      <c r="T35" s="50"/>
      <c r="U35" s="50"/>
      <c r="V35" s="50"/>
      <c r="W35" s="50">
        <v>76605</v>
      </c>
      <c r="X35" s="50">
        <v>77404</v>
      </c>
      <c r="Y35" s="50">
        <v>77553</v>
      </c>
      <c r="Z35" s="50">
        <v>79842</v>
      </c>
      <c r="AA35" s="50">
        <v>80212</v>
      </c>
      <c r="AB35" s="50">
        <v>80899</v>
      </c>
      <c r="AC35" s="50">
        <v>81742</v>
      </c>
      <c r="AD35" s="50">
        <v>82833</v>
      </c>
      <c r="AE35" s="50">
        <v>82817</v>
      </c>
      <c r="AF35" s="50">
        <v>84184</v>
      </c>
      <c r="AG35" s="50">
        <v>84598</v>
      </c>
      <c r="AH35" s="50">
        <v>85040</v>
      </c>
      <c r="AI35" s="50">
        <v>85299</v>
      </c>
      <c r="AJ35" s="50">
        <v>86569</v>
      </c>
      <c r="AK35" s="50">
        <v>86465</v>
      </c>
      <c r="AL35" s="50">
        <v>86749</v>
      </c>
      <c r="AM35" s="50">
        <v>87032</v>
      </c>
      <c r="AN35" s="50">
        <v>87458</v>
      </c>
      <c r="AO35" s="50">
        <v>87393</v>
      </c>
      <c r="AP35" s="50">
        <v>87512</v>
      </c>
      <c r="AQ35" s="50">
        <v>87582</v>
      </c>
      <c r="AR35" s="50">
        <v>87669</v>
      </c>
      <c r="AS35" s="50">
        <v>87097</v>
      </c>
      <c r="AT35" s="50">
        <v>86283</v>
      </c>
      <c r="AU35" s="50">
        <v>84850</v>
      </c>
      <c r="AV35" s="50">
        <v>85382</v>
      </c>
      <c r="AW35" s="50">
        <v>85819</v>
      </c>
      <c r="AX35" s="50">
        <v>88150</v>
      </c>
      <c r="AY35" s="50">
        <v>90126</v>
      </c>
      <c r="AZ35" s="50">
        <v>90106</v>
      </c>
      <c r="BA35" s="50">
        <v>90141</v>
      </c>
      <c r="BB35" s="50">
        <v>90932</v>
      </c>
      <c r="BC35" s="50">
        <v>91170</v>
      </c>
      <c r="BD35" s="50">
        <v>91660</v>
      </c>
      <c r="BE35" s="50">
        <v>91727</v>
      </c>
      <c r="BF35" s="50">
        <v>92132</v>
      </c>
      <c r="BG35" s="50">
        <v>92188</v>
      </c>
      <c r="BH35" s="50">
        <v>92569</v>
      </c>
      <c r="BI35" s="50">
        <v>92831</v>
      </c>
      <c r="BJ35" s="50">
        <v>92962</v>
      </c>
      <c r="BK35" s="50">
        <v>93342</v>
      </c>
      <c r="BL35" s="50">
        <v>93698</v>
      </c>
      <c r="BM35" s="50">
        <v>94043</v>
      </c>
      <c r="BN35" s="50">
        <v>94356</v>
      </c>
      <c r="BO35" s="50">
        <v>94668</v>
      </c>
      <c r="BP35" s="50">
        <v>94798</v>
      </c>
      <c r="BQ35" s="50">
        <v>94957</v>
      </c>
      <c r="BR35" s="50">
        <v>95083</v>
      </c>
      <c r="BS35" s="50">
        <v>95087</v>
      </c>
      <c r="BT35" s="50">
        <v>95209</v>
      </c>
      <c r="BU35" s="50">
        <v>95330</v>
      </c>
      <c r="BV35" s="50">
        <v>95441</v>
      </c>
      <c r="BW35" s="50">
        <v>95529</v>
      </c>
      <c r="BX35" s="50">
        <v>95705</v>
      </c>
      <c r="BY35" s="50">
        <v>95920</v>
      </c>
      <c r="BZ35" s="50">
        <v>96255</v>
      </c>
      <c r="CA35" s="50">
        <v>96461</v>
      </c>
      <c r="CB35" s="50">
        <v>96545</v>
      </c>
      <c r="CC35" s="50">
        <v>96763</v>
      </c>
      <c r="CD35" s="50">
        <v>96914</v>
      </c>
      <c r="CE35" s="50">
        <v>97019</v>
      </c>
      <c r="CF35" s="50">
        <v>97231</v>
      </c>
      <c r="CG35" s="50">
        <v>97355</v>
      </c>
      <c r="CH35" s="50">
        <v>97477</v>
      </c>
      <c r="CI35" s="50">
        <v>97640</v>
      </c>
      <c r="CJ35" s="50">
        <v>97682</v>
      </c>
      <c r="CK35" s="50">
        <v>97754</v>
      </c>
      <c r="CL35" s="50">
        <v>97914</v>
      </c>
      <c r="CM35" s="50">
        <v>97961</v>
      </c>
      <c r="CN35" s="50">
        <v>98070</v>
      </c>
      <c r="CO35" s="50">
        <v>98192</v>
      </c>
      <c r="CP35" s="50">
        <v>98264</v>
      </c>
      <c r="CQ35" s="50">
        <v>98356</v>
      </c>
      <c r="CR35" s="50">
        <v>98385</v>
      </c>
      <c r="CS35" s="50">
        <v>98469</v>
      </c>
      <c r="CT35" s="50">
        <v>98509</v>
      </c>
      <c r="CU35" s="50">
        <v>98567</v>
      </c>
      <c r="CV35" s="50">
        <v>98606</v>
      </c>
      <c r="CW35" s="50">
        <v>98644</v>
      </c>
      <c r="CX35" s="50">
        <v>98716</v>
      </c>
      <c r="CY35" s="50">
        <v>98726</v>
      </c>
      <c r="CZ35" s="50">
        <v>98769</v>
      </c>
      <c r="DA35" s="50">
        <v>98779</v>
      </c>
      <c r="DB35" s="50">
        <v>98837</v>
      </c>
      <c r="DC35" s="50">
        <v>98859</v>
      </c>
      <c r="DD35" s="50">
        <v>98892</v>
      </c>
      <c r="DE35" s="50">
        <v>98904</v>
      </c>
      <c r="DF35" s="50">
        <v>98965</v>
      </c>
      <c r="DG35" s="50">
        <v>98989</v>
      </c>
      <c r="DH35" s="50">
        <v>99010</v>
      </c>
      <c r="DI35" s="50">
        <v>99033</v>
      </c>
      <c r="DJ35" s="50">
        <v>99082</v>
      </c>
      <c r="DK35" s="50">
        <v>99096</v>
      </c>
      <c r="DL35" s="50">
        <v>99114</v>
      </c>
      <c r="DM35" s="50">
        <v>99148</v>
      </c>
      <c r="DN35" s="50">
        <v>99181</v>
      </c>
      <c r="DO35" s="50">
        <v>99212</v>
      </c>
    </row>
    <row r="36" spans="1:119">
      <c r="A36" s="50">
        <v>34</v>
      </c>
      <c r="B36" s="50"/>
      <c r="C36" s="50"/>
      <c r="D36" s="50"/>
      <c r="E36" s="50"/>
      <c r="F36" s="50"/>
      <c r="G36" s="50"/>
      <c r="H36" s="50"/>
      <c r="I36" s="50"/>
      <c r="J36" s="50"/>
      <c r="K36" s="50"/>
      <c r="L36" s="50"/>
      <c r="M36" s="50"/>
      <c r="N36" s="50"/>
      <c r="O36" s="50"/>
      <c r="P36" s="50"/>
      <c r="Q36" s="50"/>
      <c r="R36" s="50"/>
      <c r="S36" s="50"/>
      <c r="T36" s="50"/>
      <c r="U36" s="50"/>
      <c r="V36" s="50"/>
      <c r="W36" s="50">
        <v>76456</v>
      </c>
      <c r="X36" s="50">
        <v>77249</v>
      </c>
      <c r="Y36" s="50">
        <v>77407</v>
      </c>
      <c r="Z36" s="50">
        <v>79689</v>
      </c>
      <c r="AA36" s="50">
        <v>80055</v>
      </c>
      <c r="AB36" s="50">
        <v>80742</v>
      </c>
      <c r="AC36" s="50">
        <v>81588</v>
      </c>
      <c r="AD36" s="50">
        <v>82672</v>
      </c>
      <c r="AE36" s="50">
        <v>82665</v>
      </c>
      <c r="AF36" s="50">
        <v>84023</v>
      </c>
      <c r="AG36" s="50">
        <v>84439</v>
      </c>
      <c r="AH36" s="50">
        <v>84884</v>
      </c>
      <c r="AI36" s="50">
        <v>85132</v>
      </c>
      <c r="AJ36" s="50">
        <v>86418</v>
      </c>
      <c r="AK36" s="50">
        <v>86314</v>
      </c>
      <c r="AL36" s="50">
        <v>86591</v>
      </c>
      <c r="AM36" s="50">
        <v>86865</v>
      </c>
      <c r="AN36" s="50">
        <v>87305</v>
      </c>
      <c r="AO36" s="50">
        <v>87228</v>
      </c>
      <c r="AP36" s="50">
        <v>87359</v>
      </c>
      <c r="AQ36" s="50">
        <v>87425</v>
      </c>
      <c r="AR36" s="50">
        <v>87513</v>
      </c>
      <c r="AS36" s="50">
        <v>86939</v>
      </c>
      <c r="AT36" s="50">
        <v>86136</v>
      </c>
      <c r="AU36" s="50">
        <v>84702</v>
      </c>
      <c r="AV36" s="50">
        <v>85237</v>
      </c>
      <c r="AW36" s="50">
        <v>85689</v>
      </c>
      <c r="AX36" s="50">
        <v>88020</v>
      </c>
      <c r="AY36" s="50">
        <v>89997</v>
      </c>
      <c r="AZ36" s="50">
        <v>89981</v>
      </c>
      <c r="BA36" s="50">
        <v>90018</v>
      </c>
      <c r="BB36" s="50">
        <v>90807</v>
      </c>
      <c r="BC36" s="50">
        <v>91048</v>
      </c>
      <c r="BD36" s="50">
        <v>91533</v>
      </c>
      <c r="BE36" s="50">
        <v>91597</v>
      </c>
      <c r="BF36" s="50">
        <v>91992</v>
      </c>
      <c r="BG36" s="50">
        <v>92040</v>
      </c>
      <c r="BH36" s="50">
        <v>92421</v>
      </c>
      <c r="BI36" s="50">
        <v>92689</v>
      </c>
      <c r="BJ36" s="50">
        <v>92817</v>
      </c>
      <c r="BK36" s="50">
        <v>93215</v>
      </c>
      <c r="BL36" s="50">
        <v>93570</v>
      </c>
      <c r="BM36" s="50">
        <v>93925</v>
      </c>
      <c r="BN36" s="50">
        <v>94246</v>
      </c>
      <c r="BO36" s="50">
        <v>94578</v>
      </c>
      <c r="BP36" s="50">
        <v>94701</v>
      </c>
      <c r="BQ36" s="50">
        <v>94867</v>
      </c>
      <c r="BR36" s="50">
        <v>94997</v>
      </c>
      <c r="BS36" s="50">
        <v>95001</v>
      </c>
      <c r="BT36" s="50">
        <v>95129</v>
      </c>
      <c r="BU36" s="50">
        <v>95246</v>
      </c>
      <c r="BV36" s="50">
        <v>95362</v>
      </c>
      <c r="BW36" s="50">
        <v>95463</v>
      </c>
      <c r="BX36" s="50">
        <v>95633</v>
      </c>
      <c r="BY36" s="50">
        <v>95847</v>
      </c>
      <c r="BZ36" s="50">
        <v>96185</v>
      </c>
      <c r="CA36" s="50">
        <v>96380</v>
      </c>
      <c r="CB36" s="50">
        <v>96477</v>
      </c>
      <c r="CC36" s="50">
        <v>96697</v>
      </c>
      <c r="CD36" s="50">
        <v>96841</v>
      </c>
      <c r="CE36" s="50">
        <v>96950</v>
      </c>
      <c r="CF36" s="50">
        <v>97160</v>
      </c>
      <c r="CG36" s="50">
        <v>97287</v>
      </c>
      <c r="CH36" s="50">
        <v>97409</v>
      </c>
      <c r="CI36" s="50">
        <v>97574</v>
      </c>
      <c r="CJ36" s="50">
        <v>97618</v>
      </c>
      <c r="CK36" s="50">
        <v>97692</v>
      </c>
      <c r="CL36" s="50">
        <v>97853</v>
      </c>
      <c r="CM36" s="50">
        <v>97902</v>
      </c>
      <c r="CN36" s="50">
        <v>98012</v>
      </c>
      <c r="CO36" s="50">
        <v>98135</v>
      </c>
      <c r="CP36" s="50">
        <v>98208</v>
      </c>
      <c r="CQ36" s="50">
        <v>98302</v>
      </c>
      <c r="CR36" s="50">
        <v>98332</v>
      </c>
      <c r="CS36" s="50">
        <v>98418</v>
      </c>
      <c r="CT36" s="50">
        <v>98459</v>
      </c>
      <c r="CU36" s="50">
        <v>98518</v>
      </c>
      <c r="CV36" s="50">
        <v>98558</v>
      </c>
      <c r="CW36" s="50">
        <v>98597</v>
      </c>
      <c r="CX36" s="50">
        <v>98671</v>
      </c>
      <c r="CY36" s="50">
        <v>98681</v>
      </c>
      <c r="CZ36" s="50">
        <v>98726</v>
      </c>
      <c r="DA36" s="50">
        <v>98737</v>
      </c>
      <c r="DB36" s="50">
        <v>98796</v>
      </c>
      <c r="DC36" s="50">
        <v>98819</v>
      </c>
      <c r="DD36" s="50">
        <v>98853</v>
      </c>
      <c r="DE36" s="50">
        <v>98866</v>
      </c>
      <c r="DF36" s="50">
        <v>98928</v>
      </c>
      <c r="DG36" s="50">
        <v>98952</v>
      </c>
      <c r="DH36" s="50">
        <v>98975</v>
      </c>
      <c r="DI36" s="50">
        <v>98998</v>
      </c>
      <c r="DJ36" s="50">
        <v>99049</v>
      </c>
      <c r="DK36" s="50">
        <v>99063</v>
      </c>
      <c r="DL36" s="50">
        <v>99082</v>
      </c>
      <c r="DM36" s="50">
        <v>99117</v>
      </c>
      <c r="DN36" s="50">
        <v>99150</v>
      </c>
      <c r="DO36" s="50">
        <v>99182</v>
      </c>
    </row>
    <row r="37" spans="1:119">
      <c r="A37" s="50">
        <v>35</v>
      </c>
      <c r="B37" s="50"/>
      <c r="C37" s="50"/>
      <c r="D37" s="50"/>
      <c r="E37" s="50"/>
      <c r="F37" s="50"/>
      <c r="G37" s="50"/>
      <c r="H37" s="50"/>
      <c r="I37" s="50"/>
      <c r="J37" s="50"/>
      <c r="K37" s="50"/>
      <c r="L37" s="50"/>
      <c r="M37" s="50"/>
      <c r="N37" s="50"/>
      <c r="O37" s="50"/>
      <c r="P37" s="50"/>
      <c r="Q37" s="50"/>
      <c r="R37" s="50"/>
      <c r="S37" s="50"/>
      <c r="T37" s="50"/>
      <c r="U37" s="50"/>
      <c r="V37" s="50"/>
      <c r="W37" s="50">
        <v>76305</v>
      </c>
      <c r="X37" s="50">
        <v>77087</v>
      </c>
      <c r="Y37" s="50">
        <v>77250</v>
      </c>
      <c r="Z37" s="50">
        <v>79532</v>
      </c>
      <c r="AA37" s="50">
        <v>79900</v>
      </c>
      <c r="AB37" s="50">
        <v>80581</v>
      </c>
      <c r="AC37" s="50">
        <v>81429</v>
      </c>
      <c r="AD37" s="50">
        <v>82510</v>
      </c>
      <c r="AE37" s="50">
        <v>82499</v>
      </c>
      <c r="AF37" s="50">
        <v>83865</v>
      </c>
      <c r="AG37" s="50">
        <v>84280</v>
      </c>
      <c r="AH37" s="50">
        <v>84714</v>
      </c>
      <c r="AI37" s="50">
        <v>84961</v>
      </c>
      <c r="AJ37" s="50">
        <v>86271</v>
      </c>
      <c r="AK37" s="50">
        <v>86135</v>
      </c>
      <c r="AL37" s="50">
        <v>86428</v>
      </c>
      <c r="AM37" s="50">
        <v>86698</v>
      </c>
      <c r="AN37" s="50">
        <v>87141</v>
      </c>
      <c r="AO37" s="50">
        <v>87066</v>
      </c>
      <c r="AP37" s="50">
        <v>87190</v>
      </c>
      <c r="AQ37" s="50">
        <v>87260</v>
      </c>
      <c r="AR37" s="50">
        <v>87360</v>
      </c>
      <c r="AS37" s="50">
        <v>86776</v>
      </c>
      <c r="AT37" s="50">
        <v>85981</v>
      </c>
      <c r="AU37" s="50">
        <v>84559</v>
      </c>
      <c r="AV37" s="50">
        <v>85091</v>
      </c>
      <c r="AW37" s="50">
        <v>85555</v>
      </c>
      <c r="AX37" s="50">
        <v>87888</v>
      </c>
      <c r="AY37" s="50">
        <v>89854</v>
      </c>
      <c r="AZ37" s="50">
        <v>89845</v>
      </c>
      <c r="BA37" s="50">
        <v>89880</v>
      </c>
      <c r="BB37" s="50">
        <v>90673</v>
      </c>
      <c r="BC37" s="50">
        <v>90919</v>
      </c>
      <c r="BD37" s="50">
        <v>91393</v>
      </c>
      <c r="BE37" s="50">
        <v>91450</v>
      </c>
      <c r="BF37" s="50">
        <v>91833</v>
      </c>
      <c r="BG37" s="50">
        <v>91885</v>
      </c>
      <c r="BH37" s="50">
        <v>92274</v>
      </c>
      <c r="BI37" s="50">
        <v>92538</v>
      </c>
      <c r="BJ37" s="50">
        <v>92672</v>
      </c>
      <c r="BK37" s="50">
        <v>93084</v>
      </c>
      <c r="BL37" s="50">
        <v>93447</v>
      </c>
      <c r="BM37" s="50">
        <v>93810</v>
      </c>
      <c r="BN37" s="50">
        <v>94147</v>
      </c>
      <c r="BO37" s="50">
        <v>94465</v>
      </c>
      <c r="BP37" s="50">
        <v>94607</v>
      </c>
      <c r="BQ37" s="50">
        <v>94776</v>
      </c>
      <c r="BR37" s="50">
        <v>94904</v>
      </c>
      <c r="BS37" s="50">
        <v>94912</v>
      </c>
      <c r="BT37" s="50">
        <v>95046</v>
      </c>
      <c r="BU37" s="50">
        <v>95166</v>
      </c>
      <c r="BV37" s="50">
        <v>95280</v>
      </c>
      <c r="BW37" s="50">
        <v>95387</v>
      </c>
      <c r="BX37" s="50">
        <v>95560</v>
      </c>
      <c r="BY37" s="50">
        <v>95767</v>
      </c>
      <c r="BZ37" s="50">
        <v>96106</v>
      </c>
      <c r="CA37" s="50">
        <v>96307</v>
      </c>
      <c r="CB37" s="50">
        <v>96401</v>
      </c>
      <c r="CC37" s="50">
        <v>96616</v>
      </c>
      <c r="CD37" s="50">
        <v>96765</v>
      </c>
      <c r="CE37" s="50">
        <v>96876</v>
      </c>
      <c r="CF37" s="50">
        <v>97088</v>
      </c>
      <c r="CG37" s="50">
        <v>97216</v>
      </c>
      <c r="CH37" s="50">
        <v>97340</v>
      </c>
      <c r="CI37" s="50">
        <v>97506</v>
      </c>
      <c r="CJ37" s="50">
        <v>97552</v>
      </c>
      <c r="CK37" s="50">
        <v>97627</v>
      </c>
      <c r="CL37" s="50">
        <v>97790</v>
      </c>
      <c r="CM37" s="50">
        <v>97840</v>
      </c>
      <c r="CN37" s="50">
        <v>97951</v>
      </c>
      <c r="CO37" s="50">
        <v>98077</v>
      </c>
      <c r="CP37" s="50">
        <v>98151</v>
      </c>
      <c r="CQ37" s="50">
        <v>98246</v>
      </c>
      <c r="CR37" s="50">
        <v>98277</v>
      </c>
      <c r="CS37" s="50">
        <v>98364</v>
      </c>
      <c r="CT37" s="50">
        <v>98407</v>
      </c>
      <c r="CU37" s="50">
        <v>98467</v>
      </c>
      <c r="CV37" s="50">
        <v>98508</v>
      </c>
      <c r="CW37" s="50">
        <v>98548</v>
      </c>
      <c r="CX37" s="50">
        <v>98623</v>
      </c>
      <c r="CY37" s="50">
        <v>98635</v>
      </c>
      <c r="CZ37" s="50">
        <v>98681</v>
      </c>
      <c r="DA37" s="50">
        <v>98693</v>
      </c>
      <c r="DB37" s="50">
        <v>98753</v>
      </c>
      <c r="DC37" s="50">
        <v>98777</v>
      </c>
      <c r="DD37" s="50">
        <v>98812</v>
      </c>
      <c r="DE37" s="50">
        <v>98826</v>
      </c>
      <c r="DF37" s="50">
        <v>98889</v>
      </c>
      <c r="DG37" s="50">
        <v>98914</v>
      </c>
      <c r="DH37" s="50">
        <v>98938</v>
      </c>
      <c r="DI37" s="50">
        <v>98962</v>
      </c>
      <c r="DJ37" s="50">
        <v>99013</v>
      </c>
      <c r="DK37" s="50">
        <v>99029</v>
      </c>
      <c r="DL37" s="50">
        <v>99048</v>
      </c>
      <c r="DM37" s="50">
        <v>99084</v>
      </c>
      <c r="DN37" s="50">
        <v>99118</v>
      </c>
      <c r="DO37" s="50">
        <v>99151</v>
      </c>
    </row>
    <row r="38" spans="1:119">
      <c r="A38" s="50">
        <v>36</v>
      </c>
      <c r="B38" s="50"/>
      <c r="C38" s="50"/>
      <c r="D38" s="50"/>
      <c r="E38" s="50"/>
      <c r="F38" s="50"/>
      <c r="G38" s="50"/>
      <c r="H38" s="50"/>
      <c r="I38" s="50"/>
      <c r="J38" s="50"/>
      <c r="K38" s="50"/>
      <c r="L38" s="50"/>
      <c r="M38" s="50"/>
      <c r="N38" s="50"/>
      <c r="O38" s="50"/>
      <c r="P38" s="50"/>
      <c r="Q38" s="50"/>
      <c r="R38" s="50"/>
      <c r="S38" s="50"/>
      <c r="T38" s="50"/>
      <c r="U38" s="50"/>
      <c r="V38" s="50"/>
      <c r="W38" s="50">
        <v>76129</v>
      </c>
      <c r="X38" s="50">
        <v>76920</v>
      </c>
      <c r="Y38" s="50">
        <v>77079</v>
      </c>
      <c r="Z38" s="50">
        <v>79355</v>
      </c>
      <c r="AA38" s="50">
        <v>79734</v>
      </c>
      <c r="AB38" s="50">
        <v>80419</v>
      </c>
      <c r="AC38" s="50">
        <v>81265</v>
      </c>
      <c r="AD38" s="50">
        <v>82332</v>
      </c>
      <c r="AE38" s="50">
        <v>82329</v>
      </c>
      <c r="AF38" s="50">
        <v>83691</v>
      </c>
      <c r="AG38" s="50">
        <v>84119</v>
      </c>
      <c r="AH38" s="50">
        <v>84543</v>
      </c>
      <c r="AI38" s="50">
        <v>84790</v>
      </c>
      <c r="AJ38" s="50">
        <v>86091</v>
      </c>
      <c r="AK38" s="50">
        <v>85953</v>
      </c>
      <c r="AL38" s="50">
        <v>86255</v>
      </c>
      <c r="AM38" s="50">
        <v>86521</v>
      </c>
      <c r="AN38" s="50">
        <v>86979</v>
      </c>
      <c r="AO38" s="50">
        <v>86896</v>
      </c>
      <c r="AP38" s="50">
        <v>87024</v>
      </c>
      <c r="AQ38" s="50">
        <v>87096</v>
      </c>
      <c r="AR38" s="50">
        <v>87191</v>
      </c>
      <c r="AS38" s="50">
        <v>86607</v>
      </c>
      <c r="AT38" s="50">
        <v>85830</v>
      </c>
      <c r="AU38" s="50">
        <v>84415</v>
      </c>
      <c r="AV38" s="50">
        <v>84937</v>
      </c>
      <c r="AW38" s="50">
        <v>85417</v>
      </c>
      <c r="AX38" s="50">
        <v>87748</v>
      </c>
      <c r="AY38" s="50">
        <v>89720</v>
      </c>
      <c r="AZ38" s="50">
        <v>89706</v>
      </c>
      <c r="BA38" s="50">
        <v>89734</v>
      </c>
      <c r="BB38" s="50">
        <v>90522</v>
      </c>
      <c r="BC38" s="50">
        <v>90775</v>
      </c>
      <c r="BD38" s="50">
        <v>91235</v>
      </c>
      <c r="BE38" s="50">
        <v>91286</v>
      </c>
      <c r="BF38" s="50">
        <v>91663</v>
      </c>
      <c r="BG38" s="50">
        <v>91726</v>
      </c>
      <c r="BH38" s="50">
        <v>92117</v>
      </c>
      <c r="BI38" s="50">
        <v>92388</v>
      </c>
      <c r="BJ38" s="50">
        <v>92533</v>
      </c>
      <c r="BK38" s="50">
        <v>92941</v>
      </c>
      <c r="BL38" s="50">
        <v>93320</v>
      </c>
      <c r="BM38" s="50">
        <v>93702</v>
      </c>
      <c r="BN38" s="50">
        <v>94042</v>
      </c>
      <c r="BO38" s="50">
        <v>94358</v>
      </c>
      <c r="BP38" s="50">
        <v>94505</v>
      </c>
      <c r="BQ38" s="50">
        <v>94672</v>
      </c>
      <c r="BR38" s="50">
        <v>94807</v>
      </c>
      <c r="BS38" s="50">
        <v>94818</v>
      </c>
      <c r="BT38" s="50">
        <v>94963</v>
      </c>
      <c r="BU38" s="50">
        <v>95080</v>
      </c>
      <c r="BV38" s="50">
        <v>95201</v>
      </c>
      <c r="BW38" s="50">
        <v>95298</v>
      </c>
      <c r="BX38" s="50">
        <v>95477</v>
      </c>
      <c r="BY38" s="50">
        <v>95691</v>
      </c>
      <c r="BZ38" s="50">
        <v>96031</v>
      </c>
      <c r="CA38" s="50">
        <v>96224</v>
      </c>
      <c r="CB38" s="50">
        <v>96322</v>
      </c>
      <c r="CC38" s="50">
        <v>96528</v>
      </c>
      <c r="CD38" s="50">
        <v>96687</v>
      </c>
      <c r="CE38" s="50">
        <v>96799</v>
      </c>
      <c r="CF38" s="50">
        <v>97013</v>
      </c>
      <c r="CG38" s="50">
        <v>97142</v>
      </c>
      <c r="CH38" s="50">
        <v>97269</v>
      </c>
      <c r="CI38" s="50">
        <v>97436</v>
      </c>
      <c r="CJ38" s="50">
        <v>97484</v>
      </c>
      <c r="CK38" s="50">
        <v>97561</v>
      </c>
      <c r="CL38" s="50">
        <v>97724</v>
      </c>
      <c r="CM38" s="50">
        <v>97776</v>
      </c>
      <c r="CN38" s="50">
        <v>97889</v>
      </c>
      <c r="CO38" s="50">
        <v>98016</v>
      </c>
      <c r="CP38" s="50">
        <v>98091</v>
      </c>
      <c r="CQ38" s="50">
        <v>98187</v>
      </c>
      <c r="CR38" s="50">
        <v>98220</v>
      </c>
      <c r="CS38" s="50">
        <v>98309</v>
      </c>
      <c r="CT38" s="50">
        <v>98353</v>
      </c>
      <c r="CU38" s="50">
        <v>98414</v>
      </c>
      <c r="CV38" s="50">
        <v>98456</v>
      </c>
      <c r="CW38" s="50">
        <v>98498</v>
      </c>
      <c r="CX38" s="50">
        <v>98574</v>
      </c>
      <c r="CY38" s="50">
        <v>98587</v>
      </c>
      <c r="CZ38" s="50">
        <v>98633</v>
      </c>
      <c r="DA38" s="50">
        <v>98647</v>
      </c>
      <c r="DB38" s="50">
        <v>98708</v>
      </c>
      <c r="DC38" s="50">
        <v>98733</v>
      </c>
      <c r="DD38" s="50">
        <v>98770</v>
      </c>
      <c r="DE38" s="50">
        <v>98784</v>
      </c>
      <c r="DF38" s="50">
        <v>98848</v>
      </c>
      <c r="DG38" s="50">
        <v>98875</v>
      </c>
      <c r="DH38" s="50">
        <v>98899</v>
      </c>
      <c r="DI38" s="50">
        <v>98924</v>
      </c>
      <c r="DJ38" s="50">
        <v>98976</v>
      </c>
      <c r="DK38" s="50">
        <v>98992</v>
      </c>
      <c r="DL38" s="50">
        <v>99013</v>
      </c>
      <c r="DM38" s="50">
        <v>99049</v>
      </c>
      <c r="DN38" s="50">
        <v>99084</v>
      </c>
      <c r="DO38" s="50">
        <v>99118</v>
      </c>
    </row>
    <row r="39" spans="1:119">
      <c r="A39" s="50">
        <v>37</v>
      </c>
      <c r="B39" s="50"/>
      <c r="C39" s="50"/>
      <c r="D39" s="50"/>
      <c r="E39" s="50"/>
      <c r="F39" s="50"/>
      <c r="G39" s="50"/>
      <c r="H39" s="50"/>
      <c r="I39" s="50"/>
      <c r="J39" s="50"/>
      <c r="K39" s="50"/>
      <c r="L39" s="50"/>
      <c r="M39" s="50"/>
      <c r="N39" s="50"/>
      <c r="O39" s="50"/>
      <c r="P39" s="50"/>
      <c r="Q39" s="50"/>
      <c r="R39" s="50"/>
      <c r="S39" s="50"/>
      <c r="T39" s="50"/>
      <c r="U39" s="50"/>
      <c r="V39" s="50"/>
      <c r="W39" s="50">
        <v>75954</v>
      </c>
      <c r="X39" s="50">
        <v>76751</v>
      </c>
      <c r="Y39" s="50">
        <v>76898</v>
      </c>
      <c r="Z39" s="50">
        <v>79180</v>
      </c>
      <c r="AA39" s="50">
        <v>79554</v>
      </c>
      <c r="AB39" s="50">
        <v>80249</v>
      </c>
      <c r="AC39" s="50">
        <v>81093</v>
      </c>
      <c r="AD39" s="50">
        <v>82156</v>
      </c>
      <c r="AE39" s="50">
        <v>82156</v>
      </c>
      <c r="AF39" s="50">
        <v>83502</v>
      </c>
      <c r="AG39" s="50">
        <v>83928</v>
      </c>
      <c r="AH39" s="50">
        <v>84359</v>
      </c>
      <c r="AI39" s="50">
        <v>84610</v>
      </c>
      <c r="AJ39" s="50">
        <v>85910</v>
      </c>
      <c r="AK39" s="50">
        <v>85772</v>
      </c>
      <c r="AL39" s="50">
        <v>86058</v>
      </c>
      <c r="AM39" s="50">
        <v>86341</v>
      </c>
      <c r="AN39" s="50">
        <v>86790</v>
      </c>
      <c r="AO39" s="50">
        <v>86699</v>
      </c>
      <c r="AP39" s="50">
        <v>86842</v>
      </c>
      <c r="AQ39" s="50">
        <v>86912</v>
      </c>
      <c r="AR39" s="50">
        <v>87016</v>
      </c>
      <c r="AS39" s="50">
        <v>86437</v>
      </c>
      <c r="AT39" s="50">
        <v>85670</v>
      </c>
      <c r="AU39" s="50">
        <v>84256</v>
      </c>
      <c r="AV39" s="50">
        <v>84787</v>
      </c>
      <c r="AW39" s="50">
        <v>85265</v>
      </c>
      <c r="AX39" s="50">
        <v>87609</v>
      </c>
      <c r="AY39" s="50">
        <v>89570</v>
      </c>
      <c r="AZ39" s="50">
        <v>89556</v>
      </c>
      <c r="BA39" s="50">
        <v>89582</v>
      </c>
      <c r="BB39" s="50">
        <v>90360</v>
      </c>
      <c r="BC39" s="50">
        <v>90610</v>
      </c>
      <c r="BD39" s="50">
        <v>91068</v>
      </c>
      <c r="BE39" s="50">
        <v>91107</v>
      </c>
      <c r="BF39" s="50">
        <v>91503</v>
      </c>
      <c r="BG39" s="50">
        <v>91549</v>
      </c>
      <c r="BH39" s="50">
        <v>91948</v>
      </c>
      <c r="BI39" s="50">
        <v>92226</v>
      </c>
      <c r="BJ39" s="50">
        <v>92392</v>
      </c>
      <c r="BK39" s="50">
        <v>92804</v>
      </c>
      <c r="BL39" s="50">
        <v>93188</v>
      </c>
      <c r="BM39" s="50">
        <v>93575</v>
      </c>
      <c r="BN39" s="50">
        <v>93928</v>
      </c>
      <c r="BO39" s="50">
        <v>94247</v>
      </c>
      <c r="BP39" s="50">
        <v>94394</v>
      </c>
      <c r="BQ39" s="50">
        <v>94569</v>
      </c>
      <c r="BR39" s="50">
        <v>94706</v>
      </c>
      <c r="BS39" s="50">
        <v>94727</v>
      </c>
      <c r="BT39" s="50">
        <v>94874</v>
      </c>
      <c r="BU39" s="50">
        <v>94992</v>
      </c>
      <c r="BV39" s="50">
        <v>95116</v>
      </c>
      <c r="BW39" s="50">
        <v>95210</v>
      </c>
      <c r="BX39" s="50">
        <v>95393</v>
      </c>
      <c r="BY39" s="50">
        <v>95610</v>
      </c>
      <c r="BZ39" s="50">
        <v>95945</v>
      </c>
      <c r="CA39" s="50">
        <v>96144</v>
      </c>
      <c r="CB39" s="50">
        <v>96232</v>
      </c>
      <c r="CC39" s="50">
        <v>96445</v>
      </c>
      <c r="CD39" s="50">
        <v>96605</v>
      </c>
      <c r="CE39" s="50">
        <v>96719</v>
      </c>
      <c r="CF39" s="50">
        <v>96935</v>
      </c>
      <c r="CG39" s="50">
        <v>97066</v>
      </c>
      <c r="CH39" s="50">
        <v>97194</v>
      </c>
      <c r="CI39" s="50">
        <v>97363</v>
      </c>
      <c r="CJ39" s="50">
        <v>97412</v>
      </c>
      <c r="CK39" s="50">
        <v>97491</v>
      </c>
      <c r="CL39" s="50">
        <v>97656</v>
      </c>
      <c r="CM39" s="50">
        <v>97709</v>
      </c>
      <c r="CN39" s="50">
        <v>97824</v>
      </c>
      <c r="CO39" s="50">
        <v>97952</v>
      </c>
      <c r="CP39" s="50">
        <v>98029</v>
      </c>
      <c r="CQ39" s="50">
        <v>98126</v>
      </c>
      <c r="CR39" s="50">
        <v>98161</v>
      </c>
      <c r="CS39" s="50">
        <v>98251</v>
      </c>
      <c r="CT39" s="50">
        <v>98296</v>
      </c>
      <c r="CU39" s="50">
        <v>98359</v>
      </c>
      <c r="CV39" s="50">
        <v>98402</v>
      </c>
      <c r="CW39" s="50">
        <v>98445</v>
      </c>
      <c r="CX39" s="50">
        <v>98522</v>
      </c>
      <c r="CY39" s="50">
        <v>98536</v>
      </c>
      <c r="CZ39" s="50">
        <v>98584</v>
      </c>
      <c r="DA39" s="50">
        <v>98598</v>
      </c>
      <c r="DB39" s="50">
        <v>98661</v>
      </c>
      <c r="DC39" s="50">
        <v>98687</v>
      </c>
      <c r="DD39" s="50">
        <v>98724</v>
      </c>
      <c r="DE39" s="50">
        <v>98740</v>
      </c>
      <c r="DF39" s="50">
        <v>98805</v>
      </c>
      <c r="DG39" s="50">
        <v>98833</v>
      </c>
      <c r="DH39" s="50">
        <v>98858</v>
      </c>
      <c r="DI39" s="50">
        <v>98884</v>
      </c>
      <c r="DJ39" s="50">
        <v>98937</v>
      </c>
      <c r="DK39" s="50">
        <v>98954</v>
      </c>
      <c r="DL39" s="50">
        <v>98976</v>
      </c>
      <c r="DM39" s="50">
        <v>99013</v>
      </c>
      <c r="DN39" s="50">
        <v>99049</v>
      </c>
      <c r="DO39" s="50">
        <v>99083</v>
      </c>
    </row>
    <row r="40" spans="1:119">
      <c r="A40" s="50">
        <v>38</v>
      </c>
      <c r="B40" s="50"/>
      <c r="C40" s="50"/>
      <c r="D40" s="50"/>
      <c r="E40" s="50"/>
      <c r="F40" s="50"/>
      <c r="G40" s="50"/>
      <c r="H40" s="50"/>
      <c r="I40" s="50"/>
      <c r="J40" s="50"/>
      <c r="K40" s="50"/>
      <c r="L40" s="50"/>
      <c r="M40" s="50"/>
      <c r="N40" s="50"/>
      <c r="O40" s="50"/>
      <c r="P40" s="50"/>
      <c r="Q40" s="50"/>
      <c r="R40" s="50"/>
      <c r="S40" s="50"/>
      <c r="T40" s="50"/>
      <c r="U40" s="50"/>
      <c r="V40" s="50"/>
      <c r="W40" s="50">
        <v>75768</v>
      </c>
      <c r="X40" s="50">
        <v>76570</v>
      </c>
      <c r="Y40" s="50">
        <v>76721</v>
      </c>
      <c r="Z40" s="50">
        <v>79003</v>
      </c>
      <c r="AA40" s="50">
        <v>79361</v>
      </c>
      <c r="AB40" s="50">
        <v>80055</v>
      </c>
      <c r="AC40" s="50">
        <v>80904</v>
      </c>
      <c r="AD40" s="50">
        <v>81955</v>
      </c>
      <c r="AE40" s="50">
        <v>81960</v>
      </c>
      <c r="AF40" s="50">
        <v>83305</v>
      </c>
      <c r="AG40" s="50">
        <v>83731</v>
      </c>
      <c r="AH40" s="50">
        <v>84151</v>
      </c>
      <c r="AI40" s="50">
        <v>84398</v>
      </c>
      <c r="AJ40" s="50">
        <v>85690</v>
      </c>
      <c r="AK40" s="50">
        <v>85567</v>
      </c>
      <c r="AL40" s="50">
        <v>85862</v>
      </c>
      <c r="AM40" s="50">
        <v>86140</v>
      </c>
      <c r="AN40" s="50">
        <v>86596</v>
      </c>
      <c r="AO40" s="50">
        <v>86497</v>
      </c>
      <c r="AP40" s="50">
        <v>86637</v>
      </c>
      <c r="AQ40" s="50">
        <v>86709</v>
      </c>
      <c r="AR40" s="50">
        <v>86830</v>
      </c>
      <c r="AS40" s="50">
        <v>86257</v>
      </c>
      <c r="AT40" s="50">
        <v>85486</v>
      </c>
      <c r="AU40" s="50">
        <v>84085</v>
      </c>
      <c r="AV40" s="50">
        <v>84615</v>
      </c>
      <c r="AW40" s="50">
        <v>85111</v>
      </c>
      <c r="AX40" s="50">
        <v>87454</v>
      </c>
      <c r="AY40" s="50">
        <v>89409</v>
      </c>
      <c r="AZ40" s="50">
        <v>89390</v>
      </c>
      <c r="BA40" s="50">
        <v>89419</v>
      </c>
      <c r="BB40" s="50">
        <v>90182</v>
      </c>
      <c r="BC40" s="50">
        <v>90411</v>
      </c>
      <c r="BD40" s="50">
        <v>90878</v>
      </c>
      <c r="BE40" s="50">
        <v>90926</v>
      </c>
      <c r="BF40" s="50">
        <v>91323</v>
      </c>
      <c r="BG40" s="50">
        <v>91362</v>
      </c>
      <c r="BH40" s="50">
        <v>91782</v>
      </c>
      <c r="BI40" s="50">
        <v>92065</v>
      </c>
      <c r="BJ40" s="50">
        <v>92247</v>
      </c>
      <c r="BK40" s="50">
        <v>92661</v>
      </c>
      <c r="BL40" s="50">
        <v>93055</v>
      </c>
      <c r="BM40" s="50">
        <v>93451</v>
      </c>
      <c r="BN40" s="50">
        <v>93804</v>
      </c>
      <c r="BO40" s="50">
        <v>94132</v>
      </c>
      <c r="BP40" s="50">
        <v>94281</v>
      </c>
      <c r="BQ40" s="50">
        <v>94465</v>
      </c>
      <c r="BR40" s="50">
        <v>94610</v>
      </c>
      <c r="BS40" s="50">
        <v>94629</v>
      </c>
      <c r="BT40" s="50">
        <v>94781</v>
      </c>
      <c r="BU40" s="50">
        <v>94894</v>
      </c>
      <c r="BV40" s="50">
        <v>95031</v>
      </c>
      <c r="BW40" s="50">
        <v>95112</v>
      </c>
      <c r="BX40" s="50">
        <v>95304</v>
      </c>
      <c r="BY40" s="50">
        <v>95523</v>
      </c>
      <c r="BZ40" s="50">
        <v>95863</v>
      </c>
      <c r="CA40" s="50">
        <v>96058</v>
      </c>
      <c r="CB40" s="50">
        <v>96143</v>
      </c>
      <c r="CC40" s="50">
        <v>96357</v>
      </c>
      <c r="CD40" s="50">
        <v>96519</v>
      </c>
      <c r="CE40" s="50">
        <v>96635</v>
      </c>
      <c r="CF40" s="50">
        <v>96852</v>
      </c>
      <c r="CG40" s="50">
        <v>96985</v>
      </c>
      <c r="CH40" s="50">
        <v>97115</v>
      </c>
      <c r="CI40" s="50">
        <v>97286</v>
      </c>
      <c r="CJ40" s="50">
        <v>97337</v>
      </c>
      <c r="CK40" s="50">
        <v>97417</v>
      </c>
      <c r="CL40" s="50">
        <v>97584</v>
      </c>
      <c r="CM40" s="50">
        <v>97639</v>
      </c>
      <c r="CN40" s="50">
        <v>97755</v>
      </c>
      <c r="CO40" s="50">
        <v>97884</v>
      </c>
      <c r="CP40" s="50">
        <v>97963</v>
      </c>
      <c r="CQ40" s="50">
        <v>98062</v>
      </c>
      <c r="CR40" s="50">
        <v>98098</v>
      </c>
      <c r="CS40" s="50">
        <v>98189</v>
      </c>
      <c r="CT40" s="50">
        <v>98235</v>
      </c>
      <c r="CU40" s="50">
        <v>98300</v>
      </c>
      <c r="CV40" s="50">
        <v>98344</v>
      </c>
      <c r="CW40" s="50">
        <v>98389</v>
      </c>
      <c r="CX40" s="50">
        <v>98467</v>
      </c>
      <c r="CY40" s="50">
        <v>98482</v>
      </c>
      <c r="CZ40" s="50">
        <v>98532</v>
      </c>
      <c r="DA40" s="50">
        <v>98547</v>
      </c>
      <c r="DB40" s="50">
        <v>98611</v>
      </c>
      <c r="DC40" s="50">
        <v>98638</v>
      </c>
      <c r="DD40" s="50">
        <v>98677</v>
      </c>
      <c r="DE40" s="50">
        <v>98694</v>
      </c>
      <c r="DF40" s="50">
        <v>98759</v>
      </c>
      <c r="DG40" s="50">
        <v>98788</v>
      </c>
      <c r="DH40" s="50">
        <v>98814</v>
      </c>
      <c r="DI40" s="50">
        <v>98841</v>
      </c>
      <c r="DJ40" s="50">
        <v>98895</v>
      </c>
      <c r="DK40" s="50">
        <v>98913</v>
      </c>
      <c r="DL40" s="50">
        <v>98936</v>
      </c>
      <c r="DM40" s="50">
        <v>98974</v>
      </c>
      <c r="DN40" s="50">
        <v>99011</v>
      </c>
      <c r="DO40" s="50">
        <v>99046</v>
      </c>
    </row>
    <row r="41" spans="1:119">
      <c r="A41" s="50">
        <v>39</v>
      </c>
      <c r="B41" s="50"/>
      <c r="C41" s="50"/>
      <c r="D41" s="50"/>
      <c r="E41" s="50"/>
      <c r="F41" s="50"/>
      <c r="G41" s="50"/>
      <c r="H41" s="50"/>
      <c r="I41" s="50"/>
      <c r="J41" s="50"/>
      <c r="K41" s="50"/>
      <c r="L41" s="50"/>
      <c r="M41" s="50"/>
      <c r="N41" s="50"/>
      <c r="O41" s="50"/>
      <c r="P41" s="50"/>
      <c r="Q41" s="50"/>
      <c r="R41" s="50"/>
      <c r="S41" s="50"/>
      <c r="T41" s="50"/>
      <c r="U41" s="50"/>
      <c r="V41" s="50"/>
      <c r="W41" s="50">
        <v>75577</v>
      </c>
      <c r="X41" s="50">
        <v>76388</v>
      </c>
      <c r="Y41" s="50">
        <v>76532</v>
      </c>
      <c r="Z41" s="50">
        <v>78812</v>
      </c>
      <c r="AA41" s="50">
        <v>79165</v>
      </c>
      <c r="AB41" s="50">
        <v>79863</v>
      </c>
      <c r="AC41" s="50">
        <v>80710</v>
      </c>
      <c r="AD41" s="50">
        <v>81745</v>
      </c>
      <c r="AE41" s="50">
        <v>81755</v>
      </c>
      <c r="AF41" s="50">
        <v>83090</v>
      </c>
      <c r="AG41" s="50">
        <v>83506</v>
      </c>
      <c r="AH41" s="50">
        <v>83925</v>
      </c>
      <c r="AI41" s="50">
        <v>84181</v>
      </c>
      <c r="AJ41" s="50">
        <v>85459</v>
      </c>
      <c r="AK41" s="50">
        <v>85349</v>
      </c>
      <c r="AL41" s="50">
        <v>85641</v>
      </c>
      <c r="AM41" s="50">
        <v>85922</v>
      </c>
      <c r="AN41" s="50">
        <v>86384</v>
      </c>
      <c r="AO41" s="50">
        <v>86286</v>
      </c>
      <c r="AP41" s="50">
        <v>86427</v>
      </c>
      <c r="AQ41" s="50">
        <v>86505</v>
      </c>
      <c r="AR41" s="50">
        <v>86631</v>
      </c>
      <c r="AS41" s="50">
        <v>86056</v>
      </c>
      <c r="AT41" s="50">
        <v>85304</v>
      </c>
      <c r="AU41" s="50">
        <v>83895</v>
      </c>
      <c r="AV41" s="50">
        <v>84435</v>
      </c>
      <c r="AW41" s="50">
        <v>84931</v>
      </c>
      <c r="AX41" s="50">
        <v>87287</v>
      </c>
      <c r="AY41" s="50">
        <v>89239</v>
      </c>
      <c r="AZ41" s="50">
        <v>89211</v>
      </c>
      <c r="BA41" s="50">
        <v>89239</v>
      </c>
      <c r="BB41" s="50">
        <v>89982</v>
      </c>
      <c r="BC41" s="50">
        <v>90200</v>
      </c>
      <c r="BD41" s="50">
        <v>90674</v>
      </c>
      <c r="BE41" s="50">
        <v>90737</v>
      </c>
      <c r="BF41" s="50">
        <v>91140</v>
      </c>
      <c r="BG41" s="50">
        <v>91170</v>
      </c>
      <c r="BH41" s="50">
        <v>91610</v>
      </c>
      <c r="BI41" s="50">
        <v>91905</v>
      </c>
      <c r="BJ41" s="50">
        <v>92105</v>
      </c>
      <c r="BK41" s="50">
        <v>92509</v>
      </c>
      <c r="BL41" s="50">
        <v>92911</v>
      </c>
      <c r="BM41" s="50">
        <v>93315</v>
      </c>
      <c r="BN41" s="50">
        <v>93672</v>
      </c>
      <c r="BO41" s="50">
        <v>94009</v>
      </c>
      <c r="BP41" s="50">
        <v>94158</v>
      </c>
      <c r="BQ41" s="50">
        <v>94355</v>
      </c>
      <c r="BR41" s="50">
        <v>94501</v>
      </c>
      <c r="BS41" s="50">
        <v>94530</v>
      </c>
      <c r="BT41" s="50">
        <v>94678</v>
      </c>
      <c r="BU41" s="50">
        <v>94784</v>
      </c>
      <c r="BV41" s="50">
        <v>94922</v>
      </c>
      <c r="BW41" s="50">
        <v>95015</v>
      </c>
      <c r="BX41" s="50">
        <v>95209</v>
      </c>
      <c r="BY41" s="50">
        <v>95419</v>
      </c>
      <c r="BZ41" s="50">
        <v>95766</v>
      </c>
      <c r="CA41" s="50">
        <v>95961</v>
      </c>
      <c r="CB41" s="50">
        <v>96048</v>
      </c>
      <c r="CC41" s="50">
        <v>96264</v>
      </c>
      <c r="CD41" s="50">
        <v>96429</v>
      </c>
      <c r="CE41" s="50">
        <v>96547</v>
      </c>
      <c r="CF41" s="50">
        <v>96765</v>
      </c>
      <c r="CG41" s="50">
        <v>96900</v>
      </c>
      <c r="CH41" s="50">
        <v>97032</v>
      </c>
      <c r="CI41" s="50">
        <v>97204</v>
      </c>
      <c r="CJ41" s="50">
        <v>97257</v>
      </c>
      <c r="CK41" s="50">
        <v>97339</v>
      </c>
      <c r="CL41" s="50">
        <v>97507</v>
      </c>
      <c r="CM41" s="50">
        <v>97564</v>
      </c>
      <c r="CN41" s="50">
        <v>97681</v>
      </c>
      <c r="CO41" s="50">
        <v>97812</v>
      </c>
      <c r="CP41" s="50">
        <v>97893</v>
      </c>
      <c r="CQ41" s="50">
        <v>97993</v>
      </c>
      <c r="CR41" s="50">
        <v>98031</v>
      </c>
      <c r="CS41" s="50">
        <v>98123</v>
      </c>
      <c r="CT41" s="50">
        <v>98171</v>
      </c>
      <c r="CU41" s="50">
        <v>98237</v>
      </c>
      <c r="CV41" s="50">
        <v>98283</v>
      </c>
      <c r="CW41" s="50">
        <v>98329</v>
      </c>
      <c r="CX41" s="50">
        <v>98408</v>
      </c>
      <c r="CY41" s="50">
        <v>98425</v>
      </c>
      <c r="CZ41" s="50">
        <v>98475</v>
      </c>
      <c r="DA41" s="50">
        <v>98492</v>
      </c>
      <c r="DB41" s="50">
        <v>98557</v>
      </c>
      <c r="DC41" s="50">
        <v>98586</v>
      </c>
      <c r="DD41" s="50">
        <v>98625</v>
      </c>
      <c r="DE41" s="50">
        <v>98644</v>
      </c>
      <c r="DF41" s="50">
        <v>98710</v>
      </c>
      <c r="DG41" s="50">
        <v>98740</v>
      </c>
      <c r="DH41" s="50">
        <v>98768</v>
      </c>
      <c r="DI41" s="50">
        <v>98796</v>
      </c>
      <c r="DJ41" s="50">
        <v>98851</v>
      </c>
      <c r="DK41" s="50">
        <v>98870</v>
      </c>
      <c r="DL41" s="50">
        <v>98893</v>
      </c>
      <c r="DM41" s="50">
        <v>98932</v>
      </c>
      <c r="DN41" s="50">
        <v>98970</v>
      </c>
      <c r="DO41" s="50">
        <v>99006</v>
      </c>
    </row>
    <row r="42" spans="1:119">
      <c r="A42" s="50">
        <v>40</v>
      </c>
      <c r="B42" s="50"/>
      <c r="C42" s="50"/>
      <c r="D42" s="50"/>
      <c r="E42" s="50"/>
      <c r="F42" s="50"/>
      <c r="G42" s="50"/>
      <c r="H42" s="50"/>
      <c r="I42" s="50"/>
      <c r="J42" s="50"/>
      <c r="K42" s="50"/>
      <c r="L42" s="50"/>
      <c r="M42" s="50"/>
      <c r="N42" s="50"/>
      <c r="O42" s="50"/>
      <c r="P42" s="50"/>
      <c r="Q42" s="50"/>
      <c r="R42" s="50"/>
      <c r="S42" s="50"/>
      <c r="T42" s="50"/>
      <c r="U42" s="50"/>
      <c r="V42" s="50"/>
      <c r="W42" s="50">
        <v>75363</v>
      </c>
      <c r="X42" s="50">
        <v>76177</v>
      </c>
      <c r="Y42" s="50">
        <v>76331</v>
      </c>
      <c r="Z42" s="50">
        <v>78596</v>
      </c>
      <c r="AA42" s="50">
        <v>78952</v>
      </c>
      <c r="AB42" s="50">
        <v>79653</v>
      </c>
      <c r="AC42" s="50">
        <v>80480</v>
      </c>
      <c r="AD42" s="50">
        <v>81520</v>
      </c>
      <c r="AE42" s="50">
        <v>81529</v>
      </c>
      <c r="AF42" s="50">
        <v>82853</v>
      </c>
      <c r="AG42" s="50">
        <v>83266</v>
      </c>
      <c r="AH42" s="50">
        <v>83682</v>
      </c>
      <c r="AI42" s="50">
        <v>83944</v>
      </c>
      <c r="AJ42" s="50">
        <v>85223</v>
      </c>
      <c r="AK42" s="50">
        <v>85113</v>
      </c>
      <c r="AL42" s="50">
        <v>85400</v>
      </c>
      <c r="AM42" s="50">
        <v>85691</v>
      </c>
      <c r="AN42" s="50">
        <v>86151</v>
      </c>
      <c r="AO42" s="50">
        <v>86060</v>
      </c>
      <c r="AP42" s="50">
        <v>86198</v>
      </c>
      <c r="AQ42" s="50">
        <v>86277</v>
      </c>
      <c r="AR42" s="50">
        <v>86411</v>
      </c>
      <c r="AS42" s="50">
        <v>85844</v>
      </c>
      <c r="AT42" s="50">
        <v>85103</v>
      </c>
      <c r="AU42" s="50">
        <v>83714</v>
      </c>
      <c r="AV42" s="50">
        <v>84253</v>
      </c>
      <c r="AW42" s="50">
        <v>84747</v>
      </c>
      <c r="AX42" s="50">
        <v>87099</v>
      </c>
      <c r="AY42" s="50">
        <v>89055</v>
      </c>
      <c r="AZ42" s="50">
        <v>89016</v>
      </c>
      <c r="BA42" s="50">
        <v>89035</v>
      </c>
      <c r="BB42" s="50">
        <v>89768</v>
      </c>
      <c r="BC42" s="50">
        <v>89978</v>
      </c>
      <c r="BD42" s="50">
        <v>90459</v>
      </c>
      <c r="BE42" s="50">
        <v>90520</v>
      </c>
      <c r="BF42" s="50">
        <v>90950</v>
      </c>
      <c r="BG42" s="50">
        <v>90984</v>
      </c>
      <c r="BH42" s="50">
        <v>91432</v>
      </c>
      <c r="BI42" s="50">
        <v>91731</v>
      </c>
      <c r="BJ42" s="50">
        <v>91938</v>
      </c>
      <c r="BK42" s="50">
        <v>92351</v>
      </c>
      <c r="BL42" s="50">
        <v>92762</v>
      </c>
      <c r="BM42" s="50">
        <v>93168</v>
      </c>
      <c r="BN42" s="50">
        <v>93529</v>
      </c>
      <c r="BO42" s="50">
        <v>93878</v>
      </c>
      <c r="BP42" s="50">
        <v>94027</v>
      </c>
      <c r="BQ42" s="50">
        <v>94235</v>
      </c>
      <c r="BR42" s="50">
        <v>94392</v>
      </c>
      <c r="BS42" s="50">
        <v>94420</v>
      </c>
      <c r="BT42" s="50">
        <v>94569</v>
      </c>
      <c r="BU42" s="50">
        <v>94668</v>
      </c>
      <c r="BV42" s="50">
        <v>94819</v>
      </c>
      <c r="BW42" s="50">
        <v>94902</v>
      </c>
      <c r="BX42" s="50">
        <v>95106</v>
      </c>
      <c r="BY42" s="50">
        <v>95319</v>
      </c>
      <c r="BZ42" s="50">
        <v>95661</v>
      </c>
      <c r="CA42" s="50">
        <v>95858</v>
      </c>
      <c r="CB42" s="50">
        <v>95947</v>
      </c>
      <c r="CC42" s="50">
        <v>96165</v>
      </c>
      <c r="CD42" s="50">
        <v>96332</v>
      </c>
      <c r="CE42" s="50">
        <v>96452</v>
      </c>
      <c r="CF42" s="50">
        <v>96672</v>
      </c>
      <c r="CG42" s="50">
        <v>96809</v>
      </c>
      <c r="CH42" s="50">
        <v>96942</v>
      </c>
      <c r="CI42" s="50">
        <v>97117</v>
      </c>
      <c r="CJ42" s="50">
        <v>97171</v>
      </c>
      <c r="CK42" s="50">
        <v>97255</v>
      </c>
      <c r="CL42" s="50">
        <v>97425</v>
      </c>
      <c r="CM42" s="50">
        <v>97484</v>
      </c>
      <c r="CN42" s="50">
        <v>97603</v>
      </c>
      <c r="CO42" s="50">
        <v>97736</v>
      </c>
      <c r="CP42" s="50">
        <v>97817</v>
      </c>
      <c r="CQ42" s="50">
        <v>97920</v>
      </c>
      <c r="CR42" s="50">
        <v>97959</v>
      </c>
      <c r="CS42" s="50">
        <v>98053</v>
      </c>
      <c r="CT42" s="50">
        <v>98102</v>
      </c>
      <c r="CU42" s="50">
        <v>98170</v>
      </c>
      <c r="CV42" s="50">
        <v>98217</v>
      </c>
      <c r="CW42" s="50">
        <v>98264</v>
      </c>
      <c r="CX42" s="50">
        <v>98345</v>
      </c>
      <c r="CY42" s="50">
        <v>98363</v>
      </c>
      <c r="CZ42" s="50">
        <v>98415</v>
      </c>
      <c r="DA42" s="50">
        <v>98433</v>
      </c>
      <c r="DB42" s="50">
        <v>98499</v>
      </c>
      <c r="DC42" s="50">
        <v>98529</v>
      </c>
      <c r="DD42" s="50">
        <v>98570</v>
      </c>
      <c r="DE42" s="50">
        <v>98590</v>
      </c>
      <c r="DF42" s="50">
        <v>98658</v>
      </c>
      <c r="DG42" s="50">
        <v>98689</v>
      </c>
      <c r="DH42" s="50">
        <v>98717</v>
      </c>
      <c r="DI42" s="50">
        <v>98747</v>
      </c>
      <c r="DJ42" s="50">
        <v>98803</v>
      </c>
      <c r="DK42" s="50">
        <v>98823</v>
      </c>
      <c r="DL42" s="50">
        <v>98847</v>
      </c>
      <c r="DM42" s="50">
        <v>98887</v>
      </c>
      <c r="DN42" s="50">
        <v>98926</v>
      </c>
      <c r="DO42" s="50">
        <v>98963</v>
      </c>
    </row>
    <row r="43" spans="1:119">
      <c r="A43" s="50">
        <v>41</v>
      </c>
      <c r="B43" s="50"/>
      <c r="C43" s="50"/>
      <c r="D43" s="50"/>
      <c r="E43" s="50"/>
      <c r="F43" s="50"/>
      <c r="G43" s="50"/>
      <c r="H43" s="50"/>
      <c r="I43" s="50"/>
      <c r="J43" s="50"/>
      <c r="K43" s="50"/>
      <c r="L43" s="50"/>
      <c r="M43" s="50"/>
      <c r="N43" s="50"/>
      <c r="O43" s="50"/>
      <c r="P43" s="50"/>
      <c r="Q43" s="50"/>
      <c r="R43" s="50"/>
      <c r="S43" s="50"/>
      <c r="T43" s="50"/>
      <c r="U43" s="50"/>
      <c r="V43" s="50"/>
      <c r="W43" s="50">
        <v>75149</v>
      </c>
      <c r="X43" s="50">
        <v>75956</v>
      </c>
      <c r="Y43" s="50">
        <v>76110</v>
      </c>
      <c r="Z43" s="50">
        <v>78369</v>
      </c>
      <c r="AA43" s="50">
        <v>78725</v>
      </c>
      <c r="AB43" s="50">
        <v>79412</v>
      </c>
      <c r="AC43" s="50">
        <v>80244</v>
      </c>
      <c r="AD43" s="50">
        <v>81283</v>
      </c>
      <c r="AE43" s="50">
        <v>81266</v>
      </c>
      <c r="AF43" s="50">
        <v>82587</v>
      </c>
      <c r="AG43" s="50">
        <v>83000</v>
      </c>
      <c r="AH43" s="50">
        <v>83429</v>
      </c>
      <c r="AI43" s="50">
        <v>83693</v>
      </c>
      <c r="AJ43" s="50">
        <v>84969</v>
      </c>
      <c r="AK43" s="50">
        <v>84849</v>
      </c>
      <c r="AL43" s="50">
        <v>85141</v>
      </c>
      <c r="AM43" s="50">
        <v>85444</v>
      </c>
      <c r="AN43" s="50">
        <v>85895</v>
      </c>
      <c r="AO43" s="50">
        <v>85801</v>
      </c>
      <c r="AP43" s="50">
        <v>85958</v>
      </c>
      <c r="AQ43" s="50">
        <v>86035</v>
      </c>
      <c r="AR43" s="50">
        <v>86177</v>
      </c>
      <c r="AS43" s="50">
        <v>85624</v>
      </c>
      <c r="AT43" s="50">
        <v>84889</v>
      </c>
      <c r="AU43" s="50">
        <v>83518</v>
      </c>
      <c r="AV43" s="50">
        <v>84057</v>
      </c>
      <c r="AW43" s="50">
        <v>84561</v>
      </c>
      <c r="AX43" s="50">
        <v>86900</v>
      </c>
      <c r="AY43" s="50">
        <v>88842</v>
      </c>
      <c r="AZ43" s="50">
        <v>88784</v>
      </c>
      <c r="BA43" s="50">
        <v>88800</v>
      </c>
      <c r="BB43" s="50">
        <v>89542</v>
      </c>
      <c r="BC43" s="50">
        <v>89748</v>
      </c>
      <c r="BD43" s="50">
        <v>90228</v>
      </c>
      <c r="BE43" s="50">
        <v>90311</v>
      </c>
      <c r="BF43" s="50">
        <v>90754</v>
      </c>
      <c r="BG43" s="50">
        <v>90783</v>
      </c>
      <c r="BH43" s="50">
        <v>91243</v>
      </c>
      <c r="BI43" s="50">
        <v>91546</v>
      </c>
      <c r="BJ43" s="50">
        <v>91760</v>
      </c>
      <c r="BK43" s="50">
        <v>92173</v>
      </c>
      <c r="BL43" s="50">
        <v>92604</v>
      </c>
      <c r="BM43" s="50">
        <v>93016</v>
      </c>
      <c r="BN43" s="50">
        <v>93381</v>
      </c>
      <c r="BO43" s="50">
        <v>93731</v>
      </c>
      <c r="BP43" s="50">
        <v>93891</v>
      </c>
      <c r="BQ43" s="50">
        <v>94106</v>
      </c>
      <c r="BR43" s="50">
        <v>94264</v>
      </c>
      <c r="BS43" s="50">
        <v>94296</v>
      </c>
      <c r="BT43" s="50">
        <v>94449</v>
      </c>
      <c r="BU43" s="50">
        <v>94543</v>
      </c>
      <c r="BV43" s="50">
        <v>94707</v>
      </c>
      <c r="BW43" s="50">
        <v>94792</v>
      </c>
      <c r="BX43" s="50">
        <v>94988</v>
      </c>
      <c r="BY43" s="50">
        <v>95204</v>
      </c>
      <c r="BZ43" s="50">
        <v>95548</v>
      </c>
      <c r="CA43" s="50">
        <v>95748</v>
      </c>
      <c r="CB43" s="50">
        <v>95839</v>
      </c>
      <c r="CC43" s="50">
        <v>96059</v>
      </c>
      <c r="CD43" s="50">
        <v>96228</v>
      </c>
      <c r="CE43" s="50">
        <v>96350</v>
      </c>
      <c r="CF43" s="50">
        <v>96573</v>
      </c>
      <c r="CG43" s="50">
        <v>96711</v>
      </c>
      <c r="CH43" s="50">
        <v>96847</v>
      </c>
      <c r="CI43" s="50">
        <v>97023</v>
      </c>
      <c r="CJ43" s="50">
        <v>97079</v>
      </c>
      <c r="CK43" s="50">
        <v>97165</v>
      </c>
      <c r="CL43" s="50">
        <v>97337</v>
      </c>
      <c r="CM43" s="50">
        <v>97398</v>
      </c>
      <c r="CN43" s="50">
        <v>97519</v>
      </c>
      <c r="CO43" s="50">
        <v>97653</v>
      </c>
      <c r="CP43" s="50">
        <v>97736</v>
      </c>
      <c r="CQ43" s="50">
        <v>97840</v>
      </c>
      <c r="CR43" s="50">
        <v>97881</v>
      </c>
      <c r="CS43" s="50">
        <v>97977</v>
      </c>
      <c r="CT43" s="50">
        <v>98028</v>
      </c>
      <c r="CU43" s="50">
        <v>98097</v>
      </c>
      <c r="CV43" s="50">
        <v>98146</v>
      </c>
      <c r="CW43" s="50">
        <v>98195</v>
      </c>
      <c r="CX43" s="50">
        <v>98277</v>
      </c>
      <c r="CY43" s="50">
        <v>98297</v>
      </c>
      <c r="CZ43" s="50">
        <v>98350</v>
      </c>
      <c r="DA43" s="50">
        <v>98370</v>
      </c>
      <c r="DB43" s="50">
        <v>98437</v>
      </c>
      <c r="DC43" s="50">
        <v>98468</v>
      </c>
      <c r="DD43" s="50">
        <v>98511</v>
      </c>
      <c r="DE43" s="50">
        <v>98531</v>
      </c>
      <c r="DF43" s="50">
        <v>98600</v>
      </c>
      <c r="DG43" s="50">
        <v>98633</v>
      </c>
      <c r="DH43" s="50">
        <v>98663</v>
      </c>
      <c r="DI43" s="50">
        <v>98693</v>
      </c>
      <c r="DJ43" s="50">
        <v>98750</v>
      </c>
      <c r="DK43" s="50">
        <v>98772</v>
      </c>
      <c r="DL43" s="50">
        <v>98797</v>
      </c>
      <c r="DM43" s="50">
        <v>98838</v>
      </c>
      <c r="DN43" s="50">
        <v>98878</v>
      </c>
      <c r="DO43" s="50">
        <v>98916</v>
      </c>
    </row>
    <row r="44" spans="1:119">
      <c r="A44" s="50">
        <v>42</v>
      </c>
      <c r="B44" s="50"/>
      <c r="C44" s="50"/>
      <c r="D44" s="50"/>
      <c r="E44" s="50"/>
      <c r="F44" s="50"/>
      <c r="G44" s="50"/>
      <c r="H44" s="50"/>
      <c r="I44" s="50"/>
      <c r="J44" s="50"/>
      <c r="K44" s="50"/>
      <c r="L44" s="50"/>
      <c r="M44" s="50"/>
      <c r="N44" s="50"/>
      <c r="O44" s="50"/>
      <c r="P44" s="50"/>
      <c r="Q44" s="50"/>
      <c r="R44" s="50"/>
      <c r="S44" s="50"/>
      <c r="T44" s="50"/>
      <c r="U44" s="50"/>
      <c r="V44" s="50"/>
      <c r="W44" s="50">
        <v>74919</v>
      </c>
      <c r="X44" s="50">
        <v>75719</v>
      </c>
      <c r="Y44" s="50">
        <v>75885</v>
      </c>
      <c r="Z44" s="50">
        <v>78119</v>
      </c>
      <c r="AA44" s="50">
        <v>78474</v>
      </c>
      <c r="AB44" s="50">
        <v>79164</v>
      </c>
      <c r="AC44" s="50">
        <v>79994</v>
      </c>
      <c r="AD44" s="50">
        <v>81012</v>
      </c>
      <c r="AE44" s="50">
        <v>80989</v>
      </c>
      <c r="AF44" s="50">
        <v>82292</v>
      </c>
      <c r="AG44" s="50">
        <v>82717</v>
      </c>
      <c r="AH44" s="50">
        <v>83155</v>
      </c>
      <c r="AI44" s="50">
        <v>83419</v>
      </c>
      <c r="AJ44" s="50">
        <v>84681</v>
      </c>
      <c r="AK44" s="50">
        <v>84566</v>
      </c>
      <c r="AL44" s="50">
        <v>84860</v>
      </c>
      <c r="AM44" s="50">
        <v>85177</v>
      </c>
      <c r="AN44" s="50">
        <v>85623</v>
      </c>
      <c r="AO44" s="50">
        <v>85543</v>
      </c>
      <c r="AP44" s="50">
        <v>85682</v>
      </c>
      <c r="AQ44" s="50">
        <v>85782</v>
      </c>
      <c r="AR44" s="50">
        <v>85940</v>
      </c>
      <c r="AS44" s="50">
        <v>85391</v>
      </c>
      <c r="AT44" s="50">
        <v>84670</v>
      </c>
      <c r="AU44" s="50">
        <v>83292</v>
      </c>
      <c r="AV44" s="50">
        <v>83841</v>
      </c>
      <c r="AW44" s="50">
        <v>84352</v>
      </c>
      <c r="AX44" s="50">
        <v>86684</v>
      </c>
      <c r="AY44" s="50">
        <v>88611</v>
      </c>
      <c r="AZ44" s="50">
        <v>88527</v>
      </c>
      <c r="BA44" s="50">
        <v>88552</v>
      </c>
      <c r="BB44" s="50">
        <v>89296</v>
      </c>
      <c r="BC44" s="50">
        <v>89503</v>
      </c>
      <c r="BD44" s="50">
        <v>89993</v>
      </c>
      <c r="BE44" s="50">
        <v>90087</v>
      </c>
      <c r="BF44" s="50">
        <v>90537</v>
      </c>
      <c r="BG44" s="50">
        <v>90574</v>
      </c>
      <c r="BH44" s="50">
        <v>91036</v>
      </c>
      <c r="BI44" s="50">
        <v>91356</v>
      </c>
      <c r="BJ44" s="50">
        <v>91583</v>
      </c>
      <c r="BK44" s="50">
        <v>91991</v>
      </c>
      <c r="BL44" s="50">
        <v>92428</v>
      </c>
      <c r="BM44" s="50">
        <v>92854</v>
      </c>
      <c r="BN44" s="50">
        <v>93228</v>
      </c>
      <c r="BO44" s="50">
        <v>93577</v>
      </c>
      <c r="BP44" s="50">
        <v>93752</v>
      </c>
      <c r="BQ44" s="50">
        <v>93972</v>
      </c>
      <c r="BR44" s="50">
        <v>94129</v>
      </c>
      <c r="BS44" s="50">
        <v>94164</v>
      </c>
      <c r="BT44" s="50">
        <v>94321</v>
      </c>
      <c r="BU44" s="50">
        <v>94415</v>
      </c>
      <c r="BV44" s="50">
        <v>94585</v>
      </c>
      <c r="BW44" s="50">
        <v>94665</v>
      </c>
      <c r="BX44" s="50">
        <v>94862</v>
      </c>
      <c r="BY44" s="50">
        <v>95081</v>
      </c>
      <c r="BZ44" s="50">
        <v>95426</v>
      </c>
      <c r="CA44" s="50">
        <v>95629</v>
      </c>
      <c r="CB44" s="50">
        <v>95722</v>
      </c>
      <c r="CC44" s="50">
        <v>95945</v>
      </c>
      <c r="CD44" s="50">
        <v>96116</v>
      </c>
      <c r="CE44" s="50">
        <v>96240</v>
      </c>
      <c r="CF44" s="50">
        <v>96465</v>
      </c>
      <c r="CG44" s="50">
        <v>96606</v>
      </c>
      <c r="CH44" s="50">
        <v>96743</v>
      </c>
      <c r="CI44" s="50">
        <v>96922</v>
      </c>
      <c r="CJ44" s="50">
        <v>96980</v>
      </c>
      <c r="CK44" s="50">
        <v>97068</v>
      </c>
      <c r="CL44" s="50">
        <v>97242</v>
      </c>
      <c r="CM44" s="50">
        <v>97305</v>
      </c>
      <c r="CN44" s="50">
        <v>97427</v>
      </c>
      <c r="CO44" s="50">
        <v>97564</v>
      </c>
      <c r="CP44" s="50">
        <v>97649</v>
      </c>
      <c r="CQ44" s="50">
        <v>97755</v>
      </c>
      <c r="CR44" s="50">
        <v>97797</v>
      </c>
      <c r="CS44" s="50">
        <v>97895</v>
      </c>
      <c r="CT44" s="50">
        <v>97948</v>
      </c>
      <c r="CU44" s="50">
        <v>98018</v>
      </c>
      <c r="CV44" s="50">
        <v>98069</v>
      </c>
      <c r="CW44" s="50">
        <v>98119</v>
      </c>
      <c r="CX44" s="50">
        <v>98204</v>
      </c>
      <c r="CY44" s="50">
        <v>98225</v>
      </c>
      <c r="CZ44" s="50">
        <v>98279</v>
      </c>
      <c r="DA44" s="50">
        <v>98300</v>
      </c>
      <c r="DB44" s="50">
        <v>98369</v>
      </c>
      <c r="DC44" s="50">
        <v>98402</v>
      </c>
      <c r="DD44" s="50">
        <v>98446</v>
      </c>
      <c r="DE44" s="50">
        <v>98468</v>
      </c>
      <c r="DF44" s="50">
        <v>98538</v>
      </c>
      <c r="DG44" s="50">
        <v>98572</v>
      </c>
      <c r="DH44" s="50">
        <v>98603</v>
      </c>
      <c r="DI44" s="50">
        <v>98635</v>
      </c>
      <c r="DJ44" s="50">
        <v>98693</v>
      </c>
      <c r="DK44" s="50">
        <v>98716</v>
      </c>
      <c r="DL44" s="50">
        <v>98742</v>
      </c>
      <c r="DM44" s="50">
        <v>98785</v>
      </c>
      <c r="DN44" s="50">
        <v>98826</v>
      </c>
      <c r="DO44" s="50">
        <v>98865</v>
      </c>
    </row>
    <row r="45" spans="1:119">
      <c r="A45" s="50">
        <v>43</v>
      </c>
      <c r="B45" s="50"/>
      <c r="C45" s="50"/>
      <c r="D45" s="50"/>
      <c r="E45" s="50"/>
      <c r="F45" s="50"/>
      <c r="G45" s="50"/>
      <c r="H45" s="50"/>
      <c r="I45" s="50"/>
      <c r="J45" s="50"/>
      <c r="K45" s="50"/>
      <c r="L45" s="50"/>
      <c r="M45" s="50"/>
      <c r="N45" s="50"/>
      <c r="O45" s="50"/>
      <c r="P45" s="50"/>
      <c r="Q45" s="50"/>
      <c r="R45" s="50"/>
      <c r="S45" s="50"/>
      <c r="T45" s="50"/>
      <c r="U45" s="50"/>
      <c r="V45" s="50"/>
      <c r="W45" s="50">
        <v>74657</v>
      </c>
      <c r="X45" s="50">
        <v>75463</v>
      </c>
      <c r="Y45" s="50">
        <v>75620</v>
      </c>
      <c r="Z45" s="50">
        <v>77842</v>
      </c>
      <c r="AA45" s="50">
        <v>78216</v>
      </c>
      <c r="AB45" s="50">
        <v>78901</v>
      </c>
      <c r="AC45" s="50">
        <v>79697</v>
      </c>
      <c r="AD45" s="50">
        <v>80710</v>
      </c>
      <c r="AE45" s="50">
        <v>80678</v>
      </c>
      <c r="AF45" s="50">
        <v>81985</v>
      </c>
      <c r="AG45" s="50">
        <v>82416</v>
      </c>
      <c r="AH45" s="50">
        <v>82850</v>
      </c>
      <c r="AI45" s="50">
        <v>83109</v>
      </c>
      <c r="AJ45" s="50">
        <v>84375</v>
      </c>
      <c r="AK45" s="50">
        <v>84273</v>
      </c>
      <c r="AL45" s="50">
        <v>84570</v>
      </c>
      <c r="AM45" s="50">
        <v>84887</v>
      </c>
      <c r="AN45" s="50">
        <v>85332</v>
      </c>
      <c r="AO45" s="50">
        <v>85254</v>
      </c>
      <c r="AP45" s="50">
        <v>85403</v>
      </c>
      <c r="AQ45" s="50">
        <v>85523</v>
      </c>
      <c r="AR45" s="50">
        <v>85694</v>
      </c>
      <c r="AS45" s="50">
        <v>85145</v>
      </c>
      <c r="AT45" s="50">
        <v>84426</v>
      </c>
      <c r="AU45" s="50">
        <v>83063</v>
      </c>
      <c r="AV45" s="50">
        <v>83601</v>
      </c>
      <c r="AW45" s="50">
        <v>84106</v>
      </c>
      <c r="AX45" s="50">
        <v>86437</v>
      </c>
      <c r="AY45" s="50">
        <v>88356</v>
      </c>
      <c r="AZ45" s="50">
        <v>88279</v>
      </c>
      <c r="BA45" s="50">
        <v>88286</v>
      </c>
      <c r="BB45" s="50">
        <v>89037</v>
      </c>
      <c r="BC45" s="50">
        <v>89232</v>
      </c>
      <c r="BD45" s="50">
        <v>89744</v>
      </c>
      <c r="BE45" s="50">
        <v>89844</v>
      </c>
      <c r="BF45" s="50">
        <v>90302</v>
      </c>
      <c r="BG45" s="50">
        <v>90349</v>
      </c>
      <c r="BH45" s="50">
        <v>90821</v>
      </c>
      <c r="BI45" s="50">
        <v>91146</v>
      </c>
      <c r="BJ45" s="50">
        <v>91375</v>
      </c>
      <c r="BK45" s="50">
        <v>91792</v>
      </c>
      <c r="BL45" s="50">
        <v>92242</v>
      </c>
      <c r="BM45" s="50">
        <v>92679</v>
      </c>
      <c r="BN45" s="50">
        <v>93062</v>
      </c>
      <c r="BO45" s="50">
        <v>93417</v>
      </c>
      <c r="BP45" s="50">
        <v>93608</v>
      </c>
      <c r="BQ45" s="50">
        <v>93828</v>
      </c>
      <c r="BR45" s="50">
        <v>93980</v>
      </c>
      <c r="BS45" s="50">
        <v>94020</v>
      </c>
      <c r="BT45" s="50">
        <v>94182</v>
      </c>
      <c r="BU45" s="50">
        <v>94276</v>
      </c>
      <c r="BV45" s="50">
        <v>94438</v>
      </c>
      <c r="BW45" s="50">
        <v>94526</v>
      </c>
      <c r="BX45" s="50">
        <v>94726</v>
      </c>
      <c r="BY45" s="50">
        <v>94947</v>
      </c>
      <c r="BZ45" s="50">
        <v>95295</v>
      </c>
      <c r="CA45" s="50">
        <v>95500</v>
      </c>
      <c r="CB45" s="50">
        <v>95596</v>
      </c>
      <c r="CC45" s="50">
        <v>95821</v>
      </c>
      <c r="CD45" s="50">
        <v>95994</v>
      </c>
      <c r="CE45" s="50">
        <v>96121</v>
      </c>
      <c r="CF45" s="50">
        <v>96348</v>
      </c>
      <c r="CG45" s="50">
        <v>96492</v>
      </c>
      <c r="CH45" s="50">
        <v>96631</v>
      </c>
      <c r="CI45" s="50">
        <v>96812</v>
      </c>
      <c r="CJ45" s="50">
        <v>96873</v>
      </c>
      <c r="CK45" s="50">
        <v>96963</v>
      </c>
      <c r="CL45" s="50">
        <v>97139</v>
      </c>
      <c r="CM45" s="50">
        <v>97203</v>
      </c>
      <c r="CN45" s="50">
        <v>97328</v>
      </c>
      <c r="CO45" s="50">
        <v>97466</v>
      </c>
      <c r="CP45" s="50">
        <v>97554</v>
      </c>
      <c r="CQ45" s="50">
        <v>97661</v>
      </c>
      <c r="CR45" s="50">
        <v>97706</v>
      </c>
      <c r="CS45" s="50">
        <v>97806</v>
      </c>
      <c r="CT45" s="50">
        <v>97860</v>
      </c>
      <c r="CU45" s="50">
        <v>97933</v>
      </c>
      <c r="CV45" s="50">
        <v>97985</v>
      </c>
      <c r="CW45" s="50">
        <v>98037</v>
      </c>
      <c r="CX45" s="50">
        <v>98123</v>
      </c>
      <c r="CY45" s="50">
        <v>98146</v>
      </c>
      <c r="CZ45" s="50">
        <v>98202</v>
      </c>
      <c r="DA45" s="50">
        <v>98225</v>
      </c>
      <c r="DB45" s="50">
        <v>98295</v>
      </c>
      <c r="DC45" s="50">
        <v>98330</v>
      </c>
      <c r="DD45" s="50">
        <v>98375</v>
      </c>
      <c r="DE45" s="50">
        <v>98399</v>
      </c>
      <c r="DF45" s="50">
        <v>98470</v>
      </c>
      <c r="DG45" s="50">
        <v>98505</v>
      </c>
      <c r="DH45" s="50">
        <v>98538</v>
      </c>
      <c r="DI45" s="50">
        <v>98571</v>
      </c>
      <c r="DJ45" s="50">
        <v>98631</v>
      </c>
      <c r="DK45" s="50">
        <v>98655</v>
      </c>
      <c r="DL45" s="50">
        <v>98683</v>
      </c>
      <c r="DM45" s="50">
        <v>98726</v>
      </c>
      <c r="DN45" s="50">
        <v>98768</v>
      </c>
      <c r="DO45" s="50">
        <v>98809</v>
      </c>
    </row>
    <row r="46" spans="1:119">
      <c r="A46" s="50">
        <v>44</v>
      </c>
      <c r="B46" s="50"/>
      <c r="C46" s="50"/>
      <c r="D46" s="50"/>
      <c r="E46" s="50"/>
      <c r="F46" s="50"/>
      <c r="G46" s="50"/>
      <c r="H46" s="50"/>
      <c r="I46" s="50"/>
      <c r="J46" s="50"/>
      <c r="K46" s="50"/>
      <c r="L46" s="50"/>
      <c r="M46" s="50"/>
      <c r="N46" s="50"/>
      <c r="O46" s="50"/>
      <c r="P46" s="50"/>
      <c r="Q46" s="50"/>
      <c r="R46" s="50"/>
      <c r="S46" s="50"/>
      <c r="T46" s="50"/>
      <c r="U46" s="50"/>
      <c r="V46" s="50"/>
      <c r="W46" s="50">
        <v>74384</v>
      </c>
      <c r="X46" s="50">
        <v>75186</v>
      </c>
      <c r="Y46" s="50">
        <v>75327</v>
      </c>
      <c r="Z46" s="50">
        <v>77540</v>
      </c>
      <c r="AA46" s="50">
        <v>77915</v>
      </c>
      <c r="AB46" s="50">
        <v>78591</v>
      </c>
      <c r="AC46" s="50">
        <v>79386</v>
      </c>
      <c r="AD46" s="50">
        <v>80381</v>
      </c>
      <c r="AE46" s="50">
        <v>80363</v>
      </c>
      <c r="AF46" s="50">
        <v>81666</v>
      </c>
      <c r="AG46" s="50">
        <v>82061</v>
      </c>
      <c r="AH46" s="50">
        <v>82506</v>
      </c>
      <c r="AI46" s="50">
        <v>82785</v>
      </c>
      <c r="AJ46" s="50">
        <v>84039</v>
      </c>
      <c r="AK46" s="50">
        <v>83942</v>
      </c>
      <c r="AL46" s="50">
        <v>84244</v>
      </c>
      <c r="AM46" s="50">
        <v>84573</v>
      </c>
      <c r="AN46" s="50">
        <v>85029</v>
      </c>
      <c r="AO46" s="50">
        <v>84953</v>
      </c>
      <c r="AP46" s="50">
        <v>85121</v>
      </c>
      <c r="AQ46" s="50">
        <v>85238</v>
      </c>
      <c r="AR46" s="50">
        <v>85406</v>
      </c>
      <c r="AS46" s="50">
        <v>84881</v>
      </c>
      <c r="AT46" s="50">
        <v>84174</v>
      </c>
      <c r="AU46" s="50">
        <v>82818</v>
      </c>
      <c r="AV46" s="50">
        <v>83338</v>
      </c>
      <c r="AW46" s="50">
        <v>83841</v>
      </c>
      <c r="AX46" s="50">
        <v>86158</v>
      </c>
      <c r="AY46" s="50">
        <v>88076</v>
      </c>
      <c r="AZ46" s="50">
        <v>88018</v>
      </c>
      <c r="BA46" s="50">
        <v>88003</v>
      </c>
      <c r="BB46" s="50">
        <v>88760</v>
      </c>
      <c r="BC46" s="50">
        <v>88958</v>
      </c>
      <c r="BD46" s="50">
        <v>89483</v>
      </c>
      <c r="BE46" s="50">
        <v>89590</v>
      </c>
      <c r="BF46" s="50">
        <v>90054</v>
      </c>
      <c r="BG46" s="50">
        <v>90108</v>
      </c>
      <c r="BH46" s="50">
        <v>90590</v>
      </c>
      <c r="BI46" s="50">
        <v>90913</v>
      </c>
      <c r="BJ46" s="50">
        <v>91157</v>
      </c>
      <c r="BK46" s="50">
        <v>91579</v>
      </c>
      <c r="BL46" s="50">
        <v>92044</v>
      </c>
      <c r="BM46" s="50">
        <v>92484</v>
      </c>
      <c r="BN46" s="50">
        <v>92879</v>
      </c>
      <c r="BO46" s="50">
        <v>93243</v>
      </c>
      <c r="BP46" s="50">
        <v>93438</v>
      </c>
      <c r="BQ46" s="50">
        <v>93661</v>
      </c>
      <c r="BR46" s="50">
        <v>93818</v>
      </c>
      <c r="BS46" s="50">
        <v>93867</v>
      </c>
      <c r="BT46" s="50">
        <v>94026</v>
      </c>
      <c r="BU46" s="50">
        <v>94111</v>
      </c>
      <c r="BV46" s="50">
        <v>94285</v>
      </c>
      <c r="BW46" s="50">
        <v>94376</v>
      </c>
      <c r="BX46" s="50">
        <v>94578</v>
      </c>
      <c r="BY46" s="50">
        <v>94802</v>
      </c>
      <c r="BZ46" s="50">
        <v>95153</v>
      </c>
      <c r="CA46" s="50">
        <v>95360</v>
      </c>
      <c r="CB46" s="50">
        <v>95459</v>
      </c>
      <c r="CC46" s="50">
        <v>95687</v>
      </c>
      <c r="CD46" s="50">
        <v>95863</v>
      </c>
      <c r="CE46" s="50">
        <v>95992</v>
      </c>
      <c r="CF46" s="50">
        <v>96222</v>
      </c>
      <c r="CG46" s="50">
        <v>96367</v>
      </c>
      <c r="CH46" s="50">
        <v>96509</v>
      </c>
      <c r="CI46" s="50">
        <v>96693</v>
      </c>
      <c r="CJ46" s="50">
        <v>96756</v>
      </c>
      <c r="CK46" s="50">
        <v>96848</v>
      </c>
      <c r="CL46" s="50">
        <v>97026</v>
      </c>
      <c r="CM46" s="50">
        <v>97093</v>
      </c>
      <c r="CN46" s="50">
        <v>97220</v>
      </c>
      <c r="CO46" s="50">
        <v>97361</v>
      </c>
      <c r="CP46" s="50">
        <v>97450</v>
      </c>
      <c r="CQ46" s="50">
        <v>97560</v>
      </c>
      <c r="CR46" s="50">
        <v>97606</v>
      </c>
      <c r="CS46" s="50">
        <v>97708</v>
      </c>
      <c r="CT46" s="50">
        <v>97765</v>
      </c>
      <c r="CU46" s="50">
        <v>97839</v>
      </c>
      <c r="CV46" s="50">
        <v>97894</v>
      </c>
      <c r="CW46" s="50">
        <v>97947</v>
      </c>
      <c r="CX46" s="50">
        <v>98035</v>
      </c>
      <c r="CY46" s="50">
        <v>98060</v>
      </c>
      <c r="CZ46" s="50">
        <v>98118</v>
      </c>
      <c r="DA46" s="50">
        <v>98142</v>
      </c>
      <c r="DB46" s="50">
        <v>98214</v>
      </c>
      <c r="DC46" s="50">
        <v>98251</v>
      </c>
      <c r="DD46" s="50">
        <v>98297</v>
      </c>
      <c r="DE46" s="50">
        <v>98323</v>
      </c>
      <c r="DF46" s="50">
        <v>98396</v>
      </c>
      <c r="DG46" s="50">
        <v>98433</v>
      </c>
      <c r="DH46" s="50">
        <v>98467</v>
      </c>
      <c r="DI46" s="50">
        <v>98501</v>
      </c>
      <c r="DJ46" s="50">
        <v>98563</v>
      </c>
      <c r="DK46" s="50">
        <v>98588</v>
      </c>
      <c r="DL46" s="50">
        <v>98617</v>
      </c>
      <c r="DM46" s="50">
        <v>98662</v>
      </c>
      <c r="DN46" s="50">
        <v>98705</v>
      </c>
      <c r="DO46" s="50">
        <v>98747</v>
      </c>
    </row>
    <row r="47" spans="1:119">
      <c r="A47" s="50">
        <v>45</v>
      </c>
      <c r="B47" s="50"/>
      <c r="C47" s="50"/>
      <c r="D47" s="50"/>
      <c r="E47" s="50"/>
      <c r="F47" s="50"/>
      <c r="G47" s="50"/>
      <c r="H47" s="50"/>
      <c r="I47" s="50"/>
      <c r="J47" s="50"/>
      <c r="K47" s="50"/>
      <c r="L47" s="50"/>
      <c r="M47" s="50"/>
      <c r="N47" s="50"/>
      <c r="O47" s="50"/>
      <c r="P47" s="50"/>
      <c r="Q47" s="50"/>
      <c r="R47" s="50"/>
      <c r="S47" s="50"/>
      <c r="T47" s="50"/>
      <c r="U47" s="50"/>
      <c r="V47" s="50"/>
      <c r="W47" s="50">
        <v>74084</v>
      </c>
      <c r="X47" s="50">
        <v>74870</v>
      </c>
      <c r="Y47" s="50">
        <v>75008</v>
      </c>
      <c r="Z47" s="50">
        <v>77213</v>
      </c>
      <c r="AA47" s="50">
        <v>77578</v>
      </c>
      <c r="AB47" s="50">
        <v>78263</v>
      </c>
      <c r="AC47" s="50">
        <v>79046</v>
      </c>
      <c r="AD47" s="50">
        <v>80022</v>
      </c>
      <c r="AE47" s="50">
        <v>80006</v>
      </c>
      <c r="AF47" s="50">
        <v>81312</v>
      </c>
      <c r="AG47" s="50">
        <v>81689</v>
      </c>
      <c r="AH47" s="50">
        <v>82146</v>
      </c>
      <c r="AI47" s="50">
        <v>82435</v>
      </c>
      <c r="AJ47" s="50">
        <v>83673</v>
      </c>
      <c r="AK47" s="50">
        <v>83596</v>
      </c>
      <c r="AL47" s="50">
        <v>83887</v>
      </c>
      <c r="AM47" s="50">
        <v>84234</v>
      </c>
      <c r="AN47" s="50">
        <v>84690</v>
      </c>
      <c r="AO47" s="50">
        <v>84638</v>
      </c>
      <c r="AP47" s="50">
        <v>84819</v>
      </c>
      <c r="AQ47" s="50">
        <v>84944</v>
      </c>
      <c r="AR47" s="50">
        <v>85117</v>
      </c>
      <c r="AS47" s="50">
        <v>84594</v>
      </c>
      <c r="AT47" s="50">
        <v>83881</v>
      </c>
      <c r="AU47" s="50">
        <v>82535</v>
      </c>
      <c r="AV47" s="50">
        <v>83056</v>
      </c>
      <c r="AW47" s="50">
        <v>83550</v>
      </c>
      <c r="AX47" s="50">
        <v>85872</v>
      </c>
      <c r="AY47" s="50">
        <v>87776</v>
      </c>
      <c r="AZ47" s="50">
        <v>87714</v>
      </c>
      <c r="BA47" s="50">
        <v>87698</v>
      </c>
      <c r="BB47" s="50">
        <v>88470</v>
      </c>
      <c r="BC47" s="50">
        <v>88681</v>
      </c>
      <c r="BD47" s="50">
        <v>89215</v>
      </c>
      <c r="BE47" s="50">
        <v>89320</v>
      </c>
      <c r="BF47" s="50">
        <v>89790</v>
      </c>
      <c r="BG47" s="50">
        <v>89859</v>
      </c>
      <c r="BH47" s="50">
        <v>90339</v>
      </c>
      <c r="BI47" s="50">
        <v>90680</v>
      </c>
      <c r="BJ47" s="50">
        <v>90920</v>
      </c>
      <c r="BK47" s="50">
        <v>91356</v>
      </c>
      <c r="BL47" s="50">
        <v>91826</v>
      </c>
      <c r="BM47" s="50">
        <v>92285</v>
      </c>
      <c r="BN47" s="50">
        <v>92686</v>
      </c>
      <c r="BO47" s="50">
        <v>93055</v>
      </c>
      <c r="BP47" s="50">
        <v>93254</v>
      </c>
      <c r="BQ47" s="50">
        <v>93475</v>
      </c>
      <c r="BR47" s="50">
        <v>93642</v>
      </c>
      <c r="BS47" s="50">
        <v>93702</v>
      </c>
      <c r="BT47" s="50">
        <v>93860</v>
      </c>
      <c r="BU47" s="50">
        <v>93941</v>
      </c>
      <c r="BV47" s="50">
        <v>94118</v>
      </c>
      <c r="BW47" s="50">
        <v>94212</v>
      </c>
      <c r="BX47" s="50">
        <v>94418</v>
      </c>
      <c r="BY47" s="50">
        <v>94645</v>
      </c>
      <c r="BZ47" s="50">
        <v>94998</v>
      </c>
      <c r="CA47" s="50">
        <v>95208</v>
      </c>
      <c r="CB47" s="50">
        <v>95310</v>
      </c>
      <c r="CC47" s="50">
        <v>95541</v>
      </c>
      <c r="CD47" s="50">
        <v>95719</v>
      </c>
      <c r="CE47" s="50">
        <v>95851</v>
      </c>
      <c r="CF47" s="50">
        <v>96083</v>
      </c>
      <c r="CG47" s="50">
        <v>96232</v>
      </c>
      <c r="CH47" s="50">
        <v>96377</v>
      </c>
      <c r="CI47" s="50">
        <v>96562</v>
      </c>
      <c r="CJ47" s="50">
        <v>96628</v>
      </c>
      <c r="CK47" s="50">
        <v>96723</v>
      </c>
      <c r="CL47" s="50">
        <v>96903</v>
      </c>
      <c r="CM47" s="50">
        <v>96973</v>
      </c>
      <c r="CN47" s="50">
        <v>97102</v>
      </c>
      <c r="CO47" s="50">
        <v>97245</v>
      </c>
      <c r="CP47" s="50">
        <v>97337</v>
      </c>
      <c r="CQ47" s="50">
        <v>97449</v>
      </c>
      <c r="CR47" s="50">
        <v>97498</v>
      </c>
      <c r="CS47" s="50">
        <v>97601</v>
      </c>
      <c r="CT47" s="50">
        <v>97660</v>
      </c>
      <c r="CU47" s="50">
        <v>97737</v>
      </c>
      <c r="CV47" s="50">
        <v>97793</v>
      </c>
      <c r="CW47" s="50">
        <v>97849</v>
      </c>
      <c r="CX47" s="50">
        <v>97939</v>
      </c>
      <c r="CY47" s="50">
        <v>97965</v>
      </c>
      <c r="CZ47" s="50">
        <v>98025</v>
      </c>
      <c r="DA47" s="50">
        <v>98052</v>
      </c>
      <c r="DB47" s="50">
        <v>98126</v>
      </c>
      <c r="DC47" s="50">
        <v>98164</v>
      </c>
      <c r="DD47" s="50">
        <v>98212</v>
      </c>
      <c r="DE47" s="50">
        <v>98239</v>
      </c>
      <c r="DF47" s="50">
        <v>98314</v>
      </c>
      <c r="DG47" s="50">
        <v>98353</v>
      </c>
      <c r="DH47" s="50">
        <v>98388</v>
      </c>
      <c r="DI47" s="50">
        <v>98424</v>
      </c>
      <c r="DJ47" s="50">
        <v>98487</v>
      </c>
      <c r="DK47" s="50">
        <v>98514</v>
      </c>
      <c r="DL47" s="50">
        <v>98545</v>
      </c>
      <c r="DM47" s="50">
        <v>98591</v>
      </c>
      <c r="DN47" s="50">
        <v>98636</v>
      </c>
      <c r="DO47" s="50">
        <v>98679</v>
      </c>
    </row>
    <row r="48" spans="1:119">
      <c r="A48" s="50">
        <v>46</v>
      </c>
      <c r="B48" s="50"/>
      <c r="C48" s="50"/>
      <c r="D48" s="50"/>
      <c r="E48" s="50"/>
      <c r="F48" s="50"/>
      <c r="G48" s="50"/>
      <c r="H48" s="50"/>
      <c r="I48" s="50"/>
      <c r="J48" s="50"/>
      <c r="K48" s="50"/>
      <c r="L48" s="50"/>
      <c r="M48" s="50"/>
      <c r="N48" s="50"/>
      <c r="O48" s="50"/>
      <c r="P48" s="50"/>
      <c r="Q48" s="50"/>
      <c r="R48" s="50"/>
      <c r="S48" s="50"/>
      <c r="T48" s="50"/>
      <c r="U48" s="50"/>
      <c r="V48" s="50"/>
      <c r="W48" s="50">
        <v>73760</v>
      </c>
      <c r="X48" s="50">
        <v>74527</v>
      </c>
      <c r="Y48" s="50">
        <v>74665</v>
      </c>
      <c r="Z48" s="50">
        <v>76846</v>
      </c>
      <c r="AA48" s="50">
        <v>77220</v>
      </c>
      <c r="AB48" s="50">
        <v>77888</v>
      </c>
      <c r="AC48" s="50">
        <v>78668</v>
      </c>
      <c r="AD48" s="50">
        <v>79653</v>
      </c>
      <c r="AE48" s="50">
        <v>79605</v>
      </c>
      <c r="AF48" s="50">
        <v>80903</v>
      </c>
      <c r="AG48" s="50">
        <v>81290</v>
      </c>
      <c r="AH48" s="50">
        <v>81753</v>
      </c>
      <c r="AI48" s="50">
        <v>82035</v>
      </c>
      <c r="AJ48" s="50">
        <v>83278</v>
      </c>
      <c r="AK48" s="50">
        <v>83204</v>
      </c>
      <c r="AL48" s="50">
        <v>83508</v>
      </c>
      <c r="AM48" s="50">
        <v>83879</v>
      </c>
      <c r="AN48" s="50">
        <v>84337</v>
      </c>
      <c r="AO48" s="50">
        <v>84286</v>
      </c>
      <c r="AP48" s="50">
        <v>84478</v>
      </c>
      <c r="AQ48" s="50">
        <v>84616</v>
      </c>
      <c r="AR48" s="50">
        <v>84807</v>
      </c>
      <c r="AS48" s="50">
        <v>84276</v>
      </c>
      <c r="AT48" s="50">
        <v>83570</v>
      </c>
      <c r="AU48" s="50">
        <v>82212</v>
      </c>
      <c r="AV48" s="50">
        <v>82726</v>
      </c>
      <c r="AW48" s="50">
        <v>83251</v>
      </c>
      <c r="AX48" s="50">
        <v>85556</v>
      </c>
      <c r="AY48" s="50">
        <v>87458</v>
      </c>
      <c r="AZ48" s="50">
        <v>87395</v>
      </c>
      <c r="BA48" s="50">
        <v>87378</v>
      </c>
      <c r="BB48" s="50">
        <v>88161</v>
      </c>
      <c r="BC48" s="50">
        <v>88380</v>
      </c>
      <c r="BD48" s="50">
        <v>88915</v>
      </c>
      <c r="BE48" s="50">
        <v>89035</v>
      </c>
      <c r="BF48" s="50">
        <v>89499</v>
      </c>
      <c r="BG48" s="50">
        <v>89566</v>
      </c>
      <c r="BH48" s="50">
        <v>90072</v>
      </c>
      <c r="BI48" s="50">
        <v>90424</v>
      </c>
      <c r="BJ48" s="50">
        <v>90681</v>
      </c>
      <c r="BK48" s="50">
        <v>91119</v>
      </c>
      <c r="BL48" s="50">
        <v>91601</v>
      </c>
      <c r="BM48" s="50">
        <v>92065</v>
      </c>
      <c r="BN48" s="50">
        <v>92475</v>
      </c>
      <c r="BO48" s="50">
        <v>92850</v>
      </c>
      <c r="BP48" s="50">
        <v>93049</v>
      </c>
      <c r="BQ48" s="50">
        <v>93274</v>
      </c>
      <c r="BR48" s="50">
        <v>93453</v>
      </c>
      <c r="BS48" s="50">
        <v>93505</v>
      </c>
      <c r="BT48" s="50">
        <v>93671</v>
      </c>
      <c r="BU48" s="50">
        <v>93756</v>
      </c>
      <c r="BV48" s="50">
        <v>93936</v>
      </c>
      <c r="BW48" s="50">
        <v>94034</v>
      </c>
      <c r="BX48" s="50">
        <v>94243</v>
      </c>
      <c r="BY48" s="50">
        <v>94473</v>
      </c>
      <c r="BZ48" s="50">
        <v>94829</v>
      </c>
      <c r="CA48" s="50">
        <v>95042</v>
      </c>
      <c r="CB48" s="50">
        <v>95148</v>
      </c>
      <c r="CC48" s="50">
        <v>95381</v>
      </c>
      <c r="CD48" s="50">
        <v>95562</v>
      </c>
      <c r="CE48" s="50">
        <v>95698</v>
      </c>
      <c r="CF48" s="50">
        <v>95932</v>
      </c>
      <c r="CG48" s="50">
        <v>96084</v>
      </c>
      <c r="CH48" s="50">
        <v>96231</v>
      </c>
      <c r="CI48" s="50">
        <v>96420</v>
      </c>
      <c r="CJ48" s="50">
        <v>96488</v>
      </c>
      <c r="CK48" s="50">
        <v>96586</v>
      </c>
      <c r="CL48" s="50">
        <v>96769</v>
      </c>
      <c r="CM48" s="50">
        <v>96841</v>
      </c>
      <c r="CN48" s="50">
        <v>96973</v>
      </c>
      <c r="CO48" s="50">
        <v>97118</v>
      </c>
      <c r="CP48" s="50">
        <v>97212</v>
      </c>
      <c r="CQ48" s="50">
        <v>97327</v>
      </c>
      <c r="CR48" s="50">
        <v>97378</v>
      </c>
      <c r="CS48" s="50">
        <v>97484</v>
      </c>
      <c r="CT48" s="50">
        <v>97546</v>
      </c>
      <c r="CU48" s="50">
        <v>97624</v>
      </c>
      <c r="CV48" s="50">
        <v>97683</v>
      </c>
      <c r="CW48" s="50">
        <v>97741</v>
      </c>
      <c r="CX48" s="50">
        <v>97833</v>
      </c>
      <c r="CY48" s="50">
        <v>97862</v>
      </c>
      <c r="CZ48" s="50">
        <v>97924</v>
      </c>
      <c r="DA48" s="50">
        <v>97952</v>
      </c>
      <c r="DB48" s="50">
        <v>98028</v>
      </c>
      <c r="DC48" s="50">
        <v>98068</v>
      </c>
      <c r="DD48" s="50">
        <v>98119</v>
      </c>
      <c r="DE48" s="50">
        <v>98147</v>
      </c>
      <c r="DF48" s="50">
        <v>98224</v>
      </c>
      <c r="DG48" s="50">
        <v>98264</v>
      </c>
      <c r="DH48" s="50">
        <v>98302</v>
      </c>
      <c r="DI48" s="50">
        <v>98340</v>
      </c>
      <c r="DJ48" s="50">
        <v>98404</v>
      </c>
      <c r="DK48" s="50">
        <v>98433</v>
      </c>
      <c r="DL48" s="50">
        <v>98465</v>
      </c>
      <c r="DM48" s="50">
        <v>98513</v>
      </c>
      <c r="DN48" s="50">
        <v>98560</v>
      </c>
      <c r="DO48" s="50">
        <v>98605</v>
      </c>
    </row>
    <row r="49" spans="1:119">
      <c r="A49" s="50">
        <v>47</v>
      </c>
      <c r="B49" s="50"/>
      <c r="C49" s="50"/>
      <c r="D49" s="50"/>
      <c r="E49" s="50"/>
      <c r="F49" s="50"/>
      <c r="G49" s="50"/>
      <c r="H49" s="50"/>
      <c r="I49" s="50"/>
      <c r="J49" s="50"/>
      <c r="K49" s="50"/>
      <c r="L49" s="50"/>
      <c r="M49" s="50"/>
      <c r="N49" s="50"/>
      <c r="O49" s="50"/>
      <c r="P49" s="50"/>
      <c r="Q49" s="50"/>
      <c r="R49" s="50"/>
      <c r="S49" s="50"/>
      <c r="T49" s="50"/>
      <c r="U49" s="50"/>
      <c r="V49" s="50"/>
      <c r="W49" s="50">
        <v>73391</v>
      </c>
      <c r="X49" s="50">
        <v>74159</v>
      </c>
      <c r="Y49" s="50">
        <v>74269</v>
      </c>
      <c r="Z49" s="50">
        <v>76449</v>
      </c>
      <c r="AA49" s="50">
        <v>76816</v>
      </c>
      <c r="AB49" s="50">
        <v>77493</v>
      </c>
      <c r="AC49" s="50">
        <v>78257</v>
      </c>
      <c r="AD49" s="50">
        <v>79239</v>
      </c>
      <c r="AE49" s="50">
        <v>79182</v>
      </c>
      <c r="AF49" s="50">
        <v>80468</v>
      </c>
      <c r="AG49" s="50">
        <v>80844</v>
      </c>
      <c r="AH49" s="50">
        <v>81340</v>
      </c>
      <c r="AI49" s="50">
        <v>81615</v>
      </c>
      <c r="AJ49" s="50">
        <v>82861</v>
      </c>
      <c r="AK49" s="50">
        <v>82794</v>
      </c>
      <c r="AL49" s="50">
        <v>83120</v>
      </c>
      <c r="AM49" s="50">
        <v>83496</v>
      </c>
      <c r="AN49" s="50">
        <v>83958</v>
      </c>
      <c r="AO49" s="50">
        <v>83916</v>
      </c>
      <c r="AP49" s="50">
        <v>84119</v>
      </c>
      <c r="AQ49" s="50">
        <v>84264</v>
      </c>
      <c r="AR49" s="50">
        <v>84448</v>
      </c>
      <c r="AS49" s="50">
        <v>83913</v>
      </c>
      <c r="AT49" s="50">
        <v>83219</v>
      </c>
      <c r="AU49" s="50">
        <v>81863</v>
      </c>
      <c r="AV49" s="50">
        <v>82388</v>
      </c>
      <c r="AW49" s="50">
        <v>82919</v>
      </c>
      <c r="AX49" s="50">
        <v>85227</v>
      </c>
      <c r="AY49" s="50">
        <v>87126</v>
      </c>
      <c r="AZ49" s="50">
        <v>87058</v>
      </c>
      <c r="BA49" s="50">
        <v>87044</v>
      </c>
      <c r="BB49" s="50">
        <v>87840</v>
      </c>
      <c r="BC49" s="50">
        <v>88061</v>
      </c>
      <c r="BD49" s="50">
        <v>88594</v>
      </c>
      <c r="BE49" s="50">
        <v>88729</v>
      </c>
      <c r="BF49" s="50">
        <v>89183</v>
      </c>
      <c r="BG49" s="50">
        <v>89260</v>
      </c>
      <c r="BH49" s="50">
        <v>89789</v>
      </c>
      <c r="BI49" s="50">
        <v>90149</v>
      </c>
      <c r="BJ49" s="50">
        <v>90426</v>
      </c>
      <c r="BK49" s="50">
        <v>90858</v>
      </c>
      <c r="BL49" s="50">
        <v>91355</v>
      </c>
      <c r="BM49" s="50">
        <v>91832</v>
      </c>
      <c r="BN49" s="50">
        <v>92246</v>
      </c>
      <c r="BO49" s="50">
        <v>92627</v>
      </c>
      <c r="BP49" s="50">
        <v>92829</v>
      </c>
      <c r="BQ49" s="50">
        <v>93066</v>
      </c>
      <c r="BR49" s="50">
        <v>93244</v>
      </c>
      <c r="BS49" s="50">
        <v>93294</v>
      </c>
      <c r="BT49" s="50">
        <v>93465</v>
      </c>
      <c r="BU49" s="50">
        <v>93553</v>
      </c>
      <c r="BV49" s="50">
        <v>93737</v>
      </c>
      <c r="BW49" s="50">
        <v>93839</v>
      </c>
      <c r="BX49" s="50">
        <v>94051</v>
      </c>
      <c r="BY49" s="50">
        <v>94285</v>
      </c>
      <c r="BZ49" s="50">
        <v>94644</v>
      </c>
      <c r="CA49" s="50">
        <v>94861</v>
      </c>
      <c r="CB49" s="50">
        <v>94970</v>
      </c>
      <c r="CC49" s="50">
        <v>95206</v>
      </c>
      <c r="CD49" s="50">
        <v>95391</v>
      </c>
      <c r="CE49" s="50">
        <v>95529</v>
      </c>
      <c r="CF49" s="50">
        <v>95767</v>
      </c>
      <c r="CG49" s="50">
        <v>95922</v>
      </c>
      <c r="CH49" s="50">
        <v>96072</v>
      </c>
      <c r="CI49" s="50">
        <v>96263</v>
      </c>
      <c r="CJ49" s="50">
        <v>96335</v>
      </c>
      <c r="CK49" s="50">
        <v>96436</v>
      </c>
      <c r="CL49" s="50">
        <v>96622</v>
      </c>
      <c r="CM49" s="50">
        <v>96697</v>
      </c>
      <c r="CN49" s="50">
        <v>96831</v>
      </c>
      <c r="CO49" s="50">
        <v>96979</v>
      </c>
      <c r="CP49" s="50">
        <v>97076</v>
      </c>
      <c r="CQ49" s="50">
        <v>97193</v>
      </c>
      <c r="CR49" s="50">
        <v>97247</v>
      </c>
      <c r="CS49" s="50">
        <v>97356</v>
      </c>
      <c r="CT49" s="50">
        <v>97419</v>
      </c>
      <c r="CU49" s="50">
        <v>97500</v>
      </c>
      <c r="CV49" s="50">
        <v>97562</v>
      </c>
      <c r="CW49" s="50">
        <v>97622</v>
      </c>
      <c r="CX49" s="50">
        <v>97716</v>
      </c>
      <c r="CY49" s="50">
        <v>97748</v>
      </c>
      <c r="CZ49" s="50">
        <v>97812</v>
      </c>
      <c r="DA49" s="50">
        <v>97843</v>
      </c>
      <c r="DB49" s="50">
        <v>97921</v>
      </c>
      <c r="DC49" s="50">
        <v>97963</v>
      </c>
      <c r="DD49" s="50">
        <v>98015</v>
      </c>
      <c r="DE49" s="50">
        <v>98046</v>
      </c>
      <c r="DF49" s="50">
        <v>98125</v>
      </c>
      <c r="DG49" s="50">
        <v>98167</v>
      </c>
      <c r="DH49" s="50">
        <v>98207</v>
      </c>
      <c r="DI49" s="50">
        <v>98246</v>
      </c>
      <c r="DJ49" s="50">
        <v>98313</v>
      </c>
      <c r="DK49" s="50">
        <v>98343</v>
      </c>
      <c r="DL49" s="50">
        <v>98377</v>
      </c>
      <c r="DM49" s="50">
        <v>98427</v>
      </c>
      <c r="DN49" s="50">
        <v>98475</v>
      </c>
      <c r="DO49" s="50">
        <v>98522</v>
      </c>
    </row>
    <row r="50" spans="1:119">
      <c r="A50" s="50">
        <v>48</v>
      </c>
      <c r="B50" s="50"/>
      <c r="C50" s="50"/>
      <c r="D50" s="50"/>
      <c r="E50" s="50"/>
      <c r="F50" s="50"/>
      <c r="G50" s="50"/>
      <c r="H50" s="50"/>
      <c r="I50" s="50"/>
      <c r="J50" s="50"/>
      <c r="K50" s="50"/>
      <c r="L50" s="50"/>
      <c r="M50" s="50"/>
      <c r="N50" s="50"/>
      <c r="O50" s="50"/>
      <c r="P50" s="50"/>
      <c r="Q50" s="50"/>
      <c r="R50" s="50"/>
      <c r="S50" s="50"/>
      <c r="T50" s="50"/>
      <c r="U50" s="50"/>
      <c r="V50" s="50"/>
      <c r="W50" s="50">
        <v>72991</v>
      </c>
      <c r="X50" s="50">
        <v>73738</v>
      </c>
      <c r="Y50" s="50">
        <v>73860</v>
      </c>
      <c r="Z50" s="50">
        <v>76036</v>
      </c>
      <c r="AA50" s="50">
        <v>76390</v>
      </c>
      <c r="AB50" s="50">
        <v>77053</v>
      </c>
      <c r="AC50" s="50">
        <v>77816</v>
      </c>
      <c r="AD50" s="50">
        <v>78770</v>
      </c>
      <c r="AE50" s="50">
        <v>78716</v>
      </c>
      <c r="AF50" s="50">
        <v>79997</v>
      </c>
      <c r="AG50" s="50">
        <v>80368</v>
      </c>
      <c r="AH50" s="50">
        <v>80876</v>
      </c>
      <c r="AI50" s="50">
        <v>81165</v>
      </c>
      <c r="AJ50" s="50">
        <v>82412</v>
      </c>
      <c r="AK50" s="50">
        <v>82360</v>
      </c>
      <c r="AL50" s="50">
        <v>82692</v>
      </c>
      <c r="AM50" s="50">
        <v>83071</v>
      </c>
      <c r="AN50" s="50">
        <v>83557</v>
      </c>
      <c r="AO50" s="50">
        <v>83515</v>
      </c>
      <c r="AP50" s="50">
        <v>83722</v>
      </c>
      <c r="AQ50" s="50">
        <v>83870</v>
      </c>
      <c r="AR50" s="50">
        <v>84067</v>
      </c>
      <c r="AS50" s="50">
        <v>83529</v>
      </c>
      <c r="AT50" s="50">
        <v>82841</v>
      </c>
      <c r="AU50" s="50">
        <v>81486</v>
      </c>
      <c r="AV50" s="50">
        <v>82025</v>
      </c>
      <c r="AW50" s="50">
        <v>82543</v>
      </c>
      <c r="AX50" s="50">
        <v>84857</v>
      </c>
      <c r="AY50" s="50">
        <v>86769</v>
      </c>
      <c r="AZ50" s="50">
        <v>86709</v>
      </c>
      <c r="BA50" s="50">
        <v>86708</v>
      </c>
      <c r="BB50" s="50">
        <v>87491</v>
      </c>
      <c r="BC50" s="50">
        <v>87723</v>
      </c>
      <c r="BD50" s="50">
        <v>88245</v>
      </c>
      <c r="BE50" s="50">
        <v>88381</v>
      </c>
      <c r="BF50" s="50">
        <v>88864</v>
      </c>
      <c r="BG50" s="50">
        <v>88940</v>
      </c>
      <c r="BH50" s="50">
        <v>89482</v>
      </c>
      <c r="BI50" s="50">
        <v>89855</v>
      </c>
      <c r="BJ50" s="50">
        <v>90140</v>
      </c>
      <c r="BK50" s="50">
        <v>90584</v>
      </c>
      <c r="BL50" s="50">
        <v>91082</v>
      </c>
      <c r="BM50" s="50">
        <v>91569</v>
      </c>
      <c r="BN50" s="50">
        <v>91999</v>
      </c>
      <c r="BO50" s="50">
        <v>92383</v>
      </c>
      <c r="BP50" s="50">
        <v>92605</v>
      </c>
      <c r="BQ50" s="50">
        <v>92820</v>
      </c>
      <c r="BR50" s="50">
        <v>93010</v>
      </c>
      <c r="BS50" s="50">
        <v>93064</v>
      </c>
      <c r="BT50" s="50">
        <v>93239</v>
      </c>
      <c r="BU50" s="50">
        <v>93332</v>
      </c>
      <c r="BV50" s="50">
        <v>93520</v>
      </c>
      <c r="BW50" s="50">
        <v>93626</v>
      </c>
      <c r="BX50" s="50">
        <v>93842</v>
      </c>
      <c r="BY50" s="50">
        <v>94079</v>
      </c>
      <c r="BZ50" s="50">
        <v>94442</v>
      </c>
      <c r="CA50" s="50">
        <v>94662</v>
      </c>
      <c r="CB50" s="50">
        <v>94775</v>
      </c>
      <c r="CC50" s="50">
        <v>95015</v>
      </c>
      <c r="CD50" s="50">
        <v>95203</v>
      </c>
      <c r="CE50" s="50">
        <v>95345</v>
      </c>
      <c r="CF50" s="50">
        <v>95586</v>
      </c>
      <c r="CG50" s="50">
        <v>95744</v>
      </c>
      <c r="CH50" s="50">
        <v>95898</v>
      </c>
      <c r="CI50" s="50">
        <v>96092</v>
      </c>
      <c r="CJ50" s="50">
        <v>96167</v>
      </c>
      <c r="CK50" s="50">
        <v>96271</v>
      </c>
      <c r="CL50" s="50">
        <v>96460</v>
      </c>
      <c r="CM50" s="50">
        <v>96538</v>
      </c>
      <c r="CN50" s="50">
        <v>96675</v>
      </c>
      <c r="CO50" s="50">
        <v>96826</v>
      </c>
      <c r="CP50" s="50">
        <v>96926</v>
      </c>
      <c r="CQ50" s="50">
        <v>97046</v>
      </c>
      <c r="CR50" s="50">
        <v>97103</v>
      </c>
      <c r="CS50" s="50">
        <v>97214</v>
      </c>
      <c r="CT50" s="50">
        <v>97281</v>
      </c>
      <c r="CU50" s="50">
        <v>97364</v>
      </c>
      <c r="CV50" s="50">
        <v>97428</v>
      </c>
      <c r="CW50" s="50">
        <v>97491</v>
      </c>
      <c r="CX50" s="50">
        <v>97588</v>
      </c>
      <c r="CY50" s="50">
        <v>97622</v>
      </c>
      <c r="CZ50" s="50">
        <v>97689</v>
      </c>
      <c r="DA50" s="50">
        <v>97722</v>
      </c>
      <c r="DB50" s="50">
        <v>97802</v>
      </c>
      <c r="DC50" s="50">
        <v>97846</v>
      </c>
      <c r="DD50" s="50">
        <v>97901</v>
      </c>
      <c r="DE50" s="50">
        <v>97934</v>
      </c>
      <c r="DF50" s="50">
        <v>98015</v>
      </c>
      <c r="DG50" s="50">
        <v>98060</v>
      </c>
      <c r="DH50" s="50">
        <v>98101</v>
      </c>
      <c r="DI50" s="50">
        <v>98143</v>
      </c>
      <c r="DJ50" s="50">
        <v>98211</v>
      </c>
      <c r="DK50" s="50">
        <v>98244</v>
      </c>
      <c r="DL50" s="50">
        <v>98280</v>
      </c>
      <c r="DM50" s="50">
        <v>98332</v>
      </c>
      <c r="DN50" s="50">
        <v>98382</v>
      </c>
      <c r="DO50" s="50">
        <v>98430</v>
      </c>
    </row>
    <row r="51" spans="1:119">
      <c r="A51" s="50">
        <v>49</v>
      </c>
      <c r="B51" s="50"/>
      <c r="C51" s="50"/>
      <c r="D51" s="50"/>
      <c r="E51" s="50"/>
      <c r="F51" s="50"/>
      <c r="G51" s="50"/>
      <c r="H51" s="50"/>
      <c r="I51" s="50"/>
      <c r="J51" s="50"/>
      <c r="K51" s="50"/>
      <c r="L51" s="50"/>
      <c r="M51" s="50"/>
      <c r="N51" s="50"/>
      <c r="O51" s="50"/>
      <c r="P51" s="50"/>
      <c r="Q51" s="50"/>
      <c r="R51" s="50"/>
      <c r="S51" s="50"/>
      <c r="T51" s="50"/>
      <c r="U51" s="50"/>
      <c r="V51" s="50"/>
      <c r="W51" s="50">
        <v>72528</v>
      </c>
      <c r="X51" s="50">
        <v>73290</v>
      </c>
      <c r="Y51" s="50">
        <v>73411</v>
      </c>
      <c r="Z51" s="50">
        <v>75563</v>
      </c>
      <c r="AA51" s="50">
        <v>75927</v>
      </c>
      <c r="AB51" s="50">
        <v>76577</v>
      </c>
      <c r="AC51" s="50">
        <v>77340</v>
      </c>
      <c r="AD51" s="50">
        <v>78284</v>
      </c>
      <c r="AE51" s="50">
        <v>78213</v>
      </c>
      <c r="AF51" s="50">
        <v>79476</v>
      </c>
      <c r="AG51" s="50">
        <v>79869</v>
      </c>
      <c r="AH51" s="50">
        <v>80374</v>
      </c>
      <c r="AI51" s="50">
        <v>80672</v>
      </c>
      <c r="AJ51" s="50">
        <v>81947</v>
      </c>
      <c r="AK51" s="50">
        <v>81899</v>
      </c>
      <c r="AL51" s="50">
        <v>82230</v>
      </c>
      <c r="AM51" s="50">
        <v>82630</v>
      </c>
      <c r="AN51" s="50">
        <v>83118</v>
      </c>
      <c r="AO51" s="50">
        <v>83084</v>
      </c>
      <c r="AP51" s="50">
        <v>83312</v>
      </c>
      <c r="AQ51" s="50">
        <v>83446</v>
      </c>
      <c r="AR51" s="50">
        <v>83654</v>
      </c>
      <c r="AS51" s="50">
        <v>83112</v>
      </c>
      <c r="AT51" s="50">
        <v>82413</v>
      </c>
      <c r="AU51" s="50">
        <v>81085</v>
      </c>
      <c r="AV51" s="50">
        <v>81641</v>
      </c>
      <c r="AW51" s="50">
        <v>82164</v>
      </c>
      <c r="AX51" s="50">
        <v>84483</v>
      </c>
      <c r="AY51" s="50">
        <v>86395</v>
      </c>
      <c r="AZ51" s="50">
        <v>86326</v>
      </c>
      <c r="BA51" s="50">
        <v>86341</v>
      </c>
      <c r="BB51" s="50">
        <v>87112</v>
      </c>
      <c r="BC51" s="50">
        <v>87359</v>
      </c>
      <c r="BD51" s="50">
        <v>87876</v>
      </c>
      <c r="BE51" s="50">
        <v>88021</v>
      </c>
      <c r="BF51" s="50">
        <v>88522</v>
      </c>
      <c r="BG51" s="50">
        <v>88602</v>
      </c>
      <c r="BH51" s="50">
        <v>89156</v>
      </c>
      <c r="BI51" s="50">
        <v>89533</v>
      </c>
      <c r="BJ51" s="50">
        <v>89833</v>
      </c>
      <c r="BK51" s="50">
        <v>90280</v>
      </c>
      <c r="BL51" s="50">
        <v>90786</v>
      </c>
      <c r="BM51" s="50">
        <v>91298</v>
      </c>
      <c r="BN51" s="50">
        <v>91734</v>
      </c>
      <c r="BO51" s="50">
        <v>92116</v>
      </c>
      <c r="BP51" s="50">
        <v>92338</v>
      </c>
      <c r="BQ51" s="50">
        <v>92558</v>
      </c>
      <c r="BR51" s="50">
        <v>92753</v>
      </c>
      <c r="BS51" s="50">
        <v>92813</v>
      </c>
      <c r="BT51" s="50">
        <v>92992</v>
      </c>
      <c r="BU51" s="50">
        <v>93089</v>
      </c>
      <c r="BV51" s="50">
        <v>93282</v>
      </c>
      <c r="BW51" s="50">
        <v>93392</v>
      </c>
      <c r="BX51" s="50">
        <v>93613</v>
      </c>
      <c r="BY51" s="50">
        <v>93854</v>
      </c>
      <c r="BZ51" s="50">
        <v>94220</v>
      </c>
      <c r="CA51" s="50">
        <v>94444</v>
      </c>
      <c r="CB51" s="50">
        <v>94561</v>
      </c>
      <c r="CC51" s="50">
        <v>94805</v>
      </c>
      <c r="CD51" s="50">
        <v>94997</v>
      </c>
      <c r="CE51" s="50">
        <v>95142</v>
      </c>
      <c r="CF51" s="50">
        <v>95387</v>
      </c>
      <c r="CG51" s="50">
        <v>95549</v>
      </c>
      <c r="CH51" s="50">
        <v>95706</v>
      </c>
      <c r="CI51" s="50">
        <v>95904</v>
      </c>
      <c r="CJ51" s="50">
        <v>95982</v>
      </c>
      <c r="CK51" s="50">
        <v>96090</v>
      </c>
      <c r="CL51" s="50">
        <v>96282</v>
      </c>
      <c r="CM51" s="50">
        <v>96363</v>
      </c>
      <c r="CN51" s="50">
        <v>96504</v>
      </c>
      <c r="CO51" s="50">
        <v>96658</v>
      </c>
      <c r="CP51" s="50">
        <v>96761</v>
      </c>
      <c r="CQ51" s="50">
        <v>96884</v>
      </c>
      <c r="CR51" s="50">
        <v>96944</v>
      </c>
      <c r="CS51" s="50">
        <v>97058</v>
      </c>
      <c r="CT51" s="50">
        <v>97128</v>
      </c>
      <c r="CU51" s="50">
        <v>97214</v>
      </c>
      <c r="CV51" s="50">
        <v>97281</v>
      </c>
      <c r="CW51" s="50">
        <v>97347</v>
      </c>
      <c r="CX51" s="50">
        <v>97447</v>
      </c>
      <c r="CY51" s="50">
        <v>97483</v>
      </c>
      <c r="CZ51" s="50">
        <v>97553</v>
      </c>
      <c r="DA51" s="50">
        <v>97588</v>
      </c>
      <c r="DB51" s="50">
        <v>97671</v>
      </c>
      <c r="DC51" s="50">
        <v>97718</v>
      </c>
      <c r="DD51" s="50">
        <v>97775</v>
      </c>
      <c r="DE51" s="50">
        <v>97811</v>
      </c>
      <c r="DF51" s="50">
        <v>97894</v>
      </c>
      <c r="DG51" s="50">
        <v>97941</v>
      </c>
      <c r="DH51" s="50">
        <v>97985</v>
      </c>
      <c r="DI51" s="50">
        <v>98029</v>
      </c>
      <c r="DJ51" s="50">
        <v>98100</v>
      </c>
      <c r="DK51" s="50">
        <v>98134</v>
      </c>
      <c r="DL51" s="50">
        <v>98173</v>
      </c>
      <c r="DM51" s="50">
        <v>98226</v>
      </c>
      <c r="DN51" s="50">
        <v>98278</v>
      </c>
      <c r="DO51" s="50">
        <v>98329</v>
      </c>
    </row>
    <row r="52" spans="1:119">
      <c r="A52" s="50">
        <v>50</v>
      </c>
      <c r="B52" s="50"/>
      <c r="C52" s="50"/>
      <c r="D52" s="50"/>
      <c r="E52" s="50"/>
      <c r="F52" s="50"/>
      <c r="G52" s="50"/>
      <c r="H52" s="50"/>
      <c r="I52" s="50"/>
      <c r="J52" s="50"/>
      <c r="K52" s="50"/>
      <c r="L52" s="50"/>
      <c r="M52" s="50"/>
      <c r="N52" s="50"/>
      <c r="O52" s="50"/>
      <c r="P52" s="50"/>
      <c r="Q52" s="50"/>
      <c r="R52" s="50"/>
      <c r="S52" s="50"/>
      <c r="T52" s="50"/>
      <c r="U52" s="50"/>
      <c r="V52" s="50"/>
      <c r="W52" s="50">
        <v>72045</v>
      </c>
      <c r="X52" s="50">
        <v>72812</v>
      </c>
      <c r="Y52" s="50">
        <v>72912</v>
      </c>
      <c r="Z52" s="50">
        <v>75052</v>
      </c>
      <c r="AA52" s="50">
        <v>75409</v>
      </c>
      <c r="AB52" s="50">
        <v>76057</v>
      </c>
      <c r="AC52" s="50">
        <v>76832</v>
      </c>
      <c r="AD52" s="50">
        <v>77752</v>
      </c>
      <c r="AE52" s="50">
        <v>77660</v>
      </c>
      <c r="AF52" s="50">
        <v>78918</v>
      </c>
      <c r="AG52" s="50">
        <v>79319</v>
      </c>
      <c r="AH52" s="50">
        <v>79832</v>
      </c>
      <c r="AI52" s="50">
        <v>80152</v>
      </c>
      <c r="AJ52" s="50">
        <v>81444</v>
      </c>
      <c r="AK52" s="50">
        <v>81400</v>
      </c>
      <c r="AL52" s="50">
        <v>81745</v>
      </c>
      <c r="AM52" s="50">
        <v>82162</v>
      </c>
      <c r="AN52" s="50">
        <v>82658</v>
      </c>
      <c r="AO52" s="50">
        <v>82628</v>
      </c>
      <c r="AP52" s="50">
        <v>82855</v>
      </c>
      <c r="AQ52" s="50">
        <v>82963</v>
      </c>
      <c r="AR52" s="50">
        <v>83210</v>
      </c>
      <c r="AS52" s="50">
        <v>82657</v>
      </c>
      <c r="AT52" s="50">
        <v>81971</v>
      </c>
      <c r="AU52" s="50">
        <v>80647</v>
      </c>
      <c r="AV52" s="50">
        <v>81209</v>
      </c>
      <c r="AW52" s="50">
        <v>81761</v>
      </c>
      <c r="AX52" s="50">
        <v>84091</v>
      </c>
      <c r="AY52" s="50">
        <v>86003</v>
      </c>
      <c r="AZ52" s="50">
        <v>85921</v>
      </c>
      <c r="BA52" s="50">
        <v>85943</v>
      </c>
      <c r="BB52" s="50">
        <v>86716</v>
      </c>
      <c r="BC52" s="50">
        <v>86959</v>
      </c>
      <c r="BD52" s="50">
        <v>87481</v>
      </c>
      <c r="BE52" s="50">
        <v>87646</v>
      </c>
      <c r="BF52" s="50">
        <v>88154</v>
      </c>
      <c r="BG52" s="50">
        <v>88234</v>
      </c>
      <c r="BH52" s="50">
        <v>88809</v>
      </c>
      <c r="BI52" s="50">
        <v>89191</v>
      </c>
      <c r="BJ52" s="50">
        <v>89500</v>
      </c>
      <c r="BK52" s="50">
        <v>89956</v>
      </c>
      <c r="BL52" s="50">
        <v>90473</v>
      </c>
      <c r="BM52" s="50">
        <v>90987</v>
      </c>
      <c r="BN52" s="50">
        <v>91436</v>
      </c>
      <c r="BO52" s="50">
        <v>91824</v>
      </c>
      <c r="BP52" s="50">
        <v>92047</v>
      </c>
      <c r="BQ52" s="50">
        <v>92272</v>
      </c>
      <c r="BR52" s="50">
        <v>92472</v>
      </c>
      <c r="BS52" s="50">
        <v>92537</v>
      </c>
      <c r="BT52" s="50">
        <v>92721</v>
      </c>
      <c r="BU52" s="50">
        <v>92824</v>
      </c>
      <c r="BV52" s="50">
        <v>93021</v>
      </c>
      <c r="BW52" s="50">
        <v>93136</v>
      </c>
      <c r="BX52" s="50">
        <v>93361</v>
      </c>
      <c r="BY52" s="50">
        <v>93607</v>
      </c>
      <c r="BZ52" s="50">
        <v>93977</v>
      </c>
      <c r="CA52" s="50">
        <v>94205</v>
      </c>
      <c r="CB52" s="50">
        <v>94327</v>
      </c>
      <c r="CC52" s="50">
        <v>94574</v>
      </c>
      <c r="CD52" s="50">
        <v>94770</v>
      </c>
      <c r="CE52" s="50">
        <v>94920</v>
      </c>
      <c r="CF52" s="50">
        <v>95169</v>
      </c>
      <c r="CG52" s="50">
        <v>95334</v>
      </c>
      <c r="CH52" s="50">
        <v>95496</v>
      </c>
      <c r="CI52" s="50">
        <v>95697</v>
      </c>
      <c r="CJ52" s="50">
        <v>95780</v>
      </c>
      <c r="CK52" s="50">
        <v>95891</v>
      </c>
      <c r="CL52" s="50">
        <v>96086</v>
      </c>
      <c r="CM52" s="50">
        <v>96171</v>
      </c>
      <c r="CN52" s="50">
        <v>96316</v>
      </c>
      <c r="CO52" s="50">
        <v>96473</v>
      </c>
      <c r="CP52" s="50">
        <v>96580</v>
      </c>
      <c r="CQ52" s="50">
        <v>96706</v>
      </c>
      <c r="CR52" s="50">
        <v>96769</v>
      </c>
      <c r="CS52" s="50">
        <v>96887</v>
      </c>
      <c r="CT52" s="50">
        <v>96960</v>
      </c>
      <c r="CU52" s="50">
        <v>97049</v>
      </c>
      <c r="CV52" s="50">
        <v>97119</v>
      </c>
      <c r="CW52" s="50">
        <v>97188</v>
      </c>
      <c r="CX52" s="50">
        <v>97291</v>
      </c>
      <c r="CY52" s="50">
        <v>97330</v>
      </c>
      <c r="CZ52" s="50">
        <v>97402</v>
      </c>
      <c r="DA52" s="50">
        <v>97441</v>
      </c>
      <c r="DB52" s="50">
        <v>97527</v>
      </c>
      <c r="DC52" s="50">
        <v>97577</v>
      </c>
      <c r="DD52" s="50">
        <v>97637</v>
      </c>
      <c r="DE52" s="50">
        <v>97675</v>
      </c>
      <c r="DF52" s="50">
        <v>97761</v>
      </c>
      <c r="DG52" s="50">
        <v>97810</v>
      </c>
      <c r="DH52" s="50">
        <v>97856</v>
      </c>
      <c r="DI52" s="50">
        <v>97903</v>
      </c>
      <c r="DJ52" s="50">
        <v>97976</v>
      </c>
      <c r="DK52" s="50">
        <v>98013</v>
      </c>
      <c r="DL52" s="50">
        <v>98054</v>
      </c>
      <c r="DM52" s="50">
        <v>98110</v>
      </c>
      <c r="DN52" s="50">
        <v>98164</v>
      </c>
      <c r="DO52" s="50">
        <v>98216</v>
      </c>
    </row>
    <row r="53" spans="1:119">
      <c r="A53" s="50">
        <v>51</v>
      </c>
      <c r="B53" s="50"/>
      <c r="C53" s="50"/>
      <c r="D53" s="50"/>
      <c r="E53" s="50"/>
      <c r="F53" s="50"/>
      <c r="G53" s="50"/>
      <c r="H53" s="50"/>
      <c r="I53" s="50"/>
      <c r="J53" s="50"/>
      <c r="K53" s="50"/>
      <c r="L53" s="50"/>
      <c r="M53" s="50"/>
      <c r="N53" s="50"/>
      <c r="O53" s="50"/>
      <c r="P53" s="50"/>
      <c r="Q53" s="50"/>
      <c r="R53" s="50"/>
      <c r="S53" s="50"/>
      <c r="T53" s="50"/>
      <c r="U53" s="50"/>
      <c r="V53" s="50"/>
      <c r="W53" s="50">
        <v>71500</v>
      </c>
      <c r="X53" s="50">
        <v>72271</v>
      </c>
      <c r="Y53" s="50">
        <v>72389</v>
      </c>
      <c r="Z53" s="50">
        <v>74497</v>
      </c>
      <c r="AA53" s="50">
        <v>74855</v>
      </c>
      <c r="AB53" s="50">
        <v>75500</v>
      </c>
      <c r="AC53" s="50">
        <v>76253</v>
      </c>
      <c r="AD53" s="50">
        <v>77177</v>
      </c>
      <c r="AE53" s="50">
        <v>77065</v>
      </c>
      <c r="AF53" s="50">
        <v>78318</v>
      </c>
      <c r="AG53" s="50">
        <v>78736</v>
      </c>
      <c r="AH53" s="50">
        <v>79244</v>
      </c>
      <c r="AI53" s="50">
        <v>79572</v>
      </c>
      <c r="AJ53" s="50">
        <v>80884</v>
      </c>
      <c r="AK53" s="50">
        <v>80857</v>
      </c>
      <c r="AL53" s="50">
        <v>81213</v>
      </c>
      <c r="AM53" s="50">
        <v>81649</v>
      </c>
      <c r="AN53" s="50">
        <v>82143</v>
      </c>
      <c r="AO53" s="50">
        <v>82119</v>
      </c>
      <c r="AP53" s="50">
        <v>82329</v>
      </c>
      <c r="AQ53" s="50">
        <v>82440</v>
      </c>
      <c r="AR53" s="50">
        <v>82717</v>
      </c>
      <c r="AS53" s="50">
        <v>82164</v>
      </c>
      <c r="AT53" s="50">
        <v>81498</v>
      </c>
      <c r="AU53" s="50">
        <v>80172</v>
      </c>
      <c r="AV53" s="50">
        <v>80772</v>
      </c>
      <c r="AW53" s="50">
        <v>81326</v>
      </c>
      <c r="AX53" s="50">
        <v>83676</v>
      </c>
      <c r="AY53" s="50">
        <v>85564</v>
      </c>
      <c r="AZ53" s="50">
        <v>85502</v>
      </c>
      <c r="BA53" s="50">
        <v>85511</v>
      </c>
      <c r="BB53" s="50">
        <v>86287</v>
      </c>
      <c r="BC53" s="50">
        <v>86529</v>
      </c>
      <c r="BD53" s="50">
        <v>87068</v>
      </c>
      <c r="BE53" s="50">
        <v>87248</v>
      </c>
      <c r="BF53" s="50">
        <v>87766</v>
      </c>
      <c r="BG53" s="50">
        <v>87849</v>
      </c>
      <c r="BH53" s="50">
        <v>88440</v>
      </c>
      <c r="BI53" s="50">
        <v>88825</v>
      </c>
      <c r="BJ53" s="50">
        <v>89140</v>
      </c>
      <c r="BK53" s="50">
        <v>89603</v>
      </c>
      <c r="BL53" s="50">
        <v>90135</v>
      </c>
      <c r="BM53" s="50">
        <v>90668</v>
      </c>
      <c r="BN53" s="50">
        <v>91107</v>
      </c>
      <c r="BO53" s="50">
        <v>91500</v>
      </c>
      <c r="BP53" s="50">
        <v>91729</v>
      </c>
      <c r="BQ53" s="50">
        <v>91959</v>
      </c>
      <c r="BR53" s="50">
        <v>92165</v>
      </c>
      <c r="BS53" s="50">
        <v>92235</v>
      </c>
      <c r="BT53" s="50">
        <v>92425</v>
      </c>
      <c r="BU53" s="50">
        <v>92533</v>
      </c>
      <c r="BV53" s="50">
        <v>92735</v>
      </c>
      <c r="BW53" s="50">
        <v>92856</v>
      </c>
      <c r="BX53" s="50">
        <v>93085</v>
      </c>
      <c r="BY53" s="50">
        <v>93336</v>
      </c>
      <c r="BZ53" s="50">
        <v>93710</v>
      </c>
      <c r="CA53" s="50">
        <v>93943</v>
      </c>
      <c r="CB53" s="50">
        <v>94069</v>
      </c>
      <c r="CC53" s="50">
        <v>94322</v>
      </c>
      <c r="CD53" s="50">
        <v>94522</v>
      </c>
      <c r="CE53" s="50">
        <v>94677</v>
      </c>
      <c r="CF53" s="50">
        <v>94929</v>
      </c>
      <c r="CG53" s="50">
        <v>95099</v>
      </c>
      <c r="CH53" s="50">
        <v>95264</v>
      </c>
      <c r="CI53" s="50">
        <v>95470</v>
      </c>
      <c r="CJ53" s="50">
        <v>95557</v>
      </c>
      <c r="CK53" s="50">
        <v>95672</v>
      </c>
      <c r="CL53" s="50">
        <v>95871</v>
      </c>
      <c r="CM53" s="50">
        <v>95960</v>
      </c>
      <c r="CN53" s="50">
        <v>96109</v>
      </c>
      <c r="CO53" s="50">
        <v>96270</v>
      </c>
      <c r="CP53" s="50">
        <v>96380</v>
      </c>
      <c r="CQ53" s="50">
        <v>96510</v>
      </c>
      <c r="CR53" s="50">
        <v>96577</v>
      </c>
      <c r="CS53" s="50">
        <v>96698</v>
      </c>
      <c r="CT53" s="50">
        <v>96774</v>
      </c>
      <c r="CU53" s="50">
        <v>96867</v>
      </c>
      <c r="CV53" s="50">
        <v>96941</v>
      </c>
      <c r="CW53" s="50">
        <v>97013</v>
      </c>
      <c r="CX53" s="50">
        <v>97119</v>
      </c>
      <c r="CY53" s="50">
        <v>97162</v>
      </c>
      <c r="CZ53" s="50">
        <v>97237</v>
      </c>
      <c r="DA53" s="50">
        <v>97279</v>
      </c>
      <c r="DB53" s="50">
        <v>97368</v>
      </c>
      <c r="DC53" s="50">
        <v>97420</v>
      </c>
      <c r="DD53" s="50">
        <v>97483</v>
      </c>
      <c r="DE53" s="50">
        <v>97525</v>
      </c>
      <c r="DF53" s="50">
        <v>97613</v>
      </c>
      <c r="DG53" s="50">
        <v>97665</v>
      </c>
      <c r="DH53" s="50">
        <v>97714</v>
      </c>
      <c r="DI53" s="50">
        <v>97764</v>
      </c>
      <c r="DJ53" s="50">
        <v>97839</v>
      </c>
      <c r="DK53" s="50">
        <v>97879</v>
      </c>
      <c r="DL53" s="50">
        <v>97922</v>
      </c>
      <c r="DM53" s="50">
        <v>97981</v>
      </c>
      <c r="DN53" s="50">
        <v>98037</v>
      </c>
      <c r="DO53" s="50">
        <v>98092</v>
      </c>
    </row>
    <row r="54" spans="1:119">
      <c r="A54" s="50">
        <v>52</v>
      </c>
      <c r="B54" s="50"/>
      <c r="C54" s="50"/>
      <c r="D54" s="50"/>
      <c r="E54" s="50"/>
      <c r="F54" s="50"/>
      <c r="G54" s="50"/>
      <c r="H54" s="50"/>
      <c r="I54" s="50"/>
      <c r="J54" s="50"/>
      <c r="K54" s="50"/>
      <c r="L54" s="50"/>
      <c r="M54" s="50"/>
      <c r="N54" s="50"/>
      <c r="O54" s="50"/>
      <c r="P54" s="50"/>
      <c r="Q54" s="50"/>
      <c r="R54" s="50"/>
      <c r="S54" s="50"/>
      <c r="T54" s="50"/>
      <c r="U54" s="50"/>
      <c r="V54" s="50"/>
      <c r="W54" s="50">
        <v>70922</v>
      </c>
      <c r="X54" s="50">
        <v>71695</v>
      </c>
      <c r="Y54" s="50">
        <v>71755</v>
      </c>
      <c r="Z54" s="50">
        <v>73885</v>
      </c>
      <c r="AA54" s="50">
        <v>74261</v>
      </c>
      <c r="AB54" s="50">
        <v>74886</v>
      </c>
      <c r="AC54" s="50">
        <v>75644</v>
      </c>
      <c r="AD54" s="50">
        <v>76552</v>
      </c>
      <c r="AE54" s="50">
        <v>76437</v>
      </c>
      <c r="AF54" s="50">
        <v>77682</v>
      </c>
      <c r="AG54" s="50">
        <v>78112</v>
      </c>
      <c r="AH54" s="50">
        <v>78640</v>
      </c>
      <c r="AI54" s="50">
        <v>78975</v>
      </c>
      <c r="AJ54" s="50">
        <v>80283</v>
      </c>
      <c r="AK54" s="50">
        <v>80266</v>
      </c>
      <c r="AL54" s="50">
        <v>80668</v>
      </c>
      <c r="AM54" s="50">
        <v>81105</v>
      </c>
      <c r="AN54" s="50">
        <v>81599</v>
      </c>
      <c r="AO54" s="50">
        <v>81553</v>
      </c>
      <c r="AP54" s="50">
        <v>81784</v>
      </c>
      <c r="AQ54" s="50">
        <v>81914</v>
      </c>
      <c r="AR54" s="50">
        <v>82210</v>
      </c>
      <c r="AS54" s="50">
        <v>81649</v>
      </c>
      <c r="AT54" s="50">
        <v>80984</v>
      </c>
      <c r="AU54" s="50">
        <v>79696</v>
      </c>
      <c r="AV54" s="50">
        <v>80300</v>
      </c>
      <c r="AW54" s="50">
        <v>80875</v>
      </c>
      <c r="AX54" s="50">
        <v>83217</v>
      </c>
      <c r="AY54" s="50">
        <v>85115</v>
      </c>
      <c r="AZ54" s="50">
        <v>85036</v>
      </c>
      <c r="BA54" s="50">
        <v>85065</v>
      </c>
      <c r="BB54" s="50">
        <v>85843</v>
      </c>
      <c r="BC54" s="50">
        <v>86090</v>
      </c>
      <c r="BD54" s="50">
        <v>86614</v>
      </c>
      <c r="BE54" s="50">
        <v>86810</v>
      </c>
      <c r="BF54" s="50">
        <v>87349</v>
      </c>
      <c r="BG54" s="50">
        <v>87423</v>
      </c>
      <c r="BH54" s="50">
        <v>88022</v>
      </c>
      <c r="BI54" s="50">
        <v>88397</v>
      </c>
      <c r="BJ54" s="50">
        <v>88754</v>
      </c>
      <c r="BK54" s="50">
        <v>89222</v>
      </c>
      <c r="BL54" s="50">
        <v>89765</v>
      </c>
      <c r="BM54" s="50">
        <v>90310</v>
      </c>
      <c r="BN54" s="50">
        <v>90746</v>
      </c>
      <c r="BO54" s="50">
        <v>91145</v>
      </c>
      <c r="BP54" s="50">
        <v>91380</v>
      </c>
      <c r="BQ54" s="50">
        <v>91616</v>
      </c>
      <c r="BR54" s="50">
        <v>91828</v>
      </c>
      <c r="BS54" s="50">
        <v>91905</v>
      </c>
      <c r="BT54" s="50">
        <v>92100</v>
      </c>
      <c r="BU54" s="50">
        <v>92214</v>
      </c>
      <c r="BV54" s="50">
        <v>92422</v>
      </c>
      <c r="BW54" s="50">
        <v>92548</v>
      </c>
      <c r="BX54" s="50">
        <v>92783</v>
      </c>
      <c r="BY54" s="50">
        <v>93039</v>
      </c>
      <c r="BZ54" s="50">
        <v>93418</v>
      </c>
      <c r="CA54" s="50">
        <v>93656</v>
      </c>
      <c r="CB54" s="50">
        <v>93787</v>
      </c>
      <c r="CC54" s="50">
        <v>94044</v>
      </c>
      <c r="CD54" s="50">
        <v>94250</v>
      </c>
      <c r="CE54" s="50">
        <v>94409</v>
      </c>
      <c r="CF54" s="50">
        <v>94666</v>
      </c>
      <c r="CG54" s="50">
        <v>94840</v>
      </c>
      <c r="CH54" s="50">
        <v>95010</v>
      </c>
      <c r="CI54" s="50">
        <v>95220</v>
      </c>
      <c r="CJ54" s="50">
        <v>95312</v>
      </c>
      <c r="CK54" s="50">
        <v>95431</v>
      </c>
      <c r="CL54" s="50">
        <v>95635</v>
      </c>
      <c r="CM54" s="50">
        <v>95729</v>
      </c>
      <c r="CN54" s="50">
        <v>95881</v>
      </c>
      <c r="CO54" s="50">
        <v>96046</v>
      </c>
      <c r="CP54" s="50">
        <v>96160</v>
      </c>
      <c r="CQ54" s="50">
        <v>96294</v>
      </c>
      <c r="CR54" s="50">
        <v>96365</v>
      </c>
      <c r="CS54" s="50">
        <v>96490</v>
      </c>
      <c r="CT54" s="50">
        <v>96570</v>
      </c>
      <c r="CU54" s="50">
        <v>96667</v>
      </c>
      <c r="CV54" s="50">
        <v>96744</v>
      </c>
      <c r="CW54" s="50">
        <v>96820</v>
      </c>
      <c r="CX54" s="50">
        <v>96929</v>
      </c>
      <c r="CY54" s="50">
        <v>96976</v>
      </c>
      <c r="CZ54" s="50">
        <v>97055</v>
      </c>
      <c r="DA54" s="50">
        <v>97100</v>
      </c>
      <c r="DB54" s="50">
        <v>97192</v>
      </c>
      <c r="DC54" s="50">
        <v>97248</v>
      </c>
      <c r="DD54" s="50">
        <v>97314</v>
      </c>
      <c r="DE54" s="50">
        <v>97359</v>
      </c>
      <c r="DF54" s="50">
        <v>97451</v>
      </c>
      <c r="DG54" s="50">
        <v>97506</v>
      </c>
      <c r="DH54" s="50">
        <v>97558</v>
      </c>
      <c r="DI54" s="50">
        <v>97610</v>
      </c>
      <c r="DJ54" s="50">
        <v>97689</v>
      </c>
      <c r="DK54" s="50">
        <v>97731</v>
      </c>
      <c r="DL54" s="50">
        <v>97777</v>
      </c>
      <c r="DM54" s="50">
        <v>97838</v>
      </c>
      <c r="DN54" s="50">
        <v>97898</v>
      </c>
      <c r="DO54" s="50">
        <v>97955</v>
      </c>
    </row>
    <row r="55" spans="1:119">
      <c r="A55" s="50">
        <v>53</v>
      </c>
      <c r="B55" s="50"/>
      <c r="C55" s="50"/>
      <c r="D55" s="50"/>
      <c r="E55" s="50"/>
      <c r="F55" s="50"/>
      <c r="G55" s="50"/>
      <c r="H55" s="50"/>
      <c r="I55" s="50"/>
      <c r="J55" s="50"/>
      <c r="K55" s="50"/>
      <c r="L55" s="50"/>
      <c r="M55" s="50"/>
      <c r="N55" s="50"/>
      <c r="O55" s="50"/>
      <c r="P55" s="50"/>
      <c r="Q55" s="50"/>
      <c r="R55" s="50"/>
      <c r="S55" s="50"/>
      <c r="T55" s="50"/>
      <c r="U55" s="50"/>
      <c r="V55" s="50"/>
      <c r="W55" s="50">
        <v>70290</v>
      </c>
      <c r="X55" s="50">
        <v>71062</v>
      </c>
      <c r="Y55" s="50">
        <v>71110</v>
      </c>
      <c r="Z55" s="50">
        <v>73251</v>
      </c>
      <c r="AA55" s="50">
        <v>73618</v>
      </c>
      <c r="AB55" s="50">
        <v>74237</v>
      </c>
      <c r="AC55" s="50">
        <v>74959</v>
      </c>
      <c r="AD55" s="50">
        <v>75860</v>
      </c>
      <c r="AE55" s="50">
        <v>75756</v>
      </c>
      <c r="AF55" s="50">
        <v>77003</v>
      </c>
      <c r="AG55" s="50">
        <v>77453</v>
      </c>
      <c r="AH55" s="50">
        <v>77991</v>
      </c>
      <c r="AI55" s="50">
        <v>78328</v>
      </c>
      <c r="AJ55" s="50">
        <v>79642</v>
      </c>
      <c r="AK55" s="50">
        <v>79637</v>
      </c>
      <c r="AL55" s="50">
        <v>80079</v>
      </c>
      <c r="AM55" s="50">
        <v>80526</v>
      </c>
      <c r="AN55" s="50">
        <v>80996</v>
      </c>
      <c r="AO55" s="50">
        <v>80961</v>
      </c>
      <c r="AP55" s="50">
        <v>81200</v>
      </c>
      <c r="AQ55" s="50">
        <v>81342</v>
      </c>
      <c r="AR55" s="50">
        <v>81639</v>
      </c>
      <c r="AS55" s="50">
        <v>81101</v>
      </c>
      <c r="AT55" s="50">
        <v>80436</v>
      </c>
      <c r="AU55" s="50">
        <v>79189</v>
      </c>
      <c r="AV55" s="50">
        <v>79815</v>
      </c>
      <c r="AW55" s="50">
        <v>80383</v>
      </c>
      <c r="AX55" s="50">
        <v>82746</v>
      </c>
      <c r="AY55" s="50">
        <v>84611</v>
      </c>
      <c r="AZ55" s="50">
        <v>84538</v>
      </c>
      <c r="BA55" s="50">
        <v>84574</v>
      </c>
      <c r="BB55" s="50">
        <v>85350</v>
      </c>
      <c r="BC55" s="50">
        <v>85599</v>
      </c>
      <c r="BD55" s="50">
        <v>86138</v>
      </c>
      <c r="BE55" s="50">
        <v>86350</v>
      </c>
      <c r="BF55" s="50">
        <v>86894</v>
      </c>
      <c r="BG55" s="50">
        <v>86979</v>
      </c>
      <c r="BH55" s="50">
        <v>87581</v>
      </c>
      <c r="BI55" s="50">
        <v>87961</v>
      </c>
      <c r="BJ55" s="50">
        <v>88321</v>
      </c>
      <c r="BK55" s="50">
        <v>88813</v>
      </c>
      <c r="BL55" s="50">
        <v>89360</v>
      </c>
      <c r="BM55" s="50">
        <v>89910</v>
      </c>
      <c r="BN55" s="50">
        <v>90352</v>
      </c>
      <c r="BO55" s="50">
        <v>90757</v>
      </c>
      <c r="BP55" s="50">
        <v>90998</v>
      </c>
      <c r="BQ55" s="50">
        <v>91241</v>
      </c>
      <c r="BR55" s="50">
        <v>91459</v>
      </c>
      <c r="BS55" s="50">
        <v>91543</v>
      </c>
      <c r="BT55" s="50">
        <v>91745</v>
      </c>
      <c r="BU55" s="50">
        <v>91865</v>
      </c>
      <c r="BV55" s="50">
        <v>92079</v>
      </c>
      <c r="BW55" s="50">
        <v>92212</v>
      </c>
      <c r="BX55" s="50">
        <v>92452</v>
      </c>
      <c r="BY55" s="50">
        <v>92713</v>
      </c>
      <c r="BZ55" s="50">
        <v>93098</v>
      </c>
      <c r="CA55" s="50">
        <v>93341</v>
      </c>
      <c r="CB55" s="50">
        <v>93478</v>
      </c>
      <c r="CC55" s="50">
        <v>93740</v>
      </c>
      <c r="CD55" s="50">
        <v>93951</v>
      </c>
      <c r="CE55" s="50">
        <v>94115</v>
      </c>
      <c r="CF55" s="50">
        <v>94377</v>
      </c>
      <c r="CG55" s="50">
        <v>94557</v>
      </c>
      <c r="CH55" s="50">
        <v>94732</v>
      </c>
      <c r="CI55" s="50">
        <v>94947</v>
      </c>
      <c r="CJ55" s="50">
        <v>95043</v>
      </c>
      <c r="CK55" s="50">
        <v>95167</v>
      </c>
      <c r="CL55" s="50">
        <v>95375</v>
      </c>
      <c r="CM55" s="50">
        <v>95474</v>
      </c>
      <c r="CN55" s="50">
        <v>95631</v>
      </c>
      <c r="CO55" s="50">
        <v>95800</v>
      </c>
      <c r="CP55" s="50">
        <v>95919</v>
      </c>
      <c r="CQ55" s="50">
        <v>96057</v>
      </c>
      <c r="CR55" s="50">
        <v>96133</v>
      </c>
      <c r="CS55" s="50">
        <v>96262</v>
      </c>
      <c r="CT55" s="50">
        <v>96346</v>
      </c>
      <c r="CU55" s="50">
        <v>96447</v>
      </c>
      <c r="CV55" s="50">
        <v>96528</v>
      </c>
      <c r="CW55" s="50">
        <v>96608</v>
      </c>
      <c r="CX55" s="50">
        <v>96721</v>
      </c>
      <c r="CY55" s="50">
        <v>96772</v>
      </c>
      <c r="CZ55" s="50">
        <v>96854</v>
      </c>
      <c r="DA55" s="50">
        <v>96903</v>
      </c>
      <c r="DB55" s="50">
        <v>96999</v>
      </c>
      <c r="DC55" s="50">
        <v>97059</v>
      </c>
      <c r="DD55" s="50">
        <v>97128</v>
      </c>
      <c r="DE55" s="50">
        <v>97176</v>
      </c>
      <c r="DF55" s="50">
        <v>97272</v>
      </c>
      <c r="DG55" s="50">
        <v>97330</v>
      </c>
      <c r="DH55" s="50">
        <v>97385</v>
      </c>
      <c r="DI55" s="50">
        <v>97441</v>
      </c>
      <c r="DJ55" s="50">
        <v>97522</v>
      </c>
      <c r="DK55" s="50">
        <v>97568</v>
      </c>
      <c r="DL55" s="50">
        <v>97617</v>
      </c>
      <c r="DM55" s="50">
        <v>97681</v>
      </c>
      <c r="DN55" s="50">
        <v>97744</v>
      </c>
      <c r="DO55" s="50">
        <v>97804</v>
      </c>
    </row>
    <row r="56" spans="1:119">
      <c r="A56" s="50">
        <v>54</v>
      </c>
      <c r="B56" s="50"/>
      <c r="C56" s="50"/>
      <c r="D56" s="50"/>
      <c r="E56" s="50"/>
      <c r="F56" s="50"/>
      <c r="G56" s="50"/>
      <c r="H56" s="50"/>
      <c r="I56" s="50"/>
      <c r="J56" s="50"/>
      <c r="K56" s="50"/>
      <c r="L56" s="50"/>
      <c r="M56" s="50"/>
      <c r="N56" s="50"/>
      <c r="O56" s="50"/>
      <c r="P56" s="50"/>
      <c r="Q56" s="50"/>
      <c r="R56" s="50"/>
      <c r="S56" s="50"/>
      <c r="T56" s="50"/>
      <c r="U56" s="50"/>
      <c r="V56" s="50"/>
      <c r="W56" s="50">
        <v>69591</v>
      </c>
      <c r="X56" s="50">
        <v>70368</v>
      </c>
      <c r="Y56" s="50">
        <v>70420</v>
      </c>
      <c r="Z56" s="50">
        <v>72539</v>
      </c>
      <c r="AA56" s="50">
        <v>72936</v>
      </c>
      <c r="AB56" s="50">
        <v>73544</v>
      </c>
      <c r="AC56" s="50">
        <v>74254</v>
      </c>
      <c r="AD56" s="50">
        <v>75131</v>
      </c>
      <c r="AE56" s="50">
        <v>75036</v>
      </c>
      <c r="AF56" s="50">
        <v>76272</v>
      </c>
      <c r="AG56" s="50">
        <v>76752</v>
      </c>
      <c r="AH56" s="50">
        <v>77294</v>
      </c>
      <c r="AI56" s="50">
        <v>77634</v>
      </c>
      <c r="AJ56" s="50">
        <v>78953</v>
      </c>
      <c r="AK56" s="50">
        <v>78966</v>
      </c>
      <c r="AL56" s="50">
        <v>79411</v>
      </c>
      <c r="AM56" s="50">
        <v>79851</v>
      </c>
      <c r="AN56" s="50">
        <v>80364</v>
      </c>
      <c r="AO56" s="50">
        <v>80327</v>
      </c>
      <c r="AP56" s="50">
        <v>80595</v>
      </c>
      <c r="AQ56" s="50">
        <v>80743</v>
      </c>
      <c r="AR56" s="50">
        <v>81044</v>
      </c>
      <c r="AS56" s="50">
        <v>80524</v>
      </c>
      <c r="AT56" s="50">
        <v>79865</v>
      </c>
      <c r="AU56" s="50">
        <v>78668</v>
      </c>
      <c r="AV56" s="50">
        <v>79274</v>
      </c>
      <c r="AW56" s="50">
        <v>79885</v>
      </c>
      <c r="AX56" s="50">
        <v>82241</v>
      </c>
      <c r="AY56" s="50">
        <v>84066</v>
      </c>
      <c r="AZ56" s="50">
        <v>84008</v>
      </c>
      <c r="BA56" s="50">
        <v>84051</v>
      </c>
      <c r="BB56" s="50">
        <v>84846</v>
      </c>
      <c r="BC56" s="50">
        <v>85093</v>
      </c>
      <c r="BD56" s="50">
        <v>85636</v>
      </c>
      <c r="BE56" s="50">
        <v>85862</v>
      </c>
      <c r="BF56" s="50">
        <v>86409</v>
      </c>
      <c r="BG56" s="50">
        <v>86482</v>
      </c>
      <c r="BH56" s="50">
        <v>87119</v>
      </c>
      <c r="BI56" s="50">
        <v>87502</v>
      </c>
      <c r="BJ56" s="50">
        <v>87862</v>
      </c>
      <c r="BK56" s="50">
        <v>88357</v>
      </c>
      <c r="BL56" s="50">
        <v>88917</v>
      </c>
      <c r="BM56" s="50">
        <v>89473</v>
      </c>
      <c r="BN56" s="50">
        <v>89922</v>
      </c>
      <c r="BO56" s="50">
        <v>90333</v>
      </c>
      <c r="BP56" s="50">
        <v>90582</v>
      </c>
      <c r="BQ56" s="50">
        <v>90831</v>
      </c>
      <c r="BR56" s="50">
        <v>91056</v>
      </c>
      <c r="BS56" s="50">
        <v>91148</v>
      </c>
      <c r="BT56" s="50">
        <v>91356</v>
      </c>
      <c r="BU56" s="50">
        <v>91484</v>
      </c>
      <c r="BV56" s="50">
        <v>91704</v>
      </c>
      <c r="BW56" s="50">
        <v>91843</v>
      </c>
      <c r="BX56" s="50">
        <v>92090</v>
      </c>
      <c r="BY56" s="50">
        <v>92357</v>
      </c>
      <c r="BZ56" s="50">
        <v>92747</v>
      </c>
      <c r="CA56" s="50">
        <v>92997</v>
      </c>
      <c r="CB56" s="50">
        <v>93140</v>
      </c>
      <c r="CC56" s="50">
        <v>93407</v>
      </c>
      <c r="CD56" s="50">
        <v>93624</v>
      </c>
      <c r="CE56" s="50">
        <v>93794</v>
      </c>
      <c r="CF56" s="50">
        <v>94061</v>
      </c>
      <c r="CG56" s="50">
        <v>94246</v>
      </c>
      <c r="CH56" s="50">
        <v>94426</v>
      </c>
      <c r="CI56" s="50">
        <v>94646</v>
      </c>
      <c r="CJ56" s="50">
        <v>94748</v>
      </c>
      <c r="CK56" s="50">
        <v>94878</v>
      </c>
      <c r="CL56" s="50">
        <v>95091</v>
      </c>
      <c r="CM56" s="50">
        <v>95195</v>
      </c>
      <c r="CN56" s="50">
        <v>95356</v>
      </c>
      <c r="CO56" s="50">
        <v>95530</v>
      </c>
      <c r="CP56" s="50">
        <v>95654</v>
      </c>
      <c r="CQ56" s="50">
        <v>95797</v>
      </c>
      <c r="CR56" s="50">
        <v>95877</v>
      </c>
      <c r="CS56" s="50">
        <v>96011</v>
      </c>
      <c r="CT56" s="50">
        <v>96100</v>
      </c>
      <c r="CU56" s="50">
        <v>96206</v>
      </c>
      <c r="CV56" s="50">
        <v>96291</v>
      </c>
      <c r="CW56" s="50">
        <v>96376</v>
      </c>
      <c r="CX56" s="50">
        <v>96493</v>
      </c>
      <c r="CY56" s="50">
        <v>96547</v>
      </c>
      <c r="CZ56" s="50">
        <v>96634</v>
      </c>
      <c r="DA56" s="50">
        <v>96687</v>
      </c>
      <c r="DB56" s="50">
        <v>96787</v>
      </c>
      <c r="DC56" s="50">
        <v>96851</v>
      </c>
      <c r="DD56" s="50">
        <v>96924</v>
      </c>
      <c r="DE56" s="50">
        <v>96976</v>
      </c>
      <c r="DF56" s="50">
        <v>97075</v>
      </c>
      <c r="DG56" s="50">
        <v>97137</v>
      </c>
      <c r="DH56" s="50">
        <v>97196</v>
      </c>
      <c r="DI56" s="50">
        <v>97255</v>
      </c>
      <c r="DJ56" s="50">
        <v>97340</v>
      </c>
      <c r="DK56" s="50">
        <v>97389</v>
      </c>
      <c r="DL56" s="50">
        <v>97441</v>
      </c>
      <c r="DM56" s="50">
        <v>97509</v>
      </c>
      <c r="DN56" s="50">
        <v>97574</v>
      </c>
      <c r="DO56" s="50">
        <v>97638</v>
      </c>
    </row>
    <row r="57" spans="1:119">
      <c r="A57" s="50">
        <v>55</v>
      </c>
      <c r="B57" s="50"/>
      <c r="C57" s="50"/>
      <c r="D57" s="50"/>
      <c r="E57" s="50"/>
      <c r="F57" s="50"/>
      <c r="G57" s="50"/>
      <c r="H57" s="50"/>
      <c r="I57" s="50"/>
      <c r="J57" s="50"/>
      <c r="K57" s="50"/>
      <c r="L57" s="50"/>
      <c r="M57" s="50"/>
      <c r="N57" s="50"/>
      <c r="O57" s="50"/>
      <c r="P57" s="50"/>
      <c r="Q57" s="50"/>
      <c r="R57" s="50"/>
      <c r="S57" s="50"/>
      <c r="T57" s="50"/>
      <c r="U57" s="50"/>
      <c r="V57" s="50"/>
      <c r="W57" s="50">
        <v>68835</v>
      </c>
      <c r="X57" s="50">
        <v>69613</v>
      </c>
      <c r="Y57" s="50">
        <v>69694</v>
      </c>
      <c r="Z57" s="50">
        <v>71784</v>
      </c>
      <c r="AA57" s="50">
        <v>72183</v>
      </c>
      <c r="AB57" s="50">
        <v>72782</v>
      </c>
      <c r="AC57" s="50">
        <v>73499</v>
      </c>
      <c r="AD57" s="50">
        <v>74354</v>
      </c>
      <c r="AE57" s="50">
        <v>74260</v>
      </c>
      <c r="AF57" s="50">
        <v>75481</v>
      </c>
      <c r="AG57" s="50">
        <v>75974</v>
      </c>
      <c r="AH57" s="50">
        <v>76538</v>
      </c>
      <c r="AI57" s="50">
        <v>76869</v>
      </c>
      <c r="AJ57" s="50">
        <v>78236</v>
      </c>
      <c r="AK57" s="50">
        <v>78223</v>
      </c>
      <c r="AL57" s="50">
        <v>78713</v>
      </c>
      <c r="AM57" s="50">
        <v>79150</v>
      </c>
      <c r="AN57" s="50">
        <v>79669</v>
      </c>
      <c r="AO57" s="50">
        <v>79667</v>
      </c>
      <c r="AP57" s="50">
        <v>79925</v>
      </c>
      <c r="AQ57" s="50">
        <v>80091</v>
      </c>
      <c r="AR57" s="50">
        <v>80440</v>
      </c>
      <c r="AS57" s="50">
        <v>79925</v>
      </c>
      <c r="AT57" s="50">
        <v>79276</v>
      </c>
      <c r="AU57" s="50">
        <v>78079</v>
      </c>
      <c r="AV57" s="50">
        <v>78710</v>
      </c>
      <c r="AW57" s="50">
        <v>79336</v>
      </c>
      <c r="AX57" s="50">
        <v>81670</v>
      </c>
      <c r="AY57" s="50">
        <v>83507</v>
      </c>
      <c r="AZ57" s="50">
        <v>83438</v>
      </c>
      <c r="BA57" s="50">
        <v>83490</v>
      </c>
      <c r="BB57" s="50">
        <v>84307</v>
      </c>
      <c r="BC57" s="50">
        <v>84540</v>
      </c>
      <c r="BD57" s="50">
        <v>85089</v>
      </c>
      <c r="BE57" s="50">
        <v>85314</v>
      </c>
      <c r="BF57" s="50">
        <v>85864</v>
      </c>
      <c r="BG57" s="50">
        <v>85963</v>
      </c>
      <c r="BH57" s="50">
        <v>86589</v>
      </c>
      <c r="BI57" s="50">
        <v>87007</v>
      </c>
      <c r="BJ57" s="50">
        <v>87356</v>
      </c>
      <c r="BK57" s="50">
        <v>87868</v>
      </c>
      <c r="BL57" s="50">
        <v>88434</v>
      </c>
      <c r="BM57" s="50">
        <v>88997</v>
      </c>
      <c r="BN57" s="50">
        <v>89452</v>
      </c>
      <c r="BO57" s="50">
        <v>89870</v>
      </c>
      <c r="BP57" s="50">
        <v>90127</v>
      </c>
      <c r="BQ57" s="50">
        <v>90384</v>
      </c>
      <c r="BR57" s="50">
        <v>90616</v>
      </c>
      <c r="BS57" s="50">
        <v>90716</v>
      </c>
      <c r="BT57" s="50">
        <v>90932</v>
      </c>
      <c r="BU57" s="50">
        <v>91067</v>
      </c>
      <c r="BV57" s="50">
        <v>91294</v>
      </c>
      <c r="BW57" s="50">
        <v>91441</v>
      </c>
      <c r="BX57" s="50">
        <v>91695</v>
      </c>
      <c r="BY57" s="50">
        <v>91968</v>
      </c>
      <c r="BZ57" s="50">
        <v>92364</v>
      </c>
      <c r="CA57" s="50">
        <v>92620</v>
      </c>
      <c r="CB57" s="50">
        <v>92770</v>
      </c>
      <c r="CC57" s="50">
        <v>93043</v>
      </c>
      <c r="CD57" s="50">
        <v>93266</v>
      </c>
      <c r="CE57" s="50">
        <v>93442</v>
      </c>
      <c r="CF57" s="50">
        <v>93715</v>
      </c>
      <c r="CG57" s="50">
        <v>93906</v>
      </c>
      <c r="CH57" s="50">
        <v>94092</v>
      </c>
      <c r="CI57" s="50">
        <v>94318</v>
      </c>
      <c r="CJ57" s="50">
        <v>94426</v>
      </c>
      <c r="CK57" s="50">
        <v>94561</v>
      </c>
      <c r="CL57" s="50">
        <v>94780</v>
      </c>
      <c r="CM57" s="50">
        <v>94889</v>
      </c>
      <c r="CN57" s="50">
        <v>95056</v>
      </c>
      <c r="CO57" s="50">
        <v>95235</v>
      </c>
      <c r="CP57" s="50">
        <v>95364</v>
      </c>
      <c r="CQ57" s="50">
        <v>95512</v>
      </c>
      <c r="CR57" s="50">
        <v>95598</v>
      </c>
      <c r="CS57" s="50">
        <v>95737</v>
      </c>
      <c r="CT57" s="50">
        <v>95831</v>
      </c>
      <c r="CU57" s="50">
        <v>95941</v>
      </c>
      <c r="CV57" s="50">
        <v>96032</v>
      </c>
      <c r="CW57" s="50">
        <v>96121</v>
      </c>
      <c r="CX57" s="50">
        <v>96242</v>
      </c>
      <c r="CY57" s="50">
        <v>96302</v>
      </c>
      <c r="CZ57" s="50">
        <v>96393</v>
      </c>
      <c r="DA57" s="50">
        <v>96451</v>
      </c>
      <c r="DB57" s="50">
        <v>96555</v>
      </c>
      <c r="DC57" s="50">
        <v>96622</v>
      </c>
      <c r="DD57" s="50">
        <v>96700</v>
      </c>
      <c r="DE57" s="50">
        <v>96756</v>
      </c>
      <c r="DF57" s="50">
        <v>96859</v>
      </c>
      <c r="DG57" s="50">
        <v>96925</v>
      </c>
      <c r="DH57" s="50">
        <v>96988</v>
      </c>
      <c r="DI57" s="50">
        <v>97051</v>
      </c>
      <c r="DJ57" s="50">
        <v>97140</v>
      </c>
      <c r="DK57" s="50">
        <v>97192</v>
      </c>
      <c r="DL57" s="50">
        <v>97249</v>
      </c>
      <c r="DM57" s="50">
        <v>97320</v>
      </c>
      <c r="DN57" s="50">
        <v>97389</v>
      </c>
      <c r="DO57" s="50">
        <v>97456</v>
      </c>
    </row>
    <row r="58" spans="1:119">
      <c r="A58" s="50">
        <v>56</v>
      </c>
      <c r="B58" s="50"/>
      <c r="C58" s="50"/>
      <c r="D58" s="50"/>
      <c r="E58" s="50"/>
      <c r="F58" s="50"/>
      <c r="G58" s="50"/>
      <c r="H58" s="50"/>
      <c r="I58" s="50"/>
      <c r="J58" s="50"/>
      <c r="K58" s="50"/>
      <c r="L58" s="50"/>
      <c r="M58" s="50"/>
      <c r="N58" s="50"/>
      <c r="O58" s="50"/>
      <c r="P58" s="50"/>
      <c r="Q58" s="50"/>
      <c r="R58" s="50"/>
      <c r="S58" s="50"/>
      <c r="T58" s="50"/>
      <c r="U58" s="50"/>
      <c r="V58" s="50"/>
      <c r="W58" s="50">
        <v>68034</v>
      </c>
      <c r="X58" s="50">
        <v>68818</v>
      </c>
      <c r="Y58" s="50">
        <v>68902</v>
      </c>
      <c r="Z58" s="50">
        <v>70969</v>
      </c>
      <c r="AA58" s="50">
        <v>71385</v>
      </c>
      <c r="AB58" s="50">
        <v>71973</v>
      </c>
      <c r="AC58" s="50">
        <v>72677</v>
      </c>
      <c r="AD58" s="50">
        <v>73517</v>
      </c>
      <c r="AE58" s="50">
        <v>73410</v>
      </c>
      <c r="AF58" s="50">
        <v>74659</v>
      </c>
      <c r="AG58" s="50">
        <v>75147</v>
      </c>
      <c r="AH58" s="50">
        <v>75727</v>
      </c>
      <c r="AI58" s="50">
        <v>76074</v>
      </c>
      <c r="AJ58" s="50">
        <v>77428</v>
      </c>
      <c r="AK58" s="50">
        <v>77438</v>
      </c>
      <c r="AL58" s="50">
        <v>77954</v>
      </c>
      <c r="AM58" s="50">
        <v>78418</v>
      </c>
      <c r="AN58" s="50">
        <v>78951</v>
      </c>
      <c r="AO58" s="50">
        <v>78960</v>
      </c>
      <c r="AP58" s="50">
        <v>79224</v>
      </c>
      <c r="AQ58" s="50">
        <v>79424</v>
      </c>
      <c r="AR58" s="50">
        <v>79799</v>
      </c>
      <c r="AS58" s="50">
        <v>79291</v>
      </c>
      <c r="AT58" s="50">
        <v>78654</v>
      </c>
      <c r="AU58" s="50">
        <v>77467</v>
      </c>
      <c r="AV58" s="50">
        <v>78104</v>
      </c>
      <c r="AW58" s="50">
        <v>78731</v>
      </c>
      <c r="AX58" s="50">
        <v>81092</v>
      </c>
      <c r="AY58" s="50">
        <v>82887</v>
      </c>
      <c r="AZ58" s="50">
        <v>82848</v>
      </c>
      <c r="BA58" s="50">
        <v>82894</v>
      </c>
      <c r="BB58" s="50">
        <v>83733</v>
      </c>
      <c r="BC58" s="50">
        <v>83960</v>
      </c>
      <c r="BD58" s="50">
        <v>84510</v>
      </c>
      <c r="BE58" s="50">
        <v>84731</v>
      </c>
      <c r="BF58" s="50">
        <v>85294</v>
      </c>
      <c r="BG58" s="50">
        <v>85401</v>
      </c>
      <c r="BH58" s="50">
        <v>86063</v>
      </c>
      <c r="BI58" s="50">
        <v>86452</v>
      </c>
      <c r="BJ58" s="50">
        <v>86816</v>
      </c>
      <c r="BK58" s="50">
        <v>87335</v>
      </c>
      <c r="BL58" s="50">
        <v>87909</v>
      </c>
      <c r="BM58" s="50">
        <v>88478</v>
      </c>
      <c r="BN58" s="50">
        <v>88941</v>
      </c>
      <c r="BO58" s="50">
        <v>89366</v>
      </c>
      <c r="BP58" s="50">
        <v>89631</v>
      </c>
      <c r="BQ58" s="50">
        <v>89897</v>
      </c>
      <c r="BR58" s="50">
        <v>90137</v>
      </c>
      <c r="BS58" s="50">
        <v>90246</v>
      </c>
      <c r="BT58" s="50">
        <v>90470</v>
      </c>
      <c r="BU58" s="50">
        <v>90613</v>
      </c>
      <c r="BV58" s="50">
        <v>90848</v>
      </c>
      <c r="BW58" s="50">
        <v>91003</v>
      </c>
      <c r="BX58" s="50">
        <v>91264</v>
      </c>
      <c r="BY58" s="50">
        <v>91545</v>
      </c>
      <c r="BZ58" s="50">
        <v>91947</v>
      </c>
      <c r="CA58" s="50">
        <v>92209</v>
      </c>
      <c r="CB58" s="50">
        <v>92366</v>
      </c>
      <c r="CC58" s="50">
        <v>92647</v>
      </c>
      <c r="CD58" s="50">
        <v>92875</v>
      </c>
      <c r="CE58" s="50">
        <v>93059</v>
      </c>
      <c r="CF58" s="50">
        <v>93338</v>
      </c>
      <c r="CG58" s="50">
        <v>93535</v>
      </c>
      <c r="CH58" s="50">
        <v>93728</v>
      </c>
      <c r="CI58" s="50">
        <v>93960</v>
      </c>
      <c r="CJ58" s="50">
        <v>94074</v>
      </c>
      <c r="CK58" s="50">
        <v>94216</v>
      </c>
      <c r="CL58" s="50">
        <v>94440</v>
      </c>
      <c r="CM58" s="50">
        <v>94555</v>
      </c>
      <c r="CN58" s="50">
        <v>94728</v>
      </c>
      <c r="CO58" s="50">
        <v>94913</v>
      </c>
      <c r="CP58" s="50">
        <v>95048</v>
      </c>
      <c r="CQ58" s="50">
        <v>95202</v>
      </c>
      <c r="CR58" s="50">
        <v>95293</v>
      </c>
      <c r="CS58" s="50">
        <v>95437</v>
      </c>
      <c r="CT58" s="50">
        <v>95536</v>
      </c>
      <c r="CU58" s="50">
        <v>95652</v>
      </c>
      <c r="CV58" s="50">
        <v>95748</v>
      </c>
      <c r="CW58" s="50">
        <v>95842</v>
      </c>
      <c r="CX58" s="50">
        <v>95969</v>
      </c>
      <c r="CY58" s="50">
        <v>96033</v>
      </c>
      <c r="CZ58" s="50">
        <v>96130</v>
      </c>
      <c r="DA58" s="50">
        <v>96192</v>
      </c>
      <c r="DB58" s="50">
        <v>96301</v>
      </c>
      <c r="DC58" s="50">
        <v>96373</v>
      </c>
      <c r="DD58" s="50">
        <v>96456</v>
      </c>
      <c r="DE58" s="50">
        <v>96516</v>
      </c>
      <c r="DF58" s="50">
        <v>96623</v>
      </c>
      <c r="DG58" s="50">
        <v>96694</v>
      </c>
      <c r="DH58" s="50">
        <v>96761</v>
      </c>
      <c r="DI58" s="50">
        <v>96828</v>
      </c>
      <c r="DJ58" s="50">
        <v>96921</v>
      </c>
      <c r="DK58" s="50">
        <v>96978</v>
      </c>
      <c r="DL58" s="50">
        <v>97038</v>
      </c>
      <c r="DM58" s="50">
        <v>97113</v>
      </c>
      <c r="DN58" s="50">
        <v>97186</v>
      </c>
      <c r="DO58" s="50">
        <v>97256</v>
      </c>
    </row>
    <row r="59" spans="1:119">
      <c r="A59" s="50">
        <v>57</v>
      </c>
      <c r="B59" s="50"/>
      <c r="C59" s="50"/>
      <c r="D59" s="50"/>
      <c r="E59" s="50"/>
      <c r="F59" s="50"/>
      <c r="G59" s="50"/>
      <c r="H59" s="50"/>
      <c r="I59" s="50"/>
      <c r="J59" s="50"/>
      <c r="K59" s="50"/>
      <c r="L59" s="50"/>
      <c r="M59" s="50"/>
      <c r="N59" s="50"/>
      <c r="O59" s="50"/>
      <c r="P59" s="50"/>
      <c r="Q59" s="50"/>
      <c r="R59" s="50"/>
      <c r="S59" s="50"/>
      <c r="T59" s="50"/>
      <c r="U59" s="50"/>
      <c r="V59" s="50"/>
      <c r="W59" s="50">
        <v>67177</v>
      </c>
      <c r="X59" s="50">
        <v>67970</v>
      </c>
      <c r="Y59" s="50">
        <v>68031</v>
      </c>
      <c r="Z59" s="50">
        <v>70088</v>
      </c>
      <c r="AA59" s="50">
        <v>70524</v>
      </c>
      <c r="AB59" s="50">
        <v>71097</v>
      </c>
      <c r="AC59" s="50">
        <v>71815</v>
      </c>
      <c r="AD59" s="50">
        <v>72610</v>
      </c>
      <c r="AE59" s="50">
        <v>72496</v>
      </c>
      <c r="AF59" s="50">
        <v>73766</v>
      </c>
      <c r="AG59" s="50">
        <v>74274</v>
      </c>
      <c r="AH59" s="50">
        <v>74868</v>
      </c>
      <c r="AI59" s="50">
        <v>75203</v>
      </c>
      <c r="AJ59" s="50">
        <v>76555</v>
      </c>
      <c r="AK59" s="50">
        <v>76610</v>
      </c>
      <c r="AL59" s="50">
        <v>77141</v>
      </c>
      <c r="AM59" s="50">
        <v>77643</v>
      </c>
      <c r="AN59" s="50">
        <v>78185</v>
      </c>
      <c r="AO59" s="50">
        <v>78181</v>
      </c>
      <c r="AP59" s="50">
        <v>78495</v>
      </c>
      <c r="AQ59" s="50">
        <v>78730</v>
      </c>
      <c r="AR59" s="50">
        <v>79127</v>
      </c>
      <c r="AS59" s="50">
        <v>78610</v>
      </c>
      <c r="AT59" s="50">
        <v>78008</v>
      </c>
      <c r="AU59" s="50">
        <v>76844</v>
      </c>
      <c r="AV59" s="50">
        <v>77463</v>
      </c>
      <c r="AW59" s="50">
        <v>78123</v>
      </c>
      <c r="AX59" s="50">
        <v>80465</v>
      </c>
      <c r="AY59" s="50">
        <v>82245</v>
      </c>
      <c r="AZ59" s="50">
        <v>82218</v>
      </c>
      <c r="BA59" s="50">
        <v>82273</v>
      </c>
      <c r="BB59" s="50">
        <v>83100</v>
      </c>
      <c r="BC59" s="50">
        <v>83336</v>
      </c>
      <c r="BD59" s="50">
        <v>83889</v>
      </c>
      <c r="BE59" s="50">
        <v>84134</v>
      </c>
      <c r="BF59" s="50">
        <v>84684</v>
      </c>
      <c r="BG59" s="50">
        <v>84809</v>
      </c>
      <c r="BH59" s="50">
        <v>85473</v>
      </c>
      <c r="BI59" s="50">
        <v>85858</v>
      </c>
      <c r="BJ59" s="50">
        <v>86231</v>
      </c>
      <c r="BK59" s="50">
        <v>86757</v>
      </c>
      <c r="BL59" s="50">
        <v>87338</v>
      </c>
      <c r="BM59" s="50">
        <v>87915</v>
      </c>
      <c r="BN59" s="50">
        <v>88386</v>
      </c>
      <c r="BO59" s="50">
        <v>88819</v>
      </c>
      <c r="BP59" s="50">
        <v>89093</v>
      </c>
      <c r="BQ59" s="50">
        <v>89368</v>
      </c>
      <c r="BR59" s="50">
        <v>89617</v>
      </c>
      <c r="BS59" s="50">
        <v>89735</v>
      </c>
      <c r="BT59" s="50">
        <v>89968</v>
      </c>
      <c r="BU59" s="50">
        <v>90120</v>
      </c>
      <c r="BV59" s="50">
        <v>90364</v>
      </c>
      <c r="BW59" s="50">
        <v>90527</v>
      </c>
      <c r="BX59" s="50">
        <v>90796</v>
      </c>
      <c r="BY59" s="50">
        <v>91084</v>
      </c>
      <c r="BZ59" s="50">
        <v>91493</v>
      </c>
      <c r="CA59" s="50">
        <v>91763</v>
      </c>
      <c r="CB59" s="50">
        <v>91928</v>
      </c>
      <c r="CC59" s="50">
        <v>92215</v>
      </c>
      <c r="CD59" s="50">
        <v>92451</v>
      </c>
      <c r="CE59" s="50">
        <v>92642</v>
      </c>
      <c r="CF59" s="50">
        <v>92928</v>
      </c>
      <c r="CG59" s="50">
        <v>93132</v>
      </c>
      <c r="CH59" s="50">
        <v>93332</v>
      </c>
      <c r="CI59" s="50">
        <v>93570</v>
      </c>
      <c r="CJ59" s="50">
        <v>93691</v>
      </c>
      <c r="CK59" s="50">
        <v>93840</v>
      </c>
      <c r="CL59" s="50">
        <v>94071</v>
      </c>
      <c r="CM59" s="50">
        <v>94193</v>
      </c>
      <c r="CN59" s="50">
        <v>94372</v>
      </c>
      <c r="CO59" s="50">
        <v>94563</v>
      </c>
      <c r="CP59" s="50">
        <v>94704</v>
      </c>
      <c r="CQ59" s="50">
        <v>94864</v>
      </c>
      <c r="CR59" s="50">
        <v>94961</v>
      </c>
      <c r="CS59" s="50">
        <v>95111</v>
      </c>
      <c r="CT59" s="50">
        <v>95216</v>
      </c>
      <c r="CU59" s="50">
        <v>95338</v>
      </c>
      <c r="CV59" s="50">
        <v>95440</v>
      </c>
      <c r="CW59" s="50">
        <v>95539</v>
      </c>
      <c r="CX59" s="50">
        <v>95671</v>
      </c>
      <c r="CY59" s="50">
        <v>95741</v>
      </c>
      <c r="CZ59" s="50">
        <v>95843</v>
      </c>
      <c r="DA59" s="50">
        <v>95911</v>
      </c>
      <c r="DB59" s="50">
        <v>96024</v>
      </c>
      <c r="DC59" s="50">
        <v>96102</v>
      </c>
      <c r="DD59" s="50">
        <v>96189</v>
      </c>
      <c r="DE59" s="50">
        <v>96255</v>
      </c>
      <c r="DF59" s="50">
        <v>96367</v>
      </c>
      <c r="DG59" s="50">
        <v>96442</v>
      </c>
      <c r="DH59" s="50">
        <v>96514</v>
      </c>
      <c r="DI59" s="50">
        <v>96586</v>
      </c>
      <c r="DJ59" s="50">
        <v>96683</v>
      </c>
      <c r="DK59" s="50">
        <v>96744</v>
      </c>
      <c r="DL59" s="50">
        <v>96809</v>
      </c>
      <c r="DM59" s="50">
        <v>96888</v>
      </c>
      <c r="DN59" s="50">
        <v>96965</v>
      </c>
      <c r="DO59" s="50">
        <v>97040</v>
      </c>
    </row>
    <row r="60" spans="1:119">
      <c r="A60" s="50">
        <v>58</v>
      </c>
      <c r="B60" s="50"/>
      <c r="C60" s="50"/>
      <c r="D60" s="50"/>
      <c r="E60" s="50"/>
      <c r="F60" s="50"/>
      <c r="G60" s="50"/>
      <c r="H60" s="50"/>
      <c r="I60" s="50"/>
      <c r="J60" s="50"/>
      <c r="K60" s="50"/>
      <c r="L60" s="50"/>
      <c r="M60" s="50"/>
      <c r="N60" s="50"/>
      <c r="O60" s="50"/>
      <c r="P60" s="50"/>
      <c r="Q60" s="50"/>
      <c r="R60" s="50"/>
      <c r="S60" s="50"/>
      <c r="T60" s="50"/>
      <c r="U60" s="50"/>
      <c r="V60" s="50"/>
      <c r="W60" s="50">
        <v>66236</v>
      </c>
      <c r="X60" s="50">
        <v>67041</v>
      </c>
      <c r="Y60" s="50">
        <v>67070</v>
      </c>
      <c r="Z60" s="50">
        <v>69170</v>
      </c>
      <c r="AA60" s="50">
        <v>69587</v>
      </c>
      <c r="AB60" s="50">
        <v>70177</v>
      </c>
      <c r="AC60" s="50">
        <v>70890</v>
      </c>
      <c r="AD60" s="50">
        <v>71666</v>
      </c>
      <c r="AE60" s="50">
        <v>71552</v>
      </c>
      <c r="AF60" s="50">
        <v>72805</v>
      </c>
      <c r="AG60" s="50">
        <v>73348</v>
      </c>
      <c r="AH60" s="50">
        <v>73925</v>
      </c>
      <c r="AI60" s="50">
        <v>74271</v>
      </c>
      <c r="AJ60" s="50">
        <v>75637</v>
      </c>
      <c r="AK60" s="50">
        <v>75726</v>
      </c>
      <c r="AL60" s="50">
        <v>76267</v>
      </c>
      <c r="AM60" s="50">
        <v>76799</v>
      </c>
      <c r="AN60" s="50">
        <v>77353</v>
      </c>
      <c r="AO60" s="50">
        <v>77386</v>
      </c>
      <c r="AP60" s="50">
        <v>77722</v>
      </c>
      <c r="AQ60" s="50">
        <v>78000</v>
      </c>
      <c r="AR60" s="50">
        <v>78401</v>
      </c>
      <c r="AS60" s="50">
        <v>77891</v>
      </c>
      <c r="AT60" s="50">
        <v>77305</v>
      </c>
      <c r="AU60" s="50">
        <v>76158</v>
      </c>
      <c r="AV60" s="50">
        <v>76781</v>
      </c>
      <c r="AW60" s="50">
        <v>77466</v>
      </c>
      <c r="AX60" s="50">
        <v>79802</v>
      </c>
      <c r="AY60" s="50">
        <v>81620</v>
      </c>
      <c r="AZ60" s="50">
        <v>81556</v>
      </c>
      <c r="BA60" s="50">
        <v>81624</v>
      </c>
      <c r="BB60" s="50">
        <v>82422</v>
      </c>
      <c r="BC60" s="50">
        <v>82652</v>
      </c>
      <c r="BD60" s="50">
        <v>83222</v>
      </c>
      <c r="BE60" s="50">
        <v>83452</v>
      </c>
      <c r="BF60" s="50">
        <v>84041</v>
      </c>
      <c r="BG60" s="50">
        <v>84145</v>
      </c>
      <c r="BH60" s="50">
        <v>84821</v>
      </c>
      <c r="BI60" s="50">
        <v>85215</v>
      </c>
      <c r="BJ60" s="50">
        <v>85598</v>
      </c>
      <c r="BK60" s="50">
        <v>86133</v>
      </c>
      <c r="BL60" s="50">
        <v>86722</v>
      </c>
      <c r="BM60" s="50">
        <v>87307</v>
      </c>
      <c r="BN60" s="50">
        <v>87786</v>
      </c>
      <c r="BO60" s="50">
        <v>88229</v>
      </c>
      <c r="BP60" s="50">
        <v>88512</v>
      </c>
      <c r="BQ60" s="50">
        <v>88796</v>
      </c>
      <c r="BR60" s="50">
        <v>89055</v>
      </c>
      <c r="BS60" s="50">
        <v>89183</v>
      </c>
      <c r="BT60" s="50">
        <v>89425</v>
      </c>
      <c r="BU60" s="50">
        <v>89587</v>
      </c>
      <c r="BV60" s="50">
        <v>89839</v>
      </c>
      <c r="BW60" s="50">
        <v>90012</v>
      </c>
      <c r="BX60" s="50">
        <v>90289</v>
      </c>
      <c r="BY60" s="50">
        <v>90585</v>
      </c>
      <c r="BZ60" s="50">
        <v>91002</v>
      </c>
      <c r="CA60" s="50">
        <v>91280</v>
      </c>
      <c r="CB60" s="50">
        <v>91453</v>
      </c>
      <c r="CC60" s="50">
        <v>91748</v>
      </c>
      <c r="CD60" s="50">
        <v>91992</v>
      </c>
      <c r="CE60" s="50">
        <v>92191</v>
      </c>
      <c r="CF60" s="50">
        <v>92484</v>
      </c>
      <c r="CG60" s="50">
        <v>92696</v>
      </c>
      <c r="CH60" s="50">
        <v>92903</v>
      </c>
      <c r="CI60" s="50">
        <v>93149</v>
      </c>
      <c r="CJ60" s="50">
        <v>93277</v>
      </c>
      <c r="CK60" s="50">
        <v>93433</v>
      </c>
      <c r="CL60" s="50">
        <v>93671</v>
      </c>
      <c r="CM60" s="50">
        <v>93800</v>
      </c>
      <c r="CN60" s="50">
        <v>93986</v>
      </c>
      <c r="CO60" s="50">
        <v>94184</v>
      </c>
      <c r="CP60" s="50">
        <v>94332</v>
      </c>
      <c r="CQ60" s="50">
        <v>94498</v>
      </c>
      <c r="CR60" s="50">
        <v>94602</v>
      </c>
      <c r="CS60" s="50">
        <v>94758</v>
      </c>
      <c r="CT60" s="50">
        <v>94870</v>
      </c>
      <c r="CU60" s="50">
        <v>94998</v>
      </c>
      <c r="CV60" s="50">
        <v>95105</v>
      </c>
      <c r="CW60" s="50">
        <v>95211</v>
      </c>
      <c r="CX60" s="50">
        <v>95349</v>
      </c>
      <c r="CY60" s="50">
        <v>95425</v>
      </c>
      <c r="CZ60" s="50">
        <v>95532</v>
      </c>
      <c r="DA60" s="50">
        <v>95606</v>
      </c>
      <c r="DB60" s="50">
        <v>95725</v>
      </c>
      <c r="DC60" s="50">
        <v>95808</v>
      </c>
      <c r="DD60" s="50">
        <v>95901</v>
      </c>
      <c r="DE60" s="50">
        <v>95972</v>
      </c>
      <c r="DF60" s="50">
        <v>96089</v>
      </c>
      <c r="DG60" s="50">
        <v>96169</v>
      </c>
      <c r="DH60" s="50">
        <v>96246</v>
      </c>
      <c r="DI60" s="50">
        <v>96323</v>
      </c>
      <c r="DJ60" s="50">
        <v>96425</v>
      </c>
      <c r="DK60" s="50">
        <v>96491</v>
      </c>
      <c r="DL60" s="50">
        <v>96560</v>
      </c>
      <c r="DM60" s="50">
        <v>96644</v>
      </c>
      <c r="DN60" s="50">
        <v>96725</v>
      </c>
      <c r="DO60" s="50">
        <v>96805</v>
      </c>
    </row>
    <row r="61" spans="1:119">
      <c r="A61" s="50">
        <v>59</v>
      </c>
      <c r="B61" s="50"/>
      <c r="C61" s="50"/>
      <c r="D61" s="50"/>
      <c r="E61" s="50"/>
      <c r="F61" s="50"/>
      <c r="G61" s="50"/>
      <c r="H61" s="50"/>
      <c r="I61" s="50"/>
      <c r="J61" s="50"/>
      <c r="K61" s="50"/>
      <c r="L61" s="50"/>
      <c r="M61" s="50"/>
      <c r="N61" s="50"/>
      <c r="O61" s="50"/>
      <c r="P61" s="50"/>
      <c r="Q61" s="50"/>
      <c r="R61" s="50"/>
      <c r="S61" s="50"/>
      <c r="T61" s="50"/>
      <c r="U61" s="50"/>
      <c r="V61" s="50"/>
      <c r="W61" s="50">
        <v>65227</v>
      </c>
      <c r="X61" s="50">
        <v>66033</v>
      </c>
      <c r="Y61" s="50">
        <v>66057</v>
      </c>
      <c r="Z61" s="50">
        <v>68161</v>
      </c>
      <c r="AA61" s="50">
        <v>68604</v>
      </c>
      <c r="AB61" s="50">
        <v>69187</v>
      </c>
      <c r="AC61" s="50">
        <v>69903</v>
      </c>
      <c r="AD61" s="50">
        <v>70641</v>
      </c>
      <c r="AE61" s="50">
        <v>70573</v>
      </c>
      <c r="AF61" s="50">
        <v>71809</v>
      </c>
      <c r="AG61" s="50">
        <v>72348</v>
      </c>
      <c r="AH61" s="50">
        <v>72934</v>
      </c>
      <c r="AI61" s="50">
        <v>73286</v>
      </c>
      <c r="AJ61" s="50">
        <v>74652</v>
      </c>
      <c r="AK61" s="50">
        <v>74779</v>
      </c>
      <c r="AL61" s="50">
        <v>75353</v>
      </c>
      <c r="AM61" s="50">
        <v>75921</v>
      </c>
      <c r="AN61" s="50">
        <v>76504</v>
      </c>
      <c r="AO61" s="50">
        <v>76565</v>
      </c>
      <c r="AP61" s="50">
        <v>76933</v>
      </c>
      <c r="AQ61" s="50">
        <v>77215</v>
      </c>
      <c r="AR61" s="50">
        <v>77640</v>
      </c>
      <c r="AS61" s="50">
        <v>77130</v>
      </c>
      <c r="AT61" s="50">
        <v>76548</v>
      </c>
      <c r="AU61" s="50">
        <v>75430</v>
      </c>
      <c r="AV61" s="50">
        <v>76064</v>
      </c>
      <c r="AW61" s="50">
        <v>76759</v>
      </c>
      <c r="AX61" s="50">
        <v>79079</v>
      </c>
      <c r="AY61" s="50">
        <v>80901</v>
      </c>
      <c r="AZ61" s="50">
        <v>80839</v>
      </c>
      <c r="BA61" s="50">
        <v>80913</v>
      </c>
      <c r="BB61" s="50">
        <v>81675</v>
      </c>
      <c r="BC61" s="50">
        <v>81931</v>
      </c>
      <c r="BD61" s="50">
        <v>82486</v>
      </c>
      <c r="BE61" s="50">
        <v>82744</v>
      </c>
      <c r="BF61" s="50">
        <v>83332</v>
      </c>
      <c r="BG61" s="50">
        <v>83436</v>
      </c>
      <c r="BH61" s="50">
        <v>84120</v>
      </c>
      <c r="BI61" s="50">
        <v>84525</v>
      </c>
      <c r="BJ61" s="50">
        <v>84918</v>
      </c>
      <c r="BK61" s="50">
        <v>85462</v>
      </c>
      <c r="BL61" s="50">
        <v>86060</v>
      </c>
      <c r="BM61" s="50">
        <v>86653</v>
      </c>
      <c r="BN61" s="50">
        <v>87141</v>
      </c>
      <c r="BO61" s="50">
        <v>87593</v>
      </c>
      <c r="BP61" s="50">
        <v>87887</v>
      </c>
      <c r="BQ61" s="50">
        <v>88181</v>
      </c>
      <c r="BR61" s="50">
        <v>88450</v>
      </c>
      <c r="BS61" s="50">
        <v>88589</v>
      </c>
      <c r="BT61" s="50">
        <v>88841</v>
      </c>
      <c r="BU61" s="50">
        <v>89013</v>
      </c>
      <c r="BV61" s="50">
        <v>89275</v>
      </c>
      <c r="BW61" s="50">
        <v>89458</v>
      </c>
      <c r="BX61" s="50">
        <v>89744</v>
      </c>
      <c r="BY61" s="50">
        <v>90049</v>
      </c>
      <c r="BZ61" s="50">
        <v>90473</v>
      </c>
      <c r="CA61" s="50">
        <v>90760</v>
      </c>
      <c r="CB61" s="50">
        <v>90942</v>
      </c>
      <c r="CC61" s="50">
        <v>91246</v>
      </c>
      <c r="CD61" s="50">
        <v>91498</v>
      </c>
      <c r="CE61" s="50">
        <v>91705</v>
      </c>
      <c r="CF61" s="50">
        <v>92006</v>
      </c>
      <c r="CG61" s="50">
        <v>92226</v>
      </c>
      <c r="CH61" s="50">
        <v>92441</v>
      </c>
      <c r="CI61" s="50">
        <v>92695</v>
      </c>
      <c r="CJ61" s="50">
        <v>92832</v>
      </c>
      <c r="CK61" s="50">
        <v>92995</v>
      </c>
      <c r="CL61" s="50">
        <v>93240</v>
      </c>
      <c r="CM61" s="50">
        <v>93377</v>
      </c>
      <c r="CN61" s="50">
        <v>93570</v>
      </c>
      <c r="CO61" s="50">
        <v>93775</v>
      </c>
      <c r="CP61" s="50">
        <v>93930</v>
      </c>
      <c r="CQ61" s="50">
        <v>94104</v>
      </c>
      <c r="CR61" s="50">
        <v>94215</v>
      </c>
      <c r="CS61" s="50">
        <v>94378</v>
      </c>
      <c r="CT61" s="50">
        <v>94497</v>
      </c>
      <c r="CU61" s="50">
        <v>94631</v>
      </c>
      <c r="CV61" s="50">
        <v>94746</v>
      </c>
      <c r="CW61" s="50">
        <v>94858</v>
      </c>
      <c r="CX61" s="50">
        <v>95002</v>
      </c>
      <c r="CY61" s="50">
        <v>95085</v>
      </c>
      <c r="CZ61" s="50">
        <v>95198</v>
      </c>
      <c r="DA61" s="50">
        <v>95278</v>
      </c>
      <c r="DB61" s="50">
        <v>95403</v>
      </c>
      <c r="DC61" s="50">
        <v>95492</v>
      </c>
      <c r="DD61" s="50">
        <v>95591</v>
      </c>
      <c r="DE61" s="50">
        <v>95667</v>
      </c>
      <c r="DF61" s="50">
        <v>95790</v>
      </c>
      <c r="DG61" s="50">
        <v>95876</v>
      </c>
      <c r="DH61" s="50">
        <v>95958</v>
      </c>
      <c r="DI61" s="50">
        <v>96040</v>
      </c>
      <c r="DJ61" s="50">
        <v>96147</v>
      </c>
      <c r="DK61" s="50">
        <v>96218</v>
      </c>
      <c r="DL61" s="50">
        <v>96293</v>
      </c>
      <c r="DM61" s="50">
        <v>96381</v>
      </c>
      <c r="DN61" s="50">
        <v>96468</v>
      </c>
      <c r="DO61" s="50">
        <v>96552</v>
      </c>
    </row>
    <row r="62" spans="1:119">
      <c r="A62" s="50">
        <v>60</v>
      </c>
      <c r="B62" s="50"/>
      <c r="C62" s="50"/>
      <c r="D62" s="50"/>
      <c r="E62" s="50"/>
      <c r="F62" s="50"/>
      <c r="G62" s="50"/>
      <c r="H62" s="50"/>
      <c r="I62" s="50"/>
      <c r="J62" s="50"/>
      <c r="K62" s="50"/>
      <c r="L62" s="50"/>
      <c r="M62" s="50"/>
      <c r="N62" s="50"/>
      <c r="O62" s="50"/>
      <c r="P62" s="50"/>
      <c r="Q62" s="50"/>
      <c r="R62" s="50"/>
      <c r="S62" s="50"/>
      <c r="T62" s="50"/>
      <c r="U62" s="50"/>
      <c r="V62" s="50"/>
      <c r="W62" s="50">
        <v>64136</v>
      </c>
      <c r="X62" s="50">
        <v>64943</v>
      </c>
      <c r="Y62" s="50">
        <v>64982</v>
      </c>
      <c r="Z62" s="50">
        <v>67108</v>
      </c>
      <c r="AA62" s="50">
        <v>67555</v>
      </c>
      <c r="AB62" s="50">
        <v>68143</v>
      </c>
      <c r="AC62" s="50">
        <v>68844</v>
      </c>
      <c r="AD62" s="50">
        <v>69558</v>
      </c>
      <c r="AE62" s="50">
        <v>69504</v>
      </c>
      <c r="AF62" s="50">
        <v>70731</v>
      </c>
      <c r="AG62" s="50">
        <v>71245</v>
      </c>
      <c r="AH62" s="50">
        <v>71860</v>
      </c>
      <c r="AI62" s="50">
        <v>72236</v>
      </c>
      <c r="AJ62" s="50">
        <v>73630</v>
      </c>
      <c r="AK62" s="50">
        <v>73783</v>
      </c>
      <c r="AL62" s="50">
        <v>74361</v>
      </c>
      <c r="AM62" s="50">
        <v>75001</v>
      </c>
      <c r="AN62" s="50">
        <v>75598</v>
      </c>
      <c r="AO62" s="50">
        <v>75690</v>
      </c>
      <c r="AP62" s="50">
        <v>76102</v>
      </c>
      <c r="AQ62" s="50">
        <v>76366</v>
      </c>
      <c r="AR62" s="50">
        <v>76834</v>
      </c>
      <c r="AS62" s="50">
        <v>76309</v>
      </c>
      <c r="AT62" s="50">
        <v>75757</v>
      </c>
      <c r="AU62" s="50">
        <v>74666</v>
      </c>
      <c r="AV62" s="50">
        <v>75304</v>
      </c>
      <c r="AW62" s="50">
        <v>76028</v>
      </c>
      <c r="AX62" s="50">
        <v>78322</v>
      </c>
      <c r="AY62" s="50">
        <v>80115</v>
      </c>
      <c r="AZ62" s="50">
        <v>80079</v>
      </c>
      <c r="BA62" s="50">
        <v>80132</v>
      </c>
      <c r="BB62" s="50">
        <v>80899</v>
      </c>
      <c r="BC62" s="50">
        <v>81139</v>
      </c>
      <c r="BD62" s="50">
        <v>81720</v>
      </c>
      <c r="BE62" s="50">
        <v>81975</v>
      </c>
      <c r="BF62" s="50">
        <v>82560</v>
      </c>
      <c r="BG62" s="50">
        <v>82678</v>
      </c>
      <c r="BH62" s="50">
        <v>83371</v>
      </c>
      <c r="BI62" s="50">
        <v>83787</v>
      </c>
      <c r="BJ62" s="50">
        <v>84191</v>
      </c>
      <c r="BK62" s="50">
        <v>84744</v>
      </c>
      <c r="BL62" s="50">
        <v>85351</v>
      </c>
      <c r="BM62" s="50">
        <v>85953</v>
      </c>
      <c r="BN62" s="50">
        <v>86451</v>
      </c>
      <c r="BO62" s="50">
        <v>86913</v>
      </c>
      <c r="BP62" s="50">
        <v>87218</v>
      </c>
      <c r="BQ62" s="50">
        <v>87523</v>
      </c>
      <c r="BR62" s="50">
        <v>87803</v>
      </c>
      <c r="BS62" s="50">
        <v>87954</v>
      </c>
      <c r="BT62" s="50">
        <v>88216</v>
      </c>
      <c r="BU62" s="50">
        <v>88399</v>
      </c>
      <c r="BV62" s="50">
        <v>88671</v>
      </c>
      <c r="BW62" s="50">
        <v>88864</v>
      </c>
      <c r="BX62" s="50">
        <v>89160</v>
      </c>
      <c r="BY62" s="50">
        <v>89475</v>
      </c>
      <c r="BZ62" s="50">
        <v>89907</v>
      </c>
      <c r="CA62" s="50">
        <v>90203</v>
      </c>
      <c r="CB62" s="50">
        <v>90395</v>
      </c>
      <c r="CC62" s="50">
        <v>90707</v>
      </c>
      <c r="CD62" s="50">
        <v>90969</v>
      </c>
      <c r="CE62" s="50">
        <v>91185</v>
      </c>
      <c r="CF62" s="50">
        <v>91495</v>
      </c>
      <c r="CG62" s="50">
        <v>91723</v>
      </c>
      <c r="CH62" s="50">
        <v>91947</v>
      </c>
      <c r="CI62" s="50">
        <v>92209</v>
      </c>
      <c r="CJ62" s="50">
        <v>92354</v>
      </c>
      <c r="CK62" s="50">
        <v>92526</v>
      </c>
      <c r="CL62" s="50">
        <v>92779</v>
      </c>
      <c r="CM62" s="50">
        <v>92924</v>
      </c>
      <c r="CN62" s="50">
        <v>93125</v>
      </c>
      <c r="CO62" s="50">
        <v>93338</v>
      </c>
      <c r="CP62" s="50">
        <v>93501</v>
      </c>
      <c r="CQ62" s="50">
        <v>93682</v>
      </c>
      <c r="CR62" s="50">
        <v>93801</v>
      </c>
      <c r="CS62" s="50">
        <v>93971</v>
      </c>
      <c r="CT62" s="50">
        <v>94097</v>
      </c>
      <c r="CU62" s="50">
        <v>94239</v>
      </c>
      <c r="CV62" s="50">
        <v>94360</v>
      </c>
      <c r="CW62" s="50">
        <v>94480</v>
      </c>
      <c r="CX62" s="50">
        <v>94631</v>
      </c>
      <c r="CY62" s="50">
        <v>94720</v>
      </c>
      <c r="CZ62" s="50">
        <v>94840</v>
      </c>
      <c r="DA62" s="50">
        <v>94927</v>
      </c>
      <c r="DB62" s="50">
        <v>95058</v>
      </c>
      <c r="DC62" s="50">
        <v>95154</v>
      </c>
      <c r="DD62" s="50">
        <v>95259</v>
      </c>
      <c r="DE62" s="50">
        <v>95341</v>
      </c>
      <c r="DF62" s="50">
        <v>95470</v>
      </c>
      <c r="DG62" s="50">
        <v>95561</v>
      </c>
      <c r="DH62" s="50">
        <v>95650</v>
      </c>
      <c r="DI62" s="50">
        <v>95737</v>
      </c>
      <c r="DJ62" s="50">
        <v>95850</v>
      </c>
      <c r="DK62" s="50">
        <v>95927</v>
      </c>
      <c r="DL62" s="50">
        <v>96007</v>
      </c>
      <c r="DM62" s="50">
        <v>96101</v>
      </c>
      <c r="DN62" s="50">
        <v>96192</v>
      </c>
      <c r="DO62" s="50">
        <v>96281</v>
      </c>
    </row>
    <row r="63" spans="1:119">
      <c r="A63" s="50">
        <v>61</v>
      </c>
      <c r="B63" s="50"/>
      <c r="C63" s="50"/>
      <c r="D63" s="50"/>
      <c r="E63" s="50"/>
      <c r="F63" s="50"/>
      <c r="G63" s="50"/>
      <c r="H63" s="50"/>
      <c r="I63" s="50"/>
      <c r="J63" s="50"/>
      <c r="K63" s="50"/>
      <c r="L63" s="50"/>
      <c r="M63" s="50"/>
      <c r="N63" s="50"/>
      <c r="O63" s="50"/>
      <c r="P63" s="50"/>
      <c r="Q63" s="50"/>
      <c r="R63" s="50"/>
      <c r="S63" s="50"/>
      <c r="T63" s="50"/>
      <c r="U63" s="50"/>
      <c r="V63" s="50"/>
      <c r="W63" s="50">
        <v>62994</v>
      </c>
      <c r="X63" s="50">
        <v>63810</v>
      </c>
      <c r="Y63" s="50">
        <v>63860</v>
      </c>
      <c r="Z63" s="50">
        <v>65984</v>
      </c>
      <c r="AA63" s="50">
        <v>66430</v>
      </c>
      <c r="AB63" s="50">
        <v>67036</v>
      </c>
      <c r="AC63" s="50">
        <v>67728</v>
      </c>
      <c r="AD63" s="50">
        <v>68407</v>
      </c>
      <c r="AE63" s="50">
        <v>68354</v>
      </c>
      <c r="AF63" s="50">
        <v>69530</v>
      </c>
      <c r="AG63" s="50">
        <v>70094</v>
      </c>
      <c r="AH63" s="50">
        <v>70723</v>
      </c>
      <c r="AI63" s="50">
        <v>71129</v>
      </c>
      <c r="AJ63" s="50">
        <v>72538</v>
      </c>
      <c r="AK63" s="50">
        <v>72713</v>
      </c>
      <c r="AL63" s="50">
        <v>73348</v>
      </c>
      <c r="AM63" s="50">
        <v>74036</v>
      </c>
      <c r="AN63" s="50">
        <v>74663</v>
      </c>
      <c r="AO63" s="50">
        <v>74771</v>
      </c>
      <c r="AP63" s="50">
        <v>75203</v>
      </c>
      <c r="AQ63" s="50">
        <v>75479</v>
      </c>
      <c r="AR63" s="50">
        <v>75973</v>
      </c>
      <c r="AS63" s="50">
        <v>75465</v>
      </c>
      <c r="AT63" s="50">
        <v>74937</v>
      </c>
      <c r="AU63" s="50">
        <v>73860</v>
      </c>
      <c r="AV63" s="50">
        <v>74507</v>
      </c>
      <c r="AW63" s="50">
        <v>75224</v>
      </c>
      <c r="AX63" s="50">
        <v>77505</v>
      </c>
      <c r="AY63" s="50">
        <v>79279</v>
      </c>
      <c r="AZ63" s="50">
        <v>79243</v>
      </c>
      <c r="BA63" s="50">
        <v>79295</v>
      </c>
      <c r="BB63" s="50">
        <v>80050</v>
      </c>
      <c r="BC63" s="50">
        <v>80327</v>
      </c>
      <c r="BD63" s="50">
        <v>80879</v>
      </c>
      <c r="BE63" s="50">
        <v>81145</v>
      </c>
      <c r="BF63" s="50">
        <v>81741</v>
      </c>
      <c r="BG63" s="50">
        <v>81873</v>
      </c>
      <c r="BH63" s="50">
        <v>82575</v>
      </c>
      <c r="BI63" s="50">
        <v>83002</v>
      </c>
      <c r="BJ63" s="50">
        <v>83418</v>
      </c>
      <c r="BK63" s="50">
        <v>83982</v>
      </c>
      <c r="BL63" s="50">
        <v>84598</v>
      </c>
      <c r="BM63" s="50">
        <v>85210</v>
      </c>
      <c r="BN63" s="50">
        <v>85718</v>
      </c>
      <c r="BO63" s="50">
        <v>86190</v>
      </c>
      <c r="BP63" s="50">
        <v>86507</v>
      </c>
      <c r="BQ63" s="50">
        <v>86823</v>
      </c>
      <c r="BR63" s="50">
        <v>87115</v>
      </c>
      <c r="BS63" s="50">
        <v>87278</v>
      </c>
      <c r="BT63" s="50">
        <v>87551</v>
      </c>
      <c r="BU63" s="50">
        <v>87746</v>
      </c>
      <c r="BV63" s="50">
        <v>88029</v>
      </c>
      <c r="BW63" s="50">
        <v>88233</v>
      </c>
      <c r="BX63" s="50">
        <v>88539</v>
      </c>
      <c r="BY63" s="50">
        <v>88864</v>
      </c>
      <c r="BZ63" s="50">
        <v>89305</v>
      </c>
      <c r="CA63" s="50">
        <v>89611</v>
      </c>
      <c r="CB63" s="50">
        <v>89813</v>
      </c>
      <c r="CC63" s="50">
        <v>90135</v>
      </c>
      <c r="CD63" s="50">
        <v>90406</v>
      </c>
      <c r="CE63" s="50">
        <v>90632</v>
      </c>
      <c r="CF63" s="50">
        <v>90950</v>
      </c>
      <c r="CG63" s="50">
        <v>91188</v>
      </c>
      <c r="CH63" s="50">
        <v>91421</v>
      </c>
      <c r="CI63" s="50">
        <v>91691</v>
      </c>
      <c r="CJ63" s="50">
        <v>91846</v>
      </c>
      <c r="CK63" s="50">
        <v>92028</v>
      </c>
      <c r="CL63" s="50">
        <v>92289</v>
      </c>
      <c r="CM63" s="50">
        <v>92443</v>
      </c>
      <c r="CN63" s="50">
        <v>92652</v>
      </c>
      <c r="CO63" s="50">
        <v>92873</v>
      </c>
      <c r="CP63" s="50">
        <v>93044</v>
      </c>
      <c r="CQ63" s="50">
        <v>93233</v>
      </c>
      <c r="CR63" s="50">
        <v>93360</v>
      </c>
      <c r="CS63" s="50">
        <v>93538</v>
      </c>
      <c r="CT63" s="50">
        <v>93672</v>
      </c>
      <c r="CU63" s="50">
        <v>93822</v>
      </c>
      <c r="CV63" s="50">
        <v>93951</v>
      </c>
      <c r="CW63" s="50">
        <v>94078</v>
      </c>
      <c r="CX63" s="50">
        <v>94236</v>
      </c>
      <c r="CY63" s="50">
        <v>94332</v>
      </c>
      <c r="CZ63" s="50">
        <v>94460</v>
      </c>
      <c r="DA63" s="50">
        <v>94553</v>
      </c>
      <c r="DB63" s="50">
        <v>94691</v>
      </c>
      <c r="DC63" s="50">
        <v>94794</v>
      </c>
      <c r="DD63" s="50">
        <v>94905</v>
      </c>
      <c r="DE63" s="50">
        <v>94994</v>
      </c>
      <c r="DF63" s="50">
        <v>95129</v>
      </c>
      <c r="DG63" s="50">
        <v>95227</v>
      </c>
      <c r="DH63" s="50">
        <v>95322</v>
      </c>
      <c r="DI63" s="50">
        <v>95416</v>
      </c>
      <c r="DJ63" s="50">
        <v>95534</v>
      </c>
      <c r="DK63" s="50">
        <v>95617</v>
      </c>
      <c r="DL63" s="50">
        <v>95702</v>
      </c>
      <c r="DM63" s="50">
        <v>95802</v>
      </c>
      <c r="DN63" s="50">
        <v>95899</v>
      </c>
      <c r="DO63" s="50">
        <v>95994</v>
      </c>
    </row>
    <row r="64" spans="1:119">
      <c r="A64" s="50">
        <v>62</v>
      </c>
      <c r="B64" s="50"/>
      <c r="C64" s="50"/>
      <c r="D64" s="50"/>
      <c r="E64" s="50"/>
      <c r="F64" s="50"/>
      <c r="G64" s="50"/>
      <c r="H64" s="50"/>
      <c r="I64" s="50"/>
      <c r="J64" s="50"/>
      <c r="K64" s="50"/>
      <c r="L64" s="50"/>
      <c r="M64" s="50"/>
      <c r="N64" s="50"/>
      <c r="O64" s="50"/>
      <c r="P64" s="50"/>
      <c r="Q64" s="50"/>
      <c r="R64" s="50"/>
      <c r="S64" s="50"/>
      <c r="T64" s="50"/>
      <c r="U64" s="50"/>
      <c r="V64" s="50"/>
      <c r="W64" s="50">
        <v>61784</v>
      </c>
      <c r="X64" s="50">
        <v>62604</v>
      </c>
      <c r="Y64" s="50">
        <v>62638</v>
      </c>
      <c r="Z64" s="50">
        <v>64766</v>
      </c>
      <c r="AA64" s="50">
        <v>65246</v>
      </c>
      <c r="AB64" s="50">
        <v>65858</v>
      </c>
      <c r="AC64" s="50">
        <v>66521</v>
      </c>
      <c r="AD64" s="50">
        <v>67164</v>
      </c>
      <c r="AE64" s="50">
        <v>67120</v>
      </c>
      <c r="AF64" s="50">
        <v>68292</v>
      </c>
      <c r="AG64" s="50">
        <v>68898</v>
      </c>
      <c r="AH64" s="50">
        <v>69547</v>
      </c>
      <c r="AI64" s="50">
        <v>69980</v>
      </c>
      <c r="AJ64" s="50">
        <v>71376</v>
      </c>
      <c r="AK64" s="50">
        <v>71583</v>
      </c>
      <c r="AL64" s="50">
        <v>72293</v>
      </c>
      <c r="AM64" s="50">
        <v>73018</v>
      </c>
      <c r="AN64" s="50">
        <v>73668</v>
      </c>
      <c r="AO64" s="50">
        <v>73806</v>
      </c>
      <c r="AP64" s="50">
        <v>74261</v>
      </c>
      <c r="AQ64" s="50">
        <v>74546</v>
      </c>
      <c r="AR64" s="50">
        <v>75073</v>
      </c>
      <c r="AS64" s="50">
        <v>74582</v>
      </c>
      <c r="AT64" s="50">
        <v>74083</v>
      </c>
      <c r="AU64" s="50">
        <v>73017</v>
      </c>
      <c r="AV64" s="50">
        <v>73645</v>
      </c>
      <c r="AW64" s="50">
        <v>74371</v>
      </c>
      <c r="AX64" s="50">
        <v>76648</v>
      </c>
      <c r="AY64" s="50">
        <v>78370</v>
      </c>
      <c r="AZ64" s="50">
        <v>78358</v>
      </c>
      <c r="BA64" s="50">
        <v>78408</v>
      </c>
      <c r="BB64" s="50">
        <v>79172</v>
      </c>
      <c r="BC64" s="50">
        <v>79412</v>
      </c>
      <c r="BD64" s="50">
        <v>79987</v>
      </c>
      <c r="BE64" s="50">
        <v>80267</v>
      </c>
      <c r="BF64" s="50">
        <v>80874</v>
      </c>
      <c r="BG64" s="50">
        <v>81022</v>
      </c>
      <c r="BH64" s="50">
        <v>81734</v>
      </c>
      <c r="BI64" s="50">
        <v>82173</v>
      </c>
      <c r="BJ64" s="50">
        <v>82601</v>
      </c>
      <c r="BK64" s="50">
        <v>83176</v>
      </c>
      <c r="BL64" s="50">
        <v>83802</v>
      </c>
      <c r="BM64" s="50">
        <v>84423</v>
      </c>
      <c r="BN64" s="50">
        <v>84943</v>
      </c>
      <c r="BO64" s="50">
        <v>85426</v>
      </c>
      <c r="BP64" s="50">
        <v>85755</v>
      </c>
      <c r="BQ64" s="50">
        <v>86083</v>
      </c>
      <c r="BR64" s="50">
        <v>86387</v>
      </c>
      <c r="BS64" s="50">
        <v>86563</v>
      </c>
      <c r="BT64" s="50">
        <v>86848</v>
      </c>
      <c r="BU64" s="50">
        <v>87055</v>
      </c>
      <c r="BV64" s="50">
        <v>87349</v>
      </c>
      <c r="BW64" s="50">
        <v>87565</v>
      </c>
      <c r="BX64" s="50">
        <v>87882</v>
      </c>
      <c r="BY64" s="50">
        <v>88217</v>
      </c>
      <c r="BZ64" s="50">
        <v>88668</v>
      </c>
      <c r="CA64" s="50">
        <v>88984</v>
      </c>
      <c r="CB64" s="50">
        <v>89197</v>
      </c>
      <c r="CC64" s="50">
        <v>89529</v>
      </c>
      <c r="CD64" s="50">
        <v>89810</v>
      </c>
      <c r="CE64" s="50">
        <v>90046</v>
      </c>
      <c r="CF64" s="50">
        <v>90374</v>
      </c>
      <c r="CG64" s="50">
        <v>90622</v>
      </c>
      <c r="CH64" s="50">
        <v>90864</v>
      </c>
      <c r="CI64" s="50">
        <v>91144</v>
      </c>
      <c r="CJ64" s="50">
        <v>91309</v>
      </c>
      <c r="CK64" s="50">
        <v>91499</v>
      </c>
      <c r="CL64" s="50">
        <v>91769</v>
      </c>
      <c r="CM64" s="50">
        <v>91933</v>
      </c>
      <c r="CN64" s="50">
        <v>92151</v>
      </c>
      <c r="CO64" s="50">
        <v>92381</v>
      </c>
      <c r="CP64" s="50">
        <v>92560</v>
      </c>
      <c r="CQ64" s="50">
        <v>92758</v>
      </c>
      <c r="CR64" s="50">
        <v>92894</v>
      </c>
      <c r="CS64" s="50">
        <v>93080</v>
      </c>
      <c r="CT64" s="50">
        <v>93223</v>
      </c>
      <c r="CU64" s="50">
        <v>93380</v>
      </c>
      <c r="CV64" s="50">
        <v>93517</v>
      </c>
      <c r="CW64" s="50">
        <v>93652</v>
      </c>
      <c r="CX64" s="50">
        <v>93818</v>
      </c>
      <c r="CY64" s="50">
        <v>93922</v>
      </c>
      <c r="CZ64" s="50">
        <v>94057</v>
      </c>
      <c r="DA64" s="50">
        <v>94158</v>
      </c>
      <c r="DB64" s="50">
        <v>94303</v>
      </c>
      <c r="DC64" s="50">
        <v>94413</v>
      </c>
      <c r="DD64" s="50">
        <v>94531</v>
      </c>
      <c r="DE64" s="50">
        <v>94628</v>
      </c>
      <c r="DF64" s="50">
        <v>94769</v>
      </c>
      <c r="DG64" s="50">
        <v>94874</v>
      </c>
      <c r="DH64" s="50">
        <v>94975</v>
      </c>
      <c r="DI64" s="50">
        <v>95075</v>
      </c>
      <c r="DJ64" s="50">
        <v>95200</v>
      </c>
      <c r="DK64" s="50">
        <v>95289</v>
      </c>
      <c r="DL64" s="50">
        <v>95381</v>
      </c>
      <c r="DM64" s="50">
        <v>95486</v>
      </c>
      <c r="DN64" s="50">
        <v>95589</v>
      </c>
      <c r="DO64" s="50">
        <v>95689</v>
      </c>
    </row>
    <row r="65" spans="1:119">
      <c r="A65" s="50">
        <v>63</v>
      </c>
      <c r="B65" s="50"/>
      <c r="C65" s="50"/>
      <c r="D65" s="50"/>
      <c r="E65" s="50"/>
      <c r="F65" s="50"/>
      <c r="G65" s="50"/>
      <c r="H65" s="50"/>
      <c r="I65" s="50"/>
      <c r="J65" s="50"/>
      <c r="K65" s="50"/>
      <c r="L65" s="50"/>
      <c r="M65" s="50"/>
      <c r="N65" s="50"/>
      <c r="O65" s="50"/>
      <c r="P65" s="50"/>
      <c r="Q65" s="50"/>
      <c r="R65" s="50"/>
      <c r="S65" s="50"/>
      <c r="T65" s="50"/>
      <c r="U65" s="50"/>
      <c r="V65" s="50"/>
      <c r="W65" s="50">
        <v>60505</v>
      </c>
      <c r="X65" s="50">
        <v>61331</v>
      </c>
      <c r="Y65" s="50">
        <v>61373</v>
      </c>
      <c r="Z65" s="50">
        <v>63470</v>
      </c>
      <c r="AA65" s="50">
        <v>63992</v>
      </c>
      <c r="AB65" s="50">
        <v>64623</v>
      </c>
      <c r="AC65" s="50">
        <v>65239</v>
      </c>
      <c r="AD65" s="50">
        <v>65847</v>
      </c>
      <c r="AE65" s="50">
        <v>65827</v>
      </c>
      <c r="AF65" s="50">
        <v>66976</v>
      </c>
      <c r="AG65" s="50">
        <v>67612</v>
      </c>
      <c r="AH65" s="50">
        <v>68292</v>
      </c>
      <c r="AI65" s="50">
        <v>68726</v>
      </c>
      <c r="AJ65" s="50">
        <v>70200</v>
      </c>
      <c r="AK65" s="50">
        <v>70440</v>
      </c>
      <c r="AL65" s="50">
        <v>71171</v>
      </c>
      <c r="AM65" s="50">
        <v>71961</v>
      </c>
      <c r="AN65" s="50">
        <v>72639</v>
      </c>
      <c r="AO65" s="50">
        <v>72784</v>
      </c>
      <c r="AP65" s="50">
        <v>73243</v>
      </c>
      <c r="AQ65" s="50">
        <v>73567</v>
      </c>
      <c r="AR65" s="50">
        <v>74102</v>
      </c>
      <c r="AS65" s="50">
        <v>73648</v>
      </c>
      <c r="AT65" s="50">
        <v>73165</v>
      </c>
      <c r="AU65" s="50">
        <v>72107</v>
      </c>
      <c r="AV65" s="50">
        <v>72729</v>
      </c>
      <c r="AW65" s="50">
        <v>73487</v>
      </c>
      <c r="AX65" s="50">
        <v>75734</v>
      </c>
      <c r="AY65" s="50">
        <v>77428</v>
      </c>
      <c r="AZ65" s="50">
        <v>77420</v>
      </c>
      <c r="BA65" s="50">
        <v>77484</v>
      </c>
      <c r="BB65" s="50">
        <v>78182</v>
      </c>
      <c r="BC65" s="50">
        <v>78462</v>
      </c>
      <c r="BD65" s="50">
        <v>79049</v>
      </c>
      <c r="BE65" s="50">
        <v>79344</v>
      </c>
      <c r="BF65" s="50">
        <v>79962</v>
      </c>
      <c r="BG65" s="50">
        <v>80127</v>
      </c>
      <c r="BH65" s="50">
        <v>80848</v>
      </c>
      <c r="BI65" s="50">
        <v>81300</v>
      </c>
      <c r="BJ65" s="50">
        <v>81741</v>
      </c>
      <c r="BK65" s="50">
        <v>82327</v>
      </c>
      <c r="BL65" s="50">
        <v>82963</v>
      </c>
      <c r="BM65" s="50">
        <v>83595</v>
      </c>
      <c r="BN65" s="50">
        <v>84126</v>
      </c>
      <c r="BO65" s="50">
        <v>84620</v>
      </c>
      <c r="BP65" s="50">
        <v>84962</v>
      </c>
      <c r="BQ65" s="50">
        <v>85303</v>
      </c>
      <c r="BR65" s="50">
        <v>85619</v>
      </c>
      <c r="BS65" s="50">
        <v>85809</v>
      </c>
      <c r="BT65" s="50">
        <v>86106</v>
      </c>
      <c r="BU65" s="50">
        <v>86327</v>
      </c>
      <c r="BV65" s="50">
        <v>86633</v>
      </c>
      <c r="BW65" s="50">
        <v>86861</v>
      </c>
      <c r="BX65" s="50">
        <v>87189</v>
      </c>
      <c r="BY65" s="50">
        <v>87535</v>
      </c>
      <c r="BZ65" s="50">
        <v>87996</v>
      </c>
      <c r="CA65" s="50">
        <v>88323</v>
      </c>
      <c r="CB65" s="50">
        <v>88548</v>
      </c>
      <c r="CC65" s="50">
        <v>88890</v>
      </c>
      <c r="CD65" s="50">
        <v>89182</v>
      </c>
      <c r="CE65" s="50">
        <v>89428</v>
      </c>
      <c r="CF65" s="50">
        <v>89767</v>
      </c>
      <c r="CG65" s="50">
        <v>90025</v>
      </c>
      <c r="CH65" s="50">
        <v>90278</v>
      </c>
      <c r="CI65" s="50">
        <v>90567</v>
      </c>
      <c r="CJ65" s="50">
        <v>90742</v>
      </c>
      <c r="CK65" s="50">
        <v>90943</v>
      </c>
      <c r="CL65" s="50">
        <v>91222</v>
      </c>
      <c r="CM65" s="50">
        <v>91395</v>
      </c>
      <c r="CN65" s="50">
        <v>91623</v>
      </c>
      <c r="CO65" s="50">
        <v>91862</v>
      </c>
      <c r="CP65" s="50">
        <v>92051</v>
      </c>
      <c r="CQ65" s="50">
        <v>92257</v>
      </c>
      <c r="CR65" s="50">
        <v>92402</v>
      </c>
      <c r="CS65" s="50">
        <v>92597</v>
      </c>
      <c r="CT65" s="50">
        <v>92748</v>
      </c>
      <c r="CU65" s="50">
        <v>92914</v>
      </c>
      <c r="CV65" s="50">
        <v>93060</v>
      </c>
      <c r="CW65" s="50">
        <v>93203</v>
      </c>
      <c r="CX65" s="50">
        <v>93377</v>
      </c>
      <c r="CY65" s="50">
        <v>93490</v>
      </c>
      <c r="CZ65" s="50">
        <v>93633</v>
      </c>
      <c r="DA65" s="50">
        <v>93742</v>
      </c>
      <c r="DB65" s="50">
        <v>93894</v>
      </c>
      <c r="DC65" s="50">
        <v>94012</v>
      </c>
      <c r="DD65" s="50">
        <v>94137</v>
      </c>
      <c r="DE65" s="50">
        <v>94241</v>
      </c>
      <c r="DF65" s="50">
        <v>94390</v>
      </c>
      <c r="DG65" s="50">
        <v>94501</v>
      </c>
      <c r="DH65" s="50">
        <v>94609</v>
      </c>
      <c r="DI65" s="50">
        <v>94717</v>
      </c>
      <c r="DJ65" s="50">
        <v>94848</v>
      </c>
      <c r="DK65" s="50">
        <v>94944</v>
      </c>
      <c r="DL65" s="50">
        <v>95042</v>
      </c>
      <c r="DM65" s="50">
        <v>95154</v>
      </c>
      <c r="DN65" s="50">
        <v>95263</v>
      </c>
      <c r="DO65" s="50">
        <v>95369</v>
      </c>
    </row>
    <row r="66" spans="1:119">
      <c r="A66" s="50">
        <v>64</v>
      </c>
      <c r="B66" s="50"/>
      <c r="C66" s="50"/>
      <c r="D66" s="50"/>
      <c r="E66" s="50"/>
      <c r="F66" s="50"/>
      <c r="G66" s="50"/>
      <c r="H66" s="50"/>
      <c r="I66" s="50"/>
      <c r="J66" s="50"/>
      <c r="K66" s="50"/>
      <c r="L66" s="50"/>
      <c r="M66" s="50"/>
      <c r="N66" s="50"/>
      <c r="O66" s="50"/>
      <c r="P66" s="50"/>
      <c r="Q66" s="50"/>
      <c r="R66" s="50"/>
      <c r="S66" s="50"/>
      <c r="T66" s="50"/>
      <c r="U66" s="50"/>
      <c r="V66" s="50"/>
      <c r="W66" s="50">
        <v>59081</v>
      </c>
      <c r="X66" s="50">
        <v>59985</v>
      </c>
      <c r="Y66" s="50">
        <v>60052</v>
      </c>
      <c r="Z66" s="50">
        <v>62100</v>
      </c>
      <c r="AA66" s="50">
        <v>62669</v>
      </c>
      <c r="AB66" s="50">
        <v>63277</v>
      </c>
      <c r="AC66" s="50">
        <v>63862</v>
      </c>
      <c r="AD66" s="50">
        <v>64463</v>
      </c>
      <c r="AE66" s="50">
        <v>64459</v>
      </c>
      <c r="AF66" s="50">
        <v>65596</v>
      </c>
      <c r="AG66" s="50">
        <v>66260</v>
      </c>
      <c r="AH66" s="50">
        <v>66962</v>
      </c>
      <c r="AI66" s="50">
        <v>67445</v>
      </c>
      <c r="AJ66" s="50">
        <v>68955</v>
      </c>
      <c r="AK66" s="50">
        <v>69242</v>
      </c>
      <c r="AL66" s="50">
        <v>69996</v>
      </c>
      <c r="AM66" s="50">
        <v>70858</v>
      </c>
      <c r="AN66" s="50">
        <v>71543</v>
      </c>
      <c r="AO66" s="50">
        <v>71705</v>
      </c>
      <c r="AP66" s="50">
        <v>72202</v>
      </c>
      <c r="AQ66" s="50">
        <v>72544</v>
      </c>
      <c r="AR66" s="50">
        <v>73117</v>
      </c>
      <c r="AS66" s="50">
        <v>72659</v>
      </c>
      <c r="AT66" s="50">
        <v>72179</v>
      </c>
      <c r="AU66" s="50">
        <v>71147</v>
      </c>
      <c r="AV66" s="50">
        <v>71763</v>
      </c>
      <c r="AW66" s="50">
        <v>72541</v>
      </c>
      <c r="AX66" s="50">
        <v>74774</v>
      </c>
      <c r="AY66" s="50">
        <v>76429</v>
      </c>
      <c r="AZ66" s="50">
        <v>76449</v>
      </c>
      <c r="BA66" s="50">
        <v>76455</v>
      </c>
      <c r="BB66" s="50">
        <v>77169</v>
      </c>
      <c r="BC66" s="50">
        <v>77466</v>
      </c>
      <c r="BD66" s="50">
        <v>78065</v>
      </c>
      <c r="BE66" s="50">
        <v>78376</v>
      </c>
      <c r="BF66" s="50">
        <v>79006</v>
      </c>
      <c r="BG66" s="50">
        <v>79188</v>
      </c>
      <c r="BH66" s="50">
        <v>79919</v>
      </c>
      <c r="BI66" s="50">
        <v>80384</v>
      </c>
      <c r="BJ66" s="50">
        <v>80838</v>
      </c>
      <c r="BK66" s="50">
        <v>81435</v>
      </c>
      <c r="BL66" s="50">
        <v>82083</v>
      </c>
      <c r="BM66" s="50">
        <v>82725</v>
      </c>
      <c r="BN66" s="50">
        <v>83268</v>
      </c>
      <c r="BO66" s="50">
        <v>83774</v>
      </c>
      <c r="BP66" s="50">
        <v>84129</v>
      </c>
      <c r="BQ66" s="50">
        <v>84484</v>
      </c>
      <c r="BR66" s="50">
        <v>84813</v>
      </c>
      <c r="BS66" s="50">
        <v>85017</v>
      </c>
      <c r="BT66" s="50">
        <v>85328</v>
      </c>
      <c r="BU66" s="50">
        <v>85561</v>
      </c>
      <c r="BV66" s="50">
        <v>85880</v>
      </c>
      <c r="BW66" s="50">
        <v>86121</v>
      </c>
      <c r="BX66" s="50">
        <v>86461</v>
      </c>
      <c r="BY66" s="50">
        <v>86819</v>
      </c>
      <c r="BZ66" s="50">
        <v>87291</v>
      </c>
      <c r="CA66" s="50">
        <v>87629</v>
      </c>
      <c r="CB66" s="50">
        <v>87866</v>
      </c>
      <c r="CC66" s="50">
        <v>88219</v>
      </c>
      <c r="CD66" s="50">
        <v>88522</v>
      </c>
      <c r="CE66" s="50">
        <v>88780</v>
      </c>
      <c r="CF66" s="50">
        <v>89128</v>
      </c>
      <c r="CG66" s="50">
        <v>89397</v>
      </c>
      <c r="CH66" s="50">
        <v>89661</v>
      </c>
      <c r="CI66" s="50">
        <v>89961</v>
      </c>
      <c r="CJ66" s="50">
        <v>90147</v>
      </c>
      <c r="CK66" s="50">
        <v>90358</v>
      </c>
      <c r="CL66" s="50">
        <v>90647</v>
      </c>
      <c r="CM66" s="50">
        <v>90830</v>
      </c>
      <c r="CN66" s="50">
        <v>91068</v>
      </c>
      <c r="CO66" s="50">
        <v>91316</v>
      </c>
      <c r="CP66" s="50">
        <v>91515</v>
      </c>
      <c r="CQ66" s="50">
        <v>91731</v>
      </c>
      <c r="CR66" s="50">
        <v>91885</v>
      </c>
      <c r="CS66" s="50">
        <v>92090</v>
      </c>
      <c r="CT66" s="50">
        <v>92250</v>
      </c>
      <c r="CU66" s="50">
        <v>92425</v>
      </c>
      <c r="CV66" s="50">
        <v>92580</v>
      </c>
      <c r="CW66" s="50">
        <v>92732</v>
      </c>
      <c r="CX66" s="50">
        <v>92915</v>
      </c>
      <c r="CY66" s="50">
        <v>93036</v>
      </c>
      <c r="CZ66" s="50">
        <v>93187</v>
      </c>
      <c r="DA66" s="50">
        <v>93304</v>
      </c>
      <c r="DB66" s="50">
        <v>93465</v>
      </c>
      <c r="DC66" s="50">
        <v>93590</v>
      </c>
      <c r="DD66" s="50">
        <v>93724</v>
      </c>
      <c r="DE66" s="50">
        <v>93835</v>
      </c>
      <c r="DF66" s="50">
        <v>93991</v>
      </c>
      <c r="DG66" s="50">
        <v>94110</v>
      </c>
      <c r="DH66" s="50">
        <v>94226</v>
      </c>
      <c r="DI66" s="50">
        <v>94340</v>
      </c>
      <c r="DJ66" s="50">
        <v>94478</v>
      </c>
      <c r="DK66" s="50">
        <v>94581</v>
      </c>
      <c r="DL66" s="50">
        <v>94686</v>
      </c>
      <c r="DM66" s="50">
        <v>94804</v>
      </c>
      <c r="DN66" s="50">
        <v>94920</v>
      </c>
      <c r="DO66" s="50">
        <v>95033</v>
      </c>
    </row>
    <row r="67" spans="1:119">
      <c r="A67" s="50">
        <v>65</v>
      </c>
      <c r="B67" s="50"/>
      <c r="C67" s="50"/>
      <c r="D67" s="50"/>
      <c r="E67" s="50"/>
      <c r="F67" s="50"/>
      <c r="G67" s="50"/>
      <c r="H67" s="50"/>
      <c r="I67" s="50"/>
      <c r="J67" s="50"/>
      <c r="K67" s="50"/>
      <c r="L67" s="50"/>
      <c r="M67" s="50"/>
      <c r="N67" s="50"/>
      <c r="O67" s="50"/>
      <c r="P67" s="50"/>
      <c r="Q67" s="50"/>
      <c r="R67" s="50"/>
      <c r="S67" s="50"/>
      <c r="T67" s="50"/>
      <c r="U67" s="50"/>
      <c r="V67" s="50"/>
      <c r="W67" s="50">
        <v>57671</v>
      </c>
      <c r="X67" s="50">
        <v>58572</v>
      </c>
      <c r="Y67" s="50">
        <v>58677</v>
      </c>
      <c r="Z67" s="50">
        <v>60698</v>
      </c>
      <c r="AA67" s="50">
        <v>61254</v>
      </c>
      <c r="AB67" s="50">
        <v>61860</v>
      </c>
      <c r="AC67" s="50">
        <v>62411</v>
      </c>
      <c r="AD67" s="50">
        <v>62988</v>
      </c>
      <c r="AE67" s="50">
        <v>62999</v>
      </c>
      <c r="AF67" s="50">
        <v>64148</v>
      </c>
      <c r="AG67" s="50">
        <v>64838</v>
      </c>
      <c r="AH67" s="50">
        <v>65594</v>
      </c>
      <c r="AI67" s="50">
        <v>66143</v>
      </c>
      <c r="AJ67" s="50">
        <v>67679</v>
      </c>
      <c r="AK67" s="50">
        <v>68003</v>
      </c>
      <c r="AL67" s="50">
        <v>68818</v>
      </c>
      <c r="AM67" s="50">
        <v>69707</v>
      </c>
      <c r="AN67" s="50">
        <v>70391</v>
      </c>
      <c r="AO67" s="50">
        <v>70586</v>
      </c>
      <c r="AP67" s="50">
        <v>71120</v>
      </c>
      <c r="AQ67" s="50">
        <v>71499</v>
      </c>
      <c r="AR67" s="50">
        <v>72068</v>
      </c>
      <c r="AS67" s="50">
        <v>71611</v>
      </c>
      <c r="AT67" s="50">
        <v>71161</v>
      </c>
      <c r="AU67" s="50">
        <v>70139</v>
      </c>
      <c r="AV67" s="50">
        <v>70724</v>
      </c>
      <c r="AW67" s="50">
        <v>71514</v>
      </c>
      <c r="AX67" s="50">
        <v>73708</v>
      </c>
      <c r="AY67" s="50">
        <v>75375</v>
      </c>
      <c r="AZ67" s="50">
        <v>75347</v>
      </c>
      <c r="BA67" s="50">
        <v>75385</v>
      </c>
      <c r="BB67" s="50">
        <v>76110</v>
      </c>
      <c r="BC67" s="50">
        <v>76424</v>
      </c>
      <c r="BD67" s="50">
        <v>77036</v>
      </c>
      <c r="BE67" s="50">
        <v>77363</v>
      </c>
      <c r="BF67" s="50">
        <v>78005</v>
      </c>
      <c r="BG67" s="50">
        <v>78204</v>
      </c>
      <c r="BH67" s="50">
        <v>78947</v>
      </c>
      <c r="BI67" s="50">
        <v>79426</v>
      </c>
      <c r="BJ67" s="50">
        <v>79893</v>
      </c>
      <c r="BK67" s="50">
        <v>80502</v>
      </c>
      <c r="BL67" s="50">
        <v>81160</v>
      </c>
      <c r="BM67" s="50">
        <v>81814</v>
      </c>
      <c r="BN67" s="50">
        <v>82369</v>
      </c>
      <c r="BO67" s="50">
        <v>82888</v>
      </c>
      <c r="BP67" s="50">
        <v>83257</v>
      </c>
      <c r="BQ67" s="50">
        <v>83625</v>
      </c>
      <c r="BR67" s="50">
        <v>83968</v>
      </c>
      <c r="BS67" s="50">
        <v>84187</v>
      </c>
      <c r="BT67" s="50">
        <v>84511</v>
      </c>
      <c r="BU67" s="50">
        <v>84759</v>
      </c>
      <c r="BV67" s="50">
        <v>85091</v>
      </c>
      <c r="BW67" s="50">
        <v>85345</v>
      </c>
      <c r="BX67" s="50">
        <v>85698</v>
      </c>
      <c r="BY67" s="50">
        <v>86068</v>
      </c>
      <c r="BZ67" s="50">
        <v>86551</v>
      </c>
      <c r="CA67" s="50">
        <v>86901</v>
      </c>
      <c r="CB67" s="50">
        <v>87151</v>
      </c>
      <c r="CC67" s="50">
        <v>87515</v>
      </c>
      <c r="CD67" s="50">
        <v>87829</v>
      </c>
      <c r="CE67" s="50">
        <v>88099</v>
      </c>
      <c r="CF67" s="50">
        <v>88459</v>
      </c>
      <c r="CG67" s="50">
        <v>88739</v>
      </c>
      <c r="CH67" s="50">
        <v>89014</v>
      </c>
      <c r="CI67" s="50">
        <v>89324</v>
      </c>
      <c r="CJ67" s="50">
        <v>89522</v>
      </c>
      <c r="CK67" s="50">
        <v>89744</v>
      </c>
      <c r="CL67" s="50">
        <v>90044</v>
      </c>
      <c r="CM67" s="50">
        <v>90238</v>
      </c>
      <c r="CN67" s="50">
        <v>90486</v>
      </c>
      <c r="CO67" s="50">
        <v>90744</v>
      </c>
      <c r="CP67" s="50">
        <v>90953</v>
      </c>
      <c r="CQ67" s="50">
        <v>91179</v>
      </c>
      <c r="CR67" s="50">
        <v>91344</v>
      </c>
      <c r="CS67" s="50">
        <v>91558</v>
      </c>
      <c r="CT67" s="50">
        <v>91728</v>
      </c>
      <c r="CU67" s="50">
        <v>91912</v>
      </c>
      <c r="CV67" s="50">
        <v>92076</v>
      </c>
      <c r="CW67" s="50">
        <v>92238</v>
      </c>
      <c r="CX67" s="50">
        <v>92429</v>
      </c>
      <c r="CY67" s="50">
        <v>92559</v>
      </c>
      <c r="CZ67" s="50">
        <v>92719</v>
      </c>
      <c r="DA67" s="50">
        <v>92845</v>
      </c>
      <c r="DB67" s="50">
        <v>93015</v>
      </c>
      <c r="DC67" s="50">
        <v>93148</v>
      </c>
      <c r="DD67" s="50">
        <v>93290</v>
      </c>
      <c r="DE67" s="50">
        <v>93410</v>
      </c>
      <c r="DF67" s="50">
        <v>93573</v>
      </c>
      <c r="DG67" s="50">
        <v>93700</v>
      </c>
      <c r="DH67" s="50">
        <v>93823</v>
      </c>
      <c r="DI67" s="50">
        <v>93945</v>
      </c>
      <c r="DJ67" s="50">
        <v>94091</v>
      </c>
      <c r="DK67" s="50">
        <v>94201</v>
      </c>
      <c r="DL67" s="50">
        <v>94313</v>
      </c>
      <c r="DM67" s="50">
        <v>94439</v>
      </c>
      <c r="DN67" s="50">
        <v>94561</v>
      </c>
      <c r="DO67" s="50">
        <v>94681</v>
      </c>
    </row>
    <row r="68" spans="1:119">
      <c r="A68" s="50">
        <v>66</v>
      </c>
      <c r="B68" s="50"/>
      <c r="C68" s="50"/>
      <c r="D68" s="50"/>
      <c r="E68" s="50"/>
      <c r="F68" s="50"/>
      <c r="G68" s="50"/>
      <c r="H68" s="50"/>
      <c r="I68" s="50"/>
      <c r="J68" s="50"/>
      <c r="K68" s="50"/>
      <c r="L68" s="50"/>
      <c r="M68" s="50"/>
      <c r="N68" s="50"/>
      <c r="O68" s="50"/>
      <c r="P68" s="50"/>
      <c r="Q68" s="50"/>
      <c r="R68" s="50"/>
      <c r="S68" s="50"/>
      <c r="T68" s="50"/>
      <c r="U68" s="50"/>
      <c r="V68" s="50"/>
      <c r="W68" s="50">
        <v>56140</v>
      </c>
      <c r="X68" s="50">
        <v>57110</v>
      </c>
      <c r="Y68" s="50">
        <v>57192</v>
      </c>
      <c r="Z68" s="50">
        <v>59146</v>
      </c>
      <c r="AA68" s="50">
        <v>59747</v>
      </c>
      <c r="AB68" s="50">
        <v>60379</v>
      </c>
      <c r="AC68" s="50">
        <v>60915</v>
      </c>
      <c r="AD68" s="50">
        <v>61467</v>
      </c>
      <c r="AE68" s="50">
        <v>61487</v>
      </c>
      <c r="AF68" s="50">
        <v>62613</v>
      </c>
      <c r="AG68" s="50">
        <v>63351</v>
      </c>
      <c r="AH68" s="50">
        <v>64179</v>
      </c>
      <c r="AI68" s="50">
        <v>64781</v>
      </c>
      <c r="AJ68" s="50">
        <v>66321</v>
      </c>
      <c r="AK68" s="50">
        <v>66729</v>
      </c>
      <c r="AL68" s="50">
        <v>67552</v>
      </c>
      <c r="AM68" s="50">
        <v>68456</v>
      </c>
      <c r="AN68" s="50">
        <v>69193</v>
      </c>
      <c r="AO68" s="50">
        <v>69400</v>
      </c>
      <c r="AP68" s="50">
        <v>69965</v>
      </c>
      <c r="AQ68" s="50">
        <v>70374</v>
      </c>
      <c r="AR68" s="50">
        <v>70949</v>
      </c>
      <c r="AS68" s="50">
        <v>70519</v>
      </c>
      <c r="AT68" s="50">
        <v>70086</v>
      </c>
      <c r="AU68" s="50">
        <v>69054</v>
      </c>
      <c r="AV68" s="50">
        <v>69611</v>
      </c>
      <c r="AW68" s="50">
        <v>70419</v>
      </c>
      <c r="AX68" s="50">
        <v>72624</v>
      </c>
      <c r="AY68" s="50">
        <v>74219</v>
      </c>
      <c r="AZ68" s="50">
        <v>74208</v>
      </c>
      <c r="BA68" s="50">
        <v>74268</v>
      </c>
      <c r="BB68" s="50">
        <v>75005</v>
      </c>
      <c r="BC68" s="50">
        <v>75336</v>
      </c>
      <c r="BD68" s="50">
        <v>75962</v>
      </c>
      <c r="BE68" s="50">
        <v>76306</v>
      </c>
      <c r="BF68" s="50">
        <v>76960</v>
      </c>
      <c r="BG68" s="50">
        <v>77177</v>
      </c>
      <c r="BH68" s="50">
        <v>77930</v>
      </c>
      <c r="BI68" s="50">
        <v>78423</v>
      </c>
      <c r="BJ68" s="50">
        <v>78905</v>
      </c>
      <c r="BK68" s="50">
        <v>79526</v>
      </c>
      <c r="BL68" s="50">
        <v>80196</v>
      </c>
      <c r="BM68" s="50">
        <v>80861</v>
      </c>
      <c r="BN68" s="50">
        <v>81428</v>
      </c>
      <c r="BO68" s="50">
        <v>81960</v>
      </c>
      <c r="BP68" s="50">
        <v>82344</v>
      </c>
      <c r="BQ68" s="50">
        <v>82726</v>
      </c>
      <c r="BR68" s="50">
        <v>83084</v>
      </c>
      <c r="BS68" s="50">
        <v>83318</v>
      </c>
      <c r="BT68" s="50">
        <v>83657</v>
      </c>
      <c r="BU68" s="50">
        <v>83919</v>
      </c>
      <c r="BV68" s="50">
        <v>84264</v>
      </c>
      <c r="BW68" s="50">
        <v>84533</v>
      </c>
      <c r="BX68" s="50">
        <v>84899</v>
      </c>
      <c r="BY68" s="50">
        <v>85282</v>
      </c>
      <c r="BZ68" s="50">
        <v>85776</v>
      </c>
      <c r="CA68" s="50">
        <v>86139</v>
      </c>
      <c r="CB68" s="50">
        <v>86401</v>
      </c>
      <c r="CC68" s="50">
        <v>86778</v>
      </c>
      <c r="CD68" s="50">
        <v>87104</v>
      </c>
      <c r="CE68" s="50">
        <v>87387</v>
      </c>
      <c r="CF68" s="50">
        <v>87757</v>
      </c>
      <c r="CG68" s="50">
        <v>88050</v>
      </c>
      <c r="CH68" s="50">
        <v>88336</v>
      </c>
      <c r="CI68" s="50">
        <v>88658</v>
      </c>
      <c r="CJ68" s="50">
        <v>88868</v>
      </c>
      <c r="CK68" s="50">
        <v>89101</v>
      </c>
      <c r="CL68" s="50">
        <v>89412</v>
      </c>
      <c r="CM68" s="50">
        <v>89617</v>
      </c>
      <c r="CN68" s="50">
        <v>89876</v>
      </c>
      <c r="CO68" s="50">
        <v>90145</v>
      </c>
      <c r="CP68" s="50">
        <v>90365</v>
      </c>
      <c r="CQ68" s="50">
        <v>90601</v>
      </c>
      <c r="CR68" s="50">
        <v>90776</v>
      </c>
      <c r="CS68" s="50">
        <v>91000</v>
      </c>
      <c r="CT68" s="50">
        <v>91180</v>
      </c>
      <c r="CU68" s="50">
        <v>91375</v>
      </c>
      <c r="CV68" s="50">
        <v>91549</v>
      </c>
      <c r="CW68" s="50">
        <v>91720</v>
      </c>
      <c r="CX68" s="50">
        <v>91921</v>
      </c>
      <c r="CY68" s="50">
        <v>92060</v>
      </c>
      <c r="CZ68" s="50">
        <v>92229</v>
      </c>
      <c r="DA68" s="50">
        <v>92364</v>
      </c>
      <c r="DB68" s="50">
        <v>92543</v>
      </c>
      <c r="DC68" s="50">
        <v>92685</v>
      </c>
      <c r="DD68" s="50">
        <v>92835</v>
      </c>
      <c r="DE68" s="50">
        <v>92964</v>
      </c>
      <c r="DF68" s="50">
        <v>93136</v>
      </c>
      <c r="DG68" s="50">
        <v>93271</v>
      </c>
      <c r="DH68" s="50">
        <v>93402</v>
      </c>
      <c r="DI68" s="50">
        <v>93532</v>
      </c>
      <c r="DJ68" s="50">
        <v>93685</v>
      </c>
      <c r="DK68" s="50">
        <v>93803</v>
      </c>
      <c r="DL68" s="50">
        <v>93922</v>
      </c>
      <c r="DM68" s="50">
        <v>94055</v>
      </c>
      <c r="DN68" s="50">
        <v>94185</v>
      </c>
      <c r="DO68" s="50">
        <v>94312</v>
      </c>
    </row>
    <row r="69" spans="1:119">
      <c r="A69" s="50">
        <v>67</v>
      </c>
      <c r="B69" s="50"/>
      <c r="C69" s="50"/>
      <c r="D69" s="50"/>
      <c r="E69" s="50"/>
      <c r="F69" s="50"/>
      <c r="G69" s="50"/>
      <c r="H69" s="50"/>
      <c r="I69" s="50"/>
      <c r="J69" s="50"/>
      <c r="K69" s="50"/>
      <c r="L69" s="50"/>
      <c r="M69" s="50"/>
      <c r="N69" s="50"/>
      <c r="O69" s="50"/>
      <c r="P69" s="50"/>
      <c r="Q69" s="50"/>
      <c r="R69" s="50"/>
      <c r="S69" s="50"/>
      <c r="T69" s="50"/>
      <c r="U69" s="50"/>
      <c r="V69" s="50"/>
      <c r="W69" s="50">
        <v>54575</v>
      </c>
      <c r="X69" s="50">
        <v>55545</v>
      </c>
      <c r="Y69" s="50">
        <v>55599</v>
      </c>
      <c r="Z69" s="50">
        <v>57529</v>
      </c>
      <c r="AA69" s="50">
        <v>58180</v>
      </c>
      <c r="AB69" s="50">
        <v>58808</v>
      </c>
      <c r="AC69" s="50">
        <v>59303</v>
      </c>
      <c r="AD69" s="50">
        <v>59886</v>
      </c>
      <c r="AE69" s="50">
        <v>59889</v>
      </c>
      <c r="AF69" s="50">
        <v>61096</v>
      </c>
      <c r="AG69" s="50">
        <v>61860</v>
      </c>
      <c r="AH69" s="50">
        <v>62733</v>
      </c>
      <c r="AI69" s="50">
        <v>63340</v>
      </c>
      <c r="AJ69" s="50">
        <v>64943</v>
      </c>
      <c r="AK69" s="50">
        <v>65380</v>
      </c>
      <c r="AL69" s="50">
        <v>66234</v>
      </c>
      <c r="AM69" s="50">
        <v>67160</v>
      </c>
      <c r="AN69" s="50">
        <v>67944</v>
      </c>
      <c r="AO69" s="50">
        <v>68195</v>
      </c>
      <c r="AP69" s="50">
        <v>68753</v>
      </c>
      <c r="AQ69" s="50">
        <v>69171</v>
      </c>
      <c r="AR69" s="50">
        <v>69779</v>
      </c>
      <c r="AS69" s="50">
        <v>69374</v>
      </c>
      <c r="AT69" s="50">
        <v>68896</v>
      </c>
      <c r="AU69" s="50">
        <v>67924</v>
      </c>
      <c r="AV69" s="50">
        <v>68455</v>
      </c>
      <c r="AW69" s="50">
        <v>69282</v>
      </c>
      <c r="AX69" s="50">
        <v>71409</v>
      </c>
      <c r="AY69" s="50">
        <v>73008</v>
      </c>
      <c r="AZ69" s="50">
        <v>73022</v>
      </c>
      <c r="BA69" s="50">
        <v>73104</v>
      </c>
      <c r="BB69" s="50">
        <v>73853</v>
      </c>
      <c r="BC69" s="50">
        <v>74202</v>
      </c>
      <c r="BD69" s="50">
        <v>74840</v>
      </c>
      <c r="BE69" s="50">
        <v>75202</v>
      </c>
      <c r="BF69" s="50">
        <v>75869</v>
      </c>
      <c r="BG69" s="50">
        <v>76105</v>
      </c>
      <c r="BH69" s="50">
        <v>76869</v>
      </c>
      <c r="BI69" s="50">
        <v>77376</v>
      </c>
      <c r="BJ69" s="50">
        <v>77872</v>
      </c>
      <c r="BK69" s="50">
        <v>78506</v>
      </c>
      <c r="BL69" s="50">
        <v>79188</v>
      </c>
      <c r="BM69" s="50">
        <v>79865</v>
      </c>
      <c r="BN69" s="50">
        <v>80445</v>
      </c>
      <c r="BO69" s="50">
        <v>80990</v>
      </c>
      <c r="BP69" s="50">
        <v>81389</v>
      </c>
      <c r="BQ69" s="50">
        <v>81786</v>
      </c>
      <c r="BR69" s="50">
        <v>82159</v>
      </c>
      <c r="BS69" s="50">
        <v>82409</v>
      </c>
      <c r="BT69" s="50">
        <v>82763</v>
      </c>
      <c r="BU69" s="50">
        <v>83040</v>
      </c>
      <c r="BV69" s="50">
        <v>83400</v>
      </c>
      <c r="BW69" s="50">
        <v>83683</v>
      </c>
      <c r="BX69" s="50">
        <v>84063</v>
      </c>
      <c r="BY69" s="50">
        <v>84458</v>
      </c>
      <c r="BZ69" s="50">
        <v>84965</v>
      </c>
      <c r="CA69" s="50">
        <v>85341</v>
      </c>
      <c r="CB69" s="50">
        <v>85617</v>
      </c>
      <c r="CC69" s="50">
        <v>86006</v>
      </c>
      <c r="CD69" s="50">
        <v>86345</v>
      </c>
      <c r="CE69" s="50">
        <v>86640</v>
      </c>
      <c r="CF69" s="50">
        <v>87023</v>
      </c>
      <c r="CG69" s="50">
        <v>87328</v>
      </c>
      <c r="CH69" s="50">
        <v>87627</v>
      </c>
      <c r="CI69" s="50">
        <v>87960</v>
      </c>
      <c r="CJ69" s="50">
        <v>88182</v>
      </c>
      <c r="CK69" s="50">
        <v>88428</v>
      </c>
      <c r="CL69" s="50">
        <v>88750</v>
      </c>
      <c r="CM69" s="50">
        <v>88967</v>
      </c>
      <c r="CN69" s="50">
        <v>89237</v>
      </c>
      <c r="CO69" s="50">
        <v>89517</v>
      </c>
      <c r="CP69" s="50">
        <v>89748</v>
      </c>
      <c r="CQ69" s="50">
        <v>89995</v>
      </c>
      <c r="CR69" s="50">
        <v>90181</v>
      </c>
      <c r="CS69" s="50">
        <v>90416</v>
      </c>
      <c r="CT69" s="50">
        <v>90607</v>
      </c>
      <c r="CU69" s="50">
        <v>90812</v>
      </c>
      <c r="CV69" s="50">
        <v>90996</v>
      </c>
      <c r="CW69" s="50">
        <v>91177</v>
      </c>
      <c r="CX69" s="50">
        <v>91388</v>
      </c>
      <c r="CY69" s="50">
        <v>91537</v>
      </c>
      <c r="CZ69" s="50">
        <v>91716</v>
      </c>
      <c r="DA69" s="50">
        <v>91861</v>
      </c>
      <c r="DB69" s="50">
        <v>92048</v>
      </c>
      <c r="DC69" s="50">
        <v>92200</v>
      </c>
      <c r="DD69" s="50">
        <v>92359</v>
      </c>
      <c r="DE69" s="50">
        <v>92496</v>
      </c>
      <c r="DF69" s="50">
        <v>92677</v>
      </c>
      <c r="DG69" s="50">
        <v>92821</v>
      </c>
      <c r="DH69" s="50">
        <v>92960</v>
      </c>
      <c r="DI69" s="50">
        <v>93098</v>
      </c>
      <c r="DJ69" s="50">
        <v>93260</v>
      </c>
      <c r="DK69" s="50">
        <v>93385</v>
      </c>
      <c r="DL69" s="50">
        <v>93513</v>
      </c>
      <c r="DM69" s="50">
        <v>93654</v>
      </c>
      <c r="DN69" s="50">
        <v>93791</v>
      </c>
      <c r="DO69" s="50">
        <v>93925</v>
      </c>
    </row>
    <row r="70" spans="1:119">
      <c r="A70" s="50">
        <v>68</v>
      </c>
      <c r="B70" s="50"/>
      <c r="C70" s="50"/>
      <c r="D70" s="50"/>
      <c r="E70" s="50"/>
      <c r="F70" s="50"/>
      <c r="G70" s="50"/>
      <c r="H70" s="50"/>
      <c r="I70" s="50"/>
      <c r="J70" s="50"/>
      <c r="K70" s="50"/>
      <c r="L70" s="50"/>
      <c r="M70" s="50"/>
      <c r="N70" s="50"/>
      <c r="O70" s="50"/>
      <c r="P70" s="50"/>
      <c r="Q70" s="50"/>
      <c r="R70" s="50"/>
      <c r="S70" s="50"/>
      <c r="T70" s="50"/>
      <c r="U70" s="50"/>
      <c r="V70" s="50"/>
      <c r="W70" s="50">
        <v>52923</v>
      </c>
      <c r="X70" s="50">
        <v>53885</v>
      </c>
      <c r="Y70" s="50">
        <v>53972</v>
      </c>
      <c r="Z70" s="50">
        <v>55855</v>
      </c>
      <c r="AA70" s="50">
        <v>56533</v>
      </c>
      <c r="AB70" s="50">
        <v>57180</v>
      </c>
      <c r="AC70" s="50">
        <v>57622</v>
      </c>
      <c r="AD70" s="50">
        <v>58165</v>
      </c>
      <c r="AE70" s="50">
        <v>58268</v>
      </c>
      <c r="AF70" s="50">
        <v>59505</v>
      </c>
      <c r="AG70" s="50">
        <v>60296</v>
      </c>
      <c r="AH70" s="50">
        <v>61180</v>
      </c>
      <c r="AI70" s="50">
        <v>61883</v>
      </c>
      <c r="AJ70" s="50">
        <v>63465</v>
      </c>
      <c r="AK70" s="50">
        <v>63922</v>
      </c>
      <c r="AL70" s="50">
        <v>64878</v>
      </c>
      <c r="AM70" s="50">
        <v>65839</v>
      </c>
      <c r="AN70" s="50">
        <v>66658</v>
      </c>
      <c r="AO70" s="50">
        <v>66946</v>
      </c>
      <c r="AP70" s="50">
        <v>67499</v>
      </c>
      <c r="AQ70" s="50">
        <v>67929</v>
      </c>
      <c r="AR70" s="50">
        <v>68557</v>
      </c>
      <c r="AS70" s="50">
        <v>68127</v>
      </c>
      <c r="AT70" s="50">
        <v>67679</v>
      </c>
      <c r="AU70" s="50">
        <v>66723</v>
      </c>
      <c r="AV70" s="50">
        <v>67224</v>
      </c>
      <c r="AW70" s="50">
        <v>68073</v>
      </c>
      <c r="AX70" s="50">
        <v>70151</v>
      </c>
      <c r="AY70" s="50">
        <v>71747</v>
      </c>
      <c r="AZ70" s="50">
        <v>71786</v>
      </c>
      <c r="BA70" s="50">
        <v>71892</v>
      </c>
      <c r="BB70" s="50">
        <v>72652</v>
      </c>
      <c r="BC70" s="50">
        <v>73020</v>
      </c>
      <c r="BD70" s="50">
        <v>73672</v>
      </c>
      <c r="BE70" s="50">
        <v>74051</v>
      </c>
      <c r="BF70" s="50">
        <v>74731</v>
      </c>
      <c r="BG70" s="50">
        <v>74986</v>
      </c>
      <c r="BH70" s="50">
        <v>75761</v>
      </c>
      <c r="BI70" s="50">
        <v>76283</v>
      </c>
      <c r="BJ70" s="50">
        <v>76794</v>
      </c>
      <c r="BK70" s="50">
        <v>77441</v>
      </c>
      <c r="BL70" s="50">
        <v>78135</v>
      </c>
      <c r="BM70" s="50">
        <v>78824</v>
      </c>
      <c r="BN70" s="50">
        <v>79418</v>
      </c>
      <c r="BO70" s="50">
        <v>79977</v>
      </c>
      <c r="BP70" s="50">
        <v>80391</v>
      </c>
      <c r="BQ70" s="50">
        <v>80804</v>
      </c>
      <c r="BR70" s="50">
        <v>81192</v>
      </c>
      <c r="BS70" s="50">
        <v>81459</v>
      </c>
      <c r="BT70" s="50">
        <v>81828</v>
      </c>
      <c r="BU70" s="50">
        <v>82121</v>
      </c>
      <c r="BV70" s="50">
        <v>82495</v>
      </c>
      <c r="BW70" s="50">
        <v>82794</v>
      </c>
      <c r="BX70" s="50">
        <v>83188</v>
      </c>
      <c r="BY70" s="50">
        <v>83597</v>
      </c>
      <c r="BZ70" s="50">
        <v>84116</v>
      </c>
      <c r="CA70" s="50">
        <v>84505</v>
      </c>
      <c r="CB70" s="50">
        <v>84796</v>
      </c>
      <c r="CC70" s="50">
        <v>85198</v>
      </c>
      <c r="CD70" s="50">
        <v>85550</v>
      </c>
      <c r="CE70" s="50">
        <v>85859</v>
      </c>
      <c r="CF70" s="50">
        <v>86254</v>
      </c>
      <c r="CG70" s="50">
        <v>86572</v>
      </c>
      <c r="CH70" s="50">
        <v>86884</v>
      </c>
      <c r="CI70" s="50">
        <v>87229</v>
      </c>
      <c r="CJ70" s="50">
        <v>87464</v>
      </c>
      <c r="CK70" s="50">
        <v>87723</v>
      </c>
      <c r="CL70" s="50">
        <v>88056</v>
      </c>
      <c r="CM70" s="50">
        <v>88286</v>
      </c>
      <c r="CN70" s="50">
        <v>88568</v>
      </c>
      <c r="CO70" s="50">
        <v>88859</v>
      </c>
      <c r="CP70" s="50">
        <v>89102</v>
      </c>
      <c r="CQ70" s="50">
        <v>89360</v>
      </c>
      <c r="CR70" s="50">
        <v>89558</v>
      </c>
      <c r="CS70" s="50">
        <v>89804</v>
      </c>
      <c r="CT70" s="50">
        <v>90006</v>
      </c>
      <c r="CU70" s="50">
        <v>90221</v>
      </c>
      <c r="CV70" s="50">
        <v>90416</v>
      </c>
      <c r="CW70" s="50">
        <v>90608</v>
      </c>
      <c r="CX70" s="50">
        <v>90829</v>
      </c>
      <c r="CY70" s="50">
        <v>90989</v>
      </c>
      <c r="CZ70" s="50">
        <v>91178</v>
      </c>
      <c r="DA70" s="50">
        <v>91333</v>
      </c>
      <c r="DB70" s="50">
        <v>91529</v>
      </c>
      <c r="DC70" s="50">
        <v>91691</v>
      </c>
      <c r="DD70" s="50">
        <v>91860</v>
      </c>
      <c r="DE70" s="50">
        <v>92006</v>
      </c>
      <c r="DF70" s="50">
        <v>92196</v>
      </c>
      <c r="DG70" s="50">
        <v>92349</v>
      </c>
      <c r="DH70" s="50">
        <v>92497</v>
      </c>
      <c r="DI70" s="50">
        <v>92644</v>
      </c>
      <c r="DJ70" s="50">
        <v>92814</v>
      </c>
      <c r="DK70" s="50">
        <v>92948</v>
      </c>
      <c r="DL70" s="50">
        <v>93084</v>
      </c>
      <c r="DM70" s="50">
        <v>93232</v>
      </c>
      <c r="DN70" s="50">
        <v>93378</v>
      </c>
      <c r="DO70" s="50">
        <v>93519</v>
      </c>
    </row>
    <row r="71" spans="1:119">
      <c r="A71" s="50">
        <v>69</v>
      </c>
      <c r="B71" s="50"/>
      <c r="C71" s="50"/>
      <c r="D71" s="50"/>
      <c r="E71" s="50"/>
      <c r="F71" s="50"/>
      <c r="G71" s="50"/>
      <c r="H71" s="50"/>
      <c r="I71" s="50"/>
      <c r="J71" s="50"/>
      <c r="K71" s="50"/>
      <c r="L71" s="50"/>
      <c r="M71" s="50"/>
      <c r="N71" s="50"/>
      <c r="O71" s="50"/>
      <c r="P71" s="50"/>
      <c r="Q71" s="50"/>
      <c r="R71" s="50"/>
      <c r="S71" s="50"/>
      <c r="T71" s="50"/>
      <c r="U71" s="50"/>
      <c r="V71" s="50"/>
      <c r="W71" s="50">
        <v>51171</v>
      </c>
      <c r="X71" s="50">
        <v>52151</v>
      </c>
      <c r="Y71" s="50">
        <v>52272</v>
      </c>
      <c r="Z71" s="50">
        <v>54102</v>
      </c>
      <c r="AA71" s="50">
        <v>54827</v>
      </c>
      <c r="AB71" s="50">
        <v>55486</v>
      </c>
      <c r="AC71" s="50">
        <v>55887</v>
      </c>
      <c r="AD71" s="50">
        <v>56417</v>
      </c>
      <c r="AE71" s="50">
        <v>56591</v>
      </c>
      <c r="AF71" s="50">
        <v>57830</v>
      </c>
      <c r="AG71" s="50">
        <v>58663</v>
      </c>
      <c r="AH71" s="50">
        <v>59615</v>
      </c>
      <c r="AI71" s="50">
        <v>60360</v>
      </c>
      <c r="AJ71" s="50">
        <v>61904</v>
      </c>
      <c r="AK71" s="50">
        <v>62439</v>
      </c>
      <c r="AL71" s="50">
        <v>63446</v>
      </c>
      <c r="AM71" s="50">
        <v>64447</v>
      </c>
      <c r="AN71" s="50">
        <v>65319</v>
      </c>
      <c r="AO71" s="50">
        <v>65617</v>
      </c>
      <c r="AP71" s="50">
        <v>66180</v>
      </c>
      <c r="AQ71" s="50">
        <v>66614</v>
      </c>
      <c r="AR71" s="50">
        <v>67252</v>
      </c>
      <c r="AS71" s="50">
        <v>66824</v>
      </c>
      <c r="AT71" s="50">
        <v>66344</v>
      </c>
      <c r="AU71" s="50">
        <v>65451</v>
      </c>
      <c r="AV71" s="50">
        <v>65939</v>
      </c>
      <c r="AW71" s="50">
        <v>66779</v>
      </c>
      <c r="AX71" s="50">
        <v>68843</v>
      </c>
      <c r="AY71" s="50">
        <v>70436</v>
      </c>
      <c r="AZ71" s="50">
        <v>70500</v>
      </c>
      <c r="BA71" s="50">
        <v>70630</v>
      </c>
      <c r="BB71" s="50">
        <v>71402</v>
      </c>
      <c r="BC71" s="50">
        <v>71788</v>
      </c>
      <c r="BD71" s="50">
        <v>72454</v>
      </c>
      <c r="BE71" s="50">
        <v>72851</v>
      </c>
      <c r="BF71" s="50">
        <v>73544</v>
      </c>
      <c r="BG71" s="50">
        <v>73819</v>
      </c>
      <c r="BH71" s="50">
        <v>74605</v>
      </c>
      <c r="BI71" s="50">
        <v>75143</v>
      </c>
      <c r="BJ71" s="50">
        <v>75669</v>
      </c>
      <c r="BK71" s="50">
        <v>76328</v>
      </c>
      <c r="BL71" s="50">
        <v>77035</v>
      </c>
      <c r="BM71" s="50">
        <v>77737</v>
      </c>
      <c r="BN71" s="50">
        <v>78345</v>
      </c>
      <c r="BO71" s="50">
        <v>78918</v>
      </c>
      <c r="BP71" s="50">
        <v>79349</v>
      </c>
      <c r="BQ71" s="50">
        <v>79777</v>
      </c>
      <c r="BR71" s="50">
        <v>80182</v>
      </c>
      <c r="BS71" s="50">
        <v>80466</v>
      </c>
      <c r="BT71" s="50">
        <v>80850</v>
      </c>
      <c r="BU71" s="50">
        <v>81160</v>
      </c>
      <c r="BV71" s="50">
        <v>81550</v>
      </c>
      <c r="BW71" s="50">
        <v>81864</v>
      </c>
      <c r="BX71" s="50">
        <v>82272</v>
      </c>
      <c r="BY71" s="50">
        <v>82696</v>
      </c>
      <c r="BZ71" s="50">
        <v>83227</v>
      </c>
      <c r="CA71" s="50">
        <v>83631</v>
      </c>
      <c r="CB71" s="50">
        <v>83936</v>
      </c>
      <c r="CC71" s="50">
        <v>84351</v>
      </c>
      <c r="CD71" s="50">
        <v>84718</v>
      </c>
      <c r="CE71" s="50">
        <v>85040</v>
      </c>
      <c r="CF71" s="50">
        <v>85449</v>
      </c>
      <c r="CG71" s="50">
        <v>85780</v>
      </c>
      <c r="CH71" s="50">
        <v>86105</v>
      </c>
      <c r="CI71" s="50">
        <v>86463</v>
      </c>
      <c r="CJ71" s="50">
        <v>86712</v>
      </c>
      <c r="CK71" s="50">
        <v>86983</v>
      </c>
      <c r="CL71" s="50">
        <v>87329</v>
      </c>
      <c r="CM71" s="50">
        <v>87572</v>
      </c>
      <c r="CN71" s="50">
        <v>87866</v>
      </c>
      <c r="CO71" s="50">
        <v>88169</v>
      </c>
      <c r="CP71" s="50">
        <v>88424</v>
      </c>
      <c r="CQ71" s="50">
        <v>88694</v>
      </c>
      <c r="CR71" s="50">
        <v>88904</v>
      </c>
      <c r="CS71" s="50">
        <v>89161</v>
      </c>
      <c r="CT71" s="50">
        <v>89375</v>
      </c>
      <c r="CU71" s="50">
        <v>89602</v>
      </c>
      <c r="CV71" s="50">
        <v>89808</v>
      </c>
      <c r="CW71" s="50">
        <v>90011</v>
      </c>
      <c r="CX71" s="50">
        <v>90243</v>
      </c>
      <c r="CY71" s="50">
        <v>90413</v>
      </c>
      <c r="CZ71" s="50">
        <v>90613</v>
      </c>
      <c r="DA71" s="50">
        <v>90778</v>
      </c>
      <c r="DB71" s="50">
        <v>90985</v>
      </c>
      <c r="DC71" s="50">
        <v>91157</v>
      </c>
      <c r="DD71" s="50">
        <v>91335</v>
      </c>
      <c r="DE71" s="50">
        <v>91492</v>
      </c>
      <c r="DF71" s="50">
        <v>91691</v>
      </c>
      <c r="DG71" s="50">
        <v>91853</v>
      </c>
      <c r="DH71" s="50">
        <v>92011</v>
      </c>
      <c r="DI71" s="50">
        <v>92167</v>
      </c>
      <c r="DJ71" s="50">
        <v>92345</v>
      </c>
      <c r="DK71" s="50">
        <v>92488</v>
      </c>
      <c r="DL71" s="50">
        <v>92633</v>
      </c>
      <c r="DM71" s="50">
        <v>92790</v>
      </c>
      <c r="DN71" s="50">
        <v>92943</v>
      </c>
      <c r="DO71" s="50">
        <v>93094</v>
      </c>
    </row>
    <row r="72" spans="1:119">
      <c r="A72" s="50">
        <v>70</v>
      </c>
      <c r="B72" s="50"/>
      <c r="C72" s="50"/>
      <c r="D72" s="50"/>
      <c r="E72" s="50"/>
      <c r="F72" s="50"/>
      <c r="G72" s="50"/>
      <c r="H72" s="50"/>
      <c r="I72" s="50"/>
      <c r="J72" s="50"/>
      <c r="K72" s="50"/>
      <c r="L72" s="50"/>
      <c r="M72" s="50"/>
      <c r="N72" s="50"/>
      <c r="O72" s="50"/>
      <c r="P72" s="50"/>
      <c r="Q72" s="50"/>
      <c r="R72" s="50"/>
      <c r="S72" s="50"/>
      <c r="T72" s="50"/>
      <c r="U72" s="50"/>
      <c r="V72" s="50"/>
      <c r="W72" s="50">
        <v>49364</v>
      </c>
      <c r="X72" s="50">
        <v>50354</v>
      </c>
      <c r="Y72" s="50">
        <v>50499</v>
      </c>
      <c r="Z72" s="50">
        <v>52306</v>
      </c>
      <c r="AA72" s="50">
        <v>53043</v>
      </c>
      <c r="AB72" s="50">
        <v>53665</v>
      </c>
      <c r="AC72" s="50">
        <v>54135</v>
      </c>
      <c r="AD72" s="50">
        <v>54657</v>
      </c>
      <c r="AE72" s="50">
        <v>54843</v>
      </c>
      <c r="AF72" s="50">
        <v>56156</v>
      </c>
      <c r="AG72" s="50">
        <v>57015</v>
      </c>
      <c r="AH72" s="50">
        <v>58002</v>
      </c>
      <c r="AI72" s="50">
        <v>58745</v>
      </c>
      <c r="AJ72" s="50">
        <v>60330</v>
      </c>
      <c r="AK72" s="50">
        <v>60926</v>
      </c>
      <c r="AL72" s="50">
        <v>61990</v>
      </c>
      <c r="AM72" s="50">
        <v>63027</v>
      </c>
      <c r="AN72" s="50">
        <v>63909</v>
      </c>
      <c r="AO72" s="50">
        <v>64197</v>
      </c>
      <c r="AP72" s="50">
        <v>64792</v>
      </c>
      <c r="AQ72" s="50">
        <v>65210</v>
      </c>
      <c r="AR72" s="50">
        <v>65879</v>
      </c>
      <c r="AS72" s="50">
        <v>65431</v>
      </c>
      <c r="AT72" s="50">
        <v>65027</v>
      </c>
      <c r="AU72" s="50">
        <v>64081</v>
      </c>
      <c r="AV72" s="50">
        <v>64584</v>
      </c>
      <c r="AW72" s="50">
        <v>65434</v>
      </c>
      <c r="AX72" s="50">
        <v>67485</v>
      </c>
      <c r="AY72" s="50">
        <v>69074</v>
      </c>
      <c r="AZ72" s="50">
        <v>69163</v>
      </c>
      <c r="BA72" s="50">
        <v>69317</v>
      </c>
      <c r="BB72" s="50">
        <v>70102</v>
      </c>
      <c r="BC72" s="50">
        <v>70506</v>
      </c>
      <c r="BD72" s="50">
        <v>71186</v>
      </c>
      <c r="BE72" s="50">
        <v>71601</v>
      </c>
      <c r="BF72" s="50">
        <v>72307</v>
      </c>
      <c r="BG72" s="50">
        <v>72602</v>
      </c>
      <c r="BH72" s="50">
        <v>73400</v>
      </c>
      <c r="BI72" s="50">
        <v>73953</v>
      </c>
      <c r="BJ72" s="50">
        <v>74494</v>
      </c>
      <c r="BK72" s="50">
        <v>75167</v>
      </c>
      <c r="BL72" s="50">
        <v>75886</v>
      </c>
      <c r="BM72" s="50">
        <v>76602</v>
      </c>
      <c r="BN72" s="50">
        <v>77224</v>
      </c>
      <c r="BO72" s="50">
        <v>77812</v>
      </c>
      <c r="BP72" s="50">
        <v>78259</v>
      </c>
      <c r="BQ72" s="50">
        <v>78704</v>
      </c>
      <c r="BR72" s="50">
        <v>79125</v>
      </c>
      <c r="BS72" s="50">
        <v>79427</v>
      </c>
      <c r="BT72" s="50">
        <v>79828</v>
      </c>
      <c r="BU72" s="50">
        <v>80155</v>
      </c>
      <c r="BV72" s="50">
        <v>80560</v>
      </c>
      <c r="BW72" s="50">
        <v>80891</v>
      </c>
      <c r="BX72" s="50">
        <v>81314</v>
      </c>
      <c r="BY72" s="50">
        <v>81752</v>
      </c>
      <c r="BZ72" s="50">
        <v>82297</v>
      </c>
      <c r="CA72" s="50">
        <v>82715</v>
      </c>
      <c r="CB72" s="50">
        <v>83035</v>
      </c>
      <c r="CC72" s="50">
        <v>83465</v>
      </c>
      <c r="CD72" s="50">
        <v>83845</v>
      </c>
      <c r="CE72" s="50">
        <v>84182</v>
      </c>
      <c r="CF72" s="50">
        <v>84604</v>
      </c>
      <c r="CG72" s="50">
        <v>84949</v>
      </c>
      <c r="CH72" s="50">
        <v>85288</v>
      </c>
      <c r="CI72" s="50">
        <v>85660</v>
      </c>
      <c r="CJ72" s="50">
        <v>85922</v>
      </c>
      <c r="CK72" s="50">
        <v>86207</v>
      </c>
      <c r="CL72" s="50">
        <v>86566</v>
      </c>
      <c r="CM72" s="50">
        <v>86822</v>
      </c>
      <c r="CN72" s="50">
        <v>87129</v>
      </c>
      <c r="CO72" s="50">
        <v>87445</v>
      </c>
      <c r="CP72" s="50">
        <v>87712</v>
      </c>
      <c r="CQ72" s="50">
        <v>87995</v>
      </c>
      <c r="CR72" s="50">
        <v>88217</v>
      </c>
      <c r="CS72" s="50">
        <v>88487</v>
      </c>
      <c r="CT72" s="50">
        <v>88712</v>
      </c>
      <c r="CU72" s="50">
        <v>88951</v>
      </c>
      <c r="CV72" s="50">
        <v>89169</v>
      </c>
      <c r="CW72" s="50">
        <v>89384</v>
      </c>
      <c r="CX72" s="50">
        <v>89626</v>
      </c>
      <c r="CY72" s="50">
        <v>89809</v>
      </c>
      <c r="CZ72" s="50">
        <v>90019</v>
      </c>
      <c r="DA72" s="50">
        <v>90195</v>
      </c>
      <c r="DB72" s="50">
        <v>90413</v>
      </c>
      <c r="DC72" s="50">
        <v>90595</v>
      </c>
      <c r="DD72" s="50">
        <v>90784</v>
      </c>
      <c r="DE72" s="50">
        <v>90951</v>
      </c>
      <c r="DF72" s="50">
        <v>91159</v>
      </c>
      <c r="DG72" s="50">
        <v>91332</v>
      </c>
      <c r="DH72" s="50">
        <v>91499</v>
      </c>
      <c r="DI72" s="50">
        <v>91665</v>
      </c>
      <c r="DJ72" s="50">
        <v>91852</v>
      </c>
      <c r="DK72" s="50">
        <v>92005</v>
      </c>
      <c r="DL72" s="50">
        <v>92158</v>
      </c>
      <c r="DM72" s="50">
        <v>92324</v>
      </c>
      <c r="DN72" s="50">
        <v>92486</v>
      </c>
      <c r="DO72" s="50">
        <v>92645</v>
      </c>
    </row>
    <row r="73" spans="1:119">
      <c r="A73" s="50">
        <v>71</v>
      </c>
      <c r="B73" s="50"/>
      <c r="C73" s="50"/>
      <c r="D73" s="50"/>
      <c r="E73" s="50"/>
      <c r="F73" s="50"/>
      <c r="G73" s="50"/>
      <c r="H73" s="50"/>
      <c r="I73" s="50"/>
      <c r="J73" s="50"/>
      <c r="K73" s="50"/>
      <c r="L73" s="50"/>
      <c r="M73" s="50"/>
      <c r="N73" s="50"/>
      <c r="O73" s="50"/>
      <c r="P73" s="50"/>
      <c r="Q73" s="50"/>
      <c r="R73" s="50"/>
      <c r="S73" s="50"/>
      <c r="T73" s="50"/>
      <c r="U73" s="50"/>
      <c r="V73" s="50"/>
      <c r="W73" s="50">
        <v>47496</v>
      </c>
      <c r="X73" s="50">
        <v>48498</v>
      </c>
      <c r="Y73" s="50">
        <v>48653</v>
      </c>
      <c r="Z73" s="50">
        <v>50392</v>
      </c>
      <c r="AA73" s="50">
        <v>51179</v>
      </c>
      <c r="AB73" s="50">
        <v>51888</v>
      </c>
      <c r="AC73" s="50">
        <v>52321</v>
      </c>
      <c r="AD73" s="50">
        <v>52846</v>
      </c>
      <c r="AE73" s="50">
        <v>53061</v>
      </c>
      <c r="AF73" s="50">
        <v>54390</v>
      </c>
      <c r="AG73" s="50">
        <v>55307</v>
      </c>
      <c r="AH73" s="50">
        <v>56275</v>
      </c>
      <c r="AI73" s="50">
        <v>57107</v>
      </c>
      <c r="AJ73" s="50">
        <v>58680</v>
      </c>
      <c r="AK73" s="50">
        <v>59384</v>
      </c>
      <c r="AL73" s="50">
        <v>60453</v>
      </c>
      <c r="AM73" s="50">
        <v>61525</v>
      </c>
      <c r="AN73" s="50">
        <v>62423</v>
      </c>
      <c r="AO73" s="50">
        <v>62729</v>
      </c>
      <c r="AP73" s="50">
        <v>63296</v>
      </c>
      <c r="AQ73" s="50">
        <v>63765</v>
      </c>
      <c r="AR73" s="50">
        <v>64408</v>
      </c>
      <c r="AS73" s="50">
        <v>64013</v>
      </c>
      <c r="AT73" s="50">
        <v>63541</v>
      </c>
      <c r="AU73" s="50">
        <v>62659</v>
      </c>
      <c r="AV73" s="50">
        <v>63179</v>
      </c>
      <c r="AW73" s="50">
        <v>64038</v>
      </c>
      <c r="AX73" s="50">
        <v>66073</v>
      </c>
      <c r="AY73" s="50">
        <v>67658</v>
      </c>
      <c r="AZ73" s="50">
        <v>67773</v>
      </c>
      <c r="BA73" s="50">
        <v>67951</v>
      </c>
      <c r="BB73" s="50">
        <v>68748</v>
      </c>
      <c r="BC73" s="50">
        <v>69172</v>
      </c>
      <c r="BD73" s="50">
        <v>69865</v>
      </c>
      <c r="BE73" s="50">
        <v>70299</v>
      </c>
      <c r="BF73" s="50">
        <v>71018</v>
      </c>
      <c r="BG73" s="50">
        <v>71333</v>
      </c>
      <c r="BH73" s="50">
        <v>72142</v>
      </c>
      <c r="BI73" s="50">
        <v>72711</v>
      </c>
      <c r="BJ73" s="50">
        <v>73268</v>
      </c>
      <c r="BK73" s="50">
        <v>73955</v>
      </c>
      <c r="BL73" s="50">
        <v>74687</v>
      </c>
      <c r="BM73" s="50">
        <v>75416</v>
      </c>
      <c r="BN73" s="50">
        <v>76053</v>
      </c>
      <c r="BO73" s="50">
        <v>76656</v>
      </c>
      <c r="BP73" s="50">
        <v>77120</v>
      </c>
      <c r="BQ73" s="50">
        <v>77582</v>
      </c>
      <c r="BR73" s="50">
        <v>78020</v>
      </c>
      <c r="BS73" s="50">
        <v>78340</v>
      </c>
      <c r="BT73" s="50">
        <v>78757</v>
      </c>
      <c r="BU73" s="50">
        <v>79102</v>
      </c>
      <c r="BV73" s="50">
        <v>79523</v>
      </c>
      <c r="BW73" s="50">
        <v>79871</v>
      </c>
      <c r="BX73" s="50">
        <v>80310</v>
      </c>
      <c r="BY73" s="50">
        <v>80763</v>
      </c>
      <c r="BZ73" s="50">
        <v>81321</v>
      </c>
      <c r="CA73" s="50">
        <v>81754</v>
      </c>
      <c r="CB73" s="50">
        <v>82091</v>
      </c>
      <c r="CC73" s="50">
        <v>82534</v>
      </c>
      <c r="CD73" s="50">
        <v>82930</v>
      </c>
      <c r="CE73" s="50">
        <v>83282</v>
      </c>
      <c r="CF73" s="50">
        <v>83717</v>
      </c>
      <c r="CG73" s="50">
        <v>84077</v>
      </c>
      <c r="CH73" s="50">
        <v>84430</v>
      </c>
      <c r="CI73" s="50">
        <v>84816</v>
      </c>
      <c r="CJ73" s="50">
        <v>85093</v>
      </c>
      <c r="CK73" s="50">
        <v>85392</v>
      </c>
      <c r="CL73" s="50">
        <v>85764</v>
      </c>
      <c r="CM73" s="50">
        <v>86034</v>
      </c>
      <c r="CN73" s="50">
        <v>86354</v>
      </c>
      <c r="CO73" s="50">
        <v>86683</v>
      </c>
      <c r="CP73" s="50">
        <v>86963</v>
      </c>
      <c r="CQ73" s="50">
        <v>87259</v>
      </c>
      <c r="CR73" s="50">
        <v>87495</v>
      </c>
      <c r="CS73" s="50">
        <v>87776</v>
      </c>
      <c r="CT73" s="50">
        <v>88015</v>
      </c>
      <c r="CU73" s="50">
        <v>88266</v>
      </c>
      <c r="CV73" s="50">
        <v>88496</v>
      </c>
      <c r="CW73" s="50">
        <v>88723</v>
      </c>
      <c r="CX73" s="50">
        <v>88977</v>
      </c>
      <c r="CY73" s="50">
        <v>89171</v>
      </c>
      <c r="CZ73" s="50">
        <v>89393</v>
      </c>
      <c r="DA73" s="50">
        <v>89581</v>
      </c>
      <c r="DB73" s="50">
        <v>89810</v>
      </c>
      <c r="DC73" s="50">
        <v>90003</v>
      </c>
      <c r="DD73" s="50">
        <v>90203</v>
      </c>
      <c r="DE73" s="50">
        <v>90380</v>
      </c>
      <c r="DF73" s="50">
        <v>90599</v>
      </c>
      <c r="DG73" s="50">
        <v>90782</v>
      </c>
      <c r="DH73" s="50">
        <v>90959</v>
      </c>
      <c r="DI73" s="50">
        <v>91135</v>
      </c>
      <c r="DJ73" s="50">
        <v>91333</v>
      </c>
      <c r="DK73" s="50">
        <v>91494</v>
      </c>
      <c r="DL73" s="50">
        <v>91658</v>
      </c>
      <c r="DM73" s="50">
        <v>91833</v>
      </c>
      <c r="DN73" s="50">
        <v>92004</v>
      </c>
      <c r="DO73" s="50">
        <v>92172</v>
      </c>
    </row>
    <row r="74" spans="1:119">
      <c r="A74" s="50">
        <v>72</v>
      </c>
      <c r="B74" s="50"/>
      <c r="C74" s="50"/>
      <c r="D74" s="50"/>
      <c r="E74" s="50"/>
      <c r="F74" s="50"/>
      <c r="G74" s="50"/>
      <c r="H74" s="50"/>
      <c r="I74" s="50"/>
      <c r="J74" s="50"/>
      <c r="K74" s="50"/>
      <c r="L74" s="50"/>
      <c r="M74" s="50"/>
      <c r="N74" s="50"/>
      <c r="O74" s="50"/>
      <c r="P74" s="50"/>
      <c r="Q74" s="50"/>
      <c r="R74" s="50"/>
      <c r="S74" s="50"/>
      <c r="T74" s="50"/>
      <c r="U74" s="50"/>
      <c r="V74" s="50"/>
      <c r="W74" s="50">
        <v>45529</v>
      </c>
      <c r="X74" s="50">
        <v>46545</v>
      </c>
      <c r="Y74" s="50">
        <v>46733</v>
      </c>
      <c r="Z74" s="50">
        <v>48390</v>
      </c>
      <c r="AA74" s="50">
        <v>49262</v>
      </c>
      <c r="AB74" s="50">
        <v>50015</v>
      </c>
      <c r="AC74" s="50">
        <v>50441</v>
      </c>
      <c r="AD74" s="50">
        <v>50975</v>
      </c>
      <c r="AE74" s="50">
        <v>51231</v>
      </c>
      <c r="AF74" s="50">
        <v>52574</v>
      </c>
      <c r="AG74" s="50">
        <v>53492</v>
      </c>
      <c r="AH74" s="50">
        <v>54551</v>
      </c>
      <c r="AI74" s="50">
        <v>55415</v>
      </c>
      <c r="AJ74" s="50">
        <v>57000</v>
      </c>
      <c r="AK74" s="50">
        <v>57748</v>
      </c>
      <c r="AL74" s="50">
        <v>58857</v>
      </c>
      <c r="AM74" s="50">
        <v>59950</v>
      </c>
      <c r="AN74" s="50">
        <v>60873</v>
      </c>
      <c r="AO74" s="50">
        <v>61167</v>
      </c>
      <c r="AP74" s="50">
        <v>61758</v>
      </c>
      <c r="AQ74" s="50">
        <v>62208</v>
      </c>
      <c r="AR74" s="50">
        <v>62889</v>
      </c>
      <c r="AS74" s="50">
        <v>62434</v>
      </c>
      <c r="AT74" s="50">
        <v>62014</v>
      </c>
      <c r="AU74" s="50">
        <v>61182</v>
      </c>
      <c r="AV74" s="50">
        <v>61719</v>
      </c>
      <c r="AW74" s="50">
        <v>62587</v>
      </c>
      <c r="AX74" s="50">
        <v>64605</v>
      </c>
      <c r="AY74" s="50">
        <v>66184</v>
      </c>
      <c r="AZ74" s="50">
        <v>66326</v>
      </c>
      <c r="BA74" s="50">
        <v>66528</v>
      </c>
      <c r="BB74" s="50">
        <v>67336</v>
      </c>
      <c r="BC74" s="50">
        <v>67779</v>
      </c>
      <c r="BD74" s="50">
        <v>68486</v>
      </c>
      <c r="BE74" s="50">
        <v>68938</v>
      </c>
      <c r="BF74" s="50">
        <v>69670</v>
      </c>
      <c r="BG74" s="50">
        <v>70005</v>
      </c>
      <c r="BH74" s="50">
        <v>70826</v>
      </c>
      <c r="BI74" s="50">
        <v>71410</v>
      </c>
      <c r="BJ74" s="50">
        <v>71983</v>
      </c>
      <c r="BK74" s="50">
        <v>72684</v>
      </c>
      <c r="BL74" s="50">
        <v>73430</v>
      </c>
      <c r="BM74" s="50">
        <v>74171</v>
      </c>
      <c r="BN74" s="50">
        <v>74823</v>
      </c>
      <c r="BO74" s="50">
        <v>75442</v>
      </c>
      <c r="BP74" s="50">
        <v>75923</v>
      </c>
      <c r="BQ74" s="50">
        <v>76402</v>
      </c>
      <c r="BR74" s="50">
        <v>76857</v>
      </c>
      <c r="BS74" s="50">
        <v>77196</v>
      </c>
      <c r="BT74" s="50">
        <v>77630</v>
      </c>
      <c r="BU74" s="50">
        <v>77992</v>
      </c>
      <c r="BV74" s="50">
        <v>78430</v>
      </c>
      <c r="BW74" s="50">
        <v>78795</v>
      </c>
      <c r="BX74" s="50">
        <v>79250</v>
      </c>
      <c r="BY74" s="50">
        <v>79719</v>
      </c>
      <c r="BZ74" s="50">
        <v>80291</v>
      </c>
      <c r="CA74" s="50">
        <v>80739</v>
      </c>
      <c r="CB74" s="50">
        <v>81092</v>
      </c>
      <c r="CC74" s="50">
        <v>81550</v>
      </c>
      <c r="CD74" s="50">
        <v>81961</v>
      </c>
      <c r="CE74" s="50">
        <v>82328</v>
      </c>
      <c r="CF74" s="50">
        <v>82778</v>
      </c>
      <c r="CG74" s="50">
        <v>83153</v>
      </c>
      <c r="CH74" s="50">
        <v>83520</v>
      </c>
      <c r="CI74" s="50">
        <v>83920</v>
      </c>
      <c r="CJ74" s="50">
        <v>84213</v>
      </c>
      <c r="CK74" s="50">
        <v>84526</v>
      </c>
      <c r="CL74" s="50">
        <v>84912</v>
      </c>
      <c r="CM74" s="50">
        <v>85197</v>
      </c>
      <c r="CN74" s="50">
        <v>85530</v>
      </c>
      <c r="CO74" s="50">
        <v>85873</v>
      </c>
      <c r="CP74" s="50">
        <v>86167</v>
      </c>
      <c r="CQ74" s="50">
        <v>86476</v>
      </c>
      <c r="CR74" s="50">
        <v>86725</v>
      </c>
      <c r="CS74" s="50">
        <v>87020</v>
      </c>
      <c r="CT74" s="50">
        <v>87272</v>
      </c>
      <c r="CU74" s="50">
        <v>87536</v>
      </c>
      <c r="CV74" s="50">
        <v>87779</v>
      </c>
      <c r="CW74" s="50">
        <v>88018</v>
      </c>
      <c r="CX74" s="50">
        <v>88284</v>
      </c>
      <c r="CY74" s="50">
        <v>88491</v>
      </c>
      <c r="CZ74" s="50">
        <v>88725</v>
      </c>
      <c r="DA74" s="50">
        <v>88925</v>
      </c>
      <c r="DB74" s="50">
        <v>89165</v>
      </c>
      <c r="DC74" s="50">
        <v>89370</v>
      </c>
      <c r="DD74" s="50">
        <v>89581</v>
      </c>
      <c r="DE74" s="50">
        <v>89770</v>
      </c>
      <c r="DF74" s="50">
        <v>90000</v>
      </c>
      <c r="DG74" s="50">
        <v>90193</v>
      </c>
      <c r="DH74" s="50">
        <v>90381</v>
      </c>
      <c r="DI74" s="50">
        <v>90567</v>
      </c>
      <c r="DJ74" s="50">
        <v>90775</v>
      </c>
      <c r="DK74" s="50">
        <v>90947</v>
      </c>
      <c r="DL74" s="50">
        <v>91120</v>
      </c>
      <c r="DM74" s="50">
        <v>91306</v>
      </c>
      <c r="DN74" s="50">
        <v>91487</v>
      </c>
      <c r="DO74" s="50">
        <v>91664</v>
      </c>
    </row>
    <row r="75" spans="1:119">
      <c r="A75" s="50">
        <v>73</v>
      </c>
      <c r="B75" s="50"/>
      <c r="C75" s="50"/>
      <c r="D75" s="50"/>
      <c r="E75" s="50"/>
      <c r="F75" s="50"/>
      <c r="G75" s="50"/>
      <c r="H75" s="50"/>
      <c r="I75" s="50"/>
      <c r="J75" s="50"/>
      <c r="K75" s="50"/>
      <c r="L75" s="50"/>
      <c r="M75" s="50"/>
      <c r="N75" s="50"/>
      <c r="O75" s="50"/>
      <c r="P75" s="50"/>
      <c r="Q75" s="50"/>
      <c r="R75" s="50"/>
      <c r="S75" s="50"/>
      <c r="T75" s="50"/>
      <c r="U75" s="50"/>
      <c r="V75" s="50"/>
      <c r="W75" s="50">
        <v>43516</v>
      </c>
      <c r="X75" s="50">
        <v>44542</v>
      </c>
      <c r="Y75" s="50">
        <v>44692</v>
      </c>
      <c r="Z75" s="50">
        <v>46427</v>
      </c>
      <c r="AA75" s="50">
        <v>47301</v>
      </c>
      <c r="AB75" s="50">
        <v>48075</v>
      </c>
      <c r="AC75" s="50">
        <v>48552</v>
      </c>
      <c r="AD75" s="50">
        <v>49119</v>
      </c>
      <c r="AE75" s="50">
        <v>49348</v>
      </c>
      <c r="AF75" s="50">
        <v>50661</v>
      </c>
      <c r="AG75" s="50">
        <v>51645</v>
      </c>
      <c r="AH75" s="50">
        <v>52779</v>
      </c>
      <c r="AI75" s="50">
        <v>53670</v>
      </c>
      <c r="AJ75" s="50">
        <v>55256</v>
      </c>
      <c r="AK75" s="50">
        <v>56039</v>
      </c>
      <c r="AL75" s="50">
        <v>57183</v>
      </c>
      <c r="AM75" s="50">
        <v>58324</v>
      </c>
      <c r="AN75" s="50">
        <v>59224</v>
      </c>
      <c r="AO75" s="50">
        <v>59523</v>
      </c>
      <c r="AP75" s="50">
        <v>60112</v>
      </c>
      <c r="AQ75" s="50">
        <v>60601</v>
      </c>
      <c r="AR75" s="50">
        <v>61256</v>
      </c>
      <c r="AS75" s="50">
        <v>60807</v>
      </c>
      <c r="AT75" s="50">
        <v>60429</v>
      </c>
      <c r="AU75" s="50">
        <v>59649</v>
      </c>
      <c r="AV75" s="50">
        <v>60202</v>
      </c>
      <c r="AW75" s="50">
        <v>61078</v>
      </c>
      <c r="AX75" s="50">
        <v>63077</v>
      </c>
      <c r="AY75" s="50">
        <v>64648</v>
      </c>
      <c r="AZ75" s="50">
        <v>64816</v>
      </c>
      <c r="BA75" s="50">
        <v>65043</v>
      </c>
      <c r="BB75" s="50">
        <v>65862</v>
      </c>
      <c r="BC75" s="50">
        <v>66323</v>
      </c>
      <c r="BD75" s="50">
        <v>67043</v>
      </c>
      <c r="BE75" s="50">
        <v>67513</v>
      </c>
      <c r="BF75" s="50">
        <v>68258</v>
      </c>
      <c r="BG75" s="50">
        <v>68613</v>
      </c>
      <c r="BH75" s="50">
        <v>69444</v>
      </c>
      <c r="BI75" s="50">
        <v>70044</v>
      </c>
      <c r="BJ75" s="50">
        <v>70634</v>
      </c>
      <c r="BK75" s="50">
        <v>71349</v>
      </c>
      <c r="BL75" s="50">
        <v>72108</v>
      </c>
      <c r="BM75" s="50">
        <v>72862</v>
      </c>
      <c r="BN75" s="50">
        <v>73529</v>
      </c>
      <c r="BO75" s="50">
        <v>74163</v>
      </c>
      <c r="BP75" s="50">
        <v>74661</v>
      </c>
      <c r="BQ75" s="50">
        <v>75157</v>
      </c>
      <c r="BR75" s="50">
        <v>75629</v>
      </c>
      <c r="BS75" s="50">
        <v>75987</v>
      </c>
      <c r="BT75" s="50">
        <v>76439</v>
      </c>
      <c r="BU75" s="50">
        <v>76819</v>
      </c>
      <c r="BV75" s="50">
        <v>77274</v>
      </c>
      <c r="BW75" s="50">
        <v>77657</v>
      </c>
      <c r="BX75" s="50">
        <v>78127</v>
      </c>
      <c r="BY75" s="50">
        <v>78612</v>
      </c>
      <c r="BZ75" s="50">
        <v>79198</v>
      </c>
      <c r="CA75" s="50">
        <v>79662</v>
      </c>
      <c r="CB75" s="50">
        <v>80031</v>
      </c>
      <c r="CC75" s="50">
        <v>80505</v>
      </c>
      <c r="CD75" s="50">
        <v>80931</v>
      </c>
      <c r="CE75" s="50">
        <v>81314</v>
      </c>
      <c r="CF75" s="50">
        <v>81779</v>
      </c>
      <c r="CG75" s="50">
        <v>82169</v>
      </c>
      <c r="CH75" s="50">
        <v>82552</v>
      </c>
      <c r="CI75" s="50">
        <v>82966</v>
      </c>
      <c r="CJ75" s="50">
        <v>83274</v>
      </c>
      <c r="CK75" s="50">
        <v>83603</v>
      </c>
      <c r="CL75" s="50">
        <v>84003</v>
      </c>
      <c r="CM75" s="50">
        <v>84302</v>
      </c>
      <c r="CN75" s="50">
        <v>84651</v>
      </c>
      <c r="CO75" s="50">
        <v>85007</v>
      </c>
      <c r="CP75" s="50">
        <v>85315</v>
      </c>
      <c r="CQ75" s="50">
        <v>85638</v>
      </c>
      <c r="CR75" s="50">
        <v>85901</v>
      </c>
      <c r="CS75" s="50">
        <v>86210</v>
      </c>
      <c r="CT75" s="50">
        <v>86475</v>
      </c>
      <c r="CU75" s="50">
        <v>86753</v>
      </c>
      <c r="CV75" s="50">
        <v>87009</v>
      </c>
      <c r="CW75" s="50">
        <v>87262</v>
      </c>
      <c r="CX75" s="50">
        <v>87541</v>
      </c>
      <c r="CY75" s="50">
        <v>87760</v>
      </c>
      <c r="CZ75" s="50">
        <v>88007</v>
      </c>
      <c r="DA75" s="50">
        <v>88219</v>
      </c>
      <c r="DB75" s="50">
        <v>88472</v>
      </c>
      <c r="DC75" s="50">
        <v>88688</v>
      </c>
      <c r="DD75" s="50">
        <v>88912</v>
      </c>
      <c r="DE75" s="50">
        <v>89112</v>
      </c>
      <c r="DF75" s="50">
        <v>89353</v>
      </c>
      <c r="DG75" s="50">
        <v>89558</v>
      </c>
      <c r="DH75" s="50">
        <v>89758</v>
      </c>
      <c r="DI75" s="50">
        <v>89955</v>
      </c>
      <c r="DJ75" s="50">
        <v>90174</v>
      </c>
      <c r="DK75" s="50">
        <v>90356</v>
      </c>
      <c r="DL75" s="50">
        <v>90540</v>
      </c>
      <c r="DM75" s="50">
        <v>90736</v>
      </c>
      <c r="DN75" s="50">
        <v>90927</v>
      </c>
      <c r="DO75" s="50">
        <v>91114</v>
      </c>
    </row>
    <row r="76" spans="1:119">
      <c r="A76" s="50">
        <v>74</v>
      </c>
      <c r="B76" s="50"/>
      <c r="C76" s="50"/>
      <c r="D76" s="50"/>
      <c r="E76" s="50"/>
      <c r="F76" s="50"/>
      <c r="G76" s="50"/>
      <c r="H76" s="50"/>
      <c r="I76" s="50"/>
      <c r="J76" s="50"/>
      <c r="K76" s="50"/>
      <c r="L76" s="50"/>
      <c r="M76" s="50"/>
      <c r="N76" s="50"/>
      <c r="O76" s="50"/>
      <c r="P76" s="50"/>
      <c r="Q76" s="50"/>
      <c r="R76" s="50"/>
      <c r="S76" s="50"/>
      <c r="T76" s="50"/>
      <c r="U76" s="50"/>
      <c r="V76" s="50"/>
      <c r="W76" s="50">
        <v>41435</v>
      </c>
      <c r="X76" s="50">
        <v>42442</v>
      </c>
      <c r="Y76" s="50">
        <v>42678</v>
      </c>
      <c r="Z76" s="50">
        <v>44436</v>
      </c>
      <c r="AA76" s="50">
        <v>45286</v>
      </c>
      <c r="AB76" s="50">
        <v>46132</v>
      </c>
      <c r="AC76" s="50">
        <v>46658</v>
      </c>
      <c r="AD76" s="50">
        <v>47168</v>
      </c>
      <c r="AE76" s="50">
        <v>47372</v>
      </c>
      <c r="AF76" s="50">
        <v>48745</v>
      </c>
      <c r="AG76" s="50">
        <v>49744</v>
      </c>
      <c r="AH76" s="50">
        <v>50990</v>
      </c>
      <c r="AI76" s="50">
        <v>51866</v>
      </c>
      <c r="AJ76" s="50">
        <v>53460</v>
      </c>
      <c r="AK76" s="50">
        <v>54247</v>
      </c>
      <c r="AL76" s="50">
        <v>55439</v>
      </c>
      <c r="AM76" s="50">
        <v>56591</v>
      </c>
      <c r="AN76" s="50">
        <v>57500</v>
      </c>
      <c r="AO76" s="50">
        <v>57777</v>
      </c>
      <c r="AP76" s="50">
        <v>58432</v>
      </c>
      <c r="AQ76" s="50">
        <v>58825</v>
      </c>
      <c r="AR76" s="50">
        <v>59520</v>
      </c>
      <c r="AS76" s="50">
        <v>59117</v>
      </c>
      <c r="AT76" s="50">
        <v>58780</v>
      </c>
      <c r="AU76" s="50">
        <v>58052</v>
      </c>
      <c r="AV76" s="50">
        <v>58620</v>
      </c>
      <c r="AW76" s="50">
        <v>59503</v>
      </c>
      <c r="AX76" s="50">
        <v>61481</v>
      </c>
      <c r="AY76" s="50">
        <v>63043</v>
      </c>
      <c r="AZ76" s="50">
        <v>63237</v>
      </c>
      <c r="BA76" s="50">
        <v>63488</v>
      </c>
      <c r="BB76" s="50">
        <v>64317</v>
      </c>
      <c r="BC76" s="50">
        <v>64797</v>
      </c>
      <c r="BD76" s="50">
        <v>65528</v>
      </c>
      <c r="BE76" s="50">
        <v>66017</v>
      </c>
      <c r="BF76" s="50">
        <v>66773</v>
      </c>
      <c r="BG76" s="50">
        <v>67149</v>
      </c>
      <c r="BH76" s="50">
        <v>67991</v>
      </c>
      <c r="BI76" s="50">
        <v>68607</v>
      </c>
      <c r="BJ76" s="50">
        <v>69213</v>
      </c>
      <c r="BK76" s="50">
        <v>69941</v>
      </c>
      <c r="BL76" s="50">
        <v>70713</v>
      </c>
      <c r="BM76" s="50">
        <v>71480</v>
      </c>
      <c r="BN76" s="50">
        <v>72161</v>
      </c>
      <c r="BO76" s="50">
        <v>72810</v>
      </c>
      <c r="BP76" s="50">
        <v>73326</v>
      </c>
      <c r="BQ76" s="50">
        <v>73839</v>
      </c>
      <c r="BR76" s="50">
        <v>74329</v>
      </c>
      <c r="BS76" s="50">
        <v>74706</v>
      </c>
      <c r="BT76" s="50">
        <v>75175</v>
      </c>
      <c r="BU76" s="50">
        <v>75574</v>
      </c>
      <c r="BV76" s="50">
        <v>76045</v>
      </c>
      <c r="BW76" s="50">
        <v>76446</v>
      </c>
      <c r="BX76" s="50">
        <v>76933</v>
      </c>
      <c r="BY76" s="50">
        <v>77433</v>
      </c>
      <c r="BZ76" s="50">
        <v>78034</v>
      </c>
      <c r="CA76" s="50">
        <v>78514</v>
      </c>
      <c r="CB76" s="50">
        <v>78900</v>
      </c>
      <c r="CC76" s="50">
        <v>79389</v>
      </c>
      <c r="CD76" s="50">
        <v>79831</v>
      </c>
      <c r="CE76" s="50">
        <v>80231</v>
      </c>
      <c r="CF76" s="50">
        <v>80711</v>
      </c>
      <c r="CG76" s="50">
        <v>81116</v>
      </c>
      <c r="CH76" s="50">
        <v>81515</v>
      </c>
      <c r="CI76" s="50">
        <v>81944</v>
      </c>
      <c r="CJ76" s="50">
        <v>82268</v>
      </c>
      <c r="CK76" s="50">
        <v>82613</v>
      </c>
      <c r="CL76" s="50">
        <v>83027</v>
      </c>
      <c r="CM76" s="50">
        <v>83343</v>
      </c>
      <c r="CN76" s="50">
        <v>83705</v>
      </c>
      <c r="CO76" s="50">
        <v>84076</v>
      </c>
      <c r="CP76" s="50">
        <v>84399</v>
      </c>
      <c r="CQ76" s="50">
        <v>84736</v>
      </c>
      <c r="CR76" s="50">
        <v>85015</v>
      </c>
      <c r="CS76" s="50">
        <v>85337</v>
      </c>
      <c r="CT76" s="50">
        <v>85617</v>
      </c>
      <c r="CU76" s="50">
        <v>85908</v>
      </c>
      <c r="CV76" s="50">
        <v>86179</v>
      </c>
      <c r="CW76" s="50">
        <v>86445</v>
      </c>
      <c r="CX76" s="50">
        <v>86738</v>
      </c>
      <c r="CY76" s="50">
        <v>86971</v>
      </c>
      <c r="CZ76" s="50">
        <v>87230</v>
      </c>
      <c r="DA76" s="50">
        <v>87456</v>
      </c>
      <c r="DB76" s="50">
        <v>87721</v>
      </c>
      <c r="DC76" s="50">
        <v>87951</v>
      </c>
      <c r="DD76" s="50">
        <v>88187</v>
      </c>
      <c r="DE76" s="50">
        <v>88400</v>
      </c>
      <c r="DF76" s="50">
        <v>88653</v>
      </c>
      <c r="DG76" s="50">
        <v>88870</v>
      </c>
      <c r="DH76" s="50">
        <v>89081</v>
      </c>
      <c r="DI76" s="50">
        <v>89290</v>
      </c>
      <c r="DJ76" s="50">
        <v>89520</v>
      </c>
      <c r="DK76" s="50">
        <v>89714</v>
      </c>
      <c r="DL76" s="50">
        <v>89909</v>
      </c>
      <c r="DM76" s="50">
        <v>90116</v>
      </c>
      <c r="DN76" s="50">
        <v>90318</v>
      </c>
      <c r="DO76" s="50">
        <v>90515</v>
      </c>
    </row>
    <row r="77" spans="1:119">
      <c r="A77" s="50">
        <v>75</v>
      </c>
      <c r="B77" s="50"/>
      <c r="C77" s="50"/>
      <c r="D77" s="50"/>
      <c r="E77" s="50"/>
      <c r="F77" s="50"/>
      <c r="G77" s="50"/>
      <c r="H77" s="50"/>
      <c r="I77" s="50"/>
      <c r="J77" s="50"/>
      <c r="K77" s="50"/>
      <c r="L77" s="50"/>
      <c r="M77" s="50"/>
      <c r="N77" s="50"/>
      <c r="O77" s="50"/>
      <c r="P77" s="50"/>
      <c r="Q77" s="50"/>
      <c r="R77" s="50"/>
      <c r="S77" s="50"/>
      <c r="T77" s="50"/>
      <c r="U77" s="50"/>
      <c r="V77" s="50"/>
      <c r="W77" s="50">
        <v>39279</v>
      </c>
      <c r="X77" s="50">
        <v>40361</v>
      </c>
      <c r="Y77" s="50">
        <v>40614</v>
      </c>
      <c r="Z77" s="50">
        <v>42361</v>
      </c>
      <c r="AA77" s="50">
        <v>43245</v>
      </c>
      <c r="AB77" s="50">
        <v>44130</v>
      </c>
      <c r="AC77" s="50">
        <v>44679</v>
      </c>
      <c r="AD77" s="50">
        <v>45098</v>
      </c>
      <c r="AE77" s="50">
        <v>45381</v>
      </c>
      <c r="AF77" s="50">
        <v>46787</v>
      </c>
      <c r="AG77" s="50">
        <v>47830</v>
      </c>
      <c r="AH77" s="50">
        <v>49075</v>
      </c>
      <c r="AI77" s="50">
        <v>49964</v>
      </c>
      <c r="AJ77" s="50">
        <v>51518</v>
      </c>
      <c r="AK77" s="50">
        <v>52388</v>
      </c>
      <c r="AL77" s="50">
        <v>53588</v>
      </c>
      <c r="AM77" s="50">
        <v>54777</v>
      </c>
      <c r="AN77" s="50">
        <v>55661</v>
      </c>
      <c r="AO77" s="50">
        <v>56034</v>
      </c>
      <c r="AP77" s="50">
        <v>56567</v>
      </c>
      <c r="AQ77" s="50">
        <v>57004</v>
      </c>
      <c r="AR77" s="50">
        <v>57711</v>
      </c>
      <c r="AS77" s="50">
        <v>57353</v>
      </c>
      <c r="AT77" s="50">
        <v>57059</v>
      </c>
      <c r="AU77" s="50">
        <v>56382</v>
      </c>
      <c r="AV77" s="50">
        <v>56965</v>
      </c>
      <c r="AW77" s="50">
        <v>57854</v>
      </c>
      <c r="AX77" s="50">
        <v>59809</v>
      </c>
      <c r="AY77" s="50">
        <v>61360</v>
      </c>
      <c r="AZ77" s="50">
        <v>61580</v>
      </c>
      <c r="BA77" s="50">
        <v>61854</v>
      </c>
      <c r="BB77" s="50">
        <v>62692</v>
      </c>
      <c r="BC77" s="50">
        <v>63190</v>
      </c>
      <c r="BD77" s="50">
        <v>63933</v>
      </c>
      <c r="BE77" s="50">
        <v>64439</v>
      </c>
      <c r="BF77" s="50">
        <v>65207</v>
      </c>
      <c r="BG77" s="50">
        <v>65603</v>
      </c>
      <c r="BH77" s="50">
        <v>66456</v>
      </c>
      <c r="BI77" s="50">
        <v>67088</v>
      </c>
      <c r="BJ77" s="50">
        <v>67709</v>
      </c>
      <c r="BK77" s="50">
        <v>68451</v>
      </c>
      <c r="BL77" s="50">
        <v>69235</v>
      </c>
      <c r="BM77" s="50">
        <v>70015</v>
      </c>
      <c r="BN77" s="50">
        <v>70710</v>
      </c>
      <c r="BO77" s="50">
        <v>71373</v>
      </c>
      <c r="BP77" s="50">
        <v>71907</v>
      </c>
      <c r="BQ77" s="50">
        <v>72437</v>
      </c>
      <c r="BR77" s="50">
        <v>72945</v>
      </c>
      <c r="BS77" s="50">
        <v>73341</v>
      </c>
      <c r="BT77" s="50">
        <v>73828</v>
      </c>
      <c r="BU77" s="50">
        <v>74245</v>
      </c>
      <c r="BV77" s="50">
        <v>74734</v>
      </c>
      <c r="BW77" s="50">
        <v>75153</v>
      </c>
      <c r="BX77" s="50">
        <v>75657</v>
      </c>
      <c r="BY77" s="50">
        <v>76173</v>
      </c>
      <c r="BZ77" s="50">
        <v>76788</v>
      </c>
      <c r="CA77" s="50">
        <v>77284</v>
      </c>
      <c r="CB77" s="50">
        <v>77689</v>
      </c>
      <c r="CC77" s="50">
        <v>78193</v>
      </c>
      <c r="CD77" s="50">
        <v>78652</v>
      </c>
      <c r="CE77" s="50">
        <v>79068</v>
      </c>
      <c r="CF77" s="50">
        <v>79563</v>
      </c>
      <c r="CG77" s="50">
        <v>79985</v>
      </c>
      <c r="CH77" s="50">
        <v>80399</v>
      </c>
      <c r="CI77" s="50">
        <v>80844</v>
      </c>
      <c r="CJ77" s="50">
        <v>81185</v>
      </c>
      <c r="CK77" s="50">
        <v>81546</v>
      </c>
      <c r="CL77" s="50">
        <v>81975</v>
      </c>
      <c r="CM77" s="50">
        <v>82307</v>
      </c>
      <c r="CN77" s="50">
        <v>82685</v>
      </c>
      <c r="CO77" s="50">
        <v>83071</v>
      </c>
      <c r="CP77" s="50">
        <v>83409</v>
      </c>
      <c r="CQ77" s="50">
        <v>83761</v>
      </c>
      <c r="CR77" s="50">
        <v>84055</v>
      </c>
      <c r="CS77" s="50">
        <v>84393</v>
      </c>
      <c r="CT77" s="50">
        <v>84687</v>
      </c>
      <c r="CU77" s="50">
        <v>84993</v>
      </c>
      <c r="CV77" s="50">
        <v>85278</v>
      </c>
      <c r="CW77" s="50">
        <v>85559</v>
      </c>
      <c r="CX77" s="50">
        <v>85865</v>
      </c>
      <c r="CY77" s="50">
        <v>86113</v>
      </c>
      <c r="CZ77" s="50">
        <v>86386</v>
      </c>
      <c r="DA77" s="50">
        <v>86626</v>
      </c>
      <c r="DB77" s="50">
        <v>86904</v>
      </c>
      <c r="DC77" s="50">
        <v>87148</v>
      </c>
      <c r="DD77" s="50">
        <v>87396</v>
      </c>
      <c r="DE77" s="50">
        <v>87623</v>
      </c>
      <c r="DF77" s="50">
        <v>87889</v>
      </c>
      <c r="DG77" s="50">
        <v>88118</v>
      </c>
      <c r="DH77" s="50">
        <v>88342</v>
      </c>
      <c r="DI77" s="50">
        <v>88563</v>
      </c>
      <c r="DJ77" s="50">
        <v>88805</v>
      </c>
      <c r="DK77" s="50">
        <v>89012</v>
      </c>
      <c r="DL77" s="50">
        <v>89219</v>
      </c>
      <c r="DM77" s="50">
        <v>89437</v>
      </c>
      <c r="DN77" s="50">
        <v>89650</v>
      </c>
      <c r="DO77" s="50">
        <v>89859</v>
      </c>
    </row>
    <row r="78" spans="1:119">
      <c r="A78" s="50">
        <v>76</v>
      </c>
      <c r="B78" s="50"/>
      <c r="C78" s="50"/>
      <c r="D78" s="50"/>
      <c r="E78" s="50"/>
      <c r="F78" s="50"/>
      <c r="G78" s="50"/>
      <c r="H78" s="50"/>
      <c r="I78" s="50"/>
      <c r="J78" s="50"/>
      <c r="K78" s="50"/>
      <c r="L78" s="50"/>
      <c r="M78" s="50"/>
      <c r="N78" s="50"/>
      <c r="O78" s="50"/>
      <c r="P78" s="50"/>
      <c r="Q78" s="50"/>
      <c r="R78" s="50"/>
      <c r="S78" s="50"/>
      <c r="T78" s="50"/>
      <c r="U78" s="50"/>
      <c r="V78" s="50"/>
      <c r="W78" s="50">
        <v>37120</v>
      </c>
      <c r="X78" s="50">
        <v>38220</v>
      </c>
      <c r="Y78" s="50">
        <v>38515</v>
      </c>
      <c r="Z78" s="50">
        <v>40302</v>
      </c>
      <c r="AA78" s="50">
        <v>41167</v>
      </c>
      <c r="AB78" s="50">
        <v>42105</v>
      </c>
      <c r="AC78" s="50">
        <v>42582</v>
      </c>
      <c r="AD78" s="50">
        <v>43022</v>
      </c>
      <c r="AE78" s="50">
        <v>43333</v>
      </c>
      <c r="AF78" s="50">
        <v>44804</v>
      </c>
      <c r="AG78" s="50">
        <v>45844</v>
      </c>
      <c r="AH78" s="50">
        <v>47055</v>
      </c>
      <c r="AI78" s="50">
        <v>47988</v>
      </c>
      <c r="AJ78" s="50">
        <v>49576</v>
      </c>
      <c r="AK78" s="50">
        <v>50415</v>
      </c>
      <c r="AL78" s="50">
        <v>51665</v>
      </c>
      <c r="AM78" s="50">
        <v>52814</v>
      </c>
      <c r="AN78" s="50">
        <v>53809</v>
      </c>
      <c r="AO78" s="50">
        <v>54072</v>
      </c>
      <c r="AP78" s="50">
        <v>54642</v>
      </c>
      <c r="AQ78" s="50">
        <v>55099</v>
      </c>
      <c r="AR78" s="50">
        <v>55818</v>
      </c>
      <c r="AS78" s="50">
        <v>55505</v>
      </c>
      <c r="AT78" s="50">
        <v>55253</v>
      </c>
      <c r="AU78" s="50">
        <v>54630</v>
      </c>
      <c r="AV78" s="50">
        <v>55226</v>
      </c>
      <c r="AW78" s="50">
        <v>56120</v>
      </c>
      <c r="AX78" s="50">
        <v>58048</v>
      </c>
      <c r="AY78" s="50">
        <v>59586</v>
      </c>
      <c r="AZ78" s="50">
        <v>59831</v>
      </c>
      <c r="BA78" s="50">
        <v>60129</v>
      </c>
      <c r="BB78" s="50">
        <v>60975</v>
      </c>
      <c r="BC78" s="50">
        <v>61490</v>
      </c>
      <c r="BD78" s="50">
        <v>62244</v>
      </c>
      <c r="BE78" s="50">
        <v>62767</v>
      </c>
      <c r="BF78" s="50">
        <v>63546</v>
      </c>
      <c r="BG78" s="50">
        <v>63965</v>
      </c>
      <c r="BH78" s="50">
        <v>64827</v>
      </c>
      <c r="BI78" s="50">
        <v>65474</v>
      </c>
      <c r="BJ78" s="50">
        <v>66111</v>
      </c>
      <c r="BK78" s="50">
        <v>66865</v>
      </c>
      <c r="BL78" s="50">
        <v>67661</v>
      </c>
      <c r="BM78" s="50">
        <v>68453</v>
      </c>
      <c r="BN78" s="50">
        <v>69162</v>
      </c>
      <c r="BO78" s="50">
        <v>69840</v>
      </c>
      <c r="BP78" s="50">
        <v>70391</v>
      </c>
      <c r="BQ78" s="50">
        <v>70939</v>
      </c>
      <c r="BR78" s="50">
        <v>71464</v>
      </c>
      <c r="BS78" s="50">
        <v>71880</v>
      </c>
      <c r="BT78" s="50">
        <v>72385</v>
      </c>
      <c r="BU78" s="50">
        <v>72821</v>
      </c>
      <c r="BV78" s="50">
        <v>73327</v>
      </c>
      <c r="BW78" s="50">
        <v>73765</v>
      </c>
      <c r="BX78" s="50">
        <v>74285</v>
      </c>
      <c r="BY78" s="50">
        <v>74818</v>
      </c>
      <c r="BZ78" s="50">
        <v>75448</v>
      </c>
      <c r="CA78" s="50">
        <v>75960</v>
      </c>
      <c r="CB78" s="50">
        <v>76382</v>
      </c>
      <c r="CC78" s="50">
        <v>76903</v>
      </c>
      <c r="CD78" s="50">
        <v>77378</v>
      </c>
      <c r="CE78" s="50">
        <v>77812</v>
      </c>
      <c r="CF78" s="50">
        <v>78322</v>
      </c>
      <c r="CG78" s="50">
        <v>78761</v>
      </c>
      <c r="CH78" s="50">
        <v>79192</v>
      </c>
      <c r="CI78" s="50">
        <v>79653</v>
      </c>
      <c r="CJ78" s="50">
        <v>80011</v>
      </c>
      <c r="CK78" s="50">
        <v>80389</v>
      </c>
      <c r="CL78" s="50">
        <v>80834</v>
      </c>
      <c r="CM78" s="50">
        <v>81182</v>
      </c>
      <c r="CN78" s="50">
        <v>81576</v>
      </c>
      <c r="CO78" s="50">
        <v>81978</v>
      </c>
      <c r="CP78" s="50">
        <v>82333</v>
      </c>
      <c r="CQ78" s="50">
        <v>82700</v>
      </c>
      <c r="CR78" s="50">
        <v>83010</v>
      </c>
      <c r="CS78" s="50">
        <v>83363</v>
      </c>
      <c r="CT78" s="50">
        <v>83673</v>
      </c>
      <c r="CU78" s="50">
        <v>83995</v>
      </c>
      <c r="CV78" s="50">
        <v>84295</v>
      </c>
      <c r="CW78" s="50">
        <v>84591</v>
      </c>
      <c r="CX78" s="50">
        <v>84912</v>
      </c>
      <c r="CY78" s="50">
        <v>85175</v>
      </c>
      <c r="CZ78" s="50">
        <v>85463</v>
      </c>
      <c r="DA78" s="50">
        <v>85717</v>
      </c>
      <c r="DB78" s="50">
        <v>86010</v>
      </c>
      <c r="DC78" s="50">
        <v>86267</v>
      </c>
      <c r="DD78" s="50">
        <v>86530</v>
      </c>
      <c r="DE78" s="50">
        <v>86770</v>
      </c>
      <c r="DF78" s="50">
        <v>87050</v>
      </c>
      <c r="DG78" s="50">
        <v>87293</v>
      </c>
      <c r="DH78" s="50">
        <v>87530</v>
      </c>
      <c r="DI78" s="50">
        <v>87764</v>
      </c>
      <c r="DJ78" s="50">
        <v>88019</v>
      </c>
      <c r="DK78" s="50">
        <v>88238</v>
      </c>
      <c r="DL78" s="50">
        <v>88458</v>
      </c>
      <c r="DM78" s="50">
        <v>88688</v>
      </c>
      <c r="DN78" s="50">
        <v>88914</v>
      </c>
      <c r="DO78" s="50">
        <v>89135</v>
      </c>
    </row>
    <row r="79" spans="1:119">
      <c r="A79" s="50">
        <v>77</v>
      </c>
      <c r="B79" s="50"/>
      <c r="C79" s="50"/>
      <c r="D79" s="50"/>
      <c r="E79" s="50"/>
      <c r="F79" s="50"/>
      <c r="G79" s="50"/>
      <c r="H79" s="50"/>
      <c r="I79" s="50"/>
      <c r="J79" s="50"/>
      <c r="K79" s="50"/>
      <c r="L79" s="50"/>
      <c r="M79" s="50"/>
      <c r="N79" s="50"/>
      <c r="O79" s="50"/>
      <c r="P79" s="50"/>
      <c r="Q79" s="50"/>
      <c r="R79" s="50"/>
      <c r="S79" s="50"/>
      <c r="T79" s="50"/>
      <c r="U79" s="50"/>
      <c r="V79" s="50"/>
      <c r="W79" s="50">
        <v>34980</v>
      </c>
      <c r="X79" s="50">
        <v>36060</v>
      </c>
      <c r="Y79" s="50">
        <v>36452</v>
      </c>
      <c r="Z79" s="50">
        <v>38253</v>
      </c>
      <c r="AA79" s="50">
        <v>39077</v>
      </c>
      <c r="AB79" s="50">
        <v>39952</v>
      </c>
      <c r="AC79" s="50">
        <v>40492</v>
      </c>
      <c r="AD79" s="50">
        <v>40912</v>
      </c>
      <c r="AE79" s="50">
        <v>41256</v>
      </c>
      <c r="AF79" s="50">
        <v>42739</v>
      </c>
      <c r="AG79" s="50">
        <v>43782</v>
      </c>
      <c r="AH79" s="50">
        <v>44994</v>
      </c>
      <c r="AI79" s="50">
        <v>45968</v>
      </c>
      <c r="AJ79" s="50">
        <v>47508</v>
      </c>
      <c r="AK79" s="50">
        <v>48388</v>
      </c>
      <c r="AL79" s="50">
        <v>49599</v>
      </c>
      <c r="AM79" s="50">
        <v>50819</v>
      </c>
      <c r="AN79" s="50">
        <v>51740</v>
      </c>
      <c r="AO79" s="50">
        <v>52037</v>
      </c>
      <c r="AP79" s="50">
        <v>52622</v>
      </c>
      <c r="AQ79" s="50">
        <v>53097</v>
      </c>
      <c r="AR79" s="50">
        <v>53825</v>
      </c>
      <c r="AS79" s="50">
        <v>53558</v>
      </c>
      <c r="AT79" s="50">
        <v>53349</v>
      </c>
      <c r="AU79" s="50">
        <v>52780</v>
      </c>
      <c r="AV79" s="50">
        <v>53389</v>
      </c>
      <c r="AW79" s="50">
        <v>54285</v>
      </c>
      <c r="AX79" s="50">
        <v>56184</v>
      </c>
      <c r="AY79" s="50">
        <v>57706</v>
      </c>
      <c r="AZ79" s="50">
        <v>57976</v>
      </c>
      <c r="BA79" s="50">
        <v>58298</v>
      </c>
      <c r="BB79" s="50">
        <v>59150</v>
      </c>
      <c r="BC79" s="50">
        <v>59682</v>
      </c>
      <c r="BD79" s="50">
        <v>60446</v>
      </c>
      <c r="BE79" s="50">
        <v>60987</v>
      </c>
      <c r="BF79" s="50">
        <v>61777</v>
      </c>
      <c r="BG79" s="50">
        <v>62216</v>
      </c>
      <c r="BH79" s="50">
        <v>63087</v>
      </c>
      <c r="BI79" s="50">
        <v>63749</v>
      </c>
      <c r="BJ79" s="50">
        <v>64401</v>
      </c>
      <c r="BK79" s="50">
        <v>65167</v>
      </c>
      <c r="BL79" s="50">
        <v>65974</v>
      </c>
      <c r="BM79" s="50">
        <v>66778</v>
      </c>
      <c r="BN79" s="50">
        <v>67500</v>
      </c>
      <c r="BO79" s="50">
        <v>68193</v>
      </c>
      <c r="BP79" s="50">
        <v>68761</v>
      </c>
      <c r="BQ79" s="50">
        <v>69327</v>
      </c>
      <c r="BR79" s="50">
        <v>69870</v>
      </c>
      <c r="BS79" s="50">
        <v>70306</v>
      </c>
      <c r="BT79" s="50">
        <v>70828</v>
      </c>
      <c r="BU79" s="50">
        <v>71284</v>
      </c>
      <c r="BV79" s="50">
        <v>71808</v>
      </c>
      <c r="BW79" s="50">
        <v>72265</v>
      </c>
      <c r="BX79" s="50">
        <v>72802</v>
      </c>
      <c r="BY79" s="50">
        <v>73351</v>
      </c>
      <c r="BZ79" s="50">
        <v>73996</v>
      </c>
      <c r="CA79" s="50">
        <v>74525</v>
      </c>
      <c r="CB79" s="50">
        <v>74966</v>
      </c>
      <c r="CC79" s="50">
        <v>75503</v>
      </c>
      <c r="CD79" s="50">
        <v>75995</v>
      </c>
      <c r="CE79" s="50">
        <v>76446</v>
      </c>
      <c r="CF79" s="50">
        <v>76973</v>
      </c>
      <c r="CG79" s="50">
        <v>77429</v>
      </c>
      <c r="CH79" s="50">
        <v>77878</v>
      </c>
      <c r="CI79" s="50">
        <v>78355</v>
      </c>
      <c r="CJ79" s="50">
        <v>78731</v>
      </c>
      <c r="CK79" s="50">
        <v>79127</v>
      </c>
      <c r="CL79" s="50">
        <v>79588</v>
      </c>
      <c r="CM79" s="50">
        <v>79953</v>
      </c>
      <c r="CN79" s="50">
        <v>80364</v>
      </c>
      <c r="CO79" s="50">
        <v>80782</v>
      </c>
      <c r="CP79" s="50">
        <v>81153</v>
      </c>
      <c r="CQ79" s="50">
        <v>81538</v>
      </c>
      <c r="CR79" s="50">
        <v>81865</v>
      </c>
      <c r="CS79" s="50">
        <v>82233</v>
      </c>
      <c r="CT79" s="50">
        <v>82560</v>
      </c>
      <c r="CU79" s="50">
        <v>82898</v>
      </c>
      <c r="CV79" s="50">
        <v>83215</v>
      </c>
      <c r="CW79" s="50">
        <v>83526</v>
      </c>
      <c r="CX79" s="50">
        <v>83863</v>
      </c>
      <c r="CY79" s="50">
        <v>84142</v>
      </c>
      <c r="CZ79" s="50">
        <v>84445</v>
      </c>
      <c r="DA79" s="50">
        <v>84715</v>
      </c>
      <c r="DB79" s="50">
        <v>85023</v>
      </c>
      <c r="DC79" s="50">
        <v>85295</v>
      </c>
      <c r="DD79" s="50">
        <v>85573</v>
      </c>
      <c r="DE79" s="50">
        <v>85828</v>
      </c>
      <c r="DF79" s="50">
        <v>86122</v>
      </c>
      <c r="DG79" s="50">
        <v>86379</v>
      </c>
      <c r="DH79" s="50">
        <v>86631</v>
      </c>
      <c r="DI79" s="50">
        <v>86880</v>
      </c>
      <c r="DJ79" s="50">
        <v>87148</v>
      </c>
      <c r="DK79" s="50">
        <v>87381</v>
      </c>
      <c r="DL79" s="50">
        <v>87614</v>
      </c>
      <c r="DM79" s="50">
        <v>87858</v>
      </c>
      <c r="DN79" s="50">
        <v>88097</v>
      </c>
      <c r="DO79" s="50">
        <v>88331</v>
      </c>
    </row>
    <row r="80" spans="1:119">
      <c r="A80" s="50">
        <v>78</v>
      </c>
      <c r="B80" s="50"/>
      <c r="C80" s="50"/>
      <c r="D80" s="50"/>
      <c r="E80" s="50"/>
      <c r="F80" s="50"/>
      <c r="G80" s="50"/>
      <c r="H80" s="50"/>
      <c r="I80" s="50"/>
      <c r="J80" s="50"/>
      <c r="K80" s="50"/>
      <c r="L80" s="50"/>
      <c r="M80" s="50"/>
      <c r="N80" s="50"/>
      <c r="O80" s="50"/>
      <c r="P80" s="50"/>
      <c r="Q80" s="50"/>
      <c r="R80" s="50"/>
      <c r="S80" s="50"/>
      <c r="T80" s="50"/>
      <c r="U80" s="50"/>
      <c r="V80" s="50"/>
      <c r="W80" s="50">
        <v>32768</v>
      </c>
      <c r="X80" s="50">
        <v>33890</v>
      </c>
      <c r="Y80" s="50">
        <v>34331</v>
      </c>
      <c r="Z80" s="50">
        <v>36092</v>
      </c>
      <c r="AA80" s="50">
        <v>36877</v>
      </c>
      <c r="AB80" s="50">
        <v>37809</v>
      </c>
      <c r="AC80" s="50">
        <v>38320</v>
      </c>
      <c r="AD80" s="50">
        <v>38778</v>
      </c>
      <c r="AE80" s="50">
        <v>39161</v>
      </c>
      <c r="AF80" s="50">
        <v>40597</v>
      </c>
      <c r="AG80" s="50">
        <v>41613</v>
      </c>
      <c r="AH80" s="50">
        <v>42873</v>
      </c>
      <c r="AI80" s="50">
        <v>43786</v>
      </c>
      <c r="AJ80" s="50">
        <v>45340</v>
      </c>
      <c r="AK80" s="50">
        <v>46216</v>
      </c>
      <c r="AL80" s="50">
        <v>47523</v>
      </c>
      <c r="AM80" s="50">
        <v>48689</v>
      </c>
      <c r="AN80" s="50">
        <v>49569</v>
      </c>
      <c r="AO80" s="50">
        <v>49891</v>
      </c>
      <c r="AP80" s="50">
        <v>50488</v>
      </c>
      <c r="AQ80" s="50">
        <v>50982</v>
      </c>
      <c r="AR80" s="50">
        <v>51717</v>
      </c>
      <c r="AS80" s="50">
        <v>51496</v>
      </c>
      <c r="AT80" s="50">
        <v>51330</v>
      </c>
      <c r="AU80" s="50">
        <v>50817</v>
      </c>
      <c r="AV80" s="50">
        <v>51437</v>
      </c>
      <c r="AW80" s="50">
        <v>52335</v>
      </c>
      <c r="AX80" s="50">
        <v>54199</v>
      </c>
      <c r="AY80" s="50">
        <v>55702</v>
      </c>
      <c r="AZ80" s="50">
        <v>55998</v>
      </c>
      <c r="BA80" s="50">
        <v>56342</v>
      </c>
      <c r="BB80" s="50">
        <v>57200</v>
      </c>
      <c r="BC80" s="50">
        <v>57748</v>
      </c>
      <c r="BD80" s="50">
        <v>58522</v>
      </c>
      <c r="BE80" s="50">
        <v>59081</v>
      </c>
      <c r="BF80" s="50">
        <v>59881</v>
      </c>
      <c r="BG80" s="50">
        <v>60340</v>
      </c>
      <c r="BH80" s="50">
        <v>61219</v>
      </c>
      <c r="BI80" s="50">
        <v>61895</v>
      </c>
      <c r="BJ80" s="50">
        <v>62562</v>
      </c>
      <c r="BK80" s="50">
        <v>63339</v>
      </c>
      <c r="BL80" s="50">
        <v>64157</v>
      </c>
      <c r="BM80" s="50">
        <v>64971</v>
      </c>
      <c r="BN80" s="50">
        <v>65707</v>
      </c>
      <c r="BO80" s="50">
        <v>66414</v>
      </c>
      <c r="BP80" s="50">
        <v>66999</v>
      </c>
      <c r="BQ80" s="50">
        <v>67582</v>
      </c>
      <c r="BR80" s="50">
        <v>68143</v>
      </c>
      <c r="BS80" s="50">
        <v>68599</v>
      </c>
      <c r="BT80" s="50">
        <v>69140</v>
      </c>
      <c r="BU80" s="50">
        <v>69615</v>
      </c>
      <c r="BV80" s="50">
        <v>70157</v>
      </c>
      <c r="BW80" s="50">
        <v>70632</v>
      </c>
      <c r="BX80" s="50">
        <v>71187</v>
      </c>
      <c r="BY80" s="50">
        <v>71754</v>
      </c>
      <c r="BZ80" s="50">
        <v>72413</v>
      </c>
      <c r="CA80" s="50">
        <v>72960</v>
      </c>
      <c r="CB80" s="50">
        <v>73419</v>
      </c>
      <c r="CC80" s="50">
        <v>73973</v>
      </c>
      <c r="CD80" s="50">
        <v>74483</v>
      </c>
      <c r="CE80" s="50">
        <v>74952</v>
      </c>
      <c r="CF80" s="50">
        <v>75496</v>
      </c>
      <c r="CG80" s="50">
        <v>75969</v>
      </c>
      <c r="CH80" s="50">
        <v>76436</v>
      </c>
      <c r="CI80" s="50">
        <v>76930</v>
      </c>
      <c r="CJ80" s="50">
        <v>77325</v>
      </c>
      <c r="CK80" s="50">
        <v>77739</v>
      </c>
      <c r="CL80" s="50">
        <v>78217</v>
      </c>
      <c r="CM80" s="50">
        <v>78601</v>
      </c>
      <c r="CN80" s="50">
        <v>79029</v>
      </c>
      <c r="CO80" s="50">
        <v>79464</v>
      </c>
      <c r="CP80" s="50">
        <v>79853</v>
      </c>
      <c r="CQ80" s="50">
        <v>80254</v>
      </c>
      <c r="CR80" s="50">
        <v>80599</v>
      </c>
      <c r="CS80" s="50">
        <v>80985</v>
      </c>
      <c r="CT80" s="50">
        <v>81330</v>
      </c>
      <c r="CU80" s="50">
        <v>81684</v>
      </c>
      <c r="CV80" s="50">
        <v>82018</v>
      </c>
      <c r="CW80" s="50">
        <v>82347</v>
      </c>
      <c r="CX80" s="50">
        <v>82700</v>
      </c>
      <c r="CY80" s="50">
        <v>82996</v>
      </c>
      <c r="CZ80" s="50">
        <v>83316</v>
      </c>
      <c r="DA80" s="50">
        <v>83603</v>
      </c>
      <c r="DB80" s="50">
        <v>83926</v>
      </c>
      <c r="DC80" s="50">
        <v>84215</v>
      </c>
      <c r="DD80" s="50">
        <v>84508</v>
      </c>
      <c r="DE80" s="50">
        <v>84779</v>
      </c>
      <c r="DF80" s="50">
        <v>85088</v>
      </c>
      <c r="DG80" s="50">
        <v>85361</v>
      </c>
      <c r="DH80" s="50">
        <v>85628</v>
      </c>
      <c r="DI80" s="50">
        <v>85892</v>
      </c>
      <c r="DJ80" s="50">
        <v>86175</v>
      </c>
      <c r="DK80" s="50">
        <v>86423</v>
      </c>
      <c r="DL80" s="50">
        <v>86671</v>
      </c>
      <c r="DM80" s="50">
        <v>86929</v>
      </c>
      <c r="DN80" s="50">
        <v>87182</v>
      </c>
      <c r="DO80" s="50">
        <v>87430</v>
      </c>
    </row>
    <row r="81" spans="1:119">
      <c r="A81" s="50">
        <v>79</v>
      </c>
      <c r="B81" s="50"/>
      <c r="C81" s="50"/>
      <c r="D81" s="50"/>
      <c r="E81" s="50"/>
      <c r="F81" s="50"/>
      <c r="G81" s="50"/>
      <c r="H81" s="50"/>
      <c r="I81" s="50"/>
      <c r="J81" s="50"/>
      <c r="K81" s="50"/>
      <c r="L81" s="50"/>
      <c r="M81" s="50"/>
      <c r="N81" s="50"/>
      <c r="O81" s="50"/>
      <c r="P81" s="50"/>
      <c r="Q81" s="50"/>
      <c r="R81" s="50"/>
      <c r="S81" s="50"/>
      <c r="T81" s="50"/>
      <c r="U81" s="50"/>
      <c r="V81" s="50"/>
      <c r="W81" s="50">
        <v>30576</v>
      </c>
      <c r="X81" s="50">
        <v>31733</v>
      </c>
      <c r="Y81" s="50">
        <v>32169</v>
      </c>
      <c r="Z81" s="50">
        <v>33851</v>
      </c>
      <c r="AA81" s="50">
        <v>34666</v>
      </c>
      <c r="AB81" s="50">
        <v>35627</v>
      </c>
      <c r="AC81" s="50">
        <v>36122</v>
      </c>
      <c r="AD81" s="50">
        <v>36597</v>
      </c>
      <c r="AE81" s="50">
        <v>36944</v>
      </c>
      <c r="AF81" s="50">
        <v>38347</v>
      </c>
      <c r="AG81" s="50">
        <v>39404</v>
      </c>
      <c r="AH81" s="50">
        <v>40603</v>
      </c>
      <c r="AI81" s="50">
        <v>41549</v>
      </c>
      <c r="AJ81" s="50">
        <v>43073</v>
      </c>
      <c r="AK81" s="50">
        <v>44048</v>
      </c>
      <c r="AL81" s="50">
        <v>45264</v>
      </c>
      <c r="AM81" s="50">
        <v>46398</v>
      </c>
      <c r="AN81" s="50">
        <v>47276</v>
      </c>
      <c r="AO81" s="50">
        <v>47621</v>
      </c>
      <c r="AP81" s="50">
        <v>48229</v>
      </c>
      <c r="AQ81" s="50">
        <v>48738</v>
      </c>
      <c r="AR81" s="50">
        <v>49479</v>
      </c>
      <c r="AS81" s="50">
        <v>49305</v>
      </c>
      <c r="AT81" s="50">
        <v>49182</v>
      </c>
      <c r="AU81" s="50">
        <v>48726</v>
      </c>
      <c r="AV81" s="50">
        <v>49356</v>
      </c>
      <c r="AW81" s="50">
        <v>50252</v>
      </c>
      <c r="AX81" s="50">
        <v>52079</v>
      </c>
      <c r="AY81" s="50">
        <v>53559</v>
      </c>
      <c r="AZ81" s="50">
        <v>53879</v>
      </c>
      <c r="BA81" s="50">
        <v>54246</v>
      </c>
      <c r="BB81" s="50">
        <v>55107</v>
      </c>
      <c r="BC81" s="50">
        <v>55672</v>
      </c>
      <c r="BD81" s="50">
        <v>56455</v>
      </c>
      <c r="BE81" s="50">
        <v>57031</v>
      </c>
      <c r="BF81" s="50">
        <v>57839</v>
      </c>
      <c r="BG81" s="50">
        <v>58319</v>
      </c>
      <c r="BH81" s="50">
        <v>59205</v>
      </c>
      <c r="BI81" s="50">
        <v>59894</v>
      </c>
      <c r="BJ81" s="50">
        <v>60574</v>
      </c>
      <c r="BK81" s="50">
        <v>61363</v>
      </c>
      <c r="BL81" s="50">
        <v>62189</v>
      </c>
      <c r="BM81" s="50">
        <v>63014</v>
      </c>
      <c r="BN81" s="50">
        <v>63762</v>
      </c>
      <c r="BO81" s="50">
        <v>64482</v>
      </c>
      <c r="BP81" s="50">
        <v>65085</v>
      </c>
      <c r="BQ81" s="50">
        <v>65684</v>
      </c>
      <c r="BR81" s="50">
        <v>66263</v>
      </c>
      <c r="BS81" s="50">
        <v>66740</v>
      </c>
      <c r="BT81" s="50">
        <v>67299</v>
      </c>
      <c r="BU81" s="50">
        <v>67794</v>
      </c>
      <c r="BV81" s="50">
        <v>68353</v>
      </c>
      <c r="BW81" s="50">
        <v>68849</v>
      </c>
      <c r="BX81" s="50">
        <v>69421</v>
      </c>
      <c r="BY81" s="50">
        <v>70005</v>
      </c>
      <c r="BZ81" s="50">
        <v>70679</v>
      </c>
      <c r="CA81" s="50">
        <v>71243</v>
      </c>
      <c r="CB81" s="50">
        <v>71722</v>
      </c>
      <c r="CC81" s="50">
        <v>72293</v>
      </c>
      <c r="CD81" s="50">
        <v>72820</v>
      </c>
      <c r="CE81" s="50">
        <v>73309</v>
      </c>
      <c r="CF81" s="50">
        <v>73869</v>
      </c>
      <c r="CG81" s="50">
        <v>74361</v>
      </c>
      <c r="CH81" s="50">
        <v>74846</v>
      </c>
      <c r="CI81" s="50">
        <v>75359</v>
      </c>
      <c r="CJ81" s="50">
        <v>75773</v>
      </c>
      <c r="CK81" s="50">
        <v>76206</v>
      </c>
      <c r="CL81" s="50">
        <v>76701</v>
      </c>
      <c r="CM81" s="50">
        <v>77105</v>
      </c>
      <c r="CN81" s="50">
        <v>77551</v>
      </c>
      <c r="CO81" s="50">
        <v>78004</v>
      </c>
      <c r="CP81" s="50">
        <v>78411</v>
      </c>
      <c r="CQ81" s="50">
        <v>78831</v>
      </c>
      <c r="CR81" s="50">
        <v>79195</v>
      </c>
      <c r="CS81" s="50">
        <v>79598</v>
      </c>
      <c r="CT81" s="50">
        <v>79961</v>
      </c>
      <c r="CU81" s="50">
        <v>80334</v>
      </c>
      <c r="CV81" s="50">
        <v>80686</v>
      </c>
      <c r="CW81" s="50">
        <v>81033</v>
      </c>
      <c r="CX81" s="50">
        <v>81404</v>
      </c>
      <c r="CY81" s="50">
        <v>81717</v>
      </c>
      <c r="CZ81" s="50">
        <v>82055</v>
      </c>
      <c r="DA81" s="50">
        <v>82360</v>
      </c>
      <c r="DB81" s="50">
        <v>82700</v>
      </c>
      <c r="DC81" s="50">
        <v>83006</v>
      </c>
      <c r="DD81" s="50">
        <v>83317</v>
      </c>
      <c r="DE81" s="50">
        <v>83605</v>
      </c>
      <c r="DF81" s="50">
        <v>83930</v>
      </c>
      <c r="DG81" s="50">
        <v>84220</v>
      </c>
      <c r="DH81" s="50">
        <v>84503</v>
      </c>
      <c r="DI81" s="50">
        <v>84783</v>
      </c>
      <c r="DJ81" s="50">
        <v>85082</v>
      </c>
      <c r="DK81" s="50">
        <v>85346</v>
      </c>
      <c r="DL81" s="50">
        <v>85610</v>
      </c>
      <c r="DM81" s="50">
        <v>85883</v>
      </c>
      <c r="DN81" s="50">
        <v>86151</v>
      </c>
      <c r="DO81" s="50">
        <v>86414</v>
      </c>
    </row>
    <row r="82" spans="1:119">
      <c r="A82" s="50">
        <v>80</v>
      </c>
      <c r="B82" s="50"/>
      <c r="C82" s="50"/>
      <c r="D82" s="50"/>
      <c r="E82" s="50"/>
      <c r="F82" s="50"/>
      <c r="G82" s="50"/>
      <c r="H82" s="50"/>
      <c r="I82" s="50"/>
      <c r="J82" s="50"/>
      <c r="K82" s="50"/>
      <c r="L82" s="50"/>
      <c r="M82" s="50"/>
      <c r="N82" s="50"/>
      <c r="O82" s="50"/>
      <c r="P82" s="50"/>
      <c r="Q82" s="50"/>
      <c r="R82" s="50"/>
      <c r="S82" s="50"/>
      <c r="T82" s="50"/>
      <c r="U82" s="50"/>
      <c r="V82" s="50"/>
      <c r="W82" s="50">
        <v>28438</v>
      </c>
      <c r="X82" s="50">
        <v>29568</v>
      </c>
      <c r="Y82" s="50">
        <v>29931</v>
      </c>
      <c r="Z82" s="50">
        <v>31645</v>
      </c>
      <c r="AA82" s="50">
        <v>32438</v>
      </c>
      <c r="AB82" s="50">
        <v>33423</v>
      </c>
      <c r="AC82" s="50">
        <v>33965</v>
      </c>
      <c r="AD82" s="50">
        <v>34341</v>
      </c>
      <c r="AE82" s="50">
        <v>34673</v>
      </c>
      <c r="AF82" s="50">
        <v>36082</v>
      </c>
      <c r="AG82" s="50">
        <v>37085</v>
      </c>
      <c r="AH82" s="50">
        <v>38272</v>
      </c>
      <c r="AI82" s="50">
        <v>39183</v>
      </c>
      <c r="AJ82" s="50">
        <v>40772</v>
      </c>
      <c r="AK82" s="50">
        <v>41684</v>
      </c>
      <c r="AL82" s="50">
        <v>42865</v>
      </c>
      <c r="AM82" s="50">
        <v>43979</v>
      </c>
      <c r="AN82" s="50">
        <v>44851</v>
      </c>
      <c r="AO82" s="50">
        <v>45218</v>
      </c>
      <c r="AP82" s="50">
        <v>45835</v>
      </c>
      <c r="AQ82" s="50">
        <v>46358</v>
      </c>
      <c r="AR82" s="50">
        <v>47102</v>
      </c>
      <c r="AS82" s="50">
        <v>46974</v>
      </c>
      <c r="AT82" s="50">
        <v>46895</v>
      </c>
      <c r="AU82" s="50">
        <v>46497</v>
      </c>
      <c r="AV82" s="50">
        <v>47134</v>
      </c>
      <c r="AW82" s="50">
        <v>48027</v>
      </c>
      <c r="AX82" s="50">
        <v>49810</v>
      </c>
      <c r="AY82" s="50">
        <v>51263</v>
      </c>
      <c r="AZ82" s="50">
        <v>51607</v>
      </c>
      <c r="BA82" s="50">
        <v>51996</v>
      </c>
      <c r="BB82" s="50">
        <v>52860</v>
      </c>
      <c r="BC82" s="50">
        <v>53441</v>
      </c>
      <c r="BD82" s="50">
        <v>54231</v>
      </c>
      <c r="BE82" s="50">
        <v>54822</v>
      </c>
      <c r="BF82" s="50">
        <v>55638</v>
      </c>
      <c r="BG82" s="50">
        <v>56138</v>
      </c>
      <c r="BH82" s="50">
        <v>57028</v>
      </c>
      <c r="BI82" s="50">
        <v>57729</v>
      </c>
      <c r="BJ82" s="50">
        <v>58423</v>
      </c>
      <c r="BK82" s="50">
        <v>59220</v>
      </c>
      <c r="BL82" s="50">
        <v>60055</v>
      </c>
      <c r="BM82" s="50">
        <v>60888</v>
      </c>
      <c r="BN82" s="50">
        <v>61648</v>
      </c>
      <c r="BO82" s="50">
        <v>62381</v>
      </c>
      <c r="BP82" s="50">
        <v>63000</v>
      </c>
      <c r="BQ82" s="50">
        <v>63617</v>
      </c>
      <c r="BR82" s="50">
        <v>64213</v>
      </c>
      <c r="BS82" s="50">
        <v>64710</v>
      </c>
      <c r="BT82" s="50">
        <v>65287</v>
      </c>
      <c r="BU82" s="50">
        <v>65802</v>
      </c>
      <c r="BV82" s="50">
        <v>66379</v>
      </c>
      <c r="BW82" s="50">
        <v>66894</v>
      </c>
      <c r="BX82" s="50">
        <v>67484</v>
      </c>
      <c r="BY82" s="50">
        <v>68085</v>
      </c>
      <c r="BZ82" s="50">
        <v>68773</v>
      </c>
      <c r="CA82" s="50">
        <v>69355</v>
      </c>
      <c r="CB82" s="50">
        <v>69854</v>
      </c>
      <c r="CC82" s="50">
        <v>70442</v>
      </c>
      <c r="CD82" s="50">
        <v>70988</v>
      </c>
      <c r="CE82" s="50">
        <v>71496</v>
      </c>
      <c r="CF82" s="50">
        <v>72074</v>
      </c>
      <c r="CG82" s="50">
        <v>72585</v>
      </c>
      <c r="CH82" s="50">
        <v>73089</v>
      </c>
      <c r="CI82" s="50">
        <v>73619</v>
      </c>
      <c r="CJ82" s="50">
        <v>74054</v>
      </c>
      <c r="CK82" s="50">
        <v>74506</v>
      </c>
      <c r="CL82" s="50">
        <v>75020</v>
      </c>
      <c r="CM82" s="50">
        <v>75443</v>
      </c>
      <c r="CN82" s="50">
        <v>75909</v>
      </c>
      <c r="CO82" s="50">
        <v>76380</v>
      </c>
      <c r="CP82" s="50">
        <v>76807</v>
      </c>
      <c r="CQ82" s="50">
        <v>77246</v>
      </c>
      <c r="CR82" s="50">
        <v>77629</v>
      </c>
      <c r="CS82" s="50">
        <v>78052</v>
      </c>
      <c r="CT82" s="50">
        <v>78435</v>
      </c>
      <c r="CU82" s="50">
        <v>78826</v>
      </c>
      <c r="CV82" s="50">
        <v>79198</v>
      </c>
      <c r="CW82" s="50">
        <v>79564</v>
      </c>
      <c r="CX82" s="50">
        <v>79953</v>
      </c>
      <c r="CY82" s="50">
        <v>80286</v>
      </c>
      <c r="CZ82" s="50">
        <v>80642</v>
      </c>
      <c r="DA82" s="50">
        <v>80966</v>
      </c>
      <c r="DB82" s="50">
        <v>81324</v>
      </c>
      <c r="DC82" s="50">
        <v>81649</v>
      </c>
      <c r="DD82" s="50">
        <v>81978</v>
      </c>
      <c r="DE82" s="50">
        <v>82284</v>
      </c>
      <c r="DF82" s="50">
        <v>82627</v>
      </c>
      <c r="DG82" s="50">
        <v>82934</v>
      </c>
      <c r="DH82" s="50">
        <v>83236</v>
      </c>
      <c r="DI82" s="50">
        <v>83533</v>
      </c>
      <c r="DJ82" s="50">
        <v>83849</v>
      </c>
      <c r="DK82" s="50">
        <v>84130</v>
      </c>
      <c r="DL82" s="50">
        <v>84411</v>
      </c>
      <c r="DM82" s="50">
        <v>84701</v>
      </c>
      <c r="DN82" s="50">
        <v>84986</v>
      </c>
      <c r="DO82" s="50">
        <v>85266</v>
      </c>
    </row>
    <row r="83" spans="1:119">
      <c r="A83" s="50">
        <v>81</v>
      </c>
      <c r="B83" s="50"/>
      <c r="C83" s="50"/>
      <c r="D83" s="50"/>
      <c r="E83" s="50"/>
      <c r="F83" s="50"/>
      <c r="G83" s="50"/>
      <c r="H83" s="50"/>
      <c r="I83" s="50"/>
      <c r="J83" s="50"/>
      <c r="K83" s="50"/>
      <c r="L83" s="50"/>
      <c r="M83" s="50"/>
      <c r="N83" s="50"/>
      <c r="O83" s="50"/>
      <c r="P83" s="50"/>
      <c r="Q83" s="50"/>
      <c r="R83" s="50"/>
      <c r="S83" s="50"/>
      <c r="T83" s="50"/>
      <c r="U83" s="50"/>
      <c r="V83" s="50"/>
      <c r="W83" s="50">
        <v>26271</v>
      </c>
      <c r="X83" s="50">
        <v>27291</v>
      </c>
      <c r="Y83" s="50">
        <v>27735</v>
      </c>
      <c r="Z83" s="50">
        <v>29407</v>
      </c>
      <c r="AA83" s="50">
        <v>30241</v>
      </c>
      <c r="AB83" s="50">
        <v>31177</v>
      </c>
      <c r="AC83" s="50">
        <v>31648</v>
      </c>
      <c r="AD83" s="50">
        <v>31989</v>
      </c>
      <c r="AE83" s="50">
        <v>32390</v>
      </c>
      <c r="AF83" s="50">
        <v>33742</v>
      </c>
      <c r="AG83" s="50">
        <v>34739</v>
      </c>
      <c r="AH83" s="50">
        <v>35847</v>
      </c>
      <c r="AI83" s="50">
        <v>36842</v>
      </c>
      <c r="AJ83" s="50">
        <v>38298</v>
      </c>
      <c r="AK83" s="50">
        <v>39190</v>
      </c>
      <c r="AL83" s="50">
        <v>40341</v>
      </c>
      <c r="AM83" s="50">
        <v>41429</v>
      </c>
      <c r="AN83" s="50">
        <v>42292</v>
      </c>
      <c r="AO83" s="50">
        <v>42679</v>
      </c>
      <c r="AP83" s="50">
        <v>43302</v>
      </c>
      <c r="AQ83" s="50">
        <v>43836</v>
      </c>
      <c r="AR83" s="50">
        <v>44580</v>
      </c>
      <c r="AS83" s="50">
        <v>44499</v>
      </c>
      <c r="AT83" s="50">
        <v>44463</v>
      </c>
      <c r="AU83" s="50">
        <v>44123</v>
      </c>
      <c r="AV83" s="50">
        <v>44766</v>
      </c>
      <c r="AW83" s="50">
        <v>45652</v>
      </c>
      <c r="AX83" s="50">
        <v>47385</v>
      </c>
      <c r="AY83" s="50">
        <v>48807</v>
      </c>
      <c r="AZ83" s="50">
        <v>49174</v>
      </c>
      <c r="BA83" s="50">
        <v>49585</v>
      </c>
      <c r="BB83" s="50">
        <v>50450</v>
      </c>
      <c r="BC83" s="50">
        <v>51045</v>
      </c>
      <c r="BD83" s="50">
        <v>51840</v>
      </c>
      <c r="BE83" s="50">
        <v>52446</v>
      </c>
      <c r="BF83" s="50">
        <v>53266</v>
      </c>
      <c r="BG83" s="50">
        <v>53785</v>
      </c>
      <c r="BH83" s="50">
        <v>54677</v>
      </c>
      <c r="BI83" s="50">
        <v>55390</v>
      </c>
      <c r="BJ83" s="50">
        <v>56094</v>
      </c>
      <c r="BK83" s="50">
        <v>56900</v>
      </c>
      <c r="BL83" s="50">
        <v>57741</v>
      </c>
      <c r="BM83" s="50">
        <v>58581</v>
      </c>
      <c r="BN83" s="50">
        <v>59351</v>
      </c>
      <c r="BO83" s="50">
        <v>60096</v>
      </c>
      <c r="BP83" s="50">
        <v>60730</v>
      </c>
      <c r="BQ83" s="50">
        <v>61363</v>
      </c>
      <c r="BR83" s="50">
        <v>61976</v>
      </c>
      <c r="BS83" s="50">
        <v>62494</v>
      </c>
      <c r="BT83" s="50">
        <v>63088</v>
      </c>
      <c r="BU83" s="50">
        <v>63623</v>
      </c>
      <c r="BV83" s="50">
        <v>64218</v>
      </c>
      <c r="BW83" s="50">
        <v>64752</v>
      </c>
      <c r="BX83" s="50">
        <v>65359</v>
      </c>
      <c r="BY83" s="50">
        <v>65977</v>
      </c>
      <c r="BZ83" s="50">
        <v>66679</v>
      </c>
      <c r="CA83" s="50">
        <v>67279</v>
      </c>
      <c r="CB83" s="50">
        <v>67797</v>
      </c>
      <c r="CC83" s="50">
        <v>68403</v>
      </c>
      <c r="CD83" s="50">
        <v>68968</v>
      </c>
      <c r="CE83" s="50">
        <v>69495</v>
      </c>
      <c r="CF83" s="50">
        <v>70090</v>
      </c>
      <c r="CG83" s="50">
        <v>70620</v>
      </c>
      <c r="CH83" s="50">
        <v>71144</v>
      </c>
      <c r="CI83" s="50">
        <v>71693</v>
      </c>
      <c r="CJ83" s="50">
        <v>72149</v>
      </c>
      <c r="CK83" s="50">
        <v>72621</v>
      </c>
      <c r="CL83" s="50">
        <v>73154</v>
      </c>
      <c r="CM83" s="50">
        <v>73598</v>
      </c>
      <c r="CN83" s="50">
        <v>74083</v>
      </c>
      <c r="CO83" s="50">
        <v>74573</v>
      </c>
      <c r="CP83" s="50">
        <v>75021</v>
      </c>
      <c r="CQ83" s="50">
        <v>75479</v>
      </c>
      <c r="CR83" s="50">
        <v>75883</v>
      </c>
      <c r="CS83" s="50">
        <v>76326</v>
      </c>
      <c r="CT83" s="50">
        <v>76729</v>
      </c>
      <c r="CU83" s="50">
        <v>77141</v>
      </c>
      <c r="CV83" s="50">
        <v>77532</v>
      </c>
      <c r="CW83" s="50">
        <v>77919</v>
      </c>
      <c r="CX83" s="50">
        <v>78327</v>
      </c>
      <c r="CY83" s="50">
        <v>78681</v>
      </c>
      <c r="CZ83" s="50">
        <v>79057</v>
      </c>
      <c r="DA83" s="50">
        <v>79401</v>
      </c>
      <c r="DB83" s="50">
        <v>79779</v>
      </c>
      <c r="DC83" s="50">
        <v>80123</v>
      </c>
      <c r="DD83" s="50">
        <v>80471</v>
      </c>
      <c r="DE83" s="50">
        <v>80797</v>
      </c>
      <c r="DF83" s="50">
        <v>81159</v>
      </c>
      <c r="DG83" s="50">
        <v>81485</v>
      </c>
      <c r="DH83" s="50">
        <v>81805</v>
      </c>
      <c r="DI83" s="50">
        <v>82122</v>
      </c>
      <c r="DJ83" s="50">
        <v>82456</v>
      </c>
      <c r="DK83" s="50">
        <v>82756</v>
      </c>
      <c r="DL83" s="50">
        <v>83055</v>
      </c>
      <c r="DM83" s="50">
        <v>83363</v>
      </c>
      <c r="DN83" s="50">
        <v>83666</v>
      </c>
      <c r="DO83" s="50">
        <v>83963</v>
      </c>
    </row>
    <row r="84" spans="1:119">
      <c r="A84" s="50">
        <v>82</v>
      </c>
      <c r="B84" s="50"/>
      <c r="C84" s="50"/>
      <c r="D84" s="50"/>
      <c r="E84" s="50"/>
      <c r="F84" s="50"/>
      <c r="G84" s="50"/>
      <c r="H84" s="50"/>
      <c r="I84" s="50"/>
      <c r="J84" s="50"/>
      <c r="K84" s="50"/>
      <c r="L84" s="50"/>
      <c r="M84" s="50"/>
      <c r="N84" s="50"/>
      <c r="O84" s="50"/>
      <c r="P84" s="50"/>
      <c r="Q84" s="50"/>
      <c r="R84" s="50"/>
      <c r="S84" s="50"/>
      <c r="T84" s="50"/>
      <c r="U84" s="50"/>
      <c r="V84" s="50"/>
      <c r="W84" s="50">
        <v>24066</v>
      </c>
      <c r="X84" s="50">
        <v>25092</v>
      </c>
      <c r="Y84" s="50">
        <v>25526</v>
      </c>
      <c r="Z84" s="50">
        <v>27192</v>
      </c>
      <c r="AA84" s="50">
        <v>27967</v>
      </c>
      <c r="AB84" s="50">
        <v>28847</v>
      </c>
      <c r="AC84" s="50">
        <v>29246</v>
      </c>
      <c r="AD84" s="50">
        <v>29652</v>
      </c>
      <c r="AE84" s="50">
        <v>30021</v>
      </c>
      <c r="AF84" s="50">
        <v>31342</v>
      </c>
      <c r="AG84" s="50">
        <v>32228</v>
      </c>
      <c r="AH84" s="50">
        <v>33406</v>
      </c>
      <c r="AI84" s="50">
        <v>34317</v>
      </c>
      <c r="AJ84" s="50">
        <v>35708</v>
      </c>
      <c r="AK84" s="50">
        <v>36581</v>
      </c>
      <c r="AL84" s="50">
        <v>37696</v>
      </c>
      <c r="AM84" s="50">
        <v>38755</v>
      </c>
      <c r="AN84" s="50">
        <v>39604</v>
      </c>
      <c r="AO84" s="50">
        <v>40007</v>
      </c>
      <c r="AP84" s="50">
        <v>40633</v>
      </c>
      <c r="AQ84" s="50">
        <v>41176</v>
      </c>
      <c r="AR84" s="50">
        <v>41916</v>
      </c>
      <c r="AS84" s="50">
        <v>41880</v>
      </c>
      <c r="AT84" s="50">
        <v>41887</v>
      </c>
      <c r="AU84" s="50">
        <v>41606</v>
      </c>
      <c r="AV84" s="50">
        <v>42251</v>
      </c>
      <c r="AW84" s="50">
        <v>43126</v>
      </c>
      <c r="AX84" s="50">
        <v>44804</v>
      </c>
      <c r="AY84" s="50">
        <v>46189</v>
      </c>
      <c r="AZ84" s="50">
        <v>46579</v>
      </c>
      <c r="BA84" s="50">
        <v>47011</v>
      </c>
      <c r="BB84" s="50">
        <v>47874</v>
      </c>
      <c r="BC84" s="50">
        <v>48480</v>
      </c>
      <c r="BD84" s="50">
        <v>49278</v>
      </c>
      <c r="BE84" s="50">
        <v>49896</v>
      </c>
      <c r="BF84" s="50">
        <v>50719</v>
      </c>
      <c r="BG84" s="50">
        <v>51254</v>
      </c>
      <c r="BH84" s="50">
        <v>52147</v>
      </c>
      <c r="BI84" s="50">
        <v>52868</v>
      </c>
      <c r="BJ84" s="50">
        <v>53582</v>
      </c>
      <c r="BK84" s="50">
        <v>54393</v>
      </c>
      <c r="BL84" s="50">
        <v>55239</v>
      </c>
      <c r="BM84" s="50">
        <v>56083</v>
      </c>
      <c r="BN84" s="50">
        <v>56862</v>
      </c>
      <c r="BO84" s="50">
        <v>57616</v>
      </c>
      <c r="BP84" s="50">
        <v>58265</v>
      </c>
      <c r="BQ84" s="50">
        <v>58913</v>
      </c>
      <c r="BR84" s="50">
        <v>59541</v>
      </c>
      <c r="BS84" s="50">
        <v>60079</v>
      </c>
      <c r="BT84" s="50">
        <v>60690</v>
      </c>
      <c r="BU84" s="50">
        <v>61243</v>
      </c>
      <c r="BV84" s="50">
        <v>61855</v>
      </c>
      <c r="BW84" s="50">
        <v>62409</v>
      </c>
      <c r="BX84" s="50">
        <v>63032</v>
      </c>
      <c r="BY84" s="50">
        <v>63666</v>
      </c>
      <c r="BZ84" s="50">
        <v>64382</v>
      </c>
      <c r="CA84" s="50">
        <v>64999</v>
      </c>
      <c r="CB84" s="50">
        <v>65537</v>
      </c>
      <c r="CC84" s="50">
        <v>66160</v>
      </c>
      <c r="CD84" s="50">
        <v>66743</v>
      </c>
      <c r="CE84" s="50">
        <v>67289</v>
      </c>
      <c r="CF84" s="50">
        <v>67902</v>
      </c>
      <c r="CG84" s="50">
        <v>68451</v>
      </c>
      <c r="CH84" s="50">
        <v>68994</v>
      </c>
      <c r="CI84" s="50">
        <v>69562</v>
      </c>
      <c r="CJ84" s="50">
        <v>70039</v>
      </c>
      <c r="CK84" s="50">
        <v>70532</v>
      </c>
      <c r="CL84" s="50">
        <v>71084</v>
      </c>
      <c r="CM84" s="50">
        <v>71549</v>
      </c>
      <c r="CN84" s="50">
        <v>72054</v>
      </c>
      <c r="CO84" s="50">
        <v>72564</v>
      </c>
      <c r="CP84" s="50">
        <v>73033</v>
      </c>
      <c r="CQ84" s="50">
        <v>73511</v>
      </c>
      <c r="CR84" s="50">
        <v>73937</v>
      </c>
      <c r="CS84" s="50">
        <v>74400</v>
      </c>
      <c r="CT84" s="50">
        <v>74825</v>
      </c>
      <c r="CU84" s="50">
        <v>75257</v>
      </c>
      <c r="CV84" s="50">
        <v>75670</v>
      </c>
      <c r="CW84" s="50">
        <v>76078</v>
      </c>
      <c r="CX84" s="50">
        <v>76507</v>
      </c>
      <c r="CY84" s="50">
        <v>76882</v>
      </c>
      <c r="CZ84" s="50">
        <v>77279</v>
      </c>
      <c r="DA84" s="50">
        <v>77644</v>
      </c>
      <c r="DB84" s="50">
        <v>78042</v>
      </c>
      <c r="DC84" s="50">
        <v>78407</v>
      </c>
      <c r="DD84" s="50">
        <v>78776</v>
      </c>
      <c r="DE84" s="50">
        <v>79123</v>
      </c>
      <c r="DF84" s="50">
        <v>79504</v>
      </c>
      <c r="DG84" s="50">
        <v>79851</v>
      </c>
      <c r="DH84" s="50">
        <v>80192</v>
      </c>
      <c r="DI84" s="50">
        <v>80528</v>
      </c>
      <c r="DJ84" s="50">
        <v>80882</v>
      </c>
      <c r="DK84" s="50">
        <v>81202</v>
      </c>
      <c r="DL84" s="50">
        <v>81521</v>
      </c>
      <c r="DM84" s="50">
        <v>81848</v>
      </c>
      <c r="DN84" s="50">
        <v>82170</v>
      </c>
      <c r="DO84" s="50">
        <v>82487</v>
      </c>
    </row>
    <row r="85" spans="1:119">
      <c r="A85" s="50">
        <v>83</v>
      </c>
      <c r="B85" s="50"/>
      <c r="C85" s="50"/>
      <c r="D85" s="50"/>
      <c r="E85" s="50"/>
      <c r="F85" s="50"/>
      <c r="G85" s="50"/>
      <c r="H85" s="50"/>
      <c r="I85" s="50"/>
      <c r="J85" s="50"/>
      <c r="K85" s="50"/>
      <c r="L85" s="50"/>
      <c r="M85" s="50"/>
      <c r="N85" s="50"/>
      <c r="O85" s="50"/>
      <c r="P85" s="50"/>
      <c r="Q85" s="50"/>
      <c r="R85" s="50"/>
      <c r="S85" s="50"/>
      <c r="T85" s="50"/>
      <c r="U85" s="50"/>
      <c r="V85" s="50"/>
      <c r="W85" s="50">
        <v>21925</v>
      </c>
      <c r="X85" s="50">
        <v>22886</v>
      </c>
      <c r="Y85" s="50">
        <v>23355</v>
      </c>
      <c r="Z85" s="50">
        <v>24942</v>
      </c>
      <c r="AA85" s="50">
        <v>25641</v>
      </c>
      <c r="AB85" s="50">
        <v>26452</v>
      </c>
      <c r="AC85" s="50">
        <v>26924</v>
      </c>
      <c r="AD85" s="50">
        <v>27232</v>
      </c>
      <c r="AE85" s="50">
        <v>27611</v>
      </c>
      <c r="AF85" s="50">
        <v>28792</v>
      </c>
      <c r="AG85" s="50">
        <v>29767</v>
      </c>
      <c r="AH85" s="50">
        <v>30821</v>
      </c>
      <c r="AI85" s="50">
        <v>31698</v>
      </c>
      <c r="AJ85" s="50">
        <v>33024</v>
      </c>
      <c r="AK85" s="50">
        <v>33872</v>
      </c>
      <c r="AL85" s="50">
        <v>34946</v>
      </c>
      <c r="AM85" s="50">
        <v>35970</v>
      </c>
      <c r="AN85" s="50">
        <v>36800</v>
      </c>
      <c r="AO85" s="50">
        <v>37217</v>
      </c>
      <c r="AP85" s="50">
        <v>37841</v>
      </c>
      <c r="AQ85" s="50">
        <v>38388</v>
      </c>
      <c r="AR85" s="50">
        <v>39120</v>
      </c>
      <c r="AS85" s="50">
        <v>39129</v>
      </c>
      <c r="AT85" s="50">
        <v>39175</v>
      </c>
      <c r="AU85" s="50">
        <v>38953</v>
      </c>
      <c r="AV85" s="50">
        <v>39597</v>
      </c>
      <c r="AW85" s="50">
        <v>40457</v>
      </c>
      <c r="AX85" s="50">
        <v>42072</v>
      </c>
      <c r="AY85" s="50">
        <v>43418</v>
      </c>
      <c r="AZ85" s="50">
        <v>43828</v>
      </c>
      <c r="BA85" s="50">
        <v>44279</v>
      </c>
      <c r="BB85" s="50">
        <v>45135</v>
      </c>
      <c r="BC85" s="50">
        <v>45751</v>
      </c>
      <c r="BD85" s="50">
        <v>46549</v>
      </c>
      <c r="BE85" s="50">
        <v>47176</v>
      </c>
      <c r="BF85" s="50">
        <v>47997</v>
      </c>
      <c r="BG85" s="50">
        <v>48548</v>
      </c>
      <c r="BH85" s="50">
        <v>49437</v>
      </c>
      <c r="BI85" s="50">
        <v>50164</v>
      </c>
      <c r="BJ85" s="50">
        <v>50885</v>
      </c>
      <c r="BK85" s="50">
        <v>51698</v>
      </c>
      <c r="BL85" s="50">
        <v>52545</v>
      </c>
      <c r="BM85" s="50">
        <v>53392</v>
      </c>
      <c r="BN85" s="50">
        <v>54176</v>
      </c>
      <c r="BO85" s="50">
        <v>54938</v>
      </c>
      <c r="BP85" s="50">
        <v>55600</v>
      </c>
      <c r="BQ85" s="50">
        <v>56261</v>
      </c>
      <c r="BR85" s="50">
        <v>56904</v>
      </c>
      <c r="BS85" s="50">
        <v>57460</v>
      </c>
      <c r="BT85" s="50">
        <v>58086</v>
      </c>
      <c r="BU85" s="50">
        <v>58657</v>
      </c>
      <c r="BV85" s="50">
        <v>59285</v>
      </c>
      <c r="BW85" s="50">
        <v>59856</v>
      </c>
      <c r="BX85" s="50">
        <v>60495</v>
      </c>
      <c r="BY85" s="50">
        <v>61144</v>
      </c>
      <c r="BZ85" s="50">
        <v>61872</v>
      </c>
      <c r="CA85" s="50">
        <v>62505</v>
      </c>
      <c r="CB85" s="50">
        <v>63062</v>
      </c>
      <c r="CC85" s="50">
        <v>63701</v>
      </c>
      <c r="CD85" s="50">
        <v>64301</v>
      </c>
      <c r="CE85" s="50">
        <v>64867</v>
      </c>
      <c r="CF85" s="50">
        <v>65496</v>
      </c>
      <c r="CG85" s="50">
        <v>66065</v>
      </c>
      <c r="CH85" s="50">
        <v>66627</v>
      </c>
      <c r="CI85" s="50">
        <v>67213</v>
      </c>
      <c r="CJ85" s="50">
        <v>67711</v>
      </c>
      <c r="CK85" s="50">
        <v>68225</v>
      </c>
      <c r="CL85" s="50">
        <v>68795</v>
      </c>
      <c r="CM85" s="50">
        <v>69282</v>
      </c>
      <c r="CN85" s="50">
        <v>69808</v>
      </c>
      <c r="CO85" s="50">
        <v>70338</v>
      </c>
      <c r="CP85" s="50">
        <v>70827</v>
      </c>
      <c r="CQ85" s="50">
        <v>71326</v>
      </c>
      <c r="CR85" s="50">
        <v>71775</v>
      </c>
      <c r="CS85" s="50">
        <v>72259</v>
      </c>
      <c r="CT85" s="50">
        <v>72705</v>
      </c>
      <c r="CU85" s="50">
        <v>73159</v>
      </c>
      <c r="CV85" s="50">
        <v>73594</v>
      </c>
      <c r="CW85" s="50">
        <v>74023</v>
      </c>
      <c r="CX85" s="50">
        <v>74474</v>
      </c>
      <c r="CY85" s="50">
        <v>74871</v>
      </c>
      <c r="CZ85" s="50">
        <v>75289</v>
      </c>
      <c r="DA85" s="50">
        <v>75677</v>
      </c>
      <c r="DB85" s="50">
        <v>76096</v>
      </c>
      <c r="DC85" s="50">
        <v>76483</v>
      </c>
      <c r="DD85" s="50">
        <v>76874</v>
      </c>
      <c r="DE85" s="50">
        <v>77243</v>
      </c>
      <c r="DF85" s="50">
        <v>77645</v>
      </c>
      <c r="DG85" s="50">
        <v>78013</v>
      </c>
      <c r="DH85" s="50">
        <v>78375</v>
      </c>
      <c r="DI85" s="50">
        <v>78733</v>
      </c>
      <c r="DJ85" s="50">
        <v>79107</v>
      </c>
      <c r="DK85" s="50">
        <v>79448</v>
      </c>
      <c r="DL85" s="50">
        <v>79788</v>
      </c>
      <c r="DM85" s="50">
        <v>80136</v>
      </c>
      <c r="DN85" s="50">
        <v>80479</v>
      </c>
      <c r="DO85" s="50">
        <v>80816</v>
      </c>
    </row>
    <row r="86" spans="1:119">
      <c r="A86" s="50">
        <v>84</v>
      </c>
      <c r="B86" s="50"/>
      <c r="C86" s="50"/>
      <c r="D86" s="50"/>
      <c r="E86" s="50"/>
      <c r="F86" s="50"/>
      <c r="G86" s="50"/>
      <c r="H86" s="50"/>
      <c r="I86" s="50"/>
      <c r="J86" s="50"/>
      <c r="K86" s="50"/>
      <c r="L86" s="50"/>
      <c r="M86" s="50"/>
      <c r="N86" s="50"/>
      <c r="O86" s="50"/>
      <c r="P86" s="50"/>
      <c r="Q86" s="50"/>
      <c r="R86" s="50"/>
      <c r="S86" s="50"/>
      <c r="T86" s="50"/>
      <c r="U86" s="50"/>
      <c r="V86" s="50"/>
      <c r="W86" s="50">
        <v>19775</v>
      </c>
      <c r="X86" s="50">
        <v>20692</v>
      </c>
      <c r="Y86" s="50">
        <v>21206</v>
      </c>
      <c r="Z86" s="50">
        <v>22678</v>
      </c>
      <c r="AA86" s="50">
        <v>23327</v>
      </c>
      <c r="AB86" s="50">
        <v>24122</v>
      </c>
      <c r="AC86" s="50">
        <v>24530</v>
      </c>
      <c r="AD86" s="50">
        <v>24803</v>
      </c>
      <c r="AE86" s="50">
        <v>25090</v>
      </c>
      <c r="AF86" s="50">
        <v>26310</v>
      </c>
      <c r="AG86" s="50">
        <v>27168</v>
      </c>
      <c r="AH86" s="50">
        <v>28172</v>
      </c>
      <c r="AI86" s="50">
        <v>29013</v>
      </c>
      <c r="AJ86" s="50">
        <v>30267</v>
      </c>
      <c r="AK86" s="50">
        <v>31085</v>
      </c>
      <c r="AL86" s="50">
        <v>32112</v>
      </c>
      <c r="AM86" s="50">
        <v>33094</v>
      </c>
      <c r="AN86" s="50">
        <v>33900</v>
      </c>
      <c r="AO86" s="50">
        <v>34327</v>
      </c>
      <c r="AP86" s="50">
        <v>34945</v>
      </c>
      <c r="AQ86" s="50">
        <v>35493</v>
      </c>
      <c r="AR86" s="50">
        <v>36212</v>
      </c>
      <c r="AS86" s="50">
        <v>36261</v>
      </c>
      <c r="AT86" s="50">
        <v>36346</v>
      </c>
      <c r="AU86" s="50">
        <v>36180</v>
      </c>
      <c r="AV86" s="50">
        <v>36819</v>
      </c>
      <c r="AW86" s="50">
        <v>37660</v>
      </c>
      <c r="AX86" s="50">
        <v>39208</v>
      </c>
      <c r="AY86" s="50">
        <v>40507</v>
      </c>
      <c r="AZ86" s="50">
        <v>40935</v>
      </c>
      <c r="BA86" s="50">
        <v>41401</v>
      </c>
      <c r="BB86" s="50">
        <v>42247</v>
      </c>
      <c r="BC86" s="50">
        <v>42869</v>
      </c>
      <c r="BD86" s="50">
        <v>43661</v>
      </c>
      <c r="BE86" s="50">
        <v>44295</v>
      </c>
      <c r="BF86" s="50">
        <v>45111</v>
      </c>
      <c r="BG86" s="50">
        <v>45673</v>
      </c>
      <c r="BH86" s="50">
        <v>46555</v>
      </c>
      <c r="BI86" s="50">
        <v>47285</v>
      </c>
      <c r="BJ86" s="50">
        <v>48009</v>
      </c>
      <c r="BK86" s="50">
        <v>48821</v>
      </c>
      <c r="BL86" s="50">
        <v>49667</v>
      </c>
      <c r="BM86" s="50">
        <v>50512</v>
      </c>
      <c r="BN86" s="50">
        <v>51299</v>
      </c>
      <c r="BO86" s="50">
        <v>52066</v>
      </c>
      <c r="BP86" s="50">
        <v>52738</v>
      </c>
      <c r="BQ86" s="50">
        <v>53409</v>
      </c>
      <c r="BR86" s="50">
        <v>54064</v>
      </c>
      <c r="BS86" s="50">
        <v>54636</v>
      </c>
      <c r="BT86" s="50">
        <v>55275</v>
      </c>
      <c r="BU86" s="50">
        <v>55863</v>
      </c>
      <c r="BV86" s="50">
        <v>56504</v>
      </c>
      <c r="BW86" s="50">
        <v>57092</v>
      </c>
      <c r="BX86" s="50">
        <v>57744</v>
      </c>
      <c r="BY86" s="50">
        <v>58407</v>
      </c>
      <c r="BZ86" s="50">
        <v>59145</v>
      </c>
      <c r="CA86" s="50">
        <v>59792</v>
      </c>
      <c r="CB86" s="50">
        <v>60368</v>
      </c>
      <c r="CC86" s="50">
        <v>61021</v>
      </c>
      <c r="CD86" s="50">
        <v>61638</v>
      </c>
      <c r="CE86" s="50">
        <v>62221</v>
      </c>
      <c r="CF86" s="50">
        <v>62866</v>
      </c>
      <c r="CG86" s="50">
        <v>63453</v>
      </c>
      <c r="CH86" s="50">
        <v>64033</v>
      </c>
      <c r="CI86" s="50">
        <v>64637</v>
      </c>
      <c r="CJ86" s="50">
        <v>65156</v>
      </c>
      <c r="CK86" s="50">
        <v>65690</v>
      </c>
      <c r="CL86" s="50">
        <v>66279</v>
      </c>
      <c r="CM86" s="50">
        <v>66787</v>
      </c>
      <c r="CN86" s="50">
        <v>67332</v>
      </c>
      <c r="CO86" s="50">
        <v>67882</v>
      </c>
      <c r="CP86" s="50">
        <v>68392</v>
      </c>
      <c r="CQ86" s="50">
        <v>68912</v>
      </c>
      <c r="CR86" s="50">
        <v>69383</v>
      </c>
      <c r="CS86" s="50">
        <v>69888</v>
      </c>
      <c r="CT86" s="50">
        <v>70356</v>
      </c>
      <c r="CU86" s="50">
        <v>70832</v>
      </c>
      <c r="CV86" s="50">
        <v>71289</v>
      </c>
      <c r="CW86" s="50">
        <v>71741</v>
      </c>
      <c r="CX86" s="50">
        <v>72212</v>
      </c>
      <c r="CY86" s="50">
        <v>72633</v>
      </c>
      <c r="CZ86" s="50">
        <v>73073</v>
      </c>
      <c r="DA86" s="50">
        <v>73484</v>
      </c>
      <c r="DB86" s="50">
        <v>73925</v>
      </c>
      <c r="DC86" s="50">
        <v>74335</v>
      </c>
      <c r="DD86" s="50">
        <v>74747</v>
      </c>
      <c r="DE86" s="50">
        <v>75139</v>
      </c>
      <c r="DF86" s="50">
        <v>75563</v>
      </c>
      <c r="DG86" s="50">
        <v>75953</v>
      </c>
      <c r="DH86" s="50">
        <v>76338</v>
      </c>
      <c r="DI86" s="50">
        <v>76717</v>
      </c>
      <c r="DJ86" s="50">
        <v>77114</v>
      </c>
      <c r="DK86" s="50">
        <v>77477</v>
      </c>
      <c r="DL86" s="50">
        <v>77839</v>
      </c>
      <c r="DM86" s="50">
        <v>78209</v>
      </c>
      <c r="DN86" s="50">
        <v>78573</v>
      </c>
      <c r="DO86" s="50">
        <v>78931</v>
      </c>
    </row>
    <row r="87" spans="1:119">
      <c r="A87" s="50">
        <v>85</v>
      </c>
      <c r="B87" s="50"/>
      <c r="C87" s="50"/>
      <c r="D87" s="50"/>
      <c r="E87" s="50"/>
      <c r="F87" s="50"/>
      <c r="G87" s="50"/>
      <c r="H87" s="50"/>
      <c r="I87" s="50"/>
      <c r="J87" s="50"/>
      <c r="K87" s="50"/>
      <c r="L87" s="50"/>
      <c r="M87" s="50"/>
      <c r="N87" s="50"/>
      <c r="O87" s="50"/>
      <c r="P87" s="50"/>
      <c r="Q87" s="50"/>
      <c r="R87" s="50"/>
      <c r="S87" s="50"/>
      <c r="T87" s="50"/>
      <c r="U87" s="50"/>
      <c r="V87" s="50"/>
      <c r="W87" s="50">
        <v>17664</v>
      </c>
      <c r="X87" s="50">
        <v>18604</v>
      </c>
      <c r="Y87" s="50">
        <v>19050</v>
      </c>
      <c r="Z87" s="50">
        <v>20390</v>
      </c>
      <c r="AA87" s="50">
        <v>20999</v>
      </c>
      <c r="AB87" s="50">
        <v>21742</v>
      </c>
      <c r="AC87" s="50">
        <v>22099</v>
      </c>
      <c r="AD87" s="50">
        <v>22304</v>
      </c>
      <c r="AE87" s="50">
        <v>22687</v>
      </c>
      <c r="AF87" s="50">
        <v>23711</v>
      </c>
      <c r="AG87" s="50">
        <v>24544</v>
      </c>
      <c r="AH87" s="50">
        <v>25489</v>
      </c>
      <c r="AI87" s="50">
        <v>26288</v>
      </c>
      <c r="AJ87" s="50">
        <v>27464</v>
      </c>
      <c r="AK87" s="50">
        <v>28246</v>
      </c>
      <c r="AL87" s="50">
        <v>29220</v>
      </c>
      <c r="AM87" s="50">
        <v>30156</v>
      </c>
      <c r="AN87" s="50">
        <v>30932</v>
      </c>
      <c r="AO87" s="50">
        <v>31363</v>
      </c>
      <c r="AP87" s="50">
        <v>31970</v>
      </c>
      <c r="AQ87" s="50">
        <v>32513</v>
      </c>
      <c r="AR87" s="50">
        <v>33214</v>
      </c>
      <c r="AS87" s="50">
        <v>33301</v>
      </c>
      <c r="AT87" s="50">
        <v>33420</v>
      </c>
      <c r="AU87" s="50">
        <v>33308</v>
      </c>
      <c r="AV87" s="50">
        <v>33937</v>
      </c>
      <c r="AW87" s="50">
        <v>34756</v>
      </c>
      <c r="AX87" s="50">
        <v>36230</v>
      </c>
      <c r="AY87" s="50">
        <v>37477</v>
      </c>
      <c r="AZ87" s="50">
        <v>37919</v>
      </c>
      <c r="BA87" s="50">
        <v>38396</v>
      </c>
      <c r="BB87" s="50">
        <v>39227</v>
      </c>
      <c r="BC87" s="50">
        <v>39850</v>
      </c>
      <c r="BD87" s="50">
        <v>40632</v>
      </c>
      <c r="BE87" s="50">
        <v>41268</v>
      </c>
      <c r="BF87" s="50">
        <v>42075</v>
      </c>
      <c r="BG87" s="50">
        <v>42645</v>
      </c>
      <c r="BH87" s="50">
        <v>43514</v>
      </c>
      <c r="BI87" s="50">
        <v>44243</v>
      </c>
      <c r="BJ87" s="50">
        <v>44967</v>
      </c>
      <c r="BK87" s="50">
        <v>45774</v>
      </c>
      <c r="BL87" s="50">
        <v>46613</v>
      </c>
      <c r="BM87" s="50">
        <v>47453</v>
      </c>
      <c r="BN87" s="50">
        <v>48239</v>
      </c>
      <c r="BO87" s="50">
        <v>49006</v>
      </c>
      <c r="BP87" s="50">
        <v>49685</v>
      </c>
      <c r="BQ87" s="50">
        <v>50364</v>
      </c>
      <c r="BR87" s="50">
        <v>51027</v>
      </c>
      <c r="BS87" s="50">
        <v>51613</v>
      </c>
      <c r="BT87" s="50">
        <v>52263</v>
      </c>
      <c r="BU87" s="50">
        <v>52864</v>
      </c>
      <c r="BV87" s="50">
        <v>53516</v>
      </c>
      <c r="BW87" s="50">
        <v>54118</v>
      </c>
      <c r="BX87" s="50">
        <v>54782</v>
      </c>
      <c r="BY87" s="50">
        <v>55455</v>
      </c>
      <c r="BZ87" s="50">
        <v>56201</v>
      </c>
      <c r="CA87" s="50">
        <v>56860</v>
      </c>
      <c r="CB87" s="50">
        <v>57452</v>
      </c>
      <c r="CC87" s="50">
        <v>58118</v>
      </c>
      <c r="CD87" s="50">
        <v>58749</v>
      </c>
      <c r="CE87" s="50">
        <v>59349</v>
      </c>
      <c r="CF87" s="50">
        <v>60007</v>
      </c>
      <c r="CG87" s="50">
        <v>60610</v>
      </c>
      <c r="CH87" s="50">
        <v>61208</v>
      </c>
      <c r="CI87" s="50">
        <v>61827</v>
      </c>
      <c r="CJ87" s="50">
        <v>62366</v>
      </c>
      <c r="CK87" s="50">
        <v>62920</v>
      </c>
      <c r="CL87" s="50">
        <v>63525</v>
      </c>
      <c r="CM87" s="50">
        <v>64054</v>
      </c>
      <c r="CN87" s="50">
        <v>64618</v>
      </c>
      <c r="CO87" s="50">
        <v>65187</v>
      </c>
      <c r="CP87" s="50">
        <v>65717</v>
      </c>
      <c r="CQ87" s="50">
        <v>66257</v>
      </c>
      <c r="CR87" s="50">
        <v>66750</v>
      </c>
      <c r="CS87" s="50">
        <v>67275</v>
      </c>
      <c r="CT87" s="50">
        <v>67766</v>
      </c>
      <c r="CU87" s="50">
        <v>68263</v>
      </c>
      <c r="CV87" s="50">
        <v>68742</v>
      </c>
      <c r="CW87" s="50">
        <v>69216</v>
      </c>
      <c r="CX87" s="50">
        <v>69709</v>
      </c>
      <c r="CY87" s="50">
        <v>70153</v>
      </c>
      <c r="CZ87" s="50">
        <v>70616</v>
      </c>
      <c r="DA87" s="50">
        <v>71049</v>
      </c>
      <c r="DB87" s="50">
        <v>71513</v>
      </c>
      <c r="DC87" s="50">
        <v>71945</v>
      </c>
      <c r="DD87" s="50">
        <v>72381</v>
      </c>
      <c r="DE87" s="50">
        <v>72795</v>
      </c>
      <c r="DF87" s="50">
        <v>73241</v>
      </c>
      <c r="DG87" s="50">
        <v>73655</v>
      </c>
      <c r="DH87" s="50">
        <v>74062</v>
      </c>
      <c r="DI87" s="50">
        <v>74465</v>
      </c>
      <c r="DJ87" s="50">
        <v>74883</v>
      </c>
      <c r="DK87" s="50">
        <v>75270</v>
      </c>
      <c r="DL87" s="50">
        <v>75654</v>
      </c>
      <c r="DM87" s="50">
        <v>76047</v>
      </c>
      <c r="DN87" s="50">
        <v>76433</v>
      </c>
      <c r="DO87" s="50">
        <v>76814</v>
      </c>
    </row>
    <row r="88" spans="1:119">
      <c r="A88" s="50">
        <v>86</v>
      </c>
      <c r="B88" s="50"/>
      <c r="C88" s="50"/>
      <c r="D88" s="50"/>
      <c r="E88" s="50"/>
      <c r="F88" s="50"/>
      <c r="G88" s="50"/>
      <c r="H88" s="50"/>
      <c r="I88" s="50"/>
      <c r="J88" s="50"/>
      <c r="K88" s="50"/>
      <c r="L88" s="50"/>
      <c r="M88" s="50"/>
      <c r="N88" s="50"/>
      <c r="O88" s="50"/>
      <c r="P88" s="50"/>
      <c r="Q88" s="50"/>
      <c r="R88" s="50"/>
      <c r="S88" s="50"/>
      <c r="T88" s="50"/>
      <c r="U88" s="50"/>
      <c r="V88" s="50"/>
      <c r="W88" s="50">
        <v>15676</v>
      </c>
      <c r="X88" s="50">
        <v>16501</v>
      </c>
      <c r="Y88" s="50">
        <v>16872</v>
      </c>
      <c r="Z88" s="50">
        <v>18180</v>
      </c>
      <c r="AA88" s="50">
        <v>18687</v>
      </c>
      <c r="AB88" s="50">
        <v>19374</v>
      </c>
      <c r="AC88" s="50">
        <v>19622</v>
      </c>
      <c r="AD88" s="50">
        <v>19908</v>
      </c>
      <c r="AE88" s="50">
        <v>20179</v>
      </c>
      <c r="AF88" s="50">
        <v>21143</v>
      </c>
      <c r="AG88" s="50">
        <v>21922</v>
      </c>
      <c r="AH88" s="50">
        <v>22803</v>
      </c>
      <c r="AI88" s="50">
        <v>23555</v>
      </c>
      <c r="AJ88" s="50">
        <v>24647</v>
      </c>
      <c r="AK88" s="50">
        <v>25388</v>
      </c>
      <c r="AL88" s="50">
        <v>26303</v>
      </c>
      <c r="AM88" s="50">
        <v>27186</v>
      </c>
      <c r="AN88" s="50">
        <v>27926</v>
      </c>
      <c r="AO88" s="50">
        <v>28356</v>
      </c>
      <c r="AP88" s="50">
        <v>28946</v>
      </c>
      <c r="AQ88" s="50">
        <v>29479</v>
      </c>
      <c r="AR88" s="50">
        <v>30157</v>
      </c>
      <c r="AS88" s="50">
        <v>30277</v>
      </c>
      <c r="AT88" s="50">
        <v>30426</v>
      </c>
      <c r="AU88" s="50">
        <v>30364</v>
      </c>
      <c r="AV88" s="50">
        <v>30981</v>
      </c>
      <c r="AW88" s="50">
        <v>31773</v>
      </c>
      <c r="AX88" s="50">
        <v>33165</v>
      </c>
      <c r="AY88" s="50">
        <v>34353</v>
      </c>
      <c r="AZ88" s="50">
        <v>34804</v>
      </c>
      <c r="BA88" s="50">
        <v>35287</v>
      </c>
      <c r="BB88" s="50">
        <v>36097</v>
      </c>
      <c r="BC88" s="50">
        <v>36717</v>
      </c>
      <c r="BD88" s="50">
        <v>37484</v>
      </c>
      <c r="BE88" s="50">
        <v>38117</v>
      </c>
      <c r="BF88" s="50">
        <v>38909</v>
      </c>
      <c r="BG88" s="50">
        <v>39483</v>
      </c>
      <c r="BH88" s="50">
        <v>40334</v>
      </c>
      <c r="BI88" s="50">
        <v>41056</v>
      </c>
      <c r="BJ88" s="50">
        <v>41775</v>
      </c>
      <c r="BK88" s="50">
        <v>42572</v>
      </c>
      <c r="BL88" s="50">
        <v>43400</v>
      </c>
      <c r="BM88" s="50">
        <v>44230</v>
      </c>
      <c r="BN88" s="50">
        <v>45010</v>
      </c>
      <c r="BO88" s="50">
        <v>45773</v>
      </c>
      <c r="BP88" s="50">
        <v>46455</v>
      </c>
      <c r="BQ88" s="50">
        <v>47137</v>
      </c>
      <c r="BR88" s="50">
        <v>47805</v>
      </c>
      <c r="BS88" s="50">
        <v>48402</v>
      </c>
      <c r="BT88" s="50">
        <v>49058</v>
      </c>
      <c r="BU88" s="50">
        <v>49670</v>
      </c>
      <c r="BV88" s="50">
        <v>50329</v>
      </c>
      <c r="BW88" s="50">
        <v>50943</v>
      </c>
      <c r="BX88" s="50">
        <v>51613</v>
      </c>
      <c r="BY88" s="50">
        <v>52294</v>
      </c>
      <c r="BZ88" s="50">
        <v>53044</v>
      </c>
      <c r="CA88" s="50">
        <v>53713</v>
      </c>
      <c r="CB88" s="50">
        <v>54318</v>
      </c>
      <c r="CC88" s="50">
        <v>54994</v>
      </c>
      <c r="CD88" s="50">
        <v>55637</v>
      </c>
      <c r="CE88" s="50">
        <v>56251</v>
      </c>
      <c r="CF88" s="50">
        <v>56920</v>
      </c>
      <c r="CG88" s="50">
        <v>57537</v>
      </c>
      <c r="CH88" s="50">
        <v>58150</v>
      </c>
      <c r="CI88" s="50">
        <v>58783</v>
      </c>
      <c r="CJ88" s="50">
        <v>59340</v>
      </c>
      <c r="CK88" s="50">
        <v>59911</v>
      </c>
      <c r="CL88" s="50">
        <v>60532</v>
      </c>
      <c r="CM88" s="50">
        <v>61079</v>
      </c>
      <c r="CN88" s="50">
        <v>61661</v>
      </c>
      <c r="CO88" s="50">
        <v>62247</v>
      </c>
      <c r="CP88" s="50">
        <v>62797</v>
      </c>
      <c r="CQ88" s="50">
        <v>63355</v>
      </c>
      <c r="CR88" s="50">
        <v>63869</v>
      </c>
      <c r="CS88" s="50">
        <v>64414</v>
      </c>
      <c r="CT88" s="50">
        <v>64925</v>
      </c>
      <c r="CU88" s="50">
        <v>65443</v>
      </c>
      <c r="CV88" s="50">
        <v>65944</v>
      </c>
      <c r="CW88" s="50">
        <v>66439</v>
      </c>
      <c r="CX88" s="50">
        <v>66953</v>
      </c>
      <c r="CY88" s="50">
        <v>67419</v>
      </c>
      <c r="CZ88" s="50">
        <v>67904</v>
      </c>
      <c r="DA88" s="50">
        <v>68361</v>
      </c>
      <c r="DB88" s="50">
        <v>68846</v>
      </c>
      <c r="DC88" s="50">
        <v>69301</v>
      </c>
      <c r="DD88" s="50">
        <v>69759</v>
      </c>
      <c r="DE88" s="50">
        <v>70197</v>
      </c>
      <c r="DF88" s="50">
        <v>70665</v>
      </c>
      <c r="DG88" s="50">
        <v>71102</v>
      </c>
      <c r="DH88" s="50">
        <v>71532</v>
      </c>
      <c r="DI88" s="50">
        <v>71958</v>
      </c>
      <c r="DJ88" s="50">
        <v>72399</v>
      </c>
      <c r="DK88" s="50">
        <v>72809</v>
      </c>
      <c r="DL88" s="50">
        <v>73217</v>
      </c>
      <c r="DM88" s="50">
        <v>73632</v>
      </c>
      <c r="DN88" s="50">
        <v>74042</v>
      </c>
      <c r="DO88" s="50">
        <v>74446</v>
      </c>
    </row>
    <row r="89" spans="1:119">
      <c r="A89" s="50">
        <v>87</v>
      </c>
      <c r="B89" s="50"/>
      <c r="C89" s="50"/>
      <c r="D89" s="50"/>
      <c r="E89" s="50"/>
      <c r="F89" s="50"/>
      <c r="G89" s="50"/>
      <c r="H89" s="50"/>
      <c r="I89" s="50"/>
      <c r="J89" s="50"/>
      <c r="K89" s="50"/>
      <c r="L89" s="50"/>
      <c r="M89" s="50"/>
      <c r="N89" s="50"/>
      <c r="O89" s="50"/>
      <c r="P89" s="50"/>
      <c r="Q89" s="50"/>
      <c r="R89" s="50"/>
      <c r="S89" s="50"/>
      <c r="T89" s="50"/>
      <c r="U89" s="50"/>
      <c r="V89" s="50"/>
      <c r="W89" s="50">
        <v>13673</v>
      </c>
      <c r="X89" s="50">
        <v>14443</v>
      </c>
      <c r="Y89" s="50">
        <v>14816</v>
      </c>
      <c r="Z89" s="50">
        <v>15933</v>
      </c>
      <c r="AA89" s="50">
        <v>16361</v>
      </c>
      <c r="AB89" s="50">
        <v>16962</v>
      </c>
      <c r="AC89" s="50">
        <v>17309</v>
      </c>
      <c r="AD89" s="50">
        <v>17444</v>
      </c>
      <c r="AE89" s="50">
        <v>17734</v>
      </c>
      <c r="AF89" s="50">
        <v>18615</v>
      </c>
      <c r="AG89" s="50">
        <v>19335</v>
      </c>
      <c r="AH89" s="50">
        <v>20147</v>
      </c>
      <c r="AI89" s="50">
        <v>20847</v>
      </c>
      <c r="AJ89" s="50">
        <v>21850</v>
      </c>
      <c r="AK89" s="50">
        <v>22544</v>
      </c>
      <c r="AL89" s="50">
        <v>23395</v>
      </c>
      <c r="AM89" s="50">
        <v>24219</v>
      </c>
      <c r="AN89" s="50">
        <v>24918</v>
      </c>
      <c r="AO89" s="50">
        <v>25342</v>
      </c>
      <c r="AP89" s="50">
        <v>25908</v>
      </c>
      <c r="AQ89" s="50">
        <v>26426</v>
      </c>
      <c r="AR89" s="50">
        <v>27074</v>
      </c>
      <c r="AS89" s="50">
        <v>27222</v>
      </c>
      <c r="AT89" s="50">
        <v>27395</v>
      </c>
      <c r="AU89" s="50">
        <v>27382</v>
      </c>
      <c r="AV89" s="50">
        <v>27981</v>
      </c>
      <c r="AW89" s="50">
        <v>28740</v>
      </c>
      <c r="AX89" s="50">
        <v>30044</v>
      </c>
      <c r="AY89" s="50">
        <v>31165</v>
      </c>
      <c r="AZ89" s="50">
        <v>31620</v>
      </c>
      <c r="BA89" s="50">
        <v>32104</v>
      </c>
      <c r="BB89" s="50">
        <v>32887</v>
      </c>
      <c r="BC89" s="50">
        <v>33497</v>
      </c>
      <c r="BD89" s="50">
        <v>34243</v>
      </c>
      <c r="BE89" s="50">
        <v>34868</v>
      </c>
      <c r="BF89" s="50">
        <v>35639</v>
      </c>
      <c r="BG89" s="50">
        <v>36211</v>
      </c>
      <c r="BH89" s="50">
        <v>37039</v>
      </c>
      <c r="BI89" s="50">
        <v>37750</v>
      </c>
      <c r="BJ89" s="50">
        <v>38458</v>
      </c>
      <c r="BK89" s="50">
        <v>39239</v>
      </c>
      <c r="BL89" s="50">
        <v>40050</v>
      </c>
      <c r="BM89" s="50">
        <v>40864</v>
      </c>
      <c r="BN89" s="50">
        <v>41632</v>
      </c>
      <c r="BO89" s="50">
        <v>42387</v>
      </c>
      <c r="BP89" s="50">
        <v>43067</v>
      </c>
      <c r="BQ89" s="50">
        <v>43747</v>
      </c>
      <c r="BR89" s="50">
        <v>44416</v>
      </c>
      <c r="BS89" s="50">
        <v>45018</v>
      </c>
      <c r="BT89" s="50">
        <v>45677</v>
      </c>
      <c r="BU89" s="50">
        <v>46295</v>
      </c>
      <c r="BV89" s="50">
        <v>46957</v>
      </c>
      <c r="BW89" s="50">
        <v>47578</v>
      </c>
      <c r="BX89" s="50">
        <v>48252</v>
      </c>
      <c r="BY89" s="50">
        <v>48937</v>
      </c>
      <c r="BZ89" s="50">
        <v>49686</v>
      </c>
      <c r="CA89" s="50">
        <v>50360</v>
      </c>
      <c r="CB89" s="50">
        <v>50975</v>
      </c>
      <c r="CC89" s="50">
        <v>51657</v>
      </c>
      <c r="CD89" s="50">
        <v>52309</v>
      </c>
      <c r="CE89" s="50">
        <v>52933</v>
      </c>
      <c r="CF89" s="50">
        <v>53610</v>
      </c>
      <c r="CG89" s="50">
        <v>54239</v>
      </c>
      <c r="CH89" s="50">
        <v>54863</v>
      </c>
      <c r="CI89" s="50">
        <v>55507</v>
      </c>
      <c r="CJ89" s="50">
        <v>56080</v>
      </c>
      <c r="CK89" s="50">
        <v>56666</v>
      </c>
      <c r="CL89" s="50">
        <v>57299</v>
      </c>
      <c r="CM89" s="50">
        <v>57863</v>
      </c>
      <c r="CN89" s="50">
        <v>58459</v>
      </c>
      <c r="CO89" s="50">
        <v>59061</v>
      </c>
      <c r="CP89" s="50">
        <v>59627</v>
      </c>
      <c r="CQ89" s="50">
        <v>60203</v>
      </c>
      <c r="CR89" s="50">
        <v>60735</v>
      </c>
      <c r="CS89" s="50">
        <v>61298</v>
      </c>
      <c r="CT89" s="50">
        <v>61829</v>
      </c>
      <c r="CU89" s="50">
        <v>62366</v>
      </c>
      <c r="CV89" s="50">
        <v>62887</v>
      </c>
      <c r="CW89" s="50">
        <v>63403</v>
      </c>
      <c r="CX89" s="50">
        <v>63936</v>
      </c>
      <c r="CY89" s="50">
        <v>64424</v>
      </c>
      <c r="CZ89" s="50">
        <v>64930</v>
      </c>
      <c r="DA89" s="50">
        <v>65408</v>
      </c>
      <c r="DB89" s="50">
        <v>65914</v>
      </c>
      <c r="DC89" s="50">
        <v>66392</v>
      </c>
      <c r="DD89" s="50">
        <v>66872</v>
      </c>
      <c r="DE89" s="50">
        <v>67333</v>
      </c>
      <c r="DF89" s="50">
        <v>67822</v>
      </c>
      <c r="DG89" s="50">
        <v>68281</v>
      </c>
      <c r="DH89" s="50">
        <v>68735</v>
      </c>
      <c r="DI89" s="50">
        <v>69183</v>
      </c>
      <c r="DJ89" s="50">
        <v>69647</v>
      </c>
      <c r="DK89" s="50">
        <v>70080</v>
      </c>
      <c r="DL89" s="50">
        <v>70511</v>
      </c>
      <c r="DM89" s="50">
        <v>70949</v>
      </c>
      <c r="DN89" s="50">
        <v>71382</v>
      </c>
      <c r="DO89" s="50">
        <v>71809</v>
      </c>
    </row>
    <row r="90" spans="1:119">
      <c r="A90" s="50">
        <v>88</v>
      </c>
      <c r="B90" s="50"/>
      <c r="C90" s="50"/>
      <c r="D90" s="50"/>
      <c r="E90" s="50"/>
      <c r="F90" s="50"/>
      <c r="G90" s="50"/>
      <c r="H90" s="50"/>
      <c r="I90" s="50"/>
      <c r="J90" s="50"/>
      <c r="K90" s="50"/>
      <c r="L90" s="50"/>
      <c r="M90" s="50"/>
      <c r="N90" s="50"/>
      <c r="O90" s="50"/>
      <c r="P90" s="50"/>
      <c r="Q90" s="50"/>
      <c r="R90" s="50"/>
      <c r="S90" s="50"/>
      <c r="T90" s="50"/>
      <c r="U90" s="50"/>
      <c r="V90" s="50"/>
      <c r="W90" s="50">
        <v>11773</v>
      </c>
      <c r="X90" s="50">
        <v>12483</v>
      </c>
      <c r="Y90" s="50">
        <v>12761</v>
      </c>
      <c r="Z90" s="50">
        <v>13760</v>
      </c>
      <c r="AA90" s="50">
        <v>14086</v>
      </c>
      <c r="AB90" s="50">
        <v>14748</v>
      </c>
      <c r="AC90" s="50">
        <v>14944</v>
      </c>
      <c r="AD90" s="50">
        <v>15086</v>
      </c>
      <c r="AE90" s="50">
        <v>15367</v>
      </c>
      <c r="AF90" s="50">
        <v>16161</v>
      </c>
      <c r="AG90" s="50">
        <v>16818</v>
      </c>
      <c r="AH90" s="50">
        <v>17557</v>
      </c>
      <c r="AI90" s="50">
        <v>18200</v>
      </c>
      <c r="AJ90" s="50">
        <v>19111</v>
      </c>
      <c r="AK90" s="50">
        <v>19753</v>
      </c>
      <c r="AL90" s="50">
        <v>20535</v>
      </c>
      <c r="AM90" s="50">
        <v>21295</v>
      </c>
      <c r="AN90" s="50">
        <v>21947</v>
      </c>
      <c r="AO90" s="50">
        <v>22358</v>
      </c>
      <c r="AP90" s="50">
        <v>22896</v>
      </c>
      <c r="AQ90" s="50">
        <v>23391</v>
      </c>
      <c r="AR90" s="50">
        <v>24003</v>
      </c>
      <c r="AS90" s="50">
        <v>24173</v>
      </c>
      <c r="AT90" s="50">
        <v>24369</v>
      </c>
      <c r="AU90" s="50">
        <v>24398</v>
      </c>
      <c r="AV90" s="50">
        <v>24974</v>
      </c>
      <c r="AW90" s="50">
        <v>25693</v>
      </c>
      <c r="AX90" s="50">
        <v>26902</v>
      </c>
      <c r="AY90" s="50">
        <v>27950</v>
      </c>
      <c r="AZ90" s="50">
        <v>28402</v>
      </c>
      <c r="BA90" s="50">
        <v>28882</v>
      </c>
      <c r="BB90" s="50">
        <v>29631</v>
      </c>
      <c r="BC90" s="50">
        <v>30226</v>
      </c>
      <c r="BD90" s="50">
        <v>30945</v>
      </c>
      <c r="BE90" s="50">
        <v>31555</v>
      </c>
      <c r="BF90" s="50">
        <v>32298</v>
      </c>
      <c r="BG90" s="50">
        <v>32863</v>
      </c>
      <c r="BH90" s="50">
        <v>33661</v>
      </c>
      <c r="BI90" s="50">
        <v>34354</v>
      </c>
      <c r="BJ90" s="50">
        <v>35046</v>
      </c>
      <c r="BK90" s="50">
        <v>35805</v>
      </c>
      <c r="BL90" s="50">
        <v>36592</v>
      </c>
      <c r="BM90" s="50">
        <v>37384</v>
      </c>
      <c r="BN90" s="50">
        <v>38135</v>
      </c>
      <c r="BO90" s="50">
        <v>38874</v>
      </c>
      <c r="BP90" s="50">
        <v>39546</v>
      </c>
      <c r="BQ90" s="50">
        <v>40220</v>
      </c>
      <c r="BR90" s="50">
        <v>40883</v>
      </c>
      <c r="BS90" s="50">
        <v>41487</v>
      </c>
      <c r="BT90" s="50">
        <v>42143</v>
      </c>
      <c r="BU90" s="50">
        <v>42761</v>
      </c>
      <c r="BV90" s="50">
        <v>43422</v>
      </c>
      <c r="BW90" s="50">
        <v>44044</v>
      </c>
      <c r="BX90" s="50">
        <v>44717</v>
      </c>
      <c r="BY90" s="50">
        <v>45400</v>
      </c>
      <c r="BZ90" s="50">
        <v>46144</v>
      </c>
      <c r="CA90" s="50">
        <v>46819</v>
      </c>
      <c r="CB90" s="50">
        <v>47440</v>
      </c>
      <c r="CC90" s="50">
        <v>48123</v>
      </c>
      <c r="CD90" s="50">
        <v>48779</v>
      </c>
      <c r="CE90" s="50">
        <v>49410</v>
      </c>
      <c r="CF90" s="50">
        <v>50090</v>
      </c>
      <c r="CG90" s="50">
        <v>50726</v>
      </c>
      <c r="CH90" s="50">
        <v>51358</v>
      </c>
      <c r="CI90" s="50">
        <v>52009</v>
      </c>
      <c r="CJ90" s="50">
        <v>52594</v>
      </c>
      <c r="CK90" s="50">
        <v>53191</v>
      </c>
      <c r="CL90" s="50">
        <v>53833</v>
      </c>
      <c r="CM90" s="50">
        <v>54411</v>
      </c>
      <c r="CN90" s="50">
        <v>55019</v>
      </c>
      <c r="CO90" s="50">
        <v>55632</v>
      </c>
      <c r="CP90" s="50">
        <v>56213</v>
      </c>
      <c r="CQ90" s="50">
        <v>56803</v>
      </c>
      <c r="CR90" s="50">
        <v>57352</v>
      </c>
      <c r="CS90" s="50">
        <v>57929</v>
      </c>
      <c r="CT90" s="50">
        <v>58477</v>
      </c>
      <c r="CU90" s="50">
        <v>59031</v>
      </c>
      <c r="CV90" s="50">
        <v>59570</v>
      </c>
      <c r="CW90" s="50">
        <v>60104</v>
      </c>
      <c r="CX90" s="50">
        <v>60655</v>
      </c>
      <c r="CY90" s="50">
        <v>61163</v>
      </c>
      <c r="CZ90" s="50">
        <v>61688</v>
      </c>
      <c r="DA90" s="50">
        <v>62187</v>
      </c>
      <c r="DB90" s="50">
        <v>62712</v>
      </c>
      <c r="DC90" s="50">
        <v>63210</v>
      </c>
      <c r="DD90" s="50">
        <v>63711</v>
      </c>
      <c r="DE90" s="50">
        <v>64193</v>
      </c>
      <c r="DF90" s="50">
        <v>64702</v>
      </c>
      <c r="DG90" s="50">
        <v>65183</v>
      </c>
      <c r="DH90" s="50">
        <v>65658</v>
      </c>
      <c r="DI90" s="50">
        <v>66129</v>
      </c>
      <c r="DJ90" s="50">
        <v>66614</v>
      </c>
      <c r="DK90" s="50">
        <v>67070</v>
      </c>
      <c r="DL90" s="50">
        <v>67524</v>
      </c>
      <c r="DM90" s="50">
        <v>67984</v>
      </c>
      <c r="DN90" s="50">
        <v>68439</v>
      </c>
      <c r="DO90" s="50">
        <v>68889</v>
      </c>
    </row>
    <row r="91" spans="1:119">
      <c r="A91" s="50">
        <v>89</v>
      </c>
      <c r="B91" s="50"/>
      <c r="C91" s="50"/>
      <c r="D91" s="50"/>
      <c r="E91" s="50"/>
      <c r="F91" s="50"/>
      <c r="G91" s="50"/>
      <c r="H91" s="50"/>
      <c r="I91" s="50"/>
      <c r="J91" s="50"/>
      <c r="K91" s="50"/>
      <c r="L91" s="50"/>
      <c r="M91" s="50"/>
      <c r="N91" s="50"/>
      <c r="O91" s="50"/>
      <c r="P91" s="50"/>
      <c r="Q91" s="50"/>
      <c r="R91" s="50"/>
      <c r="S91" s="50"/>
      <c r="T91" s="50"/>
      <c r="U91" s="50"/>
      <c r="V91" s="50"/>
      <c r="W91" s="50">
        <v>10051</v>
      </c>
      <c r="X91" s="50">
        <v>10560</v>
      </c>
      <c r="Y91" s="50">
        <v>10832</v>
      </c>
      <c r="Z91" s="50">
        <v>11629</v>
      </c>
      <c r="AA91" s="50">
        <v>12046</v>
      </c>
      <c r="AB91" s="50">
        <v>12519</v>
      </c>
      <c r="AC91" s="50">
        <v>12695</v>
      </c>
      <c r="AD91" s="50">
        <v>12843</v>
      </c>
      <c r="AE91" s="50">
        <v>13110</v>
      </c>
      <c r="AF91" s="50">
        <v>13816</v>
      </c>
      <c r="AG91" s="50">
        <v>14406</v>
      </c>
      <c r="AH91" s="50">
        <v>15069</v>
      </c>
      <c r="AI91" s="50">
        <v>15652</v>
      </c>
      <c r="AJ91" s="50">
        <v>16467</v>
      </c>
      <c r="AK91" s="50">
        <v>17053</v>
      </c>
      <c r="AL91" s="50">
        <v>17762</v>
      </c>
      <c r="AM91" s="50">
        <v>18454</v>
      </c>
      <c r="AN91" s="50">
        <v>19054</v>
      </c>
      <c r="AO91" s="50">
        <v>19446</v>
      </c>
      <c r="AP91" s="50">
        <v>19949</v>
      </c>
      <c r="AQ91" s="50">
        <v>20417</v>
      </c>
      <c r="AR91" s="50">
        <v>20988</v>
      </c>
      <c r="AS91" s="50">
        <v>21176</v>
      </c>
      <c r="AT91" s="50">
        <v>21388</v>
      </c>
      <c r="AU91" s="50">
        <v>21452</v>
      </c>
      <c r="AV91" s="50">
        <v>21998</v>
      </c>
      <c r="AW91" s="50">
        <v>22671</v>
      </c>
      <c r="AX91" s="50">
        <v>23780</v>
      </c>
      <c r="AY91" s="50">
        <v>24749</v>
      </c>
      <c r="AZ91" s="50">
        <v>25192</v>
      </c>
      <c r="BA91" s="50">
        <v>25660</v>
      </c>
      <c r="BB91" s="50">
        <v>26369</v>
      </c>
      <c r="BC91" s="50">
        <v>26942</v>
      </c>
      <c r="BD91" s="50">
        <v>27627</v>
      </c>
      <c r="BE91" s="50">
        <v>28216</v>
      </c>
      <c r="BF91" s="50">
        <v>28926</v>
      </c>
      <c r="BG91" s="50">
        <v>29477</v>
      </c>
      <c r="BH91" s="50">
        <v>30238</v>
      </c>
      <c r="BI91" s="50">
        <v>30906</v>
      </c>
      <c r="BJ91" s="50">
        <v>31575</v>
      </c>
      <c r="BK91" s="50">
        <v>32305</v>
      </c>
      <c r="BL91" s="50">
        <v>33062</v>
      </c>
      <c r="BM91" s="50">
        <v>33825</v>
      </c>
      <c r="BN91" s="50">
        <v>34552</v>
      </c>
      <c r="BO91" s="50">
        <v>35270</v>
      </c>
      <c r="BP91" s="50">
        <v>35928</v>
      </c>
      <c r="BQ91" s="50">
        <v>36588</v>
      </c>
      <c r="BR91" s="50">
        <v>37240</v>
      </c>
      <c r="BS91" s="50">
        <v>37838</v>
      </c>
      <c r="BT91" s="50">
        <v>38485</v>
      </c>
      <c r="BU91" s="50">
        <v>39098</v>
      </c>
      <c r="BV91" s="50">
        <v>39752</v>
      </c>
      <c r="BW91" s="50">
        <v>40370</v>
      </c>
      <c r="BX91" s="50">
        <v>41036</v>
      </c>
      <c r="BY91" s="50">
        <v>41712</v>
      </c>
      <c r="BZ91" s="50">
        <v>42445</v>
      </c>
      <c r="CA91" s="50">
        <v>43115</v>
      </c>
      <c r="CB91" s="50">
        <v>43735</v>
      </c>
      <c r="CC91" s="50">
        <v>44414</v>
      </c>
      <c r="CD91" s="50">
        <v>45069</v>
      </c>
      <c r="CE91" s="50">
        <v>45701</v>
      </c>
      <c r="CF91" s="50">
        <v>46380</v>
      </c>
      <c r="CG91" s="50">
        <v>47018</v>
      </c>
      <c r="CH91" s="50">
        <v>47653</v>
      </c>
      <c r="CI91" s="50">
        <v>48307</v>
      </c>
      <c r="CJ91" s="50">
        <v>48899</v>
      </c>
      <c r="CK91" s="50">
        <v>49503</v>
      </c>
      <c r="CL91" s="50">
        <v>50150</v>
      </c>
      <c r="CM91" s="50">
        <v>50737</v>
      </c>
      <c r="CN91" s="50">
        <v>51352</v>
      </c>
      <c r="CO91" s="50">
        <v>51973</v>
      </c>
      <c r="CP91" s="50">
        <v>52565</v>
      </c>
      <c r="CQ91" s="50">
        <v>53164</v>
      </c>
      <c r="CR91" s="50">
        <v>53726</v>
      </c>
      <c r="CS91" s="50">
        <v>54316</v>
      </c>
      <c r="CT91" s="50">
        <v>54877</v>
      </c>
      <c r="CU91" s="50">
        <v>55445</v>
      </c>
      <c r="CV91" s="50">
        <v>55998</v>
      </c>
      <c r="CW91" s="50">
        <v>56547</v>
      </c>
      <c r="CX91" s="50">
        <v>57113</v>
      </c>
      <c r="CY91" s="50">
        <v>57638</v>
      </c>
      <c r="CZ91" s="50">
        <v>58179</v>
      </c>
      <c r="DA91" s="50">
        <v>58696</v>
      </c>
      <c r="DB91" s="50">
        <v>59238</v>
      </c>
      <c r="DC91" s="50">
        <v>59755</v>
      </c>
      <c r="DD91" s="50">
        <v>60274</v>
      </c>
      <c r="DE91" s="50">
        <v>60775</v>
      </c>
      <c r="DF91" s="50">
        <v>61303</v>
      </c>
      <c r="DG91" s="50">
        <v>61803</v>
      </c>
      <c r="DH91" s="50">
        <v>62298</v>
      </c>
      <c r="DI91" s="50">
        <v>62790</v>
      </c>
      <c r="DJ91" s="50">
        <v>63294</v>
      </c>
      <c r="DK91" s="50">
        <v>63771</v>
      </c>
      <c r="DL91" s="50">
        <v>64246</v>
      </c>
      <c r="DM91" s="50">
        <v>64728</v>
      </c>
      <c r="DN91" s="50">
        <v>65204</v>
      </c>
      <c r="DO91" s="50">
        <v>65675</v>
      </c>
    </row>
    <row r="92" spans="1:119">
      <c r="A92" s="50">
        <v>90</v>
      </c>
      <c r="B92" s="50"/>
      <c r="C92" s="50"/>
      <c r="D92" s="50"/>
      <c r="E92" s="50"/>
      <c r="F92" s="50"/>
      <c r="G92" s="50"/>
      <c r="H92" s="50"/>
      <c r="I92" s="50"/>
      <c r="J92" s="50"/>
      <c r="K92" s="50"/>
      <c r="L92" s="50"/>
      <c r="M92" s="50"/>
      <c r="N92" s="50"/>
      <c r="O92" s="50"/>
      <c r="P92" s="50"/>
      <c r="Q92" s="50"/>
      <c r="R92" s="50"/>
      <c r="S92" s="50"/>
      <c r="T92" s="50"/>
      <c r="U92" s="50"/>
      <c r="V92" s="50"/>
      <c r="W92" s="50">
        <v>8336</v>
      </c>
      <c r="X92" s="50">
        <v>8782</v>
      </c>
      <c r="Y92" s="50">
        <v>8964</v>
      </c>
      <c r="Z92" s="50">
        <v>9773</v>
      </c>
      <c r="AA92" s="50">
        <v>10040</v>
      </c>
      <c r="AB92" s="50">
        <v>10427</v>
      </c>
      <c r="AC92" s="50">
        <v>10598</v>
      </c>
      <c r="AD92" s="50">
        <v>10745</v>
      </c>
      <c r="AE92" s="50">
        <v>10993</v>
      </c>
      <c r="AF92" s="50">
        <v>11611</v>
      </c>
      <c r="AG92" s="50">
        <v>12133</v>
      </c>
      <c r="AH92" s="50">
        <v>12719</v>
      </c>
      <c r="AI92" s="50">
        <v>13239</v>
      </c>
      <c r="AJ92" s="50">
        <v>13957</v>
      </c>
      <c r="AK92" s="50">
        <v>14484</v>
      </c>
      <c r="AL92" s="50">
        <v>15116</v>
      </c>
      <c r="AM92" s="50">
        <v>15736</v>
      </c>
      <c r="AN92" s="50">
        <v>16281</v>
      </c>
      <c r="AO92" s="50">
        <v>16648</v>
      </c>
      <c r="AP92" s="50">
        <v>17112</v>
      </c>
      <c r="AQ92" s="50">
        <v>17546</v>
      </c>
      <c r="AR92" s="50">
        <v>18074</v>
      </c>
      <c r="AS92" s="50">
        <v>18273</v>
      </c>
      <c r="AT92" s="50">
        <v>18493</v>
      </c>
      <c r="AU92" s="50">
        <v>18586</v>
      </c>
      <c r="AV92" s="50">
        <v>19095</v>
      </c>
      <c r="AW92" s="50">
        <v>19718</v>
      </c>
      <c r="AX92" s="50">
        <v>20721</v>
      </c>
      <c r="AY92" s="50">
        <v>21605</v>
      </c>
      <c r="AZ92" s="50">
        <v>22033</v>
      </c>
      <c r="BA92" s="50">
        <v>22483</v>
      </c>
      <c r="BB92" s="50">
        <v>23145</v>
      </c>
      <c r="BC92" s="50">
        <v>23690</v>
      </c>
      <c r="BD92" s="50">
        <v>24334</v>
      </c>
      <c r="BE92" s="50">
        <v>24895</v>
      </c>
      <c r="BF92" s="50">
        <v>25565</v>
      </c>
      <c r="BG92" s="50">
        <v>26095</v>
      </c>
      <c r="BH92" s="50">
        <v>26813</v>
      </c>
      <c r="BI92" s="50">
        <v>27449</v>
      </c>
      <c r="BJ92" s="50">
        <v>28088</v>
      </c>
      <c r="BK92" s="50">
        <v>28782</v>
      </c>
      <c r="BL92" s="50">
        <v>29503</v>
      </c>
      <c r="BM92" s="50">
        <v>30229</v>
      </c>
      <c r="BN92" s="50">
        <v>30926</v>
      </c>
      <c r="BO92" s="50">
        <v>31615</v>
      </c>
      <c r="BP92" s="50">
        <v>32252</v>
      </c>
      <c r="BQ92" s="50">
        <v>32892</v>
      </c>
      <c r="BR92" s="50">
        <v>33525</v>
      </c>
      <c r="BS92" s="50">
        <v>34111</v>
      </c>
      <c r="BT92" s="50">
        <v>34742</v>
      </c>
      <c r="BU92" s="50">
        <v>35344</v>
      </c>
      <c r="BV92" s="50">
        <v>35983</v>
      </c>
      <c r="BW92" s="50">
        <v>36591</v>
      </c>
      <c r="BX92" s="50">
        <v>37243</v>
      </c>
      <c r="BY92" s="50">
        <v>37905</v>
      </c>
      <c r="BZ92" s="50">
        <v>38620</v>
      </c>
      <c r="CA92" s="50">
        <v>39279</v>
      </c>
      <c r="CB92" s="50">
        <v>39893</v>
      </c>
      <c r="CC92" s="50">
        <v>40562</v>
      </c>
      <c r="CD92" s="50">
        <v>41209</v>
      </c>
      <c r="CE92" s="50">
        <v>41837</v>
      </c>
      <c r="CF92" s="50">
        <v>42508</v>
      </c>
      <c r="CG92" s="50">
        <v>43142</v>
      </c>
      <c r="CH92" s="50">
        <v>43774</v>
      </c>
      <c r="CI92" s="50">
        <v>44424</v>
      </c>
      <c r="CJ92" s="50">
        <v>45019</v>
      </c>
      <c r="CK92" s="50">
        <v>45625</v>
      </c>
      <c r="CL92" s="50">
        <v>46270</v>
      </c>
      <c r="CM92" s="50">
        <v>46861</v>
      </c>
      <c r="CN92" s="50">
        <v>47480</v>
      </c>
      <c r="CO92" s="50">
        <v>48103</v>
      </c>
      <c r="CP92" s="50">
        <v>48700</v>
      </c>
      <c r="CQ92" s="50">
        <v>49305</v>
      </c>
      <c r="CR92" s="50">
        <v>49875</v>
      </c>
      <c r="CS92" s="50">
        <v>50472</v>
      </c>
      <c r="CT92" s="50">
        <v>51042</v>
      </c>
      <c r="CU92" s="50">
        <v>51619</v>
      </c>
      <c r="CV92" s="50">
        <v>52183</v>
      </c>
      <c r="CW92" s="50">
        <v>52744</v>
      </c>
      <c r="CX92" s="50">
        <v>53320</v>
      </c>
      <c r="CY92" s="50">
        <v>53858</v>
      </c>
      <c r="CZ92" s="50">
        <v>54412</v>
      </c>
      <c r="DA92" s="50">
        <v>54944</v>
      </c>
      <c r="DB92" s="50">
        <v>55499</v>
      </c>
      <c r="DC92" s="50">
        <v>56031</v>
      </c>
      <c r="DD92" s="50">
        <v>56565</v>
      </c>
      <c r="DE92" s="50">
        <v>57083</v>
      </c>
      <c r="DF92" s="50">
        <v>57625</v>
      </c>
      <c r="DG92" s="50">
        <v>58143</v>
      </c>
      <c r="DH92" s="50">
        <v>58655</v>
      </c>
      <c r="DI92" s="50">
        <v>59164</v>
      </c>
      <c r="DJ92" s="50">
        <v>59685</v>
      </c>
      <c r="DK92" s="50">
        <v>60181</v>
      </c>
      <c r="DL92" s="50">
        <v>60675</v>
      </c>
      <c r="DM92" s="50">
        <v>61175</v>
      </c>
      <c r="DN92" s="50">
        <v>61671</v>
      </c>
      <c r="DO92" s="50">
        <v>62161</v>
      </c>
    </row>
    <row r="93" spans="1:119">
      <c r="A93" s="50">
        <v>91</v>
      </c>
      <c r="B93" s="50"/>
      <c r="C93" s="50"/>
      <c r="D93" s="50"/>
      <c r="E93" s="50"/>
      <c r="F93" s="50"/>
      <c r="G93" s="50"/>
      <c r="H93" s="50"/>
      <c r="I93" s="50"/>
      <c r="J93" s="50"/>
      <c r="K93" s="50"/>
      <c r="L93" s="50"/>
      <c r="M93" s="50"/>
      <c r="N93" s="50"/>
      <c r="O93" s="50"/>
      <c r="P93" s="50"/>
      <c r="Q93" s="50"/>
      <c r="R93" s="50"/>
      <c r="S93" s="50"/>
      <c r="T93" s="50"/>
      <c r="U93" s="50"/>
      <c r="V93" s="50"/>
      <c r="W93" s="50">
        <v>6783</v>
      </c>
      <c r="X93" s="50">
        <v>7129</v>
      </c>
      <c r="Y93" s="50">
        <v>7361</v>
      </c>
      <c r="Z93" s="50">
        <v>7991</v>
      </c>
      <c r="AA93" s="50">
        <v>8180</v>
      </c>
      <c r="AB93" s="50">
        <v>8517</v>
      </c>
      <c r="AC93" s="50">
        <v>8677</v>
      </c>
      <c r="AD93" s="50">
        <v>8820</v>
      </c>
      <c r="AE93" s="50">
        <v>9045</v>
      </c>
      <c r="AF93" s="50">
        <v>9575</v>
      </c>
      <c r="AG93" s="50">
        <v>10029</v>
      </c>
      <c r="AH93" s="50">
        <v>10538</v>
      </c>
      <c r="AI93" s="50">
        <v>10993</v>
      </c>
      <c r="AJ93" s="50">
        <v>11616</v>
      </c>
      <c r="AK93" s="50">
        <v>12080</v>
      </c>
      <c r="AL93" s="50">
        <v>12635</v>
      </c>
      <c r="AM93" s="50">
        <v>13182</v>
      </c>
      <c r="AN93" s="50">
        <v>13667</v>
      </c>
      <c r="AO93" s="50">
        <v>14004</v>
      </c>
      <c r="AP93" s="50">
        <v>14424</v>
      </c>
      <c r="AQ93" s="50">
        <v>14824</v>
      </c>
      <c r="AR93" s="50">
        <v>15304</v>
      </c>
      <c r="AS93" s="50">
        <v>15507</v>
      </c>
      <c r="AT93" s="50">
        <v>15727</v>
      </c>
      <c r="AU93" s="50">
        <v>15839</v>
      </c>
      <c r="AV93" s="50">
        <v>16308</v>
      </c>
      <c r="AW93" s="50">
        <v>16874</v>
      </c>
      <c r="AX93" s="50">
        <v>17769</v>
      </c>
      <c r="AY93" s="50">
        <v>18565</v>
      </c>
      <c r="AZ93" s="50">
        <v>18970</v>
      </c>
      <c r="BA93" s="50">
        <v>19396</v>
      </c>
      <c r="BB93" s="50">
        <v>20005</v>
      </c>
      <c r="BC93" s="50">
        <v>20515</v>
      </c>
      <c r="BD93" s="50">
        <v>21113</v>
      </c>
      <c r="BE93" s="50">
        <v>21640</v>
      </c>
      <c r="BF93" s="50">
        <v>22262</v>
      </c>
      <c r="BG93" s="50">
        <v>22765</v>
      </c>
      <c r="BH93" s="50">
        <v>23432</v>
      </c>
      <c r="BI93" s="50">
        <v>24031</v>
      </c>
      <c r="BJ93" s="50">
        <v>24632</v>
      </c>
      <c r="BK93" s="50">
        <v>25284</v>
      </c>
      <c r="BL93" s="50">
        <v>25961</v>
      </c>
      <c r="BM93" s="50">
        <v>26644</v>
      </c>
      <c r="BN93" s="50">
        <v>27302</v>
      </c>
      <c r="BO93" s="50">
        <v>27956</v>
      </c>
      <c r="BP93" s="50">
        <v>28564</v>
      </c>
      <c r="BQ93" s="50">
        <v>29176</v>
      </c>
      <c r="BR93" s="50">
        <v>29784</v>
      </c>
      <c r="BS93" s="50">
        <v>30351</v>
      </c>
      <c r="BT93" s="50">
        <v>30959</v>
      </c>
      <c r="BU93" s="50">
        <v>31542</v>
      </c>
      <c r="BV93" s="50">
        <v>32159</v>
      </c>
      <c r="BW93" s="50">
        <v>32750</v>
      </c>
      <c r="BX93" s="50">
        <v>33381</v>
      </c>
      <c r="BY93" s="50">
        <v>34022</v>
      </c>
      <c r="BZ93" s="50">
        <v>34712</v>
      </c>
      <c r="CA93" s="50">
        <v>35352</v>
      </c>
      <c r="CB93" s="50">
        <v>35954</v>
      </c>
      <c r="CC93" s="50">
        <v>36605</v>
      </c>
      <c r="CD93" s="50">
        <v>37238</v>
      </c>
      <c r="CE93" s="50">
        <v>37854</v>
      </c>
      <c r="CF93" s="50">
        <v>38510</v>
      </c>
      <c r="CG93" s="50">
        <v>39134</v>
      </c>
      <c r="CH93" s="50">
        <v>39757</v>
      </c>
      <c r="CI93" s="50">
        <v>40397</v>
      </c>
      <c r="CJ93" s="50">
        <v>40986</v>
      </c>
      <c r="CK93" s="50">
        <v>41588</v>
      </c>
      <c r="CL93" s="50">
        <v>42226</v>
      </c>
      <c r="CM93" s="50">
        <v>42815</v>
      </c>
      <c r="CN93" s="50">
        <v>43430</v>
      </c>
      <c r="CO93" s="50">
        <v>44050</v>
      </c>
      <c r="CP93" s="50">
        <v>44646</v>
      </c>
      <c r="CQ93" s="50">
        <v>45250</v>
      </c>
      <c r="CR93" s="50">
        <v>45824</v>
      </c>
      <c r="CS93" s="50">
        <v>46422</v>
      </c>
      <c r="CT93" s="50">
        <v>46996</v>
      </c>
      <c r="CU93" s="50">
        <v>47577</v>
      </c>
      <c r="CV93" s="50">
        <v>48146</v>
      </c>
      <c r="CW93" s="50">
        <v>48713</v>
      </c>
      <c r="CX93" s="50">
        <v>49295</v>
      </c>
      <c r="CY93" s="50">
        <v>49842</v>
      </c>
      <c r="CZ93" s="50">
        <v>50404</v>
      </c>
      <c r="DA93" s="50">
        <v>50945</v>
      </c>
      <c r="DB93" s="50">
        <v>51509</v>
      </c>
      <c r="DC93" s="50">
        <v>52051</v>
      </c>
      <c r="DD93" s="50">
        <v>52596</v>
      </c>
      <c r="DE93" s="50">
        <v>53126</v>
      </c>
      <c r="DF93" s="50">
        <v>53680</v>
      </c>
      <c r="DG93" s="50">
        <v>54210</v>
      </c>
      <c r="DH93" s="50">
        <v>54736</v>
      </c>
      <c r="DI93" s="50">
        <v>55259</v>
      </c>
      <c r="DJ93" s="50">
        <v>55794</v>
      </c>
      <c r="DK93" s="50">
        <v>56305</v>
      </c>
      <c r="DL93" s="50">
        <v>56814</v>
      </c>
      <c r="DM93" s="50">
        <v>57330</v>
      </c>
      <c r="DN93" s="50">
        <v>57841</v>
      </c>
      <c r="DO93" s="50">
        <v>58348</v>
      </c>
    </row>
    <row r="94" spans="1:119">
      <c r="A94" s="50">
        <v>92</v>
      </c>
      <c r="B94" s="50"/>
      <c r="C94" s="50"/>
      <c r="D94" s="50"/>
      <c r="E94" s="50"/>
      <c r="F94" s="50"/>
      <c r="G94" s="50"/>
      <c r="H94" s="50"/>
      <c r="I94" s="50"/>
      <c r="J94" s="50"/>
      <c r="K94" s="50"/>
      <c r="L94" s="50"/>
      <c r="M94" s="50"/>
      <c r="N94" s="50"/>
      <c r="O94" s="50"/>
      <c r="P94" s="50"/>
      <c r="Q94" s="50"/>
      <c r="R94" s="50"/>
      <c r="S94" s="50"/>
      <c r="T94" s="50"/>
      <c r="U94" s="50"/>
      <c r="V94" s="50"/>
      <c r="W94" s="50">
        <v>5352</v>
      </c>
      <c r="X94" s="50">
        <v>5683</v>
      </c>
      <c r="Y94" s="50">
        <v>5820</v>
      </c>
      <c r="Z94" s="50">
        <v>6354</v>
      </c>
      <c r="AA94" s="50">
        <v>6522</v>
      </c>
      <c r="AB94" s="50">
        <v>6809</v>
      </c>
      <c r="AC94" s="50">
        <v>6955</v>
      </c>
      <c r="AD94" s="50">
        <v>7087</v>
      </c>
      <c r="AE94" s="50">
        <v>7287</v>
      </c>
      <c r="AF94" s="50">
        <v>7733</v>
      </c>
      <c r="AG94" s="50">
        <v>8120</v>
      </c>
      <c r="AH94" s="50">
        <v>8552</v>
      </c>
      <c r="AI94" s="50">
        <v>8944</v>
      </c>
      <c r="AJ94" s="50">
        <v>9473</v>
      </c>
      <c r="AK94" s="50">
        <v>9875</v>
      </c>
      <c r="AL94" s="50">
        <v>10352</v>
      </c>
      <c r="AM94" s="50">
        <v>10825</v>
      </c>
      <c r="AN94" s="50">
        <v>11249</v>
      </c>
      <c r="AO94" s="50">
        <v>11552</v>
      </c>
      <c r="AP94" s="50">
        <v>11928</v>
      </c>
      <c r="AQ94" s="50">
        <v>12288</v>
      </c>
      <c r="AR94" s="50">
        <v>12717</v>
      </c>
      <c r="AS94" s="50">
        <v>12916</v>
      </c>
      <c r="AT94" s="50">
        <v>13129</v>
      </c>
      <c r="AU94" s="50">
        <v>13254</v>
      </c>
      <c r="AV94" s="50">
        <v>13677</v>
      </c>
      <c r="AW94" s="50">
        <v>14184</v>
      </c>
      <c r="AX94" s="50">
        <v>14969</v>
      </c>
      <c r="AY94" s="50">
        <v>15673</v>
      </c>
      <c r="AZ94" s="50">
        <v>16049</v>
      </c>
      <c r="BA94" s="50">
        <v>16444</v>
      </c>
      <c r="BB94" s="50">
        <v>16997</v>
      </c>
      <c r="BC94" s="50">
        <v>17466</v>
      </c>
      <c r="BD94" s="50">
        <v>18011</v>
      </c>
      <c r="BE94" s="50">
        <v>18497</v>
      </c>
      <c r="BF94" s="50">
        <v>19067</v>
      </c>
      <c r="BG94" s="50">
        <v>19535</v>
      </c>
      <c r="BH94" s="50">
        <v>20147</v>
      </c>
      <c r="BI94" s="50">
        <v>20700</v>
      </c>
      <c r="BJ94" s="50">
        <v>21258</v>
      </c>
      <c r="BK94" s="50">
        <v>21862</v>
      </c>
      <c r="BL94" s="50">
        <v>22487</v>
      </c>
      <c r="BM94" s="50">
        <v>23120</v>
      </c>
      <c r="BN94" s="50">
        <v>23734</v>
      </c>
      <c r="BO94" s="50">
        <v>24344</v>
      </c>
      <c r="BP94" s="50">
        <v>24917</v>
      </c>
      <c r="BQ94" s="50">
        <v>25494</v>
      </c>
      <c r="BR94" s="50">
        <v>26069</v>
      </c>
      <c r="BS94" s="50">
        <v>26610</v>
      </c>
      <c r="BT94" s="50">
        <v>27187</v>
      </c>
      <c r="BU94" s="50">
        <v>27744</v>
      </c>
      <c r="BV94" s="50">
        <v>28331</v>
      </c>
      <c r="BW94" s="50">
        <v>28897</v>
      </c>
      <c r="BX94" s="50">
        <v>29500</v>
      </c>
      <c r="BY94" s="50">
        <v>30112</v>
      </c>
      <c r="BZ94" s="50">
        <v>30769</v>
      </c>
      <c r="CA94" s="50">
        <v>31383</v>
      </c>
      <c r="CB94" s="50">
        <v>31964</v>
      </c>
      <c r="CC94" s="50">
        <v>32590</v>
      </c>
      <c r="CD94" s="50">
        <v>33201</v>
      </c>
      <c r="CE94" s="50">
        <v>33798</v>
      </c>
      <c r="CF94" s="50">
        <v>34432</v>
      </c>
      <c r="CG94" s="50">
        <v>35038</v>
      </c>
      <c r="CH94" s="50">
        <v>35644</v>
      </c>
      <c r="CI94" s="50">
        <v>36267</v>
      </c>
      <c r="CJ94" s="50">
        <v>36845</v>
      </c>
      <c r="CK94" s="50">
        <v>37434</v>
      </c>
      <c r="CL94" s="50">
        <v>38058</v>
      </c>
      <c r="CM94" s="50">
        <v>38638</v>
      </c>
      <c r="CN94" s="50">
        <v>39242</v>
      </c>
      <c r="CO94" s="50">
        <v>39852</v>
      </c>
      <c r="CP94" s="50">
        <v>40440</v>
      </c>
      <c r="CQ94" s="50">
        <v>41037</v>
      </c>
      <c r="CR94" s="50">
        <v>41607</v>
      </c>
      <c r="CS94" s="50">
        <v>42199</v>
      </c>
      <c r="CT94" s="50">
        <v>42771</v>
      </c>
      <c r="CU94" s="50">
        <v>43350</v>
      </c>
      <c r="CV94" s="50">
        <v>43918</v>
      </c>
      <c r="CW94" s="50">
        <v>44485</v>
      </c>
      <c r="CX94" s="50">
        <v>45066</v>
      </c>
      <c r="CY94" s="50">
        <v>45616</v>
      </c>
      <c r="CZ94" s="50">
        <v>46180</v>
      </c>
      <c r="DA94" s="50">
        <v>46726</v>
      </c>
      <c r="DB94" s="50">
        <v>47292</v>
      </c>
      <c r="DC94" s="50">
        <v>47840</v>
      </c>
      <c r="DD94" s="50">
        <v>48390</v>
      </c>
      <c r="DE94" s="50">
        <v>48927</v>
      </c>
      <c r="DF94" s="50">
        <v>49486</v>
      </c>
      <c r="DG94" s="50">
        <v>50024</v>
      </c>
      <c r="DH94" s="50">
        <v>50559</v>
      </c>
      <c r="DI94" s="50">
        <v>51091</v>
      </c>
      <c r="DJ94" s="50">
        <v>51634</v>
      </c>
      <c r="DK94" s="50">
        <v>52156</v>
      </c>
      <c r="DL94" s="50">
        <v>52677</v>
      </c>
      <c r="DM94" s="50">
        <v>53203</v>
      </c>
      <c r="DN94" s="50">
        <v>53726</v>
      </c>
      <c r="DO94" s="50">
        <v>54245</v>
      </c>
    </row>
    <row r="95" spans="1:119">
      <c r="A95" s="50">
        <v>93</v>
      </c>
      <c r="B95" s="50"/>
      <c r="C95" s="50"/>
      <c r="D95" s="50"/>
      <c r="E95" s="50"/>
      <c r="F95" s="50"/>
      <c r="G95" s="50"/>
      <c r="H95" s="50"/>
      <c r="I95" s="50"/>
      <c r="J95" s="50"/>
      <c r="K95" s="50"/>
      <c r="L95" s="50"/>
      <c r="M95" s="50"/>
      <c r="N95" s="50"/>
      <c r="O95" s="50"/>
      <c r="P95" s="50"/>
      <c r="Q95" s="50"/>
      <c r="R95" s="50"/>
      <c r="S95" s="50"/>
      <c r="T95" s="50"/>
      <c r="U95" s="50"/>
      <c r="V95" s="50"/>
      <c r="W95" s="50">
        <v>4159</v>
      </c>
      <c r="X95" s="50">
        <v>4358</v>
      </c>
      <c r="Y95" s="50">
        <v>4504</v>
      </c>
      <c r="Z95" s="50">
        <v>4932</v>
      </c>
      <c r="AA95" s="50">
        <v>5077</v>
      </c>
      <c r="AB95" s="50">
        <v>5315</v>
      </c>
      <c r="AC95" s="50">
        <v>5444</v>
      </c>
      <c r="AD95" s="50">
        <v>5563</v>
      </c>
      <c r="AE95" s="50">
        <v>5734</v>
      </c>
      <c r="AF95" s="50">
        <v>6102</v>
      </c>
      <c r="AG95" s="50">
        <v>6424</v>
      </c>
      <c r="AH95" s="50">
        <v>6784</v>
      </c>
      <c r="AI95" s="50">
        <v>7113</v>
      </c>
      <c r="AJ95" s="50">
        <v>7552</v>
      </c>
      <c r="AK95" s="50">
        <v>7893</v>
      </c>
      <c r="AL95" s="50">
        <v>8295</v>
      </c>
      <c r="AM95" s="50">
        <v>8695</v>
      </c>
      <c r="AN95" s="50">
        <v>9057</v>
      </c>
      <c r="AO95" s="50">
        <v>9326</v>
      </c>
      <c r="AP95" s="50">
        <v>9655</v>
      </c>
      <c r="AQ95" s="50">
        <v>9973</v>
      </c>
      <c r="AR95" s="50">
        <v>10347</v>
      </c>
      <c r="AS95" s="50">
        <v>10536</v>
      </c>
      <c r="AT95" s="50">
        <v>10737</v>
      </c>
      <c r="AU95" s="50">
        <v>10866</v>
      </c>
      <c r="AV95" s="50">
        <v>11240</v>
      </c>
      <c r="AW95" s="50">
        <v>11684</v>
      </c>
      <c r="AX95" s="50">
        <v>12361</v>
      </c>
      <c r="AY95" s="50">
        <v>12973</v>
      </c>
      <c r="AZ95" s="50">
        <v>13315</v>
      </c>
      <c r="BA95" s="50">
        <v>13673</v>
      </c>
      <c r="BB95" s="50">
        <v>14164</v>
      </c>
      <c r="BC95" s="50">
        <v>14588</v>
      </c>
      <c r="BD95" s="50">
        <v>15076</v>
      </c>
      <c r="BE95" s="50">
        <v>15517</v>
      </c>
      <c r="BF95" s="50">
        <v>16029</v>
      </c>
      <c r="BG95" s="50">
        <v>16457</v>
      </c>
      <c r="BH95" s="50">
        <v>17008</v>
      </c>
      <c r="BI95" s="50">
        <v>17511</v>
      </c>
      <c r="BJ95" s="50">
        <v>18019</v>
      </c>
      <c r="BK95" s="50">
        <v>18567</v>
      </c>
      <c r="BL95" s="50">
        <v>19136</v>
      </c>
      <c r="BM95" s="50">
        <v>19713</v>
      </c>
      <c r="BN95" s="50">
        <v>20275</v>
      </c>
      <c r="BO95" s="50">
        <v>20836</v>
      </c>
      <c r="BP95" s="50">
        <v>21366</v>
      </c>
      <c r="BQ95" s="50">
        <v>21902</v>
      </c>
      <c r="BR95" s="50">
        <v>22437</v>
      </c>
      <c r="BS95" s="50">
        <v>22943</v>
      </c>
      <c r="BT95" s="50">
        <v>23482</v>
      </c>
      <c r="BU95" s="50">
        <v>24005</v>
      </c>
      <c r="BV95" s="50">
        <v>24556</v>
      </c>
      <c r="BW95" s="50">
        <v>25089</v>
      </c>
      <c r="BX95" s="50">
        <v>25655</v>
      </c>
      <c r="BY95" s="50">
        <v>26231</v>
      </c>
      <c r="BZ95" s="50">
        <v>26848</v>
      </c>
      <c r="CA95" s="50">
        <v>27428</v>
      </c>
      <c r="CB95" s="50">
        <v>27981</v>
      </c>
      <c r="CC95" s="50">
        <v>28574</v>
      </c>
      <c r="CD95" s="50">
        <v>29155</v>
      </c>
      <c r="CE95" s="50">
        <v>29725</v>
      </c>
      <c r="CF95" s="50">
        <v>30329</v>
      </c>
      <c r="CG95" s="50">
        <v>30909</v>
      </c>
      <c r="CH95" s="50">
        <v>31490</v>
      </c>
      <c r="CI95" s="50">
        <v>32087</v>
      </c>
      <c r="CJ95" s="50">
        <v>32646</v>
      </c>
      <c r="CK95" s="50">
        <v>33215</v>
      </c>
      <c r="CL95" s="50">
        <v>33816</v>
      </c>
      <c r="CM95" s="50">
        <v>34379</v>
      </c>
      <c r="CN95" s="50">
        <v>34965</v>
      </c>
      <c r="CO95" s="50">
        <v>35556</v>
      </c>
      <c r="CP95" s="50">
        <v>36130</v>
      </c>
      <c r="CQ95" s="50">
        <v>36712</v>
      </c>
      <c r="CR95" s="50">
        <v>37270</v>
      </c>
      <c r="CS95" s="50">
        <v>37850</v>
      </c>
      <c r="CT95" s="50">
        <v>38412</v>
      </c>
      <c r="CU95" s="50">
        <v>38980</v>
      </c>
      <c r="CV95" s="50">
        <v>39541</v>
      </c>
      <c r="CW95" s="50">
        <v>40100</v>
      </c>
      <c r="CX95" s="50">
        <v>40673</v>
      </c>
      <c r="CY95" s="50">
        <v>41219</v>
      </c>
      <c r="CZ95" s="50">
        <v>41778</v>
      </c>
      <c r="DA95" s="50">
        <v>42321</v>
      </c>
      <c r="DB95" s="50">
        <v>42884</v>
      </c>
      <c r="DC95" s="50">
        <v>43430</v>
      </c>
      <c r="DD95" s="50">
        <v>43979</v>
      </c>
      <c r="DE95" s="50">
        <v>44517</v>
      </c>
      <c r="DF95" s="50">
        <v>45075</v>
      </c>
      <c r="DG95" s="50">
        <v>45615</v>
      </c>
      <c r="DH95" s="50">
        <v>46152</v>
      </c>
      <c r="DI95" s="50">
        <v>46687</v>
      </c>
      <c r="DJ95" s="50">
        <v>47233</v>
      </c>
      <c r="DK95" s="50">
        <v>47759</v>
      </c>
      <c r="DL95" s="50">
        <v>48286</v>
      </c>
      <c r="DM95" s="50">
        <v>48818</v>
      </c>
      <c r="DN95" s="50">
        <v>49346</v>
      </c>
      <c r="DO95" s="50">
        <v>49872</v>
      </c>
    </row>
    <row r="96" spans="1:119">
      <c r="A96" s="50">
        <v>94</v>
      </c>
      <c r="B96" s="50"/>
      <c r="C96" s="50"/>
      <c r="D96" s="50"/>
      <c r="E96" s="50"/>
      <c r="F96" s="50"/>
      <c r="G96" s="50"/>
      <c r="H96" s="50"/>
      <c r="I96" s="50"/>
      <c r="J96" s="50"/>
      <c r="K96" s="50"/>
      <c r="L96" s="50"/>
      <c r="M96" s="50"/>
      <c r="N96" s="50"/>
      <c r="O96" s="50"/>
      <c r="P96" s="50"/>
      <c r="Q96" s="50"/>
      <c r="R96" s="50"/>
      <c r="S96" s="50"/>
      <c r="T96" s="50"/>
      <c r="U96" s="50"/>
      <c r="V96" s="50"/>
      <c r="W96" s="50">
        <v>3099</v>
      </c>
      <c r="X96" s="50">
        <v>3273</v>
      </c>
      <c r="Y96" s="50">
        <v>3393</v>
      </c>
      <c r="Z96" s="50">
        <v>3727</v>
      </c>
      <c r="AA96" s="50">
        <v>3848</v>
      </c>
      <c r="AB96" s="50">
        <v>4040</v>
      </c>
      <c r="AC96" s="50">
        <v>4150</v>
      </c>
      <c r="AD96" s="50">
        <v>4253</v>
      </c>
      <c r="AE96" s="50">
        <v>4397</v>
      </c>
      <c r="AF96" s="50">
        <v>4692</v>
      </c>
      <c r="AG96" s="50">
        <v>4954</v>
      </c>
      <c r="AH96" s="50">
        <v>5246</v>
      </c>
      <c r="AI96" s="50">
        <v>5515</v>
      </c>
      <c r="AJ96" s="50">
        <v>5872</v>
      </c>
      <c r="AK96" s="50">
        <v>6153</v>
      </c>
      <c r="AL96" s="50">
        <v>6483</v>
      </c>
      <c r="AM96" s="50">
        <v>6813</v>
      </c>
      <c r="AN96" s="50">
        <v>7118</v>
      </c>
      <c r="AO96" s="50">
        <v>7350</v>
      </c>
      <c r="AP96" s="50">
        <v>7631</v>
      </c>
      <c r="AQ96" s="50">
        <v>7905</v>
      </c>
      <c r="AR96" s="50">
        <v>8224</v>
      </c>
      <c r="AS96" s="50">
        <v>8397</v>
      </c>
      <c r="AT96" s="50">
        <v>8580</v>
      </c>
      <c r="AU96" s="50">
        <v>8706</v>
      </c>
      <c r="AV96" s="50">
        <v>9030</v>
      </c>
      <c r="AW96" s="50">
        <v>9411</v>
      </c>
      <c r="AX96" s="50">
        <v>9981</v>
      </c>
      <c r="AY96" s="50">
        <v>10502</v>
      </c>
      <c r="AZ96" s="50">
        <v>10805</v>
      </c>
      <c r="BA96" s="50">
        <v>11124</v>
      </c>
      <c r="BB96" s="50">
        <v>11551</v>
      </c>
      <c r="BC96" s="50">
        <v>11925</v>
      </c>
      <c r="BD96" s="50">
        <v>12353</v>
      </c>
      <c r="BE96" s="50">
        <v>12744</v>
      </c>
      <c r="BF96" s="50">
        <v>13195</v>
      </c>
      <c r="BG96" s="50">
        <v>13578</v>
      </c>
      <c r="BH96" s="50">
        <v>14064</v>
      </c>
      <c r="BI96" s="50">
        <v>14512</v>
      </c>
      <c r="BJ96" s="50">
        <v>14966</v>
      </c>
      <c r="BK96" s="50">
        <v>15454</v>
      </c>
      <c r="BL96" s="50">
        <v>15962</v>
      </c>
      <c r="BM96" s="50">
        <v>16478</v>
      </c>
      <c r="BN96" s="50">
        <v>16983</v>
      </c>
      <c r="BO96" s="50">
        <v>17488</v>
      </c>
      <c r="BP96" s="50">
        <v>17969</v>
      </c>
      <c r="BQ96" s="50">
        <v>18457</v>
      </c>
      <c r="BR96" s="50">
        <v>18945</v>
      </c>
      <c r="BS96" s="50">
        <v>19410</v>
      </c>
      <c r="BT96" s="50">
        <v>19904</v>
      </c>
      <c r="BU96" s="50">
        <v>20386</v>
      </c>
      <c r="BV96" s="50">
        <v>20893</v>
      </c>
      <c r="BW96" s="50">
        <v>21386</v>
      </c>
      <c r="BX96" s="50">
        <v>21909</v>
      </c>
      <c r="BY96" s="50">
        <v>22442</v>
      </c>
      <c r="BZ96" s="50">
        <v>23010</v>
      </c>
      <c r="CA96" s="50">
        <v>23549</v>
      </c>
      <c r="CB96" s="50">
        <v>24065</v>
      </c>
      <c r="CC96" s="50">
        <v>24618</v>
      </c>
      <c r="CD96" s="50">
        <v>25161</v>
      </c>
      <c r="CE96" s="50">
        <v>25696</v>
      </c>
      <c r="CF96" s="50">
        <v>26262</v>
      </c>
      <c r="CG96" s="50">
        <v>26808</v>
      </c>
      <c r="CH96" s="50">
        <v>27356</v>
      </c>
      <c r="CI96" s="50">
        <v>27919</v>
      </c>
      <c r="CJ96" s="50">
        <v>28450</v>
      </c>
      <c r="CK96" s="50">
        <v>28992</v>
      </c>
      <c r="CL96" s="50">
        <v>29562</v>
      </c>
      <c r="CM96" s="50">
        <v>30100</v>
      </c>
      <c r="CN96" s="50">
        <v>30658</v>
      </c>
      <c r="CO96" s="50">
        <v>31223</v>
      </c>
      <c r="CP96" s="50">
        <v>31774</v>
      </c>
      <c r="CQ96" s="50">
        <v>32333</v>
      </c>
      <c r="CR96" s="50">
        <v>32871</v>
      </c>
      <c r="CS96" s="50">
        <v>33430</v>
      </c>
      <c r="CT96" s="50">
        <v>33973</v>
      </c>
      <c r="CU96" s="50">
        <v>34524</v>
      </c>
      <c r="CV96" s="50">
        <v>35068</v>
      </c>
      <c r="CW96" s="50">
        <v>35612</v>
      </c>
      <c r="CX96" s="50">
        <v>36169</v>
      </c>
      <c r="CY96" s="50">
        <v>36703</v>
      </c>
      <c r="CZ96" s="50">
        <v>37249</v>
      </c>
      <c r="DA96" s="50">
        <v>37782</v>
      </c>
      <c r="DB96" s="50">
        <v>38333</v>
      </c>
      <c r="DC96" s="50">
        <v>38870</v>
      </c>
      <c r="DD96" s="50">
        <v>39410</v>
      </c>
      <c r="DE96" s="50">
        <v>39941</v>
      </c>
      <c r="DF96" s="50">
        <v>40491</v>
      </c>
      <c r="DG96" s="50">
        <v>41025</v>
      </c>
      <c r="DH96" s="50">
        <v>41557</v>
      </c>
      <c r="DI96" s="50">
        <v>42088</v>
      </c>
      <c r="DJ96" s="50">
        <v>42629</v>
      </c>
      <c r="DK96" s="50">
        <v>43153</v>
      </c>
      <c r="DL96" s="50">
        <v>43678</v>
      </c>
      <c r="DM96" s="50">
        <v>44209</v>
      </c>
      <c r="DN96" s="50">
        <v>44737</v>
      </c>
      <c r="DO96" s="50">
        <v>45263</v>
      </c>
    </row>
    <row r="97" spans="1:119">
      <c r="A97" s="50">
        <v>95</v>
      </c>
      <c r="B97" s="50"/>
      <c r="C97" s="50"/>
      <c r="D97" s="50"/>
      <c r="E97" s="50"/>
      <c r="F97" s="50"/>
      <c r="G97" s="50"/>
      <c r="H97" s="50"/>
      <c r="I97" s="50"/>
      <c r="J97" s="50"/>
      <c r="K97" s="50"/>
      <c r="L97" s="50"/>
      <c r="M97" s="50"/>
      <c r="N97" s="50"/>
      <c r="O97" s="50"/>
      <c r="P97" s="50"/>
      <c r="Q97" s="50"/>
      <c r="R97" s="50"/>
      <c r="S97" s="50"/>
      <c r="T97" s="50"/>
      <c r="U97" s="50"/>
      <c r="V97" s="50"/>
      <c r="W97" s="50">
        <v>2251</v>
      </c>
      <c r="X97" s="50">
        <v>2385</v>
      </c>
      <c r="Y97" s="50">
        <v>2481</v>
      </c>
      <c r="Z97" s="50">
        <v>2734</v>
      </c>
      <c r="AA97" s="50">
        <v>2831</v>
      </c>
      <c r="AB97" s="50">
        <v>2982</v>
      </c>
      <c r="AC97" s="50">
        <v>3073</v>
      </c>
      <c r="AD97" s="50">
        <v>3159</v>
      </c>
      <c r="AE97" s="50">
        <v>3276</v>
      </c>
      <c r="AF97" s="50">
        <v>3506</v>
      </c>
      <c r="AG97" s="50">
        <v>3713</v>
      </c>
      <c r="AH97" s="50">
        <v>3943</v>
      </c>
      <c r="AI97" s="50">
        <v>4157</v>
      </c>
      <c r="AJ97" s="50">
        <v>4439</v>
      </c>
      <c r="AK97" s="50">
        <v>4664</v>
      </c>
      <c r="AL97" s="50">
        <v>4928</v>
      </c>
      <c r="AM97" s="50">
        <v>5196</v>
      </c>
      <c r="AN97" s="50">
        <v>5445</v>
      </c>
      <c r="AO97" s="50">
        <v>5640</v>
      </c>
      <c r="AP97" s="50">
        <v>5874</v>
      </c>
      <c r="AQ97" s="50">
        <v>6102</v>
      </c>
      <c r="AR97" s="50">
        <v>6368</v>
      </c>
      <c r="AS97" s="50">
        <v>6520</v>
      </c>
      <c r="AT97" s="50">
        <v>6682</v>
      </c>
      <c r="AU97" s="50">
        <v>6800</v>
      </c>
      <c r="AV97" s="50">
        <v>7072</v>
      </c>
      <c r="AW97" s="50">
        <v>7391</v>
      </c>
      <c r="AX97" s="50">
        <v>7860</v>
      </c>
      <c r="AY97" s="50">
        <v>8293</v>
      </c>
      <c r="AZ97" s="50">
        <v>8555</v>
      </c>
      <c r="BA97" s="50">
        <v>8831</v>
      </c>
      <c r="BB97" s="50">
        <v>9194</v>
      </c>
      <c r="BC97" s="50">
        <v>9516</v>
      </c>
      <c r="BD97" s="50">
        <v>9883</v>
      </c>
      <c r="BE97" s="50">
        <v>10221</v>
      </c>
      <c r="BF97" s="50">
        <v>10608</v>
      </c>
      <c r="BG97" s="50">
        <v>10943</v>
      </c>
      <c r="BH97" s="50">
        <v>11362</v>
      </c>
      <c r="BI97" s="50">
        <v>11752</v>
      </c>
      <c r="BJ97" s="50">
        <v>12148</v>
      </c>
      <c r="BK97" s="50">
        <v>12574</v>
      </c>
      <c r="BL97" s="50">
        <v>13017</v>
      </c>
      <c r="BM97" s="50">
        <v>13468</v>
      </c>
      <c r="BN97" s="50">
        <v>13912</v>
      </c>
      <c r="BO97" s="50">
        <v>14358</v>
      </c>
      <c r="BP97" s="50">
        <v>14785</v>
      </c>
      <c r="BQ97" s="50">
        <v>15219</v>
      </c>
      <c r="BR97" s="50">
        <v>15655</v>
      </c>
      <c r="BS97" s="50">
        <v>16073</v>
      </c>
      <c r="BT97" s="50">
        <v>16517</v>
      </c>
      <c r="BU97" s="50">
        <v>16952</v>
      </c>
      <c r="BV97" s="50">
        <v>17409</v>
      </c>
      <c r="BW97" s="50">
        <v>17855</v>
      </c>
      <c r="BX97" s="50">
        <v>18328</v>
      </c>
      <c r="BY97" s="50">
        <v>18811</v>
      </c>
      <c r="BZ97" s="50">
        <v>19324</v>
      </c>
      <c r="CA97" s="50">
        <v>19815</v>
      </c>
      <c r="CB97" s="50">
        <v>20287</v>
      </c>
      <c r="CC97" s="50">
        <v>20792</v>
      </c>
      <c r="CD97" s="50">
        <v>21290</v>
      </c>
      <c r="CE97" s="50">
        <v>21782</v>
      </c>
      <c r="CF97" s="50">
        <v>22302</v>
      </c>
      <c r="CG97" s="50">
        <v>22806</v>
      </c>
      <c r="CH97" s="50">
        <v>23314</v>
      </c>
      <c r="CI97" s="50">
        <v>23835</v>
      </c>
      <c r="CJ97" s="50">
        <v>24330</v>
      </c>
      <c r="CK97" s="50">
        <v>24836</v>
      </c>
      <c r="CL97" s="50">
        <v>25366</v>
      </c>
      <c r="CM97" s="50">
        <v>25871</v>
      </c>
      <c r="CN97" s="50">
        <v>26394</v>
      </c>
      <c r="CO97" s="50">
        <v>26924</v>
      </c>
      <c r="CP97" s="50">
        <v>27443</v>
      </c>
      <c r="CQ97" s="50">
        <v>27970</v>
      </c>
      <c r="CR97" s="50">
        <v>28480</v>
      </c>
      <c r="CS97" s="50">
        <v>29009</v>
      </c>
      <c r="CT97" s="50">
        <v>29526</v>
      </c>
      <c r="CU97" s="50">
        <v>30050</v>
      </c>
      <c r="CV97" s="50">
        <v>30569</v>
      </c>
      <c r="CW97" s="50">
        <v>31089</v>
      </c>
      <c r="CX97" s="50">
        <v>31621</v>
      </c>
      <c r="CY97" s="50">
        <v>32134</v>
      </c>
      <c r="CZ97" s="50">
        <v>32659</v>
      </c>
      <c r="DA97" s="50">
        <v>33173</v>
      </c>
      <c r="DB97" s="50">
        <v>33704</v>
      </c>
      <c r="DC97" s="50">
        <v>34223</v>
      </c>
      <c r="DD97" s="50">
        <v>34746</v>
      </c>
      <c r="DE97" s="50">
        <v>35261</v>
      </c>
      <c r="DF97" s="50">
        <v>35794</v>
      </c>
      <c r="DG97" s="50">
        <v>36314</v>
      </c>
      <c r="DH97" s="50">
        <v>36833</v>
      </c>
      <c r="DI97" s="50">
        <v>37351</v>
      </c>
      <c r="DJ97" s="50">
        <v>37880</v>
      </c>
      <c r="DK97" s="50">
        <v>38394</v>
      </c>
      <c r="DL97" s="50">
        <v>38910</v>
      </c>
      <c r="DM97" s="50">
        <v>39431</v>
      </c>
      <c r="DN97" s="50">
        <v>39950</v>
      </c>
      <c r="DO97" s="50">
        <v>40469</v>
      </c>
    </row>
    <row r="98" spans="1:119">
      <c r="A98" s="50">
        <v>96</v>
      </c>
      <c r="B98" s="50"/>
      <c r="C98" s="50"/>
      <c r="D98" s="50"/>
      <c r="E98" s="50"/>
      <c r="F98" s="50"/>
      <c r="G98" s="50"/>
      <c r="H98" s="50"/>
      <c r="I98" s="50"/>
      <c r="J98" s="50"/>
      <c r="K98" s="50"/>
      <c r="L98" s="50"/>
      <c r="M98" s="50"/>
      <c r="N98" s="50"/>
      <c r="O98" s="50"/>
      <c r="P98" s="50"/>
      <c r="Q98" s="50"/>
      <c r="R98" s="50"/>
      <c r="S98" s="50"/>
      <c r="T98" s="50"/>
      <c r="U98" s="50"/>
      <c r="V98" s="50"/>
      <c r="W98" s="50">
        <v>1586</v>
      </c>
      <c r="X98" s="50">
        <v>1686</v>
      </c>
      <c r="Y98" s="50">
        <v>1760</v>
      </c>
      <c r="Z98" s="50">
        <v>1945</v>
      </c>
      <c r="AA98" s="50">
        <v>2022</v>
      </c>
      <c r="AB98" s="50">
        <v>2136</v>
      </c>
      <c r="AC98" s="50">
        <v>2208</v>
      </c>
      <c r="AD98" s="50">
        <v>2277</v>
      </c>
      <c r="AE98" s="50">
        <v>2369</v>
      </c>
      <c r="AF98" s="50">
        <v>2543</v>
      </c>
      <c r="AG98" s="50">
        <v>2701</v>
      </c>
      <c r="AH98" s="50">
        <v>2877</v>
      </c>
      <c r="AI98" s="50">
        <v>3043</v>
      </c>
      <c r="AJ98" s="50">
        <v>3258</v>
      </c>
      <c r="AK98" s="50">
        <v>3434</v>
      </c>
      <c r="AL98" s="50">
        <v>3639</v>
      </c>
      <c r="AM98" s="50">
        <v>3849</v>
      </c>
      <c r="AN98" s="50">
        <v>4046</v>
      </c>
      <c r="AO98" s="50">
        <v>4205</v>
      </c>
      <c r="AP98" s="50">
        <v>4392</v>
      </c>
      <c r="AQ98" s="50">
        <v>4577</v>
      </c>
      <c r="AR98" s="50">
        <v>4791</v>
      </c>
      <c r="AS98" s="50">
        <v>4921</v>
      </c>
      <c r="AT98" s="50">
        <v>5058</v>
      </c>
      <c r="AU98" s="50">
        <v>5162</v>
      </c>
      <c r="AV98" s="50">
        <v>5384</v>
      </c>
      <c r="AW98" s="50">
        <v>5643</v>
      </c>
      <c r="AX98" s="50">
        <v>6018</v>
      </c>
      <c r="AY98" s="50">
        <v>6367</v>
      </c>
      <c r="AZ98" s="50">
        <v>6587</v>
      </c>
      <c r="BA98" s="50">
        <v>6817</v>
      </c>
      <c r="BB98" s="50">
        <v>7117</v>
      </c>
      <c r="BC98" s="50">
        <v>7385</v>
      </c>
      <c r="BD98" s="50">
        <v>7690</v>
      </c>
      <c r="BE98" s="50">
        <v>7974</v>
      </c>
      <c r="BF98" s="50">
        <v>8297</v>
      </c>
      <c r="BG98" s="50">
        <v>8581</v>
      </c>
      <c r="BH98" s="50">
        <v>8931</v>
      </c>
      <c r="BI98" s="50">
        <v>9260</v>
      </c>
      <c r="BJ98" s="50">
        <v>9596</v>
      </c>
      <c r="BK98" s="50">
        <v>9956</v>
      </c>
      <c r="BL98" s="50">
        <v>10331</v>
      </c>
      <c r="BM98" s="50">
        <v>10714</v>
      </c>
      <c r="BN98" s="50">
        <v>11092</v>
      </c>
      <c r="BO98" s="50">
        <v>11474</v>
      </c>
      <c r="BP98" s="50">
        <v>11842</v>
      </c>
      <c r="BQ98" s="50">
        <v>12217</v>
      </c>
      <c r="BR98" s="50">
        <v>12594</v>
      </c>
      <c r="BS98" s="50">
        <v>12958</v>
      </c>
      <c r="BT98" s="50">
        <v>13345</v>
      </c>
      <c r="BU98" s="50">
        <v>13725</v>
      </c>
      <c r="BV98" s="50">
        <v>14124</v>
      </c>
      <c r="BW98" s="50">
        <v>14517</v>
      </c>
      <c r="BX98" s="50">
        <v>14931</v>
      </c>
      <c r="BY98" s="50">
        <v>15355</v>
      </c>
      <c r="BZ98" s="50">
        <v>15806</v>
      </c>
      <c r="CA98" s="50">
        <v>16239</v>
      </c>
      <c r="CB98" s="50">
        <v>16659</v>
      </c>
      <c r="CC98" s="50">
        <v>17106</v>
      </c>
      <c r="CD98" s="50">
        <v>17549</v>
      </c>
      <c r="CE98" s="50">
        <v>17988</v>
      </c>
      <c r="CF98" s="50">
        <v>18451</v>
      </c>
      <c r="CG98" s="50">
        <v>18903</v>
      </c>
      <c r="CH98" s="50">
        <v>19359</v>
      </c>
      <c r="CI98" s="50">
        <v>19827</v>
      </c>
      <c r="CJ98" s="50">
        <v>20274</v>
      </c>
      <c r="CK98" s="50">
        <v>20732</v>
      </c>
      <c r="CL98" s="50">
        <v>21211</v>
      </c>
      <c r="CM98" s="50">
        <v>21670</v>
      </c>
      <c r="CN98" s="50">
        <v>22146</v>
      </c>
      <c r="CO98" s="50">
        <v>22628</v>
      </c>
      <c r="CP98" s="50">
        <v>23102</v>
      </c>
      <c r="CQ98" s="50">
        <v>23583</v>
      </c>
      <c r="CR98" s="50">
        <v>24052</v>
      </c>
      <c r="CS98" s="50">
        <v>24538</v>
      </c>
      <c r="CT98" s="50">
        <v>25014</v>
      </c>
      <c r="CU98" s="50">
        <v>25497</v>
      </c>
      <c r="CV98" s="50">
        <v>25978</v>
      </c>
      <c r="CW98" s="50">
        <v>26460</v>
      </c>
      <c r="CX98" s="50">
        <v>26953</v>
      </c>
      <c r="CY98" s="50">
        <v>27431</v>
      </c>
      <c r="CZ98" s="50">
        <v>27920</v>
      </c>
      <c r="DA98" s="50">
        <v>28400</v>
      </c>
      <c r="DB98" s="50">
        <v>28896</v>
      </c>
      <c r="DC98" s="50">
        <v>29382</v>
      </c>
      <c r="DD98" s="50">
        <v>29873</v>
      </c>
      <c r="DE98" s="50">
        <v>30358</v>
      </c>
      <c r="DF98" s="50">
        <v>30859</v>
      </c>
      <c r="DG98" s="50">
        <v>31349</v>
      </c>
      <c r="DH98" s="50">
        <v>31840</v>
      </c>
      <c r="DI98" s="50">
        <v>32331</v>
      </c>
      <c r="DJ98" s="50">
        <v>32831</v>
      </c>
      <c r="DK98" s="50">
        <v>33320</v>
      </c>
      <c r="DL98" s="50">
        <v>33810</v>
      </c>
      <c r="DM98" s="50">
        <v>34306</v>
      </c>
      <c r="DN98" s="50">
        <v>34801</v>
      </c>
      <c r="DO98" s="50">
        <v>35296</v>
      </c>
    </row>
    <row r="99" spans="1:119">
      <c r="A99" s="50">
        <v>97</v>
      </c>
      <c r="B99" s="50"/>
      <c r="C99" s="50"/>
      <c r="D99" s="50"/>
      <c r="E99" s="50"/>
      <c r="F99" s="50"/>
      <c r="G99" s="50"/>
      <c r="H99" s="50"/>
      <c r="I99" s="50"/>
      <c r="J99" s="50"/>
      <c r="K99" s="50"/>
      <c r="L99" s="50"/>
      <c r="M99" s="50"/>
      <c r="N99" s="50"/>
      <c r="O99" s="50"/>
      <c r="P99" s="50"/>
      <c r="Q99" s="50"/>
      <c r="R99" s="50"/>
      <c r="S99" s="50"/>
      <c r="T99" s="50"/>
      <c r="U99" s="50"/>
      <c r="V99" s="50"/>
      <c r="W99" s="50">
        <v>1082</v>
      </c>
      <c r="X99" s="50">
        <v>1155</v>
      </c>
      <c r="Y99" s="50">
        <v>1209</v>
      </c>
      <c r="Z99" s="50">
        <v>1341</v>
      </c>
      <c r="AA99" s="50">
        <v>1399</v>
      </c>
      <c r="AB99" s="50">
        <v>1483</v>
      </c>
      <c r="AC99" s="50">
        <v>1538</v>
      </c>
      <c r="AD99" s="50">
        <v>1591</v>
      </c>
      <c r="AE99" s="50">
        <v>1660</v>
      </c>
      <c r="AF99" s="50">
        <v>1788</v>
      </c>
      <c r="AG99" s="50">
        <v>1905</v>
      </c>
      <c r="AH99" s="50">
        <v>2036</v>
      </c>
      <c r="AI99" s="50">
        <v>2159</v>
      </c>
      <c r="AJ99" s="50">
        <v>2319</v>
      </c>
      <c r="AK99" s="50">
        <v>2452</v>
      </c>
      <c r="AL99" s="50">
        <v>2606</v>
      </c>
      <c r="AM99" s="50">
        <v>2765</v>
      </c>
      <c r="AN99" s="50">
        <v>2917</v>
      </c>
      <c r="AO99" s="50">
        <v>3041</v>
      </c>
      <c r="AP99" s="50">
        <v>3187</v>
      </c>
      <c r="AQ99" s="50">
        <v>3332</v>
      </c>
      <c r="AR99" s="50">
        <v>3498</v>
      </c>
      <c r="AS99" s="50">
        <v>3604</v>
      </c>
      <c r="AT99" s="50">
        <v>3716</v>
      </c>
      <c r="AU99" s="50">
        <v>3804</v>
      </c>
      <c r="AV99" s="50">
        <v>3980</v>
      </c>
      <c r="AW99" s="50">
        <v>4183</v>
      </c>
      <c r="AX99" s="50">
        <v>4474</v>
      </c>
      <c r="AY99" s="50">
        <v>4747</v>
      </c>
      <c r="AZ99" s="50">
        <v>4925</v>
      </c>
      <c r="BA99" s="50">
        <v>5112</v>
      </c>
      <c r="BB99" s="50">
        <v>5351</v>
      </c>
      <c r="BC99" s="50">
        <v>5568</v>
      </c>
      <c r="BD99" s="50">
        <v>5813</v>
      </c>
      <c r="BE99" s="50">
        <v>6044</v>
      </c>
      <c r="BF99" s="50">
        <v>6305</v>
      </c>
      <c r="BG99" s="50">
        <v>6538</v>
      </c>
      <c r="BH99" s="50">
        <v>6822</v>
      </c>
      <c r="BI99" s="50">
        <v>7092</v>
      </c>
      <c r="BJ99" s="50">
        <v>7367</v>
      </c>
      <c r="BK99" s="50">
        <v>7662</v>
      </c>
      <c r="BL99" s="50">
        <v>7970</v>
      </c>
      <c r="BM99" s="50">
        <v>8285</v>
      </c>
      <c r="BN99" s="50">
        <v>8598</v>
      </c>
      <c r="BO99" s="50">
        <v>8915</v>
      </c>
      <c r="BP99" s="50">
        <v>9222</v>
      </c>
      <c r="BQ99" s="50">
        <v>9536</v>
      </c>
      <c r="BR99" s="50">
        <v>9852</v>
      </c>
      <c r="BS99" s="50">
        <v>10160</v>
      </c>
      <c r="BT99" s="50">
        <v>10486</v>
      </c>
      <c r="BU99" s="50">
        <v>10808</v>
      </c>
      <c r="BV99" s="50">
        <v>11146</v>
      </c>
      <c r="BW99" s="50">
        <v>11480</v>
      </c>
      <c r="BX99" s="50">
        <v>11833</v>
      </c>
      <c r="BY99" s="50">
        <v>12194</v>
      </c>
      <c r="BZ99" s="50">
        <v>12578</v>
      </c>
      <c r="CA99" s="50">
        <v>12949</v>
      </c>
      <c r="CB99" s="50">
        <v>13310</v>
      </c>
      <c r="CC99" s="50">
        <v>13694</v>
      </c>
      <c r="CD99" s="50">
        <v>14076</v>
      </c>
      <c r="CE99" s="50">
        <v>14456</v>
      </c>
      <c r="CF99" s="50">
        <v>14857</v>
      </c>
      <c r="CG99" s="50">
        <v>15249</v>
      </c>
      <c r="CH99" s="50">
        <v>15645</v>
      </c>
      <c r="CI99" s="50">
        <v>16053</v>
      </c>
      <c r="CJ99" s="50">
        <v>16445</v>
      </c>
      <c r="CK99" s="50">
        <v>16846</v>
      </c>
      <c r="CL99" s="50">
        <v>17267</v>
      </c>
      <c r="CM99" s="50">
        <v>17671</v>
      </c>
      <c r="CN99" s="50">
        <v>18090</v>
      </c>
      <c r="CO99" s="50">
        <v>18516</v>
      </c>
      <c r="CP99" s="50">
        <v>18935</v>
      </c>
      <c r="CQ99" s="50">
        <v>19362</v>
      </c>
      <c r="CR99" s="50">
        <v>19780</v>
      </c>
      <c r="CS99" s="50">
        <v>20212</v>
      </c>
      <c r="CT99" s="50">
        <v>20638</v>
      </c>
      <c r="CU99" s="50">
        <v>21070</v>
      </c>
      <c r="CV99" s="50">
        <v>21501</v>
      </c>
      <c r="CW99" s="50">
        <v>21934</v>
      </c>
      <c r="CX99" s="50">
        <v>22377</v>
      </c>
      <c r="CY99" s="50">
        <v>22808</v>
      </c>
      <c r="CZ99" s="50">
        <v>23249</v>
      </c>
      <c r="DA99" s="50">
        <v>23685</v>
      </c>
      <c r="DB99" s="50">
        <v>24133</v>
      </c>
      <c r="DC99" s="50">
        <v>24575</v>
      </c>
      <c r="DD99" s="50">
        <v>25022</v>
      </c>
      <c r="DE99" s="50">
        <v>25464</v>
      </c>
      <c r="DF99" s="50">
        <v>25920</v>
      </c>
      <c r="DG99" s="50">
        <v>26369</v>
      </c>
      <c r="DH99" s="50">
        <v>26818</v>
      </c>
      <c r="DI99" s="50">
        <v>27268</v>
      </c>
      <c r="DJ99" s="50">
        <v>27727</v>
      </c>
      <c r="DK99" s="50">
        <v>28177</v>
      </c>
      <c r="DL99" s="50">
        <v>28630</v>
      </c>
      <c r="DM99" s="50">
        <v>29087</v>
      </c>
      <c r="DN99" s="50">
        <v>29545</v>
      </c>
      <c r="DO99" s="50">
        <v>30003</v>
      </c>
    </row>
    <row r="100" spans="1:119">
      <c r="A100" s="50">
        <v>98</v>
      </c>
      <c r="B100" s="50"/>
      <c r="C100" s="50"/>
      <c r="D100" s="50"/>
      <c r="E100" s="50"/>
      <c r="F100" s="50"/>
      <c r="G100" s="50"/>
      <c r="H100" s="50"/>
      <c r="I100" s="50"/>
      <c r="J100" s="50"/>
      <c r="K100" s="50"/>
      <c r="L100" s="50"/>
      <c r="M100" s="50"/>
      <c r="N100" s="50"/>
      <c r="O100" s="50"/>
      <c r="P100" s="50"/>
      <c r="Q100" s="50"/>
      <c r="R100" s="50"/>
      <c r="S100" s="50"/>
      <c r="T100" s="50"/>
      <c r="U100" s="50"/>
      <c r="V100" s="50"/>
      <c r="W100" s="50">
        <v>714</v>
      </c>
      <c r="X100" s="50">
        <v>765</v>
      </c>
      <c r="Y100" s="50">
        <v>804</v>
      </c>
      <c r="Z100" s="50">
        <v>895</v>
      </c>
      <c r="AA100" s="50">
        <v>936</v>
      </c>
      <c r="AB100" s="50">
        <v>996</v>
      </c>
      <c r="AC100" s="50">
        <v>1037</v>
      </c>
      <c r="AD100" s="50">
        <v>1076</v>
      </c>
      <c r="AE100" s="50">
        <v>1127</v>
      </c>
      <c r="AF100" s="50">
        <v>1218</v>
      </c>
      <c r="AG100" s="50">
        <v>1302</v>
      </c>
      <c r="AH100" s="50">
        <v>1395</v>
      </c>
      <c r="AI100" s="50">
        <v>1485</v>
      </c>
      <c r="AJ100" s="50">
        <v>1600</v>
      </c>
      <c r="AK100" s="50">
        <v>1696</v>
      </c>
      <c r="AL100" s="50">
        <v>1808</v>
      </c>
      <c r="AM100" s="50">
        <v>1926</v>
      </c>
      <c r="AN100" s="50">
        <v>2038</v>
      </c>
      <c r="AO100" s="50">
        <v>2132</v>
      </c>
      <c r="AP100" s="50">
        <v>2242</v>
      </c>
      <c r="AQ100" s="50">
        <v>2351</v>
      </c>
      <c r="AR100" s="50">
        <v>2477</v>
      </c>
      <c r="AS100" s="50">
        <v>2560</v>
      </c>
      <c r="AT100" s="50">
        <v>2648</v>
      </c>
      <c r="AU100" s="50">
        <v>2719</v>
      </c>
      <c r="AV100" s="50">
        <v>2853</v>
      </c>
      <c r="AW100" s="50">
        <v>3008</v>
      </c>
      <c r="AX100" s="50">
        <v>3227</v>
      </c>
      <c r="AY100" s="50">
        <v>3434</v>
      </c>
      <c r="AZ100" s="50">
        <v>3573</v>
      </c>
      <c r="BA100" s="50">
        <v>3719</v>
      </c>
      <c r="BB100" s="50">
        <v>3904</v>
      </c>
      <c r="BC100" s="50">
        <v>4074</v>
      </c>
      <c r="BD100" s="50">
        <v>4265</v>
      </c>
      <c r="BE100" s="50">
        <v>4447</v>
      </c>
      <c r="BF100" s="50">
        <v>4652</v>
      </c>
      <c r="BG100" s="50">
        <v>4836</v>
      </c>
      <c r="BH100" s="50">
        <v>5060</v>
      </c>
      <c r="BI100" s="50">
        <v>5273</v>
      </c>
      <c r="BJ100" s="50">
        <v>5492</v>
      </c>
      <c r="BK100" s="50">
        <v>5726</v>
      </c>
      <c r="BL100" s="50">
        <v>5972</v>
      </c>
      <c r="BM100" s="50">
        <v>6223</v>
      </c>
      <c r="BN100" s="50">
        <v>6474</v>
      </c>
      <c r="BO100" s="50">
        <v>6729</v>
      </c>
      <c r="BP100" s="50">
        <v>6977</v>
      </c>
      <c r="BQ100" s="50">
        <v>7231</v>
      </c>
      <c r="BR100" s="50">
        <v>7489</v>
      </c>
      <c r="BS100" s="50">
        <v>7740</v>
      </c>
      <c r="BT100" s="50">
        <v>8007</v>
      </c>
      <c r="BU100" s="50">
        <v>8271</v>
      </c>
      <c r="BV100" s="50">
        <v>8549</v>
      </c>
      <c r="BW100" s="50">
        <v>8824</v>
      </c>
      <c r="BX100" s="50">
        <v>9115</v>
      </c>
      <c r="BY100" s="50">
        <v>9413</v>
      </c>
      <c r="BZ100" s="50">
        <v>9730</v>
      </c>
      <c r="CA100" s="50">
        <v>10037</v>
      </c>
      <c r="CB100" s="50">
        <v>10338</v>
      </c>
      <c r="CC100" s="50">
        <v>10658</v>
      </c>
      <c r="CD100" s="50">
        <v>10978</v>
      </c>
      <c r="CE100" s="50">
        <v>11297</v>
      </c>
      <c r="CF100" s="50">
        <v>11632</v>
      </c>
      <c r="CG100" s="50">
        <v>11962</v>
      </c>
      <c r="CH100" s="50">
        <v>12297</v>
      </c>
      <c r="CI100" s="50">
        <v>12641</v>
      </c>
      <c r="CJ100" s="50">
        <v>12974</v>
      </c>
      <c r="CK100" s="50">
        <v>13315</v>
      </c>
      <c r="CL100" s="50">
        <v>13672</v>
      </c>
      <c r="CM100" s="50">
        <v>14017</v>
      </c>
      <c r="CN100" s="50">
        <v>14375</v>
      </c>
      <c r="CO100" s="50">
        <v>14739</v>
      </c>
      <c r="CP100" s="50">
        <v>15100</v>
      </c>
      <c r="CQ100" s="50">
        <v>15467</v>
      </c>
      <c r="CR100" s="50">
        <v>15827</v>
      </c>
      <c r="CS100" s="50">
        <v>16200</v>
      </c>
      <c r="CT100" s="50">
        <v>16568</v>
      </c>
      <c r="CU100" s="50">
        <v>16943</v>
      </c>
      <c r="CV100" s="50">
        <v>17317</v>
      </c>
      <c r="CW100" s="50">
        <v>17694</v>
      </c>
      <c r="CX100" s="50">
        <v>18081</v>
      </c>
      <c r="CY100" s="50">
        <v>18458</v>
      </c>
      <c r="CZ100" s="50">
        <v>18844</v>
      </c>
      <c r="DA100" s="50">
        <v>19226</v>
      </c>
      <c r="DB100" s="50">
        <v>19620</v>
      </c>
      <c r="DC100" s="50">
        <v>20009</v>
      </c>
      <c r="DD100" s="50">
        <v>20402</v>
      </c>
      <c r="DE100" s="50">
        <v>20793</v>
      </c>
      <c r="DF100" s="50">
        <v>21197</v>
      </c>
      <c r="DG100" s="50">
        <v>21594</v>
      </c>
      <c r="DH100" s="50">
        <v>21993</v>
      </c>
      <c r="DI100" s="50">
        <v>22393</v>
      </c>
      <c r="DJ100" s="50">
        <v>22801</v>
      </c>
      <c r="DK100" s="50">
        <v>23203</v>
      </c>
      <c r="DL100" s="50">
        <v>23607</v>
      </c>
      <c r="DM100" s="50">
        <v>24016</v>
      </c>
      <c r="DN100" s="50">
        <v>24426</v>
      </c>
      <c r="DO100" s="50">
        <v>24837</v>
      </c>
    </row>
    <row r="101" spans="1:119">
      <c r="A101" s="50">
        <v>99</v>
      </c>
      <c r="B101" s="50"/>
      <c r="C101" s="50"/>
      <c r="D101" s="50"/>
      <c r="E101" s="50"/>
      <c r="F101" s="50"/>
      <c r="G101" s="50"/>
      <c r="H101" s="50"/>
      <c r="I101" s="50"/>
      <c r="J101" s="50"/>
      <c r="K101" s="50"/>
      <c r="L101" s="50"/>
      <c r="M101" s="50"/>
      <c r="N101" s="50"/>
      <c r="O101" s="50"/>
      <c r="P101" s="50"/>
      <c r="Q101" s="50"/>
      <c r="R101" s="50"/>
      <c r="S101" s="50"/>
      <c r="T101" s="50"/>
      <c r="U101" s="50"/>
      <c r="V101" s="50"/>
      <c r="W101" s="50">
        <v>456</v>
      </c>
      <c r="X101" s="50">
        <v>490</v>
      </c>
      <c r="Y101" s="50">
        <v>517</v>
      </c>
      <c r="Z101" s="50">
        <v>577</v>
      </c>
      <c r="AA101" s="50">
        <v>606</v>
      </c>
      <c r="AB101" s="50">
        <v>647</v>
      </c>
      <c r="AC101" s="50">
        <v>676</v>
      </c>
      <c r="AD101" s="50">
        <v>704</v>
      </c>
      <c r="AE101" s="50">
        <v>740</v>
      </c>
      <c r="AF101" s="50">
        <v>802</v>
      </c>
      <c r="AG101" s="50">
        <v>860</v>
      </c>
      <c r="AH101" s="50">
        <v>925</v>
      </c>
      <c r="AI101" s="50">
        <v>988</v>
      </c>
      <c r="AJ101" s="50">
        <v>1068</v>
      </c>
      <c r="AK101" s="50">
        <v>1136</v>
      </c>
      <c r="AL101" s="50">
        <v>1215</v>
      </c>
      <c r="AM101" s="50">
        <v>1298</v>
      </c>
      <c r="AN101" s="50">
        <v>1379</v>
      </c>
      <c r="AO101" s="50">
        <v>1448</v>
      </c>
      <c r="AP101" s="50">
        <v>1528</v>
      </c>
      <c r="AQ101" s="50">
        <v>1608</v>
      </c>
      <c r="AR101" s="50">
        <v>1699</v>
      </c>
      <c r="AS101" s="50">
        <v>1762</v>
      </c>
      <c r="AT101" s="50">
        <v>1828</v>
      </c>
      <c r="AU101" s="50">
        <v>1883</v>
      </c>
      <c r="AV101" s="50">
        <v>1983</v>
      </c>
      <c r="AW101" s="50">
        <v>2097</v>
      </c>
      <c r="AX101" s="50">
        <v>2257</v>
      </c>
      <c r="AY101" s="50">
        <v>2409</v>
      </c>
      <c r="AZ101" s="50">
        <v>2514</v>
      </c>
      <c r="BA101" s="50">
        <v>2624</v>
      </c>
      <c r="BB101" s="50">
        <v>2763</v>
      </c>
      <c r="BC101" s="50">
        <v>2891</v>
      </c>
      <c r="BD101" s="50">
        <v>3036</v>
      </c>
      <c r="BE101" s="50">
        <v>3174</v>
      </c>
      <c r="BF101" s="50">
        <v>3329</v>
      </c>
      <c r="BG101" s="50">
        <v>3471</v>
      </c>
      <c r="BH101" s="50">
        <v>3641</v>
      </c>
      <c r="BI101" s="50">
        <v>3805</v>
      </c>
      <c r="BJ101" s="50">
        <v>3973</v>
      </c>
      <c r="BK101" s="50">
        <v>4154</v>
      </c>
      <c r="BL101" s="50">
        <v>4343</v>
      </c>
      <c r="BM101" s="50">
        <v>4537</v>
      </c>
      <c r="BN101" s="50">
        <v>4732</v>
      </c>
      <c r="BO101" s="50">
        <v>4930</v>
      </c>
      <c r="BP101" s="50">
        <v>5125</v>
      </c>
      <c r="BQ101" s="50">
        <v>5324</v>
      </c>
      <c r="BR101" s="50">
        <v>5527</v>
      </c>
      <c r="BS101" s="50">
        <v>5726</v>
      </c>
      <c r="BT101" s="50">
        <v>5937</v>
      </c>
      <c r="BU101" s="50">
        <v>6147</v>
      </c>
      <c r="BV101" s="50">
        <v>6368</v>
      </c>
      <c r="BW101" s="50">
        <v>6588</v>
      </c>
      <c r="BX101" s="50">
        <v>6820</v>
      </c>
      <c r="BY101" s="50">
        <v>7059</v>
      </c>
      <c r="BZ101" s="50">
        <v>7312</v>
      </c>
      <c r="CA101" s="50">
        <v>7559</v>
      </c>
      <c r="CB101" s="50">
        <v>7803</v>
      </c>
      <c r="CC101" s="50">
        <v>8061</v>
      </c>
      <c r="CD101" s="50">
        <v>8319</v>
      </c>
      <c r="CE101" s="50">
        <v>8579</v>
      </c>
      <c r="CF101" s="50">
        <v>8851</v>
      </c>
      <c r="CG101" s="50">
        <v>9121</v>
      </c>
      <c r="CH101" s="50">
        <v>9394</v>
      </c>
      <c r="CI101" s="50">
        <v>9676</v>
      </c>
      <c r="CJ101" s="50">
        <v>9950</v>
      </c>
      <c r="CK101" s="50">
        <v>10230</v>
      </c>
      <c r="CL101" s="50">
        <v>10524</v>
      </c>
      <c r="CM101" s="50">
        <v>10810</v>
      </c>
      <c r="CN101" s="50">
        <v>11107</v>
      </c>
      <c r="CO101" s="50">
        <v>11408</v>
      </c>
      <c r="CP101" s="50">
        <v>11708</v>
      </c>
      <c r="CQ101" s="50">
        <v>12014</v>
      </c>
      <c r="CR101" s="50">
        <v>12315</v>
      </c>
      <c r="CS101" s="50">
        <v>12627</v>
      </c>
      <c r="CT101" s="50">
        <v>12936</v>
      </c>
      <c r="CU101" s="50">
        <v>13251</v>
      </c>
      <c r="CV101" s="50">
        <v>13566</v>
      </c>
      <c r="CW101" s="50">
        <v>13885</v>
      </c>
      <c r="CX101" s="50">
        <v>14211</v>
      </c>
      <c r="CY101" s="50">
        <v>14530</v>
      </c>
      <c r="CZ101" s="50">
        <v>14858</v>
      </c>
      <c r="DA101" s="50">
        <v>15183</v>
      </c>
      <c r="DB101" s="50">
        <v>15518</v>
      </c>
      <c r="DC101" s="50">
        <v>15850</v>
      </c>
      <c r="DD101" s="50">
        <v>16186</v>
      </c>
      <c r="DE101" s="50">
        <v>16521</v>
      </c>
      <c r="DF101" s="50">
        <v>16866</v>
      </c>
      <c r="DG101" s="50">
        <v>17208</v>
      </c>
      <c r="DH101" s="50">
        <v>17551</v>
      </c>
      <c r="DI101" s="50">
        <v>17896</v>
      </c>
      <c r="DJ101" s="50">
        <v>18248</v>
      </c>
      <c r="DK101" s="50">
        <v>18595</v>
      </c>
      <c r="DL101" s="50">
        <v>18945</v>
      </c>
      <c r="DM101" s="50">
        <v>19300</v>
      </c>
      <c r="DN101" s="50">
        <v>19656</v>
      </c>
      <c r="DO101" s="50">
        <v>20013</v>
      </c>
    </row>
    <row r="102" spans="1:119">
      <c r="A102" s="50">
        <v>100</v>
      </c>
      <c r="B102" s="50"/>
      <c r="C102" s="50"/>
      <c r="D102" s="50"/>
      <c r="E102" s="50"/>
      <c r="F102" s="50"/>
      <c r="G102" s="50"/>
      <c r="H102" s="50"/>
      <c r="I102" s="50"/>
      <c r="J102" s="50"/>
      <c r="K102" s="50"/>
      <c r="L102" s="50"/>
      <c r="M102" s="50"/>
      <c r="N102" s="50"/>
      <c r="O102" s="50"/>
      <c r="P102" s="50"/>
      <c r="Q102" s="50"/>
      <c r="R102" s="50"/>
      <c r="S102" s="50"/>
      <c r="T102" s="50"/>
      <c r="U102" s="50"/>
      <c r="V102" s="50"/>
      <c r="W102" s="50">
        <v>281</v>
      </c>
      <c r="X102" s="50">
        <v>303</v>
      </c>
      <c r="Y102" s="50">
        <v>321</v>
      </c>
      <c r="Z102" s="50">
        <v>360</v>
      </c>
      <c r="AA102" s="50">
        <v>380</v>
      </c>
      <c r="AB102" s="50">
        <v>407</v>
      </c>
      <c r="AC102" s="50">
        <v>426</v>
      </c>
      <c r="AD102" s="50">
        <v>446</v>
      </c>
      <c r="AE102" s="50">
        <v>470</v>
      </c>
      <c r="AF102" s="50">
        <v>511</v>
      </c>
      <c r="AG102" s="50">
        <v>550</v>
      </c>
      <c r="AH102" s="50">
        <v>594</v>
      </c>
      <c r="AI102" s="50">
        <v>636</v>
      </c>
      <c r="AJ102" s="50">
        <v>690</v>
      </c>
      <c r="AK102" s="50">
        <v>736</v>
      </c>
      <c r="AL102" s="50">
        <v>790</v>
      </c>
      <c r="AM102" s="50">
        <v>847</v>
      </c>
      <c r="AN102" s="50">
        <v>903</v>
      </c>
      <c r="AO102" s="50">
        <v>952</v>
      </c>
      <c r="AP102" s="50">
        <v>1008</v>
      </c>
      <c r="AQ102" s="50">
        <v>1064</v>
      </c>
      <c r="AR102" s="50">
        <v>1129</v>
      </c>
      <c r="AS102" s="50">
        <v>1174</v>
      </c>
      <c r="AT102" s="50">
        <v>1223</v>
      </c>
      <c r="AU102" s="50">
        <v>1264</v>
      </c>
      <c r="AV102" s="50">
        <v>1335</v>
      </c>
      <c r="AW102" s="50">
        <v>1416</v>
      </c>
      <c r="AX102" s="50">
        <v>1529</v>
      </c>
      <c r="AY102" s="50">
        <v>1637</v>
      </c>
      <c r="AZ102" s="50">
        <v>1714</v>
      </c>
      <c r="BA102" s="50">
        <v>1795</v>
      </c>
      <c r="BB102" s="50">
        <v>1895</v>
      </c>
      <c r="BC102" s="50">
        <v>1989</v>
      </c>
      <c r="BD102" s="50">
        <v>2095</v>
      </c>
      <c r="BE102" s="50">
        <v>2196</v>
      </c>
      <c r="BF102" s="50">
        <v>2311</v>
      </c>
      <c r="BG102" s="50">
        <v>2416</v>
      </c>
      <c r="BH102" s="50">
        <v>2541</v>
      </c>
      <c r="BI102" s="50">
        <v>2663</v>
      </c>
      <c r="BJ102" s="50">
        <v>2788</v>
      </c>
      <c r="BK102" s="50">
        <v>2923</v>
      </c>
      <c r="BL102" s="50">
        <v>3064</v>
      </c>
      <c r="BM102" s="50">
        <v>3210</v>
      </c>
      <c r="BN102" s="50">
        <v>3356</v>
      </c>
      <c r="BO102" s="50">
        <v>3506</v>
      </c>
      <c r="BP102" s="50">
        <v>3653</v>
      </c>
      <c r="BQ102" s="50">
        <v>3805</v>
      </c>
      <c r="BR102" s="50">
        <v>3960</v>
      </c>
      <c r="BS102" s="50">
        <v>4112</v>
      </c>
      <c r="BT102" s="50">
        <v>4274</v>
      </c>
      <c r="BU102" s="50">
        <v>4436</v>
      </c>
      <c r="BV102" s="50">
        <v>4606</v>
      </c>
      <c r="BW102" s="50">
        <v>4776</v>
      </c>
      <c r="BX102" s="50">
        <v>4956</v>
      </c>
      <c r="BY102" s="50">
        <v>5140</v>
      </c>
      <c r="BZ102" s="50">
        <v>5337</v>
      </c>
      <c r="CA102" s="50">
        <v>5529</v>
      </c>
      <c r="CB102" s="50">
        <v>5720</v>
      </c>
      <c r="CC102" s="50">
        <v>5922</v>
      </c>
      <c r="CD102" s="50">
        <v>6125</v>
      </c>
      <c r="CE102" s="50">
        <v>6329</v>
      </c>
      <c r="CF102" s="50">
        <v>6543</v>
      </c>
      <c r="CG102" s="50">
        <v>6756</v>
      </c>
      <c r="CH102" s="50">
        <v>6973</v>
      </c>
      <c r="CI102" s="50">
        <v>7196</v>
      </c>
      <c r="CJ102" s="50">
        <v>7415</v>
      </c>
      <c r="CK102" s="50">
        <v>7639</v>
      </c>
      <c r="CL102" s="50">
        <v>7873</v>
      </c>
      <c r="CM102" s="50">
        <v>8103</v>
      </c>
      <c r="CN102" s="50">
        <v>8341</v>
      </c>
      <c r="CO102" s="50">
        <v>8583</v>
      </c>
      <c r="CP102" s="50">
        <v>8825</v>
      </c>
      <c r="CQ102" s="50">
        <v>9072</v>
      </c>
      <c r="CR102" s="50">
        <v>9316</v>
      </c>
      <c r="CS102" s="50">
        <v>9569</v>
      </c>
      <c r="CT102" s="50">
        <v>9820</v>
      </c>
      <c r="CU102" s="50">
        <v>10077</v>
      </c>
      <c r="CV102" s="50">
        <v>10334</v>
      </c>
      <c r="CW102" s="50">
        <v>10594</v>
      </c>
      <c r="CX102" s="50">
        <v>10861</v>
      </c>
      <c r="CY102" s="50">
        <v>11124</v>
      </c>
      <c r="CZ102" s="50">
        <v>11393</v>
      </c>
      <c r="DA102" s="50">
        <v>11661</v>
      </c>
      <c r="DB102" s="50">
        <v>11938</v>
      </c>
      <c r="DC102" s="50">
        <v>12212</v>
      </c>
      <c r="DD102" s="50">
        <v>12491</v>
      </c>
      <c r="DE102" s="50">
        <v>12769</v>
      </c>
      <c r="DF102" s="50">
        <v>13055</v>
      </c>
      <c r="DG102" s="50">
        <v>13340</v>
      </c>
      <c r="DH102" s="50">
        <v>13626</v>
      </c>
      <c r="DI102" s="50">
        <v>13914</v>
      </c>
      <c r="DJ102" s="50">
        <v>14208</v>
      </c>
      <c r="DK102" s="50">
        <v>14500</v>
      </c>
      <c r="DL102" s="50">
        <v>14793</v>
      </c>
      <c r="DM102" s="50">
        <v>15092</v>
      </c>
      <c r="DN102" s="50">
        <v>15391</v>
      </c>
      <c r="DO102" s="50">
        <v>15693</v>
      </c>
    </row>
  </sheetData>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A20EA-63DD-4741-BCAA-73CA2666CE43}">
  <sheetPr codeName="Tabelle39"/>
  <dimension ref="A1:N38"/>
  <sheetViews>
    <sheetView showGridLines="0" showRowColHeaders="0" tabSelected="1" zoomScale="125" zoomScaleNormal="125" workbookViewId="0">
      <pane xSplit="1" ySplit="2" topLeftCell="B3" activePane="bottomRight" state="frozen"/>
      <selection pane="topRight" activeCell="B1" sqref="B1"/>
      <selection pane="bottomLeft" activeCell="A3" sqref="A3"/>
      <selection pane="bottomRight" activeCell="B3" sqref="B3:I5"/>
      <extLst>
        <ext xmlns:xlsdti="http://schemas.microsoft.com/office/spreadsheetml/2023/showDataTypeIcons" uri="{77bfe23e-c014-4d31-8a63-9c772dbf06b6}">
          <xlsdti:showDataTypeIcons visible="0"/>
        </ext>
      </extLst>
    </sheetView>
  </sheetViews>
  <sheetFormatPr baseColWidth="10" defaultColWidth="0" defaultRowHeight="15" zeroHeight="1"/>
  <cols>
    <col min="1" max="1" width="2.5703125" style="323" customWidth="1"/>
    <col min="2" max="9" width="18.5703125" style="412" customWidth="1"/>
    <col min="10" max="10" width="8.85546875" style="323" customWidth="1"/>
    <col min="11" max="11" width="22.28515625" style="15" customWidth="1"/>
    <col min="12" max="12" width="35.5703125" customWidth="1"/>
    <col min="13" max="13" width="3.140625" style="323" customWidth="1"/>
    <col min="14" max="14" width="0" hidden="1" customWidth="1"/>
    <col min="15" max="16384" width="10.85546875" hidden="1"/>
  </cols>
  <sheetData>
    <row r="1" spans="1:13" s="151" customFormat="1">
      <c r="A1" s="323"/>
      <c r="B1" s="651" t="s">
        <v>5236</v>
      </c>
      <c r="C1" s="651"/>
      <c r="D1" s="651"/>
      <c r="E1" s="651"/>
      <c r="F1" s="651"/>
      <c r="G1" s="651"/>
      <c r="H1" s="651"/>
      <c r="I1" s="651"/>
      <c r="J1" s="572"/>
      <c r="K1" s="662" t="s">
        <v>5215</v>
      </c>
      <c r="L1" s="662"/>
      <c r="M1" s="323"/>
    </row>
    <row r="2" spans="1:13" ht="49.5" customHeight="1">
      <c r="B2" s="655" t="s">
        <v>5197</v>
      </c>
      <c r="C2" s="656"/>
      <c r="D2" s="656"/>
      <c r="E2" s="656"/>
      <c r="F2" s="656"/>
      <c r="G2" s="656"/>
      <c r="H2" s="656"/>
      <c r="I2" s="656"/>
      <c r="K2" s="321" t="s">
        <v>4971</v>
      </c>
      <c r="L2" s="322" t="s">
        <v>3723</v>
      </c>
    </row>
    <row r="3" spans="1:13" ht="17.100000000000001" customHeight="1">
      <c r="B3" s="650" t="s">
        <v>5239</v>
      </c>
      <c r="C3" s="650"/>
      <c r="D3" s="650"/>
      <c r="E3" s="650"/>
      <c r="F3" s="650"/>
      <c r="G3" s="650"/>
      <c r="H3" s="650"/>
      <c r="I3" s="650"/>
      <c r="J3" s="324"/>
      <c r="K3" s="325" t="s">
        <v>0</v>
      </c>
      <c r="L3" s="326" t="s">
        <v>3645</v>
      </c>
    </row>
    <row r="4" spans="1:13" ht="17.100000000000001" customHeight="1">
      <c r="B4" s="650"/>
      <c r="C4" s="650"/>
      <c r="D4" s="650"/>
      <c r="E4" s="650"/>
      <c r="F4" s="650"/>
      <c r="G4" s="650"/>
      <c r="H4" s="650"/>
      <c r="I4" s="650"/>
      <c r="J4" s="324"/>
      <c r="K4" s="327" t="s">
        <v>1</v>
      </c>
      <c r="L4" s="325" t="s">
        <v>4431</v>
      </c>
    </row>
    <row r="5" spans="1:13" ht="17.100000000000001" customHeight="1">
      <c r="B5" s="650"/>
      <c r="C5" s="650"/>
      <c r="D5" s="650"/>
      <c r="E5" s="650"/>
      <c r="F5" s="650"/>
      <c r="G5" s="650"/>
      <c r="H5" s="650"/>
      <c r="I5" s="650"/>
      <c r="J5" s="324"/>
      <c r="K5" s="328" t="s">
        <v>2</v>
      </c>
      <c r="L5" s="657" t="s">
        <v>3720</v>
      </c>
    </row>
    <row r="6" spans="1:13" ht="17.100000000000001" customHeight="1">
      <c r="B6" s="650" t="s">
        <v>5167</v>
      </c>
      <c r="C6" s="650"/>
      <c r="D6" s="650"/>
      <c r="E6" s="650"/>
      <c r="F6" s="650"/>
      <c r="G6" s="650"/>
      <c r="H6" s="650"/>
      <c r="I6" s="650"/>
      <c r="J6" s="324"/>
      <c r="K6" s="328" t="s">
        <v>3</v>
      </c>
      <c r="L6" s="657"/>
    </row>
    <row r="7" spans="1:13" ht="17.100000000000001" customHeight="1">
      <c r="B7" s="650"/>
      <c r="C7" s="650"/>
      <c r="D7" s="650"/>
      <c r="E7" s="650"/>
      <c r="F7" s="650"/>
      <c r="G7" s="650"/>
      <c r="H7" s="650"/>
      <c r="I7" s="650"/>
      <c r="J7" s="324"/>
      <c r="K7" s="328" t="s">
        <v>4</v>
      </c>
      <c r="L7" s="329" t="s">
        <v>3737</v>
      </c>
    </row>
    <row r="8" spans="1:13" ht="17.100000000000001" customHeight="1">
      <c r="B8" s="650"/>
      <c r="C8" s="650"/>
      <c r="D8" s="650"/>
      <c r="E8" s="650"/>
      <c r="F8" s="650"/>
      <c r="G8" s="650"/>
      <c r="H8" s="650"/>
      <c r="I8" s="650"/>
      <c r="J8" s="324"/>
      <c r="K8" s="328" t="s">
        <v>5</v>
      </c>
      <c r="L8" s="325" t="s">
        <v>4103</v>
      </c>
    </row>
    <row r="9" spans="1:13" ht="17.100000000000001" customHeight="1">
      <c r="B9" s="650" t="s">
        <v>5169</v>
      </c>
      <c r="C9" s="650"/>
      <c r="D9" s="650"/>
      <c r="E9" s="650"/>
      <c r="F9" s="650"/>
      <c r="G9" s="650"/>
      <c r="H9" s="650"/>
      <c r="I9" s="650"/>
      <c r="J9" s="324"/>
      <c r="K9" s="328" t="s">
        <v>6</v>
      </c>
      <c r="L9" s="414" t="s">
        <v>4571</v>
      </c>
    </row>
    <row r="10" spans="1:13" ht="17.100000000000001" customHeight="1">
      <c r="B10" s="650"/>
      <c r="C10" s="650"/>
      <c r="D10" s="650"/>
      <c r="E10" s="650"/>
      <c r="F10" s="650"/>
      <c r="G10" s="650"/>
      <c r="H10" s="650"/>
      <c r="I10" s="650"/>
      <c r="J10" s="324"/>
      <c r="K10" s="328" t="s">
        <v>7</v>
      </c>
      <c r="L10" s="328" t="s">
        <v>4987</v>
      </c>
    </row>
    <row r="11" spans="1:13" ht="17.100000000000001" customHeight="1">
      <c r="B11" s="650"/>
      <c r="C11" s="650"/>
      <c r="D11" s="650"/>
      <c r="E11" s="650"/>
      <c r="F11" s="650"/>
      <c r="G11" s="650"/>
      <c r="H11" s="650"/>
      <c r="I11" s="650"/>
      <c r="J11" s="324"/>
      <c r="K11" s="328" t="s">
        <v>8</v>
      </c>
      <c r="L11" s="454" t="s">
        <v>5065</v>
      </c>
    </row>
    <row r="12" spans="1:13" ht="17.100000000000001" customHeight="1">
      <c r="B12" s="650" t="s">
        <v>5168</v>
      </c>
      <c r="C12" s="650"/>
      <c r="D12" s="650"/>
      <c r="E12" s="650"/>
      <c r="F12" s="650"/>
      <c r="G12" s="650"/>
      <c r="H12" s="650"/>
      <c r="I12" s="650"/>
      <c r="J12" s="324"/>
      <c r="K12" s="328" t="s">
        <v>9</v>
      </c>
      <c r="L12" s="328" t="s">
        <v>5134</v>
      </c>
    </row>
    <row r="13" spans="1:13" ht="17.100000000000001" customHeight="1">
      <c r="B13" s="650"/>
      <c r="C13" s="650"/>
      <c r="D13" s="650"/>
      <c r="E13" s="650"/>
      <c r="F13" s="650"/>
      <c r="G13" s="650"/>
      <c r="H13" s="650"/>
      <c r="I13" s="650"/>
      <c r="J13" s="324"/>
      <c r="K13" s="328" t="s">
        <v>10</v>
      </c>
      <c r="L13" s="660" t="s">
        <v>5195</v>
      </c>
    </row>
    <row r="14" spans="1:13" ht="17.100000000000001" customHeight="1">
      <c r="B14" s="650"/>
      <c r="C14" s="650"/>
      <c r="D14" s="650"/>
      <c r="E14" s="650"/>
      <c r="F14" s="650"/>
      <c r="G14" s="650"/>
      <c r="H14" s="650"/>
      <c r="I14" s="650"/>
      <c r="J14" s="324"/>
      <c r="K14" s="328" t="s">
        <v>11</v>
      </c>
      <c r="L14" s="661"/>
    </row>
    <row r="15" spans="1:13" ht="17.100000000000001" customHeight="1">
      <c r="B15" s="650" t="s">
        <v>5240</v>
      </c>
      <c r="C15" s="650"/>
      <c r="D15" s="650"/>
      <c r="E15" s="650"/>
      <c r="F15" s="650"/>
      <c r="G15" s="650"/>
      <c r="H15" s="650"/>
      <c r="I15" s="650"/>
      <c r="J15" s="324"/>
      <c r="K15" s="328" t="s">
        <v>12</v>
      </c>
      <c r="L15" s="328" t="s">
        <v>5194</v>
      </c>
    </row>
    <row r="16" spans="1:13" ht="17.100000000000001" customHeight="1">
      <c r="B16" s="650"/>
      <c r="C16" s="650"/>
      <c r="D16" s="650"/>
      <c r="E16" s="650"/>
      <c r="F16" s="650"/>
      <c r="G16" s="650"/>
      <c r="H16" s="650"/>
      <c r="I16" s="650"/>
      <c r="J16" s="324"/>
      <c r="K16" s="328" t="s">
        <v>13</v>
      </c>
      <c r="L16" s="330"/>
    </row>
    <row r="17" spans="2:12" ht="17.100000000000001" customHeight="1">
      <c r="B17" s="650"/>
      <c r="C17" s="650"/>
      <c r="D17" s="650"/>
      <c r="E17" s="650"/>
      <c r="F17" s="650"/>
      <c r="G17" s="650"/>
      <c r="H17" s="650"/>
      <c r="I17" s="650"/>
      <c r="J17" s="324"/>
      <c r="K17" s="328" t="s">
        <v>14</v>
      </c>
      <c r="L17" s="330"/>
    </row>
    <row r="18" spans="2:12" ht="17.100000000000001" customHeight="1">
      <c r="B18" s="650"/>
      <c r="C18" s="650"/>
      <c r="D18" s="650"/>
      <c r="E18" s="650"/>
      <c r="F18" s="650"/>
      <c r="G18" s="650"/>
      <c r="H18" s="650"/>
      <c r="I18" s="650"/>
      <c r="J18" s="324"/>
      <c r="K18" s="328" t="s">
        <v>15</v>
      </c>
      <c r="L18" s="330"/>
    </row>
    <row r="19" spans="2:12" ht="17.100000000000001" customHeight="1">
      <c r="B19" s="650"/>
      <c r="C19" s="650"/>
      <c r="D19" s="650"/>
      <c r="E19" s="650"/>
      <c r="F19" s="650"/>
      <c r="G19" s="650"/>
      <c r="H19" s="650"/>
      <c r="I19" s="650"/>
      <c r="J19" s="324"/>
      <c r="K19" s="328" t="s">
        <v>16</v>
      </c>
      <c r="L19" s="330"/>
    </row>
    <row r="20" spans="2:12" ht="17.100000000000001" customHeight="1">
      <c r="B20" s="650"/>
      <c r="C20" s="650"/>
      <c r="D20" s="650"/>
      <c r="E20" s="650"/>
      <c r="F20" s="650"/>
      <c r="G20" s="650"/>
      <c r="H20" s="650"/>
      <c r="I20" s="650"/>
      <c r="J20" s="324"/>
      <c r="K20" s="328" t="s">
        <v>17</v>
      </c>
      <c r="L20" s="330"/>
    </row>
    <row r="21" spans="2:12" ht="17.100000000000001" customHeight="1">
      <c r="B21" s="650"/>
      <c r="C21" s="650"/>
      <c r="D21" s="650"/>
      <c r="E21" s="650"/>
      <c r="F21" s="650"/>
      <c r="G21" s="650"/>
      <c r="H21" s="650"/>
      <c r="I21" s="650"/>
      <c r="J21" s="324"/>
      <c r="K21" s="328" t="s">
        <v>18</v>
      </c>
      <c r="L21" s="330"/>
    </row>
    <row r="22" spans="2:12" ht="17.100000000000001" customHeight="1">
      <c r="B22" s="650" t="s">
        <v>5241</v>
      </c>
      <c r="C22" s="650"/>
      <c r="D22" s="650"/>
      <c r="E22" s="650"/>
      <c r="F22" s="650"/>
      <c r="G22" s="650"/>
      <c r="H22" s="650"/>
      <c r="I22" s="650"/>
      <c r="J22" s="324"/>
      <c r="K22" s="328" t="s">
        <v>19</v>
      </c>
      <c r="L22" s="330"/>
    </row>
    <row r="23" spans="2:12" ht="17.100000000000001" customHeight="1">
      <c r="B23" s="650"/>
      <c r="C23" s="650"/>
      <c r="D23" s="650"/>
      <c r="E23" s="650"/>
      <c r="F23" s="650"/>
      <c r="G23" s="650"/>
      <c r="H23" s="650"/>
      <c r="I23" s="650"/>
      <c r="J23" s="324"/>
      <c r="K23" s="328" t="s">
        <v>20</v>
      </c>
      <c r="L23" s="330"/>
    </row>
    <row r="24" spans="2:12" ht="17.100000000000001" customHeight="1">
      <c r="B24" s="650"/>
      <c r="C24" s="650"/>
      <c r="D24" s="650"/>
      <c r="E24" s="650"/>
      <c r="F24" s="650"/>
      <c r="G24" s="650"/>
      <c r="H24" s="650"/>
      <c r="I24" s="650"/>
      <c r="J24" s="324"/>
      <c r="K24" s="328" t="s">
        <v>21</v>
      </c>
      <c r="L24" s="330"/>
    </row>
    <row r="25" spans="2:12" ht="17.100000000000001" customHeight="1">
      <c r="B25" s="650"/>
      <c r="C25" s="650"/>
      <c r="D25" s="650"/>
      <c r="E25" s="650"/>
      <c r="F25" s="650"/>
      <c r="G25" s="650"/>
      <c r="H25" s="650"/>
      <c r="I25" s="650"/>
      <c r="J25" s="324"/>
      <c r="K25" s="328" t="s">
        <v>22</v>
      </c>
      <c r="L25" s="330"/>
    </row>
    <row r="26" spans="2:12" ht="15" customHeight="1">
      <c r="B26" s="658" t="s">
        <v>3735</v>
      </c>
      <c r="C26" s="658"/>
      <c r="D26" s="658"/>
      <c r="E26" s="658"/>
      <c r="F26" s="658"/>
      <c r="G26" s="658"/>
      <c r="H26" s="658"/>
      <c r="I26" s="658"/>
      <c r="J26" s="324"/>
      <c r="K26" s="328" t="s">
        <v>23</v>
      </c>
      <c r="L26" s="330"/>
    </row>
    <row r="27" spans="2:12" ht="15" customHeight="1">
      <c r="B27" s="658"/>
      <c r="C27" s="658"/>
      <c r="D27" s="658"/>
      <c r="E27" s="658"/>
      <c r="F27" s="658"/>
      <c r="G27" s="658"/>
      <c r="H27" s="658"/>
      <c r="I27" s="658"/>
      <c r="J27" s="324"/>
      <c r="K27" s="328" t="s">
        <v>24</v>
      </c>
      <c r="L27" s="330"/>
    </row>
    <row r="28" spans="2:12" ht="15" customHeight="1">
      <c r="B28" s="650" t="s">
        <v>4567</v>
      </c>
      <c r="C28" s="650"/>
      <c r="D28" s="650"/>
      <c r="E28" s="650"/>
      <c r="F28" s="650"/>
      <c r="G28" s="650"/>
      <c r="H28" s="650"/>
      <c r="I28" s="650"/>
      <c r="J28" s="324"/>
      <c r="K28" s="328" t="s">
        <v>25</v>
      </c>
      <c r="L28" s="330"/>
    </row>
    <row r="29" spans="2:12" ht="15" customHeight="1">
      <c r="B29" s="650"/>
      <c r="C29" s="650"/>
      <c r="D29" s="650"/>
      <c r="E29" s="650"/>
      <c r="F29" s="650"/>
      <c r="G29" s="650"/>
      <c r="H29" s="650"/>
      <c r="I29" s="650"/>
      <c r="J29" s="324"/>
      <c r="K29" s="328" t="s">
        <v>26</v>
      </c>
      <c r="L29" s="330"/>
    </row>
    <row r="30" spans="2:12" ht="15" customHeight="1">
      <c r="B30" s="650"/>
      <c r="C30" s="650"/>
      <c r="D30" s="650"/>
      <c r="E30" s="650"/>
      <c r="F30" s="650"/>
      <c r="G30" s="650"/>
      <c r="H30" s="650"/>
      <c r="I30" s="650"/>
      <c r="J30" s="324"/>
      <c r="K30" s="328" t="s">
        <v>27</v>
      </c>
      <c r="L30" s="330"/>
    </row>
    <row r="31" spans="2:12" ht="15" customHeight="1">
      <c r="B31" s="650"/>
      <c r="C31" s="650"/>
      <c r="D31" s="650"/>
      <c r="E31" s="650"/>
      <c r="F31" s="650"/>
      <c r="G31" s="650"/>
      <c r="H31" s="650"/>
      <c r="I31" s="650"/>
      <c r="J31" s="324"/>
      <c r="K31" s="328" t="s">
        <v>28</v>
      </c>
      <c r="L31" s="330"/>
    </row>
    <row r="32" spans="2:12" ht="15" customHeight="1">
      <c r="B32" s="650"/>
      <c r="C32" s="650"/>
      <c r="D32" s="650"/>
      <c r="E32" s="650"/>
      <c r="F32" s="650"/>
      <c r="G32" s="650"/>
      <c r="H32" s="650"/>
      <c r="I32" s="650"/>
      <c r="J32" s="324"/>
      <c r="K32" s="328" t="s">
        <v>29</v>
      </c>
      <c r="L32" s="330"/>
    </row>
    <row r="33" spans="2:12" ht="15" customHeight="1">
      <c r="B33" s="650"/>
      <c r="C33" s="650"/>
      <c r="D33" s="650"/>
      <c r="E33" s="650"/>
      <c r="F33" s="650"/>
      <c r="G33" s="650"/>
      <c r="H33" s="650"/>
      <c r="I33" s="650"/>
      <c r="J33" s="324"/>
      <c r="K33" s="328" t="s">
        <v>30</v>
      </c>
      <c r="L33" s="330"/>
    </row>
    <row r="34" spans="2:12" ht="15" customHeight="1">
      <c r="B34" s="650"/>
      <c r="C34" s="650"/>
      <c r="D34" s="650"/>
      <c r="E34" s="650"/>
      <c r="F34" s="650"/>
      <c r="G34" s="650"/>
      <c r="H34" s="650"/>
      <c r="I34" s="650"/>
      <c r="K34" s="331"/>
      <c r="L34" s="330"/>
    </row>
    <row r="35" spans="2:12" ht="15" customHeight="1">
      <c r="B35" s="650"/>
      <c r="C35" s="650"/>
      <c r="D35" s="650"/>
      <c r="E35" s="650"/>
      <c r="F35" s="650"/>
      <c r="G35" s="650"/>
      <c r="H35" s="650"/>
      <c r="I35" s="650"/>
      <c r="K35" s="331"/>
      <c r="L35" s="330"/>
    </row>
    <row r="36" spans="2:12" ht="15" customHeight="1">
      <c r="B36" s="650"/>
      <c r="C36" s="650"/>
      <c r="D36" s="650"/>
      <c r="E36" s="650"/>
      <c r="F36" s="650"/>
      <c r="G36" s="650"/>
      <c r="H36" s="650"/>
      <c r="I36" s="650"/>
      <c r="K36" s="331"/>
      <c r="L36" s="330"/>
    </row>
    <row r="37" spans="2:12" ht="15" customHeight="1" thickBot="1">
      <c r="B37" s="659"/>
      <c r="C37" s="659"/>
      <c r="D37" s="659"/>
      <c r="E37" s="659"/>
      <c r="F37" s="659"/>
      <c r="G37" s="659"/>
      <c r="H37" s="659"/>
      <c r="I37" s="659"/>
      <c r="K37" s="331"/>
      <c r="L37" s="330"/>
    </row>
    <row r="38" spans="2:12" ht="15" customHeight="1" thickBot="1">
      <c r="B38" s="652" t="s">
        <v>3736</v>
      </c>
      <c r="C38" s="653"/>
      <c r="D38" s="653"/>
      <c r="E38" s="653"/>
      <c r="F38" s="653"/>
      <c r="G38" s="653"/>
      <c r="H38" s="653"/>
      <c r="I38" s="654"/>
      <c r="K38" s="331"/>
      <c r="L38" s="330"/>
    </row>
  </sheetData>
  <sheetProtection algorithmName="SHA-512" hashValue="gHVxN6JhQMyrMlm6vEWrMPyjdPhj+SFuwuMQ5+SduyRpS5ZxUMmIiXCUtb8mC/aqCTov+dVv9XA9vAKMC1VJrw==" saltValue="3R/7UCqfX5lWhdivGdpgWQ==" spinCount="100000" sheet="1" objects="1" scenarios="1"/>
  <mergeCells count="14">
    <mergeCell ref="L5:L6"/>
    <mergeCell ref="B26:I27"/>
    <mergeCell ref="B28:I37"/>
    <mergeCell ref="L13:L14"/>
    <mergeCell ref="K1:L1"/>
    <mergeCell ref="B3:I5"/>
    <mergeCell ref="B6:I8"/>
    <mergeCell ref="B9:I11"/>
    <mergeCell ref="B12:I14"/>
    <mergeCell ref="B15:I21"/>
    <mergeCell ref="B22:I25"/>
    <mergeCell ref="B1:I1"/>
    <mergeCell ref="B38:I38"/>
    <mergeCell ref="B2:I2"/>
  </mergeCells>
  <hyperlinks>
    <hyperlink ref="K9" location="Frankreich!A1" display="Frankreich" xr:uid="{9A1122C5-1282-40F7-9E53-7FF52F197DDD}"/>
    <hyperlink ref="K3" location="B" display="Belgien" xr:uid="{B436D3EA-9519-4059-B907-0589C9AAB0A4}"/>
    <hyperlink ref="K4" location="BG" display="Bulgarien" xr:uid="{5BE609F1-263E-4EDD-B3CE-282F7E46B78D}"/>
    <hyperlink ref="K5" location="DK" display="Dänemark" xr:uid="{5950B987-FBD3-4EE1-864D-483AED9DD708}"/>
    <hyperlink ref="K6" location="D" display="Deutschland" xr:uid="{BCCD28DB-D411-469D-8384-7C7D89D6107A}"/>
    <hyperlink ref="K7" location="EST" display="Estland" xr:uid="{E5818378-22D9-46FD-B302-A68B28C8BA08}"/>
    <hyperlink ref="K8" location="FIN" display="Finnland" xr:uid="{0E21852F-5C4B-4953-97D5-F3D13B3C779D}"/>
    <hyperlink ref="K10" location="GR" display="Griechenland" xr:uid="{426CD0C3-87CF-42B3-9810-D5C7AE0E76DB}"/>
    <hyperlink ref="K11" location="I" display="Irland" xr:uid="{1238949A-821D-41FF-9CC5-11660622B29A}"/>
    <hyperlink ref="K12" location="IS" display="Island" xr:uid="{3448A2F6-E112-4EBC-9C08-31E4C5ECEC52}"/>
    <hyperlink ref="K13" location="I" display="Italien" xr:uid="{32815699-668C-4CAB-9572-BCF8CA735727}"/>
    <hyperlink ref="K14" location="HR" display="Kroatien" xr:uid="{2E5CABDB-5907-46ED-B4EE-44FB8F5D7060}"/>
    <hyperlink ref="K15" location="LV" display="Lettland" xr:uid="{75539A61-5C95-406D-89D6-6D829DEF2D45}"/>
    <hyperlink ref="K16" location="FL" display="Liechtenstein" xr:uid="{5F27DF9C-3200-4755-941B-C840BC77859E}"/>
    <hyperlink ref="K17" location="LT" display="Litauen" xr:uid="{729B6876-43DD-4EE1-B79C-CBA7592CC1D4}"/>
    <hyperlink ref="K18" location="L" display="Luxemburg" xr:uid="{2F69EE20-D446-464F-ACC1-34A05BD21869}"/>
    <hyperlink ref="K19" location="M" display="Malta" xr:uid="{B88F2DBF-6D28-433A-8721-3A54A8FD71AF}"/>
    <hyperlink ref="K20" location="NL" display="Niederlande" xr:uid="{C16F34C2-144E-4129-92EE-EF5307FEA335}"/>
    <hyperlink ref="K21" location="N" display="Norwegen" xr:uid="{4023317F-1FE4-433F-B6C6-E33C73127CA0}"/>
    <hyperlink ref="K22" location="A" display="Österreich" xr:uid="{75117FFC-81B5-4A3D-951A-1E4A3DA347FE}"/>
    <hyperlink ref="K23" location="PL" display="Polen" xr:uid="{5C0B39F3-FAA9-4333-B7CE-D30F7284E049}"/>
    <hyperlink ref="K24" location="P" display="Portugal" xr:uid="{A3DDD5B1-DA6D-460C-8D2F-526D9F3D2224}"/>
    <hyperlink ref="K25" location="RO" display="Rumänien" xr:uid="{4A3FD404-099F-4238-8946-7C4F4C0116E0}"/>
    <hyperlink ref="K27" location="CH" display="Schweiz" xr:uid="{BCC2F3AC-97F7-4D8F-8449-239EC7E94971}"/>
    <hyperlink ref="K28" location="SK" display="Slowakei" xr:uid="{EF0606E9-B97C-4BFB-AC12-172565210247}"/>
    <hyperlink ref="K29" location="SLO" display="Slowenien" xr:uid="{9D307304-871D-4BBD-98CA-C4CF98B44AA3}"/>
    <hyperlink ref="K30" location="E" display="Spanien" xr:uid="{CCC61552-49A0-44B0-9EF7-89C682B5EB7F}"/>
    <hyperlink ref="K31" location="CZ" display="Tschechische Republik" xr:uid="{FEF3BD87-EA00-4F69-9F66-6E767DDFF1EC}"/>
    <hyperlink ref="K32" location="H" display="Ungarn" xr:uid="{227A1E4D-0E9F-4C59-A18A-85591A3269D8}"/>
    <hyperlink ref="K33" location="CY" display="Zypern" xr:uid="{A57EE2D5-12AF-4AAB-B8FA-6C82C43192EB}"/>
    <hyperlink ref="K26" location="Schwe" display="Schweden" xr:uid="{313E2B20-5401-4876-B8A2-603DF4DF2691}"/>
    <hyperlink ref="L3:L4" location="Auskunftgeber" display="Auskunft erteilende Staaten" xr:uid="{F643C26C-9052-4D8F-8E4C-819D896C147A}"/>
    <hyperlink ref="L4" location="Dynamisierung" display="Dynamik der EU-Rnten" xr:uid="{D36363AA-0864-433C-B526-39132C0C39C2}"/>
    <hyperlink ref="B38:I38" r:id="rId1" display="Wenn Sie Fehler finden oder Verbesserungsvorschläge haben: Hauss@Anwaelte-DU.de" xr:uid="{4D1CEE82-D2A2-4FA8-AD54-9CA0E1FF8F75}"/>
    <hyperlink ref="L7" location="Inflation!A1" display="Inflation in der EU" xr:uid="{F33F60BF-8010-4D21-ADB2-3513798045CA}"/>
    <hyperlink ref="L8" location="Kurzübersicht!A1" display="Kurzübersicht" xr:uid="{D6DC958E-2DF4-4BE3-98EF-AB76D3933EDE}"/>
    <hyperlink ref="L5:L6" location="LinkzuEU_Broschüren" display="EU-Broschüren zu Sozialsystemen der EU-Staaten" xr:uid="{C6F8FF66-C183-42E5-A5A0-07B65BF83318}"/>
    <hyperlink ref="L9" location="Entscheidungen" display="Rechtsprechung (verlinkt)" xr:uid="{D0661909-B645-4CD8-A1AA-38F32A56173B}"/>
    <hyperlink ref="L10" location="Lebenshaltungskostenvergleich" display="Lebenskostenvergleich Europa" xr:uid="{C29EA4B2-E1A2-4EAA-BD26-D7C58F61EEC8}"/>
    <hyperlink ref="L11" location="GHR_Ziel" display="Geschiedenen-Hinterbliebenen-Versrg.?" xr:uid="{1708CD0F-E32A-479F-8901-E07E13B09F5D}"/>
    <hyperlink ref="L12" location="Rentenrechner" display="Rentenechnner für EU- &amp; EFTA-Länder" xr:uid="{87031794-0B3F-44C9-9EBD-4C4D8256620C}"/>
    <hyperlink ref="L15" location="Lebenserwartung" display="Lebenserwartung EU &amp; EFTA" xr:uid="{F208C8D9-8750-4BC6-9774-ADA7E9FB934E}"/>
    <hyperlink ref="L13:L14" location="Lebenshaltungskostenindex" display="Lebenshaltungskostenindex" xr:uid="{C4CA57D6-BB19-4313-9AF1-F07098E08B34}"/>
  </hyperlinks>
  <pageMargins left="0.7" right="0.7" top="0.78740157499999996" bottom="0.78740157499999996"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4817" r:id="rId5" name="Option Button 1">
              <controlPr defaultSize="0" autoFill="0" autoLine="0" autoPict="0">
                <anchor moveWithCells="1">
                  <from>
                    <xdr:col>9</xdr:col>
                    <xdr:colOff>0</xdr:colOff>
                    <xdr:row>16</xdr:row>
                    <xdr:rowOff>114300</xdr:rowOff>
                  </from>
                  <to>
                    <xdr:col>9</xdr:col>
                    <xdr:colOff>390525</xdr:colOff>
                    <xdr:row>17</xdr:row>
                    <xdr:rowOff>114300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5E91C-7046-4DBB-A694-65480046B9DC}">
  <sheetPr codeName="Tabelle53"/>
  <dimension ref="A1:C54"/>
  <sheetViews>
    <sheetView workbookViewId="0">
      <selection activeCell="C4" sqref="C4"/>
    </sheetView>
  </sheetViews>
  <sheetFormatPr baseColWidth="10" defaultRowHeight="15"/>
  <cols>
    <col min="1" max="1" width="23.5703125" customWidth="1"/>
    <col min="2" max="2" width="27.140625" customWidth="1"/>
  </cols>
  <sheetData>
    <row r="1" spans="1:3">
      <c r="A1" s="155" t="s">
        <v>3770</v>
      </c>
    </row>
    <row r="3" spans="1:3">
      <c r="A3" s="156" t="s">
        <v>3771</v>
      </c>
      <c r="B3" s="156" t="s">
        <v>3459</v>
      </c>
    </row>
    <row r="4" spans="1:3">
      <c r="A4" s="157" t="s">
        <v>3530</v>
      </c>
      <c r="B4" s="157" t="s">
        <v>3772</v>
      </c>
      <c r="C4" t="str">
        <f>VLOOKUP(Länderwahl,Doppelbesteuerung,2)</f>
        <v>DBA gelistet</v>
      </c>
    </row>
    <row r="5" spans="1:3">
      <c r="A5" s="157" t="s">
        <v>3773</v>
      </c>
      <c r="B5" s="157" t="s">
        <v>3772</v>
      </c>
    </row>
    <row r="6" spans="1:3">
      <c r="A6" s="157" t="s">
        <v>3774</v>
      </c>
      <c r="B6" s="157" t="s">
        <v>3772</v>
      </c>
    </row>
    <row r="7" spans="1:3" ht="45">
      <c r="A7" s="157" t="s">
        <v>3775</v>
      </c>
      <c r="B7" s="157" t="s">
        <v>3776</v>
      </c>
    </row>
    <row r="8" spans="1:3">
      <c r="A8" s="157" t="s">
        <v>0</v>
      </c>
      <c r="B8" s="157" t="s">
        <v>3772</v>
      </c>
    </row>
    <row r="9" spans="1:3" ht="30">
      <c r="A9" s="157" t="s">
        <v>3777</v>
      </c>
      <c r="B9" s="157" t="s">
        <v>3778</v>
      </c>
    </row>
    <row r="10" spans="1:3">
      <c r="A10" s="157" t="s">
        <v>1</v>
      </c>
      <c r="B10" s="157" t="s">
        <v>3772</v>
      </c>
    </row>
    <row r="11" spans="1:3">
      <c r="A11" s="157" t="s">
        <v>2</v>
      </c>
      <c r="B11" s="157" t="s">
        <v>3772</v>
      </c>
    </row>
    <row r="12" spans="1:3">
      <c r="A12" s="157" t="s">
        <v>4</v>
      </c>
      <c r="B12" s="157" t="s">
        <v>3772</v>
      </c>
    </row>
    <row r="13" spans="1:3">
      <c r="A13" s="157" t="s">
        <v>5</v>
      </c>
      <c r="B13" s="157" t="s">
        <v>3772</v>
      </c>
    </row>
    <row r="14" spans="1:3" ht="30">
      <c r="A14" s="157" t="s">
        <v>6</v>
      </c>
      <c r="B14" s="157" t="s">
        <v>3779</v>
      </c>
    </row>
    <row r="15" spans="1:3">
      <c r="A15" s="157" t="s">
        <v>3780</v>
      </c>
      <c r="B15" s="157" t="s">
        <v>3772</v>
      </c>
    </row>
    <row r="16" spans="1:3" ht="30">
      <c r="A16" s="157" t="s">
        <v>7</v>
      </c>
      <c r="B16" s="157" t="s">
        <v>3779</v>
      </c>
    </row>
    <row r="17" spans="1:2">
      <c r="A17" s="157" t="s">
        <v>8</v>
      </c>
      <c r="B17" s="157" t="s">
        <v>3772</v>
      </c>
    </row>
    <row r="18" spans="1:2">
      <c r="A18" s="157" t="s">
        <v>9</v>
      </c>
      <c r="B18" s="157" t="s">
        <v>3772</v>
      </c>
    </row>
    <row r="19" spans="1:2">
      <c r="A19" s="157" t="s">
        <v>10</v>
      </c>
      <c r="B19" s="157" t="s">
        <v>3772</v>
      </c>
    </row>
    <row r="20" spans="1:2" ht="30">
      <c r="A20" s="157" t="s">
        <v>3574</v>
      </c>
      <c r="B20" s="157" t="s">
        <v>3778</v>
      </c>
    </row>
    <row r="21" spans="1:2" ht="30">
      <c r="A21" s="157" t="s">
        <v>11</v>
      </c>
      <c r="B21" s="157" t="s">
        <v>3779</v>
      </c>
    </row>
    <row r="22" spans="1:2">
      <c r="A22" s="157" t="s">
        <v>12</v>
      </c>
      <c r="B22" s="157" t="s">
        <v>3772</v>
      </c>
    </row>
    <row r="23" spans="1:2">
      <c r="A23" s="157" t="s">
        <v>13</v>
      </c>
      <c r="B23" s="157" t="s">
        <v>3772</v>
      </c>
    </row>
    <row r="24" spans="1:2">
      <c r="A24" s="157" t="s">
        <v>14</v>
      </c>
      <c r="B24" s="157" t="s">
        <v>3772</v>
      </c>
    </row>
    <row r="25" spans="1:2">
      <c r="A25" s="157" t="s">
        <v>15</v>
      </c>
      <c r="B25" s="157" t="s">
        <v>3772</v>
      </c>
    </row>
    <row r="26" spans="1:2" ht="30">
      <c r="A26" s="157" t="s">
        <v>16</v>
      </c>
      <c r="B26" s="157" t="s">
        <v>3779</v>
      </c>
    </row>
    <row r="27" spans="1:2">
      <c r="A27" s="157" t="s">
        <v>3588</v>
      </c>
      <c r="B27" s="157" t="s">
        <v>3781</v>
      </c>
    </row>
    <row r="28" spans="1:2" ht="30">
      <c r="A28" s="157" t="s">
        <v>3590</v>
      </c>
      <c r="B28" s="157" t="s">
        <v>3778</v>
      </c>
    </row>
    <row r="29" spans="1:2">
      <c r="A29" s="157" t="s">
        <v>17</v>
      </c>
      <c r="B29" s="157" t="s">
        <v>3772</v>
      </c>
    </row>
    <row r="30" spans="1:2">
      <c r="A30" s="157" t="s">
        <v>3595</v>
      </c>
      <c r="B30" s="157" t="s">
        <v>3772</v>
      </c>
    </row>
    <row r="31" spans="1:2">
      <c r="A31" s="157" t="s">
        <v>18</v>
      </c>
      <c r="B31" s="157" t="s">
        <v>3772</v>
      </c>
    </row>
    <row r="32" spans="1:2">
      <c r="A32" s="157" t="s">
        <v>19</v>
      </c>
      <c r="B32" s="157" t="s">
        <v>3772</v>
      </c>
    </row>
    <row r="33" spans="1:2">
      <c r="A33" s="157" t="s">
        <v>20</v>
      </c>
      <c r="B33" s="157" t="s">
        <v>3772</v>
      </c>
    </row>
    <row r="34" spans="1:2">
      <c r="A34" s="157" t="s">
        <v>21</v>
      </c>
      <c r="B34" s="157" t="s">
        <v>3772</v>
      </c>
    </row>
    <row r="35" spans="1:2">
      <c r="A35" s="157" t="s">
        <v>22</v>
      </c>
      <c r="B35" s="157" t="s">
        <v>3772</v>
      </c>
    </row>
    <row r="36" spans="1:2" ht="60">
      <c r="A36" s="157" t="s">
        <v>3782</v>
      </c>
      <c r="B36" s="157" t="s">
        <v>3783</v>
      </c>
    </row>
    <row r="37" spans="1:2">
      <c r="A37" s="157" t="s">
        <v>23</v>
      </c>
      <c r="B37" s="157" t="s">
        <v>3772</v>
      </c>
    </row>
    <row r="38" spans="1:2">
      <c r="A38" s="157" t="s">
        <v>24</v>
      </c>
      <c r="B38" s="157" t="s">
        <v>3772</v>
      </c>
    </row>
    <row r="39" spans="1:2" ht="30">
      <c r="A39" s="157" t="s">
        <v>3622</v>
      </c>
      <c r="B39" s="157" t="s">
        <v>3778</v>
      </c>
    </row>
    <row r="40" spans="1:2" ht="45">
      <c r="A40" s="157" t="s">
        <v>25</v>
      </c>
      <c r="B40" s="157" t="s">
        <v>3784</v>
      </c>
    </row>
    <row r="41" spans="1:2">
      <c r="A41" s="157" t="s">
        <v>26</v>
      </c>
      <c r="B41" s="157" t="s">
        <v>3772</v>
      </c>
    </row>
    <row r="42" spans="1:2" ht="30">
      <c r="A42" s="157" t="s">
        <v>27</v>
      </c>
      <c r="B42" s="157" t="s">
        <v>3779</v>
      </c>
    </row>
    <row r="43" spans="1:2" ht="45">
      <c r="A43" s="157" t="s">
        <v>3501</v>
      </c>
      <c r="B43" s="157" t="s">
        <v>3784</v>
      </c>
    </row>
    <row r="44" spans="1:2">
      <c r="A44" s="157" t="s">
        <v>3628</v>
      </c>
      <c r="B44" s="157" t="s">
        <v>3772</v>
      </c>
    </row>
    <row r="45" spans="1:2">
      <c r="A45" s="157" t="s">
        <v>3630</v>
      </c>
      <c r="B45" s="157" t="s">
        <v>3772</v>
      </c>
    </row>
    <row r="46" spans="1:2" ht="30">
      <c r="A46" s="157" t="s">
        <v>29</v>
      </c>
      <c r="B46" s="157" t="s">
        <v>3779</v>
      </c>
    </row>
    <row r="47" spans="1:2">
      <c r="A47" s="157" t="s">
        <v>3785</v>
      </c>
      <c r="B47" s="157" t="s">
        <v>3772</v>
      </c>
    </row>
    <row r="48" spans="1:2">
      <c r="A48" s="157" t="s">
        <v>30</v>
      </c>
      <c r="B48" s="157" t="s">
        <v>3772</v>
      </c>
    </row>
    <row r="50" spans="1:1">
      <c r="A50" s="155" t="s">
        <v>3786</v>
      </c>
    </row>
    <row r="52" spans="1:1">
      <c r="A52" s="155" t="s">
        <v>3787</v>
      </c>
    </row>
    <row r="54" spans="1:1">
      <c r="A54" s="21" t="s">
        <v>3788</v>
      </c>
    </row>
  </sheetData>
  <hyperlinks>
    <hyperlink ref="A1" r:id="rId1" tooltip="Bundesfinanzministerium  - Stand der Doppelbesteuerungsabkommen und anderer Abkommen im Steuerbereich sowie der Abkommensverhandlungen am 1. Januar 2026" display="https://www.bundesfinanzministerium.de/Content/DE/Downloads/BMF_Schreiben/Internationales_Steuerrecht/Allgemeine_Informationen/2026-01-07-stand-DBA-1-januar-2026.html" xr:uid="{27A65C70-1F66-4582-BE5E-8CDE249BBCDD}"/>
    <hyperlink ref="A50" r:id="rId2" tooltip="Stand der Doppelbesteuerungsabkommen und anderer Abkommen im Steuerbereich sowei der Abkommensverhandlungen am 1. Januar 2026" display="https://www.bundesfinanzministerium.de/Content/DE/Downloads/BMF_Schreiben/Internationales_Steuerrecht/Allgemeine_Informationen/2026-01-07-stand-DBA-1-januar-2026.pdf?__blob=publicationFile&amp;v=6" xr:uid="{A0A1386D-AB93-4CE9-9CA3-58B6EE36E1D4}"/>
    <hyperlink ref="A52" r:id="rId3" tooltip="Bundesfinanzministerium  - Stand der Doppelbesteuerungsabkommen und anderer Abkommen im Steuerbereich sowie der Abkommensverhandlungen am 1. Januar 2026" display="https://www.bundesfinanzministerium.de/Content/DE/Downloads/BMF_Schreiben/Internationales_Steuerrecht/Allgemeine_Informationen/2026-01-07-stand-DBA-1-januar-2026.html" xr:uid="{44AC25DD-114C-4947-BF4F-D6F9249EA49D}"/>
  </hyperlink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67</vt:i4>
      </vt:variant>
      <vt:variant>
        <vt:lpstr>Benannte Bereiche</vt:lpstr>
      </vt:variant>
      <vt:variant>
        <vt:i4>253</vt:i4>
      </vt:variant>
    </vt:vector>
  </HeadingPairs>
  <TitlesOfParts>
    <vt:vector size="320" baseType="lpstr">
      <vt:lpstr>Worksheet</vt:lpstr>
      <vt:lpstr>Lebenserwartung_N</vt:lpstr>
      <vt:lpstr>Lebenserwartung_F</vt:lpstr>
      <vt:lpstr>Lebenserwartung_M</vt:lpstr>
      <vt:lpstr>Kohorte_W</vt:lpstr>
      <vt:lpstr>Kohorte_D</vt:lpstr>
      <vt:lpstr>Kohorte_M</vt:lpstr>
      <vt:lpstr>Start</vt:lpstr>
      <vt:lpstr>Verschiedenes</vt:lpstr>
      <vt:lpstr>Abfindungsberechnung</vt:lpstr>
      <vt:lpstr>Abfindung Methode 1</vt:lpstr>
      <vt:lpstr>Abfindung Methode 2</vt:lpstr>
      <vt:lpstr>HRIR60</vt:lpstr>
      <vt:lpstr>HRIR61</vt:lpstr>
      <vt:lpstr>HRIR62</vt:lpstr>
      <vt:lpstr>HRIR63</vt:lpstr>
      <vt:lpstr>HRIR64</vt:lpstr>
      <vt:lpstr>HRIR65</vt:lpstr>
      <vt:lpstr>HRIR66</vt:lpstr>
      <vt:lpstr>HRIR67</vt:lpstr>
      <vt:lpstr>Abfindung Methode 3</vt:lpstr>
      <vt:lpstr>Kurzübersicht</vt:lpstr>
      <vt:lpstr>Belgien</vt:lpstr>
      <vt:lpstr>Bulgarien</vt:lpstr>
      <vt:lpstr>Dänemark</vt:lpstr>
      <vt:lpstr>Deutschland</vt:lpstr>
      <vt:lpstr>Estland</vt:lpstr>
      <vt:lpstr>Finnland</vt:lpstr>
      <vt:lpstr>Frankreich</vt:lpstr>
      <vt:lpstr>Griechenland</vt:lpstr>
      <vt:lpstr>Irland</vt:lpstr>
      <vt:lpstr>Island</vt:lpstr>
      <vt:lpstr>Italien</vt:lpstr>
      <vt:lpstr>Kroatien</vt:lpstr>
      <vt:lpstr>Lettland</vt:lpstr>
      <vt:lpstr>Liechtenstein</vt:lpstr>
      <vt:lpstr>Litauen</vt:lpstr>
      <vt:lpstr>Luxemburg</vt:lpstr>
      <vt:lpstr>Malta</vt:lpstr>
      <vt:lpstr>Niederlande</vt:lpstr>
      <vt:lpstr>Norwegen</vt:lpstr>
      <vt:lpstr>Österreich</vt:lpstr>
      <vt:lpstr>Polen</vt:lpstr>
      <vt:lpstr>Portugal</vt:lpstr>
      <vt:lpstr>Rumänien</vt:lpstr>
      <vt:lpstr>Schweden</vt:lpstr>
      <vt:lpstr>Schweiz</vt:lpstr>
      <vt:lpstr>Slowakei</vt:lpstr>
      <vt:lpstr>Slowenien</vt:lpstr>
      <vt:lpstr>Spanien</vt:lpstr>
      <vt:lpstr>Tschechische Republik</vt:lpstr>
      <vt:lpstr>Ungarn</vt:lpstr>
      <vt:lpstr>Zypern</vt:lpstr>
      <vt:lpstr>Dynamik EU-Renten</vt:lpstr>
      <vt:lpstr>Tabelle3</vt:lpstr>
      <vt:lpstr>Links zu EU-Länderbroschüren</vt:lpstr>
      <vt:lpstr>Wer erteilt Auskunft</vt:lpstr>
      <vt:lpstr>Inflation</vt:lpstr>
      <vt:lpstr>Entscheidungen</vt:lpstr>
      <vt:lpstr>Geschiedenen-HR-Rente</vt:lpstr>
      <vt:lpstr>Rentenrechner-Links</vt:lpstr>
      <vt:lpstr>Lebenshaltungskostenvergleich</vt:lpstr>
      <vt:lpstr>Lebenserwartung EU&amp;EFTA</vt:lpstr>
      <vt:lpstr>Parameter DRV</vt:lpstr>
      <vt:lpstr>Renteneintritt DRV</vt:lpstr>
      <vt:lpstr>AOW_Niederlande</vt:lpstr>
      <vt:lpstr>NAV Norwegen</vt:lpstr>
      <vt:lpstr>A</vt:lpstr>
      <vt:lpstr>AbfindungMethode1</vt:lpstr>
      <vt:lpstr>AbfindungMethode2</vt:lpstr>
      <vt:lpstr>AbfindungMethode3</vt:lpstr>
      <vt:lpstr>aktRW_BerDat</vt:lpstr>
      <vt:lpstr>Alter_Ber</vt:lpstr>
      <vt:lpstr>Alter_Ber_sVA_Beginn</vt:lpstr>
      <vt:lpstr>Alter_BerDat_Ber</vt:lpstr>
      <vt:lpstr>Alter_Pfl</vt:lpstr>
      <vt:lpstr>Alter_Pfl_sVA_Beginn</vt:lpstr>
      <vt:lpstr>Alter_Pfl_sVABeginn</vt:lpstr>
      <vt:lpstr>Alter_sVA_Ber</vt:lpstr>
      <vt:lpstr>Alter_sVA_Pfl</vt:lpstr>
      <vt:lpstr>AlterBer_sVA_Beginn</vt:lpstr>
      <vt:lpstr>AlterEzE_Pfl</vt:lpstr>
      <vt:lpstr>AlterEzEBerZtpkt_Plf</vt:lpstr>
      <vt:lpstr>Anwartschaftsphase</vt:lpstr>
      <vt:lpstr>Anwartschaftsphase_Pfl</vt:lpstr>
      <vt:lpstr>Anwartschaftszeit_Pfl</vt:lpstr>
      <vt:lpstr>AnwZeit_Ber_BerDatbusDRVRente</vt:lpstr>
      <vt:lpstr>AnwZeitbisBer_Ztpkt</vt:lpstr>
      <vt:lpstr>AnwZeitPflbisFälligkeitsVA</vt:lpstr>
      <vt:lpstr>AterPfl_sVA_Beginn</vt:lpstr>
      <vt:lpstr>Auskunftgeber</vt:lpstr>
      <vt:lpstr>Auskunftsländer</vt:lpstr>
      <vt:lpstr>B</vt:lpstr>
      <vt:lpstr>Barwert1</vt:lpstr>
      <vt:lpstr>BarwertMethode1</vt:lpstr>
      <vt:lpstr>Belgien</vt:lpstr>
      <vt:lpstr>BG</vt:lpstr>
      <vt:lpstr>BW_Methode1</vt:lpstr>
      <vt:lpstr>BW_Pfl_Berechnungsdatum</vt:lpstr>
      <vt:lpstr>BW_Pfl_Leistngsbeginn</vt:lpstr>
      <vt:lpstr>CH</vt:lpstr>
      <vt:lpstr>CY</vt:lpstr>
      <vt:lpstr>CZ</vt:lpstr>
      <vt:lpstr>D</vt:lpstr>
      <vt:lpstr>Dat_BebDat_Ber</vt:lpstr>
      <vt:lpstr>Dat_Ber</vt:lpstr>
      <vt:lpstr>Dat_GebDat_Ber</vt:lpstr>
      <vt:lpstr>Dat_GebDat_Pfl</vt:lpstr>
      <vt:lpstr>DBA</vt:lpstr>
      <vt:lpstr>Deutschland</vt:lpstr>
      <vt:lpstr>DK</vt:lpstr>
      <vt:lpstr>Doppelbesteuerung</vt:lpstr>
      <vt:lpstr>'Abfindung Methode 1'!Druckbereich</vt:lpstr>
      <vt:lpstr>'Abfindung Methode 2'!Druckbereich</vt:lpstr>
      <vt:lpstr>Abfindungsberechnung!Druckbereich</vt:lpstr>
      <vt:lpstr>'Wer erteilt Auskunft'!Druckbereich</vt:lpstr>
      <vt:lpstr>'Wer erteilt Auskunft'!Drucktitel</vt:lpstr>
      <vt:lpstr>DRV_Renteneintritt</vt:lpstr>
      <vt:lpstr>DRV_Rentensumme</vt:lpstr>
      <vt:lpstr>DRVDynamik</vt:lpstr>
      <vt:lpstr>Dynamisierung</vt:lpstr>
      <vt:lpstr>Dynamisierungslinks</vt:lpstr>
      <vt:lpstr>E</vt:lpstr>
      <vt:lpstr>E_Aktenzeichen</vt:lpstr>
      <vt:lpstr>E_Beschlüsse</vt:lpstr>
      <vt:lpstr>E_BeschlussThema</vt:lpstr>
      <vt:lpstr>E_Land</vt:lpstr>
      <vt:lpstr>Endscheidungsländer</vt:lpstr>
      <vt:lpstr>Entscheidungen</vt:lpstr>
      <vt:lpstr>EP_BerDat</vt:lpstr>
      <vt:lpstr>EST</vt:lpstr>
      <vt:lpstr>EU_Laender</vt:lpstr>
      <vt:lpstr>EUEFTA_Rentenrechner</vt:lpstr>
      <vt:lpstr>EzE</vt:lpstr>
      <vt:lpstr>F</vt:lpstr>
      <vt:lpstr>Fälligkeit_sVA</vt:lpstr>
      <vt:lpstr>FIN</vt:lpstr>
      <vt:lpstr>FL</vt:lpstr>
      <vt:lpstr>Geschiedenen_HR_Rente</vt:lpstr>
      <vt:lpstr>Geschlecht_Ber</vt:lpstr>
      <vt:lpstr>GeschlechtsNr_Ber</vt:lpstr>
      <vt:lpstr>GeschlechtsNr_Pfl</vt:lpstr>
      <vt:lpstr>GHR_Ziel</vt:lpstr>
      <vt:lpstr>GR</vt:lpstr>
      <vt:lpstr>GrundInfo</vt:lpstr>
      <vt:lpstr>H</vt:lpstr>
      <vt:lpstr>HEIR66</vt:lpstr>
      <vt:lpstr>Hinterbliebenen</vt:lpstr>
      <vt:lpstr>Hinterbliebenenzuschlag</vt:lpstr>
      <vt:lpstr>HR</vt:lpstr>
      <vt:lpstr>HR_Quote</vt:lpstr>
      <vt:lpstr>HRIR60</vt:lpstr>
      <vt:lpstr>HRIR61</vt:lpstr>
      <vt:lpstr>HRIR62</vt:lpstr>
      <vt:lpstr>HRIR63</vt:lpstr>
      <vt:lpstr>HRIR64</vt:lpstr>
      <vt:lpstr>HRIR65</vt:lpstr>
      <vt:lpstr>HRIR67</vt:lpstr>
      <vt:lpstr>I</vt:lpstr>
      <vt:lpstr>Inflation</vt:lpstr>
      <vt:lpstr>Info</vt:lpstr>
      <vt:lpstr>info_HRZuschlag</vt:lpstr>
      <vt:lpstr>Info_HRZuschlag_M1</vt:lpstr>
      <vt:lpstr>info_IRZuschlag</vt:lpstr>
      <vt:lpstr>Info_IRZuschlag_M1</vt:lpstr>
      <vt:lpstr>info_SozAbgaben</vt:lpstr>
      <vt:lpstr>Info_Steuern</vt:lpstr>
      <vt:lpstr>Info_Thema</vt:lpstr>
      <vt:lpstr>InfoBereich</vt:lpstr>
      <vt:lpstr>Invalidität</vt:lpstr>
      <vt:lpstr>Invaliditätszuschlag</vt:lpstr>
      <vt:lpstr>IR_Quote</vt:lpstr>
      <vt:lpstr>IS</vt:lpstr>
      <vt:lpstr>Jahresrente_Pfl</vt:lpstr>
      <vt:lpstr>K_A</vt:lpstr>
      <vt:lpstr>K_B</vt:lpstr>
      <vt:lpstr>K_BG</vt:lpstr>
      <vt:lpstr>K_Bu</vt:lpstr>
      <vt:lpstr>K_CH</vt:lpstr>
      <vt:lpstr>K_CY</vt:lpstr>
      <vt:lpstr>K_CZ</vt:lpstr>
      <vt:lpstr>K_D</vt:lpstr>
      <vt:lpstr>K_DK</vt:lpstr>
      <vt:lpstr>K_E</vt:lpstr>
      <vt:lpstr>K_EST</vt:lpstr>
      <vt:lpstr>K_F</vt:lpstr>
      <vt:lpstr>K_FI</vt:lpstr>
      <vt:lpstr>K_FL</vt:lpstr>
      <vt:lpstr>K_GR</vt:lpstr>
      <vt:lpstr>K_H</vt:lpstr>
      <vt:lpstr>K_I</vt:lpstr>
      <vt:lpstr>K_IRL</vt:lpstr>
      <vt:lpstr>K_IS</vt:lpstr>
      <vt:lpstr>K_KR</vt:lpstr>
      <vt:lpstr>K_L</vt:lpstr>
      <vt:lpstr>K_LI</vt:lpstr>
      <vt:lpstr>K_LV</vt:lpstr>
      <vt:lpstr>K_M</vt:lpstr>
      <vt:lpstr>K_N</vt:lpstr>
      <vt:lpstr>K_NL</vt:lpstr>
      <vt:lpstr>K_Pl</vt:lpstr>
      <vt:lpstr>K_PO</vt:lpstr>
      <vt:lpstr>K_RO</vt:lpstr>
      <vt:lpstr>K_S</vt:lpstr>
      <vt:lpstr>K_SK</vt:lpstr>
      <vt:lpstr>K_SLO</vt:lpstr>
      <vt:lpstr>K2_Text1</vt:lpstr>
      <vt:lpstr>K2_Text2</vt:lpstr>
      <vt:lpstr>K2_Text3</vt:lpstr>
      <vt:lpstr>Kohorte_BerDat_Ber</vt:lpstr>
      <vt:lpstr>Kohorte_BerDat_pfl</vt:lpstr>
      <vt:lpstr>Kohorte_D</vt:lpstr>
      <vt:lpstr>Kohorte_LDat_Ber</vt:lpstr>
      <vt:lpstr>Kohorte_LDat_Pfl</vt:lpstr>
      <vt:lpstr>Kohorte_M</vt:lpstr>
      <vt:lpstr>Kohorte_W</vt:lpstr>
      <vt:lpstr>KText</vt:lpstr>
      <vt:lpstr>KText1</vt:lpstr>
      <vt:lpstr>KText10</vt:lpstr>
      <vt:lpstr>KText11</vt:lpstr>
      <vt:lpstr>KText2</vt:lpstr>
      <vt:lpstr>KText3</vt:lpstr>
      <vt:lpstr>KText4</vt:lpstr>
      <vt:lpstr>KText5</vt:lpstr>
      <vt:lpstr>KText6</vt:lpstr>
      <vt:lpstr>KText7</vt:lpstr>
      <vt:lpstr>KText8</vt:lpstr>
      <vt:lpstr>KText9</vt:lpstr>
      <vt:lpstr>KTextZus1</vt:lpstr>
      <vt:lpstr>KTextZus2</vt:lpstr>
      <vt:lpstr>KTextZus3</vt:lpstr>
      <vt:lpstr>Kurzinfo</vt:lpstr>
      <vt:lpstr>KurzSprungziel</vt:lpstr>
      <vt:lpstr>Kurzübersicht</vt:lpstr>
      <vt:lpstr>L</vt:lpstr>
      <vt:lpstr>L_Ber_absVA</vt:lpstr>
      <vt:lpstr>L_Ber_sVABeginn</vt:lpstr>
      <vt:lpstr>L_DzuAuswahlland</vt:lpstr>
      <vt:lpstr>L_Pfl_sVA_Beginn</vt:lpstr>
      <vt:lpstr>L_sVABeginn_Ber</vt:lpstr>
      <vt:lpstr>L_sVABeginn_Pfl</vt:lpstr>
      <vt:lpstr>Länder1</vt:lpstr>
      <vt:lpstr>Länderkennzeichen</vt:lpstr>
      <vt:lpstr>Ländernr</vt:lpstr>
      <vt:lpstr>Länderwahl</vt:lpstr>
      <vt:lpstr>Lebenserwartung</vt:lpstr>
      <vt:lpstr>Lebenshaltungskostenindex</vt:lpstr>
      <vt:lpstr>Lebenshaltungskostenvergleich</vt:lpstr>
      <vt:lpstr>Leistungsbeginn_auszuglVersorgung</vt:lpstr>
      <vt:lpstr>Leistungsbeginn_Pfl</vt:lpstr>
      <vt:lpstr>LeistungsphaseBerztpkt_Pfl</vt:lpstr>
      <vt:lpstr>Leistungszeit_Pfl</vt:lpstr>
      <vt:lpstr>Lf</vt:lpstr>
      <vt:lpstr>Links</vt:lpstr>
      <vt:lpstr>LinkzuEU_Broschüren</vt:lpstr>
      <vt:lpstr>Lm</vt:lpstr>
      <vt:lpstr>Ln</vt:lpstr>
      <vt:lpstr>LT</vt:lpstr>
      <vt:lpstr>LV</vt:lpstr>
      <vt:lpstr>Lx</vt:lpstr>
      <vt:lpstr>LXYD_EU</vt:lpstr>
      <vt:lpstr>Ly</vt:lpstr>
      <vt:lpstr>LZeitBis_sVA</vt:lpstr>
      <vt:lpstr>LZeitbisBer_Ztpkt</vt:lpstr>
      <vt:lpstr>M</vt:lpstr>
      <vt:lpstr>Monatsrente_Pfl</vt:lpstr>
      <vt:lpstr>Musterprompt</vt:lpstr>
      <vt:lpstr>N</vt:lpstr>
      <vt:lpstr>NL</vt:lpstr>
      <vt:lpstr>O_Box_K_L</vt:lpstr>
      <vt:lpstr>P</vt:lpstr>
      <vt:lpstr>PL</vt:lpstr>
      <vt:lpstr>ReAlter_Ber</vt:lpstr>
      <vt:lpstr>ReAlter_Pfl</vt:lpstr>
      <vt:lpstr>ReAnzahlproJahr</vt:lpstr>
      <vt:lpstr>Rechnungszins</vt:lpstr>
      <vt:lpstr>Rechts</vt:lpstr>
      <vt:lpstr>ReDyn_Anwartschaft</vt:lpstr>
      <vt:lpstr>ReDynamik_Leistung</vt:lpstr>
      <vt:lpstr>ReHöhe_Berdat</vt:lpstr>
      <vt:lpstr>ReHöhe_EZE_Pfl</vt:lpstr>
      <vt:lpstr>RentenalterBer</vt:lpstr>
      <vt:lpstr>RentenBeginn_Ber</vt:lpstr>
      <vt:lpstr>Rentenhöhe_Fälligkeit</vt:lpstr>
      <vt:lpstr>Rentenrechner</vt:lpstr>
      <vt:lpstr>RO</vt:lpstr>
      <vt:lpstr>Rspr</vt:lpstr>
      <vt:lpstr>Schwe</vt:lpstr>
      <vt:lpstr>SK</vt:lpstr>
      <vt:lpstr>SLO</vt:lpstr>
      <vt:lpstr>Sozialversicherungsabschlag</vt:lpstr>
      <vt:lpstr>Start</vt:lpstr>
      <vt:lpstr>StartLinks</vt:lpstr>
      <vt:lpstr>Startrente2zumBerDat</vt:lpstr>
      <vt:lpstr>Steuer_Abschlag</vt:lpstr>
      <vt:lpstr>Steuerabschlag</vt:lpstr>
      <vt:lpstr>'Geschiedenen-HR-Rente'!Suchkriterien</vt:lpstr>
      <vt:lpstr>SV_Abschlag</vt:lpstr>
      <vt:lpstr>sVA_AnwartZeit_Pfl</vt:lpstr>
      <vt:lpstr>sVA_Beginn</vt:lpstr>
      <vt:lpstr>sVA_Leistungsbeginn</vt:lpstr>
      <vt:lpstr>sVA_Rente_Fälligkeit</vt:lpstr>
      <vt:lpstr>sVA_Starrente</vt:lpstr>
      <vt:lpstr>sVA_Startrente</vt:lpstr>
      <vt:lpstr>Text1</vt:lpstr>
      <vt:lpstr>Text2</vt:lpstr>
      <vt:lpstr>Text3</vt:lpstr>
      <vt:lpstr>Text4</vt:lpstr>
      <vt:lpstr>Text5</vt:lpstr>
      <vt:lpstr>Thema</vt:lpstr>
      <vt:lpstr>Thema1</vt:lpstr>
      <vt:lpstr>Thema2</vt:lpstr>
      <vt:lpstr>Thema3</vt:lpstr>
      <vt:lpstr>Thema4</vt:lpstr>
      <vt:lpstr>Ü_Ber_BerZtpkt</vt:lpstr>
      <vt:lpstr>Ü_Ber_sVAStart</vt:lpstr>
      <vt:lpstr>Ü_Pfl_BerZtpkt</vt:lpstr>
      <vt:lpstr>Ü_Pfl_sVAStart</vt:lpstr>
      <vt:lpstr>Vergleichsland</vt:lpstr>
      <vt:lpstr>VVR_Pfl</vt:lpstr>
    </vt:vector>
  </TitlesOfParts>
  <Manager/>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Spreadsheet</dc:title>
  <dc:subject/>
  <dc:creator>Unknown Creator</dc:creator>
  <cp:keywords/>
  <dc:description/>
  <cp:lastModifiedBy>Joern Hauss</cp:lastModifiedBy>
  <cp:lastPrinted>2026-06-11T20:41:05Z</cp:lastPrinted>
  <dcterms:created xsi:type="dcterms:W3CDTF">2026-04-22T14:41:40Z</dcterms:created>
  <dcterms:modified xsi:type="dcterms:W3CDTF">2026-06-16T09:55:41Z</dcterms:modified>
  <cp:category/>
</cp:coreProperties>
</file>